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0" windowWidth="10455" windowHeight="8085" tabRatio="891"/>
  </bookViews>
  <sheets>
    <sheet name="Datos SIREM TREFIMALLAS" sheetId="64" r:id="rId1"/>
    <sheet name="comp datos trefimallas-sirem " sheetId="56" r:id="rId2"/>
    <sheet name="Dishierros" sheetId="60" r:id="rId3"/>
    <sheet name="Distriacero Figurado" sheetId="61" r:id="rId4"/>
    <sheet name="Figuhierros" sheetId="62" r:id="rId5"/>
    <sheet name="Metalcenter" sheetId="58" r:id="rId6"/>
    <sheet name="Sector" sheetId="57" r:id="rId7"/>
  </sheets>
  <calcPr calcId="125725"/>
</workbook>
</file>

<file path=xl/calcChain.xml><?xml version="1.0" encoding="utf-8"?>
<calcChain xmlns="http://schemas.openxmlformats.org/spreadsheetml/2006/main">
  <c r="O21" i="56"/>
  <c r="Q21" s="1"/>
  <c r="S21" s="1"/>
  <c r="K62" i="64"/>
  <c r="J62"/>
  <c r="E89"/>
  <c r="F89"/>
  <c r="G89"/>
  <c r="D89"/>
  <c r="L63" l="1"/>
  <c r="I35"/>
  <c r="I34"/>
  <c r="J97"/>
  <c r="K97"/>
  <c r="L97"/>
  <c r="I97"/>
  <c r="J98"/>
  <c r="K98"/>
  <c r="L98"/>
  <c r="I98"/>
  <c r="J48"/>
  <c r="I84" i="57"/>
  <c r="L73"/>
  <c r="L72"/>
  <c r="T70"/>
  <c r="S69"/>
  <c r="U68"/>
  <c r="U67"/>
  <c r="T67"/>
  <c r="T66"/>
  <c r="P66"/>
  <c r="S65"/>
  <c r="O60"/>
  <c r="U59"/>
  <c r="U58"/>
  <c r="T58"/>
  <c r="T57"/>
  <c r="S57"/>
  <c r="S56"/>
  <c r="R56"/>
  <c r="U55"/>
  <c r="R55"/>
  <c r="U54"/>
  <c r="T54"/>
  <c r="Q54"/>
  <c r="S53"/>
  <c r="R53"/>
  <c r="U52"/>
  <c r="U50"/>
  <c r="T50"/>
  <c r="T49"/>
  <c r="P49"/>
  <c r="U48"/>
  <c r="U47"/>
  <c r="T47"/>
  <c r="Q47"/>
  <c r="U46"/>
  <c r="T46"/>
  <c r="Q46"/>
  <c r="Z45"/>
  <c r="Y45"/>
  <c r="X45"/>
  <c r="R45"/>
  <c r="U44"/>
  <c r="T44"/>
  <c r="T43"/>
  <c r="S43"/>
  <c r="L42"/>
  <c r="L41"/>
  <c r="J39"/>
  <c r="X37"/>
  <c r="W37"/>
  <c r="O37"/>
  <c r="T36"/>
  <c r="S36"/>
  <c r="L36"/>
  <c r="J36"/>
  <c r="R35"/>
  <c r="U34"/>
  <c r="R34"/>
  <c r="U33"/>
  <c r="T33"/>
  <c r="P33"/>
  <c r="T32"/>
  <c r="O32"/>
  <c r="T31"/>
  <c r="O31"/>
  <c r="W29"/>
  <c r="R29"/>
  <c r="Z28"/>
  <c r="Y28"/>
  <c r="X28"/>
  <c r="W28"/>
  <c r="U28"/>
  <c r="R28"/>
  <c r="K28"/>
  <c r="U27"/>
  <c r="T27"/>
  <c r="P27"/>
  <c r="X26"/>
  <c r="T26"/>
  <c r="O26"/>
  <c r="Z25"/>
  <c r="X25"/>
  <c r="O25"/>
  <c r="L25"/>
  <c r="Z20"/>
  <c r="Y20"/>
  <c r="X20"/>
  <c r="W20"/>
  <c r="V19"/>
  <c r="L90" i="58"/>
  <c r="K90"/>
  <c r="J90"/>
  <c r="L89"/>
  <c r="K89"/>
  <c r="J89"/>
  <c r="K87"/>
  <c r="J87"/>
  <c r="J86"/>
  <c r="L84"/>
  <c r="K84"/>
  <c r="J84"/>
  <c r="I84"/>
  <c r="L82"/>
  <c r="K82"/>
  <c r="J82"/>
  <c r="I82"/>
  <c r="L81"/>
  <c r="K81"/>
  <c r="J81"/>
  <c r="I81"/>
  <c r="L77"/>
  <c r="K77"/>
  <c r="J77"/>
  <c r="I77"/>
  <c r="L76"/>
  <c r="K76"/>
  <c r="J76"/>
  <c r="I76"/>
  <c r="U73"/>
  <c r="T73"/>
  <c r="S73"/>
  <c r="R73"/>
  <c r="Q73"/>
  <c r="P73"/>
  <c r="L73"/>
  <c r="K73"/>
  <c r="J73"/>
  <c r="L72"/>
  <c r="K72"/>
  <c r="J72"/>
  <c r="U70"/>
  <c r="T70"/>
  <c r="S70"/>
  <c r="R70"/>
  <c r="Q70"/>
  <c r="P70"/>
  <c r="O70"/>
  <c r="U69"/>
  <c r="T69"/>
  <c r="S69"/>
  <c r="R69"/>
  <c r="Q69"/>
  <c r="P69"/>
  <c r="O69"/>
  <c r="U68"/>
  <c r="T68"/>
  <c r="S68"/>
  <c r="R68"/>
  <c r="Q68"/>
  <c r="P68"/>
  <c r="O68"/>
  <c r="U67"/>
  <c r="T67"/>
  <c r="S67"/>
  <c r="R67"/>
  <c r="Q67"/>
  <c r="P67"/>
  <c r="O67"/>
  <c r="U66"/>
  <c r="T66"/>
  <c r="T63" s="1"/>
  <c r="S66"/>
  <c r="R66"/>
  <c r="Q66"/>
  <c r="P66"/>
  <c r="P63" s="1"/>
  <c r="O66"/>
  <c r="U65"/>
  <c r="T65"/>
  <c r="S65"/>
  <c r="S63" s="1"/>
  <c r="R65"/>
  <c r="Q65"/>
  <c r="P65"/>
  <c r="O65"/>
  <c r="U64"/>
  <c r="T64"/>
  <c r="S64"/>
  <c r="R64"/>
  <c r="R63" s="1"/>
  <c r="Q64"/>
  <c r="P64"/>
  <c r="O64"/>
  <c r="U63"/>
  <c r="Q63"/>
  <c r="U60"/>
  <c r="T60"/>
  <c r="S60"/>
  <c r="R60"/>
  <c r="Q60"/>
  <c r="P60"/>
  <c r="O60"/>
  <c r="U59"/>
  <c r="T59"/>
  <c r="S59"/>
  <c r="R59"/>
  <c r="Q59"/>
  <c r="P59"/>
  <c r="O59"/>
  <c r="U58"/>
  <c r="T58"/>
  <c r="S58"/>
  <c r="R58"/>
  <c r="Q58"/>
  <c r="P58"/>
  <c r="O58"/>
  <c r="U57"/>
  <c r="T57"/>
  <c r="S57"/>
  <c r="R57"/>
  <c r="Q57"/>
  <c r="P57"/>
  <c r="O57"/>
  <c r="U56"/>
  <c r="T56"/>
  <c r="S56"/>
  <c r="R56"/>
  <c r="Q56"/>
  <c r="P56"/>
  <c r="O56"/>
  <c r="U55"/>
  <c r="T55"/>
  <c r="S55"/>
  <c r="R55"/>
  <c r="Q55"/>
  <c r="P55"/>
  <c r="O55"/>
  <c r="U54"/>
  <c r="U61" s="1"/>
  <c r="T54"/>
  <c r="S54"/>
  <c r="R54"/>
  <c r="R61" s="1"/>
  <c r="Q54"/>
  <c r="Q61" s="1"/>
  <c r="P54"/>
  <c r="O54"/>
  <c r="U53"/>
  <c r="T53"/>
  <c r="S53"/>
  <c r="R53"/>
  <c r="Q53"/>
  <c r="P53"/>
  <c r="O53"/>
  <c r="L53"/>
  <c r="K53"/>
  <c r="J53"/>
  <c r="I53"/>
  <c r="U52"/>
  <c r="T52"/>
  <c r="T61" s="1"/>
  <c r="S52"/>
  <c r="S61" s="1"/>
  <c r="R52"/>
  <c r="Q52"/>
  <c r="P52"/>
  <c r="P61" s="1"/>
  <c r="O52"/>
  <c r="L52"/>
  <c r="K52"/>
  <c r="J52"/>
  <c r="I52"/>
  <c r="L51"/>
  <c r="K51"/>
  <c r="J51"/>
  <c r="I51"/>
  <c r="U50"/>
  <c r="T50"/>
  <c r="S50"/>
  <c r="R50"/>
  <c r="Q50"/>
  <c r="P50"/>
  <c r="O50"/>
  <c r="L50"/>
  <c r="K50"/>
  <c r="J50"/>
  <c r="I50"/>
  <c r="U49"/>
  <c r="T49"/>
  <c r="S49"/>
  <c r="R49"/>
  <c r="Q49"/>
  <c r="P49"/>
  <c r="O49"/>
  <c r="L49"/>
  <c r="K49"/>
  <c r="J49"/>
  <c r="I49"/>
  <c r="U48"/>
  <c r="T48"/>
  <c r="S48"/>
  <c r="R48"/>
  <c r="Q48"/>
  <c r="P48"/>
  <c r="O48"/>
  <c r="L48"/>
  <c r="K48"/>
  <c r="J48"/>
  <c r="I48"/>
  <c r="U47"/>
  <c r="T47"/>
  <c r="S47"/>
  <c r="R47"/>
  <c r="Q47"/>
  <c r="P47"/>
  <c r="O47"/>
  <c r="J47"/>
  <c r="I47"/>
  <c r="U46"/>
  <c r="T46"/>
  <c r="S46"/>
  <c r="R46"/>
  <c r="Q46"/>
  <c r="P46"/>
  <c r="O46"/>
  <c r="L46"/>
  <c r="L47" s="1"/>
  <c r="K46"/>
  <c r="K47" s="1"/>
  <c r="J46"/>
  <c r="I46"/>
  <c r="Z45"/>
  <c r="Y45"/>
  <c r="X45"/>
  <c r="U45"/>
  <c r="T45"/>
  <c r="S45"/>
  <c r="R45"/>
  <c r="Q45"/>
  <c r="P45"/>
  <c r="O45"/>
  <c r="Z44"/>
  <c r="Y44"/>
  <c r="X44"/>
  <c r="X46" s="1"/>
  <c r="U44"/>
  <c r="T44"/>
  <c r="S44"/>
  <c r="R44"/>
  <c r="R51" s="1"/>
  <c r="Q44"/>
  <c r="P44"/>
  <c r="O44"/>
  <c r="U43"/>
  <c r="U51" s="1"/>
  <c r="T43"/>
  <c r="S43"/>
  <c r="R43"/>
  <c r="Q43"/>
  <c r="Q51" s="1"/>
  <c r="P43"/>
  <c r="O43"/>
  <c r="L43"/>
  <c r="K43"/>
  <c r="J43"/>
  <c r="I43"/>
  <c r="U42"/>
  <c r="T42"/>
  <c r="T51" s="1"/>
  <c r="S42"/>
  <c r="S51" s="1"/>
  <c r="R42"/>
  <c r="Q42"/>
  <c r="P42"/>
  <c r="P51" s="1"/>
  <c r="O42"/>
  <c r="L42"/>
  <c r="K42"/>
  <c r="J42"/>
  <c r="L41"/>
  <c r="K41"/>
  <c r="J41"/>
  <c r="L40"/>
  <c r="K40"/>
  <c r="J40"/>
  <c r="Z39"/>
  <c r="Y39"/>
  <c r="X39"/>
  <c r="W39"/>
  <c r="L39"/>
  <c r="K39"/>
  <c r="J39"/>
  <c r="L38"/>
  <c r="K38"/>
  <c r="J38"/>
  <c r="I38"/>
  <c r="Z37"/>
  <c r="Y37"/>
  <c r="X37"/>
  <c r="W37"/>
  <c r="U37"/>
  <c r="T37"/>
  <c r="S37"/>
  <c r="R37"/>
  <c r="Q37"/>
  <c r="P37"/>
  <c r="O37"/>
  <c r="L37"/>
  <c r="U36"/>
  <c r="T36"/>
  <c r="S36"/>
  <c r="R36"/>
  <c r="Q36"/>
  <c r="P36"/>
  <c r="O36"/>
  <c r="L36"/>
  <c r="K36"/>
  <c r="K37" s="1"/>
  <c r="J36"/>
  <c r="I36"/>
  <c r="U35"/>
  <c r="T35"/>
  <c r="S35"/>
  <c r="R35"/>
  <c r="Q35"/>
  <c r="P35"/>
  <c r="O35"/>
  <c r="L35"/>
  <c r="K35"/>
  <c r="J35"/>
  <c r="I35"/>
  <c r="U34"/>
  <c r="T34"/>
  <c r="S34"/>
  <c r="R34"/>
  <c r="Q34"/>
  <c r="P34"/>
  <c r="O34"/>
  <c r="L34"/>
  <c r="K34"/>
  <c r="J34"/>
  <c r="J37" s="1"/>
  <c r="I34"/>
  <c r="I37" s="1"/>
  <c r="U33"/>
  <c r="T33"/>
  <c r="S33"/>
  <c r="R33"/>
  <c r="Q33"/>
  <c r="P33"/>
  <c r="O33"/>
  <c r="U32"/>
  <c r="T32"/>
  <c r="S32"/>
  <c r="R32"/>
  <c r="Q32"/>
  <c r="P32"/>
  <c r="O32"/>
  <c r="Y31"/>
  <c r="Y32" s="1"/>
  <c r="Y33" s="1"/>
  <c r="X31"/>
  <c r="X32" s="1"/>
  <c r="X33" s="1"/>
  <c r="U31"/>
  <c r="U38" s="1"/>
  <c r="T31"/>
  <c r="T38" s="1"/>
  <c r="S31"/>
  <c r="S38" s="1"/>
  <c r="R31"/>
  <c r="R38" s="1"/>
  <c r="Q31"/>
  <c r="Q38" s="1"/>
  <c r="P31"/>
  <c r="P38" s="1"/>
  <c r="O31"/>
  <c r="Z29"/>
  <c r="Y29"/>
  <c r="X29"/>
  <c r="W29"/>
  <c r="U29"/>
  <c r="T29"/>
  <c r="S29"/>
  <c r="R29"/>
  <c r="Q29"/>
  <c r="P29"/>
  <c r="O29"/>
  <c r="L29"/>
  <c r="K29"/>
  <c r="J29"/>
  <c r="I29"/>
  <c r="Z28"/>
  <c r="Y28"/>
  <c r="X28"/>
  <c r="W28"/>
  <c r="U28"/>
  <c r="T28"/>
  <c r="S28"/>
  <c r="R28"/>
  <c r="Q28"/>
  <c r="P28"/>
  <c r="O28"/>
  <c r="L28"/>
  <c r="K28"/>
  <c r="J28"/>
  <c r="I28"/>
  <c r="U27"/>
  <c r="T27"/>
  <c r="T71" s="1"/>
  <c r="S27"/>
  <c r="S71" s="1"/>
  <c r="R27"/>
  <c r="Q27"/>
  <c r="P27"/>
  <c r="P71" s="1"/>
  <c r="O27"/>
  <c r="L27"/>
  <c r="K27"/>
  <c r="J27"/>
  <c r="I27"/>
  <c r="Z26"/>
  <c r="Z31" s="1"/>
  <c r="Z32" s="1"/>
  <c r="Y26"/>
  <c r="X26"/>
  <c r="W26"/>
  <c r="W31" s="1"/>
  <c r="W32" s="1"/>
  <c r="W33" s="1"/>
  <c r="U26"/>
  <c r="T26"/>
  <c r="S26"/>
  <c r="R26"/>
  <c r="R30" s="1"/>
  <c r="Q26"/>
  <c r="P26"/>
  <c r="O26"/>
  <c r="L26"/>
  <c r="K26"/>
  <c r="J26"/>
  <c r="I26"/>
  <c r="Z25"/>
  <c r="L87" s="1"/>
  <c r="Y25"/>
  <c r="X25"/>
  <c r="W25"/>
  <c r="U25"/>
  <c r="U30" s="1"/>
  <c r="T25"/>
  <c r="T30" s="1"/>
  <c r="S25"/>
  <c r="R25"/>
  <c r="Q25"/>
  <c r="Q30" s="1"/>
  <c r="P25"/>
  <c r="P30" s="1"/>
  <c r="O25"/>
  <c r="L25"/>
  <c r="K25"/>
  <c r="J25"/>
  <c r="I25"/>
  <c r="Z24"/>
  <c r="L86" s="1"/>
  <c r="Y24"/>
  <c r="K86" s="1"/>
  <c r="X24"/>
  <c r="W24"/>
  <c r="L24"/>
  <c r="K24"/>
  <c r="J24"/>
  <c r="I24"/>
  <c r="Y23"/>
  <c r="X23"/>
  <c r="W23"/>
  <c r="Z20"/>
  <c r="Y20"/>
  <c r="X20"/>
  <c r="W20"/>
  <c r="V19"/>
  <c r="L90" i="62"/>
  <c r="K90"/>
  <c r="J90"/>
  <c r="L89"/>
  <c r="K89"/>
  <c r="J89"/>
  <c r="K87"/>
  <c r="J87"/>
  <c r="J86"/>
  <c r="L84"/>
  <c r="K84"/>
  <c r="J84"/>
  <c r="I84"/>
  <c r="L83"/>
  <c r="L85" s="1"/>
  <c r="L88" s="1"/>
  <c r="L91" s="1"/>
  <c r="I83"/>
  <c r="I85" s="1"/>
  <c r="L82"/>
  <c r="K82"/>
  <c r="J82"/>
  <c r="I82"/>
  <c r="L81"/>
  <c r="K81"/>
  <c r="J81"/>
  <c r="I81"/>
  <c r="L80"/>
  <c r="K80"/>
  <c r="K83" s="1"/>
  <c r="K85" s="1"/>
  <c r="K88" s="1"/>
  <c r="K91" s="1"/>
  <c r="J80"/>
  <c r="J83" s="1"/>
  <c r="J85" s="1"/>
  <c r="J88" s="1"/>
  <c r="J91" s="1"/>
  <c r="I80"/>
  <c r="L77"/>
  <c r="K77"/>
  <c r="J77"/>
  <c r="I77"/>
  <c r="L76"/>
  <c r="L74" s="1"/>
  <c r="K76"/>
  <c r="J76"/>
  <c r="I76"/>
  <c r="I74" s="1"/>
  <c r="L75"/>
  <c r="K75"/>
  <c r="J75"/>
  <c r="I75"/>
  <c r="K74"/>
  <c r="J74"/>
  <c r="U73"/>
  <c r="T73"/>
  <c r="S73"/>
  <c r="R73"/>
  <c r="Q73"/>
  <c r="P73"/>
  <c r="L73"/>
  <c r="K73"/>
  <c r="J73"/>
  <c r="L72"/>
  <c r="K72"/>
  <c r="J72"/>
  <c r="U70"/>
  <c r="T70"/>
  <c r="S70"/>
  <c r="R70"/>
  <c r="Q70"/>
  <c r="P70"/>
  <c r="O70"/>
  <c r="U69"/>
  <c r="T69"/>
  <c r="S69"/>
  <c r="R69"/>
  <c r="Q69"/>
  <c r="P69"/>
  <c r="O69"/>
  <c r="U68"/>
  <c r="T68"/>
  <c r="S68"/>
  <c r="R68"/>
  <c r="Q68"/>
  <c r="P68"/>
  <c r="O68"/>
  <c r="U67"/>
  <c r="T67"/>
  <c r="S67"/>
  <c r="R67"/>
  <c r="Q67"/>
  <c r="P67"/>
  <c r="O67"/>
  <c r="U66"/>
  <c r="T66"/>
  <c r="T63" s="1"/>
  <c r="S66"/>
  <c r="R66"/>
  <c r="Q66"/>
  <c r="P66"/>
  <c r="P63" s="1"/>
  <c r="O66"/>
  <c r="U65"/>
  <c r="T65"/>
  <c r="S65"/>
  <c r="R65"/>
  <c r="Q65"/>
  <c r="P65"/>
  <c r="O65"/>
  <c r="U64"/>
  <c r="T64"/>
  <c r="S64"/>
  <c r="S63" s="1"/>
  <c r="R64"/>
  <c r="R63" s="1"/>
  <c r="Q64"/>
  <c r="P64"/>
  <c r="O64"/>
  <c r="U63"/>
  <c r="Q63"/>
  <c r="L63"/>
  <c r="K63"/>
  <c r="J63"/>
  <c r="I63"/>
  <c r="L61"/>
  <c r="K61"/>
  <c r="J61"/>
  <c r="I61"/>
  <c r="U60"/>
  <c r="T60"/>
  <c r="S60"/>
  <c r="R60"/>
  <c r="Q60"/>
  <c r="P60"/>
  <c r="O60"/>
  <c r="L60"/>
  <c r="K60"/>
  <c r="J60"/>
  <c r="I60"/>
  <c r="U59"/>
  <c r="T59"/>
  <c r="S59"/>
  <c r="R59"/>
  <c r="Q59"/>
  <c r="P59"/>
  <c r="O59"/>
  <c r="L59"/>
  <c r="K59"/>
  <c r="J59"/>
  <c r="I59"/>
  <c r="U58"/>
  <c r="T58"/>
  <c r="S58"/>
  <c r="R58"/>
  <c r="Q58"/>
  <c r="P58"/>
  <c r="O58"/>
  <c r="U57"/>
  <c r="T57"/>
  <c r="S57"/>
  <c r="R57"/>
  <c r="Q57"/>
  <c r="P57"/>
  <c r="O57"/>
  <c r="U56"/>
  <c r="T56"/>
  <c r="S56"/>
  <c r="R56"/>
  <c r="Q56"/>
  <c r="P56"/>
  <c r="O56"/>
  <c r="U55"/>
  <c r="T55"/>
  <c r="S55"/>
  <c r="R55"/>
  <c r="Q55"/>
  <c r="P55"/>
  <c r="O55"/>
  <c r="U54"/>
  <c r="U61" s="1"/>
  <c r="T54"/>
  <c r="S54"/>
  <c r="R54"/>
  <c r="R61" s="1"/>
  <c r="Q54"/>
  <c r="Q61" s="1"/>
  <c r="P54"/>
  <c r="O54"/>
  <c r="L54"/>
  <c r="K54"/>
  <c r="J54"/>
  <c r="U53"/>
  <c r="T53"/>
  <c r="S53"/>
  <c r="R53"/>
  <c r="Q53"/>
  <c r="P53"/>
  <c r="O53"/>
  <c r="L53"/>
  <c r="K53"/>
  <c r="J53"/>
  <c r="I53"/>
  <c r="U52"/>
  <c r="T52"/>
  <c r="T61" s="1"/>
  <c r="S52"/>
  <c r="S61" s="1"/>
  <c r="R52"/>
  <c r="Q52"/>
  <c r="P52"/>
  <c r="P61" s="1"/>
  <c r="O52"/>
  <c r="L52"/>
  <c r="K52"/>
  <c r="J52"/>
  <c r="I52"/>
  <c r="L51"/>
  <c r="K51"/>
  <c r="J51"/>
  <c r="I51"/>
  <c r="U50"/>
  <c r="T50"/>
  <c r="S50"/>
  <c r="R50"/>
  <c r="Q50"/>
  <c r="P50"/>
  <c r="O50"/>
  <c r="L50"/>
  <c r="K50"/>
  <c r="J50"/>
  <c r="I50"/>
  <c r="U49"/>
  <c r="T49"/>
  <c r="S49"/>
  <c r="R49"/>
  <c r="Q49"/>
  <c r="P49"/>
  <c r="O49"/>
  <c r="L49"/>
  <c r="K49"/>
  <c r="J49"/>
  <c r="I49"/>
  <c r="Z48"/>
  <c r="Y48"/>
  <c r="X48"/>
  <c r="U48"/>
  <c r="T48"/>
  <c r="S48"/>
  <c r="R48"/>
  <c r="Q48"/>
  <c r="P48"/>
  <c r="O48"/>
  <c r="L48"/>
  <c r="K48"/>
  <c r="J48"/>
  <c r="I48"/>
  <c r="U47"/>
  <c r="T47"/>
  <c r="S47"/>
  <c r="R47"/>
  <c r="Q47"/>
  <c r="P47"/>
  <c r="O47"/>
  <c r="J47"/>
  <c r="I47"/>
  <c r="U46"/>
  <c r="T46"/>
  <c r="S46"/>
  <c r="R46"/>
  <c r="Q46"/>
  <c r="P46"/>
  <c r="O46"/>
  <c r="L46"/>
  <c r="L47" s="1"/>
  <c r="K46"/>
  <c r="K47" s="1"/>
  <c r="J46"/>
  <c r="I46"/>
  <c r="Z45"/>
  <c r="Y45"/>
  <c r="X45"/>
  <c r="U45"/>
  <c r="T45"/>
  <c r="S45"/>
  <c r="R45"/>
  <c r="Q45"/>
  <c r="P45"/>
  <c r="O45"/>
  <c r="Z44"/>
  <c r="Y44"/>
  <c r="X44"/>
  <c r="X46" s="1"/>
  <c r="U44"/>
  <c r="T44"/>
  <c r="S44"/>
  <c r="R44"/>
  <c r="R51" s="1"/>
  <c r="Q44"/>
  <c r="P44"/>
  <c r="O44"/>
  <c r="U43"/>
  <c r="U51" s="1"/>
  <c r="T43"/>
  <c r="S43"/>
  <c r="R43"/>
  <c r="Q43"/>
  <c r="Q51" s="1"/>
  <c r="P43"/>
  <c r="O43"/>
  <c r="L43"/>
  <c r="K43"/>
  <c r="J43"/>
  <c r="I43"/>
  <c r="U42"/>
  <c r="T42"/>
  <c r="T51" s="1"/>
  <c r="S42"/>
  <c r="S51" s="1"/>
  <c r="R42"/>
  <c r="Q42"/>
  <c r="P42"/>
  <c r="P51" s="1"/>
  <c r="O42"/>
  <c r="L42"/>
  <c r="K42"/>
  <c r="J42"/>
  <c r="L41"/>
  <c r="K41"/>
  <c r="J41"/>
  <c r="X40"/>
  <c r="X42" s="1"/>
  <c r="L40"/>
  <c r="K40"/>
  <c r="J40"/>
  <c r="Z39"/>
  <c r="Y39"/>
  <c r="X39"/>
  <c r="W39"/>
  <c r="L39"/>
  <c r="K39"/>
  <c r="J39"/>
  <c r="Y38"/>
  <c r="Y47" s="1"/>
  <c r="X38"/>
  <c r="X47" s="1"/>
  <c r="X49" s="1"/>
  <c r="L38"/>
  <c r="K38"/>
  <c r="J38"/>
  <c r="I38"/>
  <c r="Z37"/>
  <c r="Y37"/>
  <c r="X37"/>
  <c r="W37"/>
  <c r="U37"/>
  <c r="T37"/>
  <c r="S37"/>
  <c r="R37"/>
  <c r="Q37"/>
  <c r="P37"/>
  <c r="O37"/>
  <c r="L37"/>
  <c r="Z36"/>
  <c r="Z40" s="1"/>
  <c r="Z42" s="1"/>
  <c r="Y36"/>
  <c r="Y40" s="1"/>
  <c r="Y42" s="1"/>
  <c r="X36"/>
  <c r="W36"/>
  <c r="W38" s="1"/>
  <c r="U36"/>
  <c r="T36"/>
  <c r="S36"/>
  <c r="R36"/>
  <c r="Q36"/>
  <c r="P36"/>
  <c r="O36"/>
  <c r="L36"/>
  <c r="K36"/>
  <c r="K37" s="1"/>
  <c r="J36"/>
  <c r="I36"/>
  <c r="U35"/>
  <c r="T35"/>
  <c r="S35"/>
  <c r="R35"/>
  <c r="Q35"/>
  <c r="P35"/>
  <c r="O35"/>
  <c r="L35"/>
  <c r="K35"/>
  <c r="J35"/>
  <c r="I35"/>
  <c r="U34"/>
  <c r="T34"/>
  <c r="S34"/>
  <c r="R34"/>
  <c r="Q34"/>
  <c r="P34"/>
  <c r="O34"/>
  <c r="L34"/>
  <c r="K34"/>
  <c r="J34"/>
  <c r="J37" s="1"/>
  <c r="I34"/>
  <c r="I37" s="1"/>
  <c r="U33"/>
  <c r="T33"/>
  <c r="S33"/>
  <c r="R33"/>
  <c r="Q33"/>
  <c r="P33"/>
  <c r="O33"/>
  <c r="U32"/>
  <c r="T32"/>
  <c r="S32"/>
  <c r="R32"/>
  <c r="Q32"/>
  <c r="P32"/>
  <c r="O32"/>
  <c r="Y31"/>
  <c r="Y32" s="1"/>
  <c r="Y33" s="1"/>
  <c r="X31"/>
  <c r="X32" s="1"/>
  <c r="X33" s="1"/>
  <c r="U31"/>
  <c r="U38" s="1"/>
  <c r="T31"/>
  <c r="T38" s="1"/>
  <c r="S31"/>
  <c r="S38" s="1"/>
  <c r="R31"/>
  <c r="R38" s="1"/>
  <c r="Q31"/>
  <c r="Q38" s="1"/>
  <c r="P31"/>
  <c r="P38" s="1"/>
  <c r="O31"/>
  <c r="L31"/>
  <c r="L62" s="1"/>
  <c r="K31"/>
  <c r="K62" s="1"/>
  <c r="J31"/>
  <c r="J62" s="1"/>
  <c r="I31"/>
  <c r="L30"/>
  <c r="K30"/>
  <c r="J30"/>
  <c r="I30"/>
  <c r="Z29"/>
  <c r="Y29"/>
  <c r="X29"/>
  <c r="W29"/>
  <c r="U29"/>
  <c r="T29"/>
  <c r="S29"/>
  <c r="R29"/>
  <c r="Q29"/>
  <c r="P29"/>
  <c r="O29"/>
  <c r="L29"/>
  <c r="K29"/>
  <c r="J29"/>
  <c r="I29"/>
  <c r="Z28"/>
  <c r="Y28"/>
  <c r="X28"/>
  <c r="W28"/>
  <c r="U28"/>
  <c r="T28"/>
  <c r="S28"/>
  <c r="R28"/>
  <c r="Q28"/>
  <c r="P28"/>
  <c r="O28"/>
  <c r="L28"/>
  <c r="K28"/>
  <c r="J28"/>
  <c r="I28"/>
  <c r="U27"/>
  <c r="T27"/>
  <c r="T71" s="1"/>
  <c r="S27"/>
  <c r="S30" s="1"/>
  <c r="S77" s="1"/>
  <c r="R27"/>
  <c r="Q27"/>
  <c r="P27"/>
  <c r="P71" s="1"/>
  <c r="O27"/>
  <c r="L27"/>
  <c r="K27"/>
  <c r="J27"/>
  <c r="I27"/>
  <c r="Z26"/>
  <c r="Z31" s="1"/>
  <c r="Z32" s="1"/>
  <c r="Y26"/>
  <c r="X26"/>
  <c r="W26"/>
  <c r="W31" s="1"/>
  <c r="W32" s="1"/>
  <c r="W33" s="1"/>
  <c r="U26"/>
  <c r="T26"/>
  <c r="S26"/>
  <c r="R26"/>
  <c r="R71" s="1"/>
  <c r="Q26"/>
  <c r="P26"/>
  <c r="O26"/>
  <c r="L26"/>
  <c r="K26"/>
  <c r="J26"/>
  <c r="I26"/>
  <c r="Z25"/>
  <c r="L87" s="1"/>
  <c r="Y25"/>
  <c r="X25"/>
  <c r="W25"/>
  <c r="U25"/>
  <c r="U30" s="1"/>
  <c r="T25"/>
  <c r="T30" s="1"/>
  <c r="T77" s="1"/>
  <c r="S25"/>
  <c r="R25"/>
  <c r="Q25"/>
  <c r="Q30" s="1"/>
  <c r="P25"/>
  <c r="P30" s="1"/>
  <c r="P77" s="1"/>
  <c r="O25"/>
  <c r="L25"/>
  <c r="K25"/>
  <c r="J25"/>
  <c r="I25"/>
  <c r="Z24"/>
  <c r="L86" s="1"/>
  <c r="Y24"/>
  <c r="K86" s="1"/>
  <c r="X24"/>
  <c r="W24"/>
  <c r="L24"/>
  <c r="K24"/>
  <c r="J24"/>
  <c r="I24"/>
  <c r="Y23"/>
  <c r="X23"/>
  <c r="W23"/>
  <c r="Z20"/>
  <c r="Y20"/>
  <c r="X20"/>
  <c r="W20"/>
  <c r="V19"/>
  <c r="L90" i="61"/>
  <c r="K90"/>
  <c r="J90"/>
  <c r="L89"/>
  <c r="K89"/>
  <c r="J89"/>
  <c r="K87"/>
  <c r="J86"/>
  <c r="L84"/>
  <c r="K84"/>
  <c r="J84"/>
  <c r="I84"/>
  <c r="I83"/>
  <c r="I85" s="1"/>
  <c r="L82"/>
  <c r="K82"/>
  <c r="J82"/>
  <c r="I82"/>
  <c r="L81"/>
  <c r="K81"/>
  <c r="J81"/>
  <c r="I81"/>
  <c r="L80"/>
  <c r="L83" s="1"/>
  <c r="L85" s="1"/>
  <c r="K80"/>
  <c r="K83" s="1"/>
  <c r="K85" s="1"/>
  <c r="J80"/>
  <c r="J83" s="1"/>
  <c r="J85" s="1"/>
  <c r="I80"/>
  <c r="L77"/>
  <c r="K77"/>
  <c r="J77"/>
  <c r="I77"/>
  <c r="L76"/>
  <c r="K76"/>
  <c r="J76"/>
  <c r="I76"/>
  <c r="I74" s="1"/>
  <c r="L75"/>
  <c r="K75"/>
  <c r="K74" s="1"/>
  <c r="J75"/>
  <c r="I75"/>
  <c r="L74"/>
  <c r="J74"/>
  <c r="U73"/>
  <c r="T73"/>
  <c r="S73"/>
  <c r="R73"/>
  <c r="Q73"/>
  <c r="P73"/>
  <c r="L73"/>
  <c r="K73"/>
  <c r="J73"/>
  <c r="L72"/>
  <c r="K72"/>
  <c r="J72"/>
  <c r="U70"/>
  <c r="T70"/>
  <c r="S70"/>
  <c r="R70"/>
  <c r="Q70"/>
  <c r="P70"/>
  <c r="O70"/>
  <c r="U69"/>
  <c r="T69"/>
  <c r="S69"/>
  <c r="R69"/>
  <c r="Q69"/>
  <c r="P69"/>
  <c r="O69"/>
  <c r="U68"/>
  <c r="T68"/>
  <c r="S68"/>
  <c r="R68"/>
  <c r="Q68"/>
  <c r="P68"/>
  <c r="O68"/>
  <c r="U67"/>
  <c r="T67"/>
  <c r="S67"/>
  <c r="R67"/>
  <c r="Q67"/>
  <c r="P67"/>
  <c r="O67"/>
  <c r="U66"/>
  <c r="T66"/>
  <c r="T63" s="1"/>
  <c r="S66"/>
  <c r="R66"/>
  <c r="Q66"/>
  <c r="P66"/>
  <c r="P63" s="1"/>
  <c r="O66"/>
  <c r="U65"/>
  <c r="T65"/>
  <c r="S65"/>
  <c r="S63" s="1"/>
  <c r="R65"/>
  <c r="Q65"/>
  <c r="P65"/>
  <c r="O65"/>
  <c r="U64"/>
  <c r="T64"/>
  <c r="S64"/>
  <c r="R64"/>
  <c r="R63" s="1"/>
  <c r="Q64"/>
  <c r="P64"/>
  <c r="O64"/>
  <c r="U63"/>
  <c r="Q63"/>
  <c r="L63"/>
  <c r="K63"/>
  <c r="J63"/>
  <c r="I63"/>
  <c r="L61"/>
  <c r="K61"/>
  <c r="J61"/>
  <c r="I61"/>
  <c r="U60"/>
  <c r="T60"/>
  <c r="S60"/>
  <c r="R60"/>
  <c r="Q60"/>
  <c r="P60"/>
  <c r="O60"/>
  <c r="L60"/>
  <c r="K60"/>
  <c r="J60"/>
  <c r="I60"/>
  <c r="U59"/>
  <c r="T59"/>
  <c r="S59"/>
  <c r="R59"/>
  <c r="Q59"/>
  <c r="P59"/>
  <c r="O59"/>
  <c r="L59"/>
  <c r="K59"/>
  <c r="J59"/>
  <c r="I59"/>
  <c r="U58"/>
  <c r="T58"/>
  <c r="S58"/>
  <c r="R58"/>
  <c r="Q58"/>
  <c r="P58"/>
  <c r="O58"/>
  <c r="U57"/>
  <c r="T57"/>
  <c r="S57"/>
  <c r="R57"/>
  <c r="Q57"/>
  <c r="P57"/>
  <c r="O57"/>
  <c r="U56"/>
  <c r="T56"/>
  <c r="S56"/>
  <c r="R56"/>
  <c r="Q56"/>
  <c r="P56"/>
  <c r="O56"/>
  <c r="U55"/>
  <c r="T55"/>
  <c r="S55"/>
  <c r="R55"/>
  <c r="Q55"/>
  <c r="P55"/>
  <c r="O55"/>
  <c r="U54"/>
  <c r="T54"/>
  <c r="S54"/>
  <c r="R54"/>
  <c r="R61" s="1"/>
  <c r="Q54"/>
  <c r="P54"/>
  <c r="O54"/>
  <c r="L54"/>
  <c r="K54"/>
  <c r="J54"/>
  <c r="U53"/>
  <c r="T53"/>
  <c r="S53"/>
  <c r="R53"/>
  <c r="Q53"/>
  <c r="P53"/>
  <c r="O53"/>
  <c r="L53"/>
  <c r="K53"/>
  <c r="J53"/>
  <c r="I53"/>
  <c r="U52"/>
  <c r="U61" s="1"/>
  <c r="T52"/>
  <c r="T61" s="1"/>
  <c r="S52"/>
  <c r="S61" s="1"/>
  <c r="R52"/>
  <c r="Q52"/>
  <c r="Q61" s="1"/>
  <c r="P52"/>
  <c r="P61" s="1"/>
  <c r="O52"/>
  <c r="L52"/>
  <c r="K52"/>
  <c r="J52"/>
  <c r="I52"/>
  <c r="L51"/>
  <c r="K51"/>
  <c r="J51"/>
  <c r="I51"/>
  <c r="U50"/>
  <c r="T50"/>
  <c r="S50"/>
  <c r="R50"/>
  <c r="Q50"/>
  <c r="P50"/>
  <c r="O50"/>
  <c r="L50"/>
  <c r="K50"/>
  <c r="J50"/>
  <c r="I50"/>
  <c r="U49"/>
  <c r="T49"/>
  <c r="S49"/>
  <c r="R49"/>
  <c r="Q49"/>
  <c r="P49"/>
  <c r="O49"/>
  <c r="L49"/>
  <c r="K49"/>
  <c r="J49"/>
  <c r="I49"/>
  <c r="Z48"/>
  <c r="Y48"/>
  <c r="X48"/>
  <c r="U48"/>
  <c r="T48"/>
  <c r="S48"/>
  <c r="R48"/>
  <c r="Q48"/>
  <c r="P48"/>
  <c r="O48"/>
  <c r="L48"/>
  <c r="K48"/>
  <c r="J48"/>
  <c r="I48"/>
  <c r="U47"/>
  <c r="T47"/>
  <c r="S47"/>
  <c r="R47"/>
  <c r="Q47"/>
  <c r="P47"/>
  <c r="O47"/>
  <c r="J47"/>
  <c r="U46"/>
  <c r="T46"/>
  <c r="S46"/>
  <c r="R46"/>
  <c r="Q46"/>
  <c r="P46"/>
  <c r="O46"/>
  <c r="L46"/>
  <c r="L47" s="1"/>
  <c r="K46"/>
  <c r="K47" s="1"/>
  <c r="J46"/>
  <c r="I46"/>
  <c r="I47" s="1"/>
  <c r="Z45"/>
  <c r="Y45"/>
  <c r="X45"/>
  <c r="U45"/>
  <c r="T45"/>
  <c r="S45"/>
  <c r="R45"/>
  <c r="Q45"/>
  <c r="P45"/>
  <c r="O45"/>
  <c r="Z44"/>
  <c r="Y44"/>
  <c r="X44"/>
  <c r="X46" s="1"/>
  <c r="U44"/>
  <c r="T44"/>
  <c r="S44"/>
  <c r="R44"/>
  <c r="R51" s="1"/>
  <c r="Q44"/>
  <c r="P44"/>
  <c r="O44"/>
  <c r="U43"/>
  <c r="T43"/>
  <c r="S43"/>
  <c r="R43"/>
  <c r="Q43"/>
  <c r="P43"/>
  <c r="O43"/>
  <c r="L43"/>
  <c r="K43"/>
  <c r="J43"/>
  <c r="I43"/>
  <c r="U42"/>
  <c r="U51" s="1"/>
  <c r="T42"/>
  <c r="T51" s="1"/>
  <c r="S42"/>
  <c r="S51" s="1"/>
  <c r="R42"/>
  <c r="Q42"/>
  <c r="Q51" s="1"/>
  <c r="P42"/>
  <c r="P51" s="1"/>
  <c r="O42"/>
  <c r="L42"/>
  <c r="K42"/>
  <c r="J42"/>
  <c r="L41"/>
  <c r="K41"/>
  <c r="J41"/>
  <c r="X40"/>
  <c r="X42" s="1"/>
  <c r="L40"/>
  <c r="K40"/>
  <c r="J40"/>
  <c r="Z39"/>
  <c r="Y39"/>
  <c r="X39"/>
  <c r="W39"/>
  <c r="L39"/>
  <c r="K39"/>
  <c r="J39"/>
  <c r="Y38"/>
  <c r="Y47" s="1"/>
  <c r="L38"/>
  <c r="K38"/>
  <c r="J38"/>
  <c r="I38"/>
  <c r="Z37"/>
  <c r="Y37"/>
  <c r="X37"/>
  <c r="W37"/>
  <c r="U37"/>
  <c r="T37"/>
  <c r="S37"/>
  <c r="R37"/>
  <c r="Q37"/>
  <c r="P37"/>
  <c r="O37"/>
  <c r="L37"/>
  <c r="Z36"/>
  <c r="Z40" s="1"/>
  <c r="Z42" s="1"/>
  <c r="Y36"/>
  <c r="Y40" s="1"/>
  <c r="Y42" s="1"/>
  <c r="X36"/>
  <c r="X38" s="1"/>
  <c r="W36"/>
  <c r="W38" s="1"/>
  <c r="U36"/>
  <c r="T36"/>
  <c r="S36"/>
  <c r="R36"/>
  <c r="Q36"/>
  <c r="P36"/>
  <c r="O36"/>
  <c r="L36"/>
  <c r="K36"/>
  <c r="J36"/>
  <c r="I36"/>
  <c r="U35"/>
  <c r="T35"/>
  <c r="S35"/>
  <c r="R35"/>
  <c r="Q35"/>
  <c r="P35"/>
  <c r="O35"/>
  <c r="L35"/>
  <c r="K35"/>
  <c r="J35"/>
  <c r="I35"/>
  <c r="U34"/>
  <c r="T34"/>
  <c r="S34"/>
  <c r="R34"/>
  <c r="Q34"/>
  <c r="P34"/>
  <c r="O34"/>
  <c r="L34"/>
  <c r="K34"/>
  <c r="K37" s="1"/>
  <c r="J34"/>
  <c r="J37" s="1"/>
  <c r="I34"/>
  <c r="I37" s="1"/>
  <c r="U33"/>
  <c r="T33"/>
  <c r="S33"/>
  <c r="R33"/>
  <c r="Q33"/>
  <c r="P33"/>
  <c r="O33"/>
  <c r="U32"/>
  <c r="T32"/>
  <c r="S32"/>
  <c r="R32"/>
  <c r="Q32"/>
  <c r="P32"/>
  <c r="O32"/>
  <c r="Y31"/>
  <c r="Y32" s="1"/>
  <c r="Y33" s="1"/>
  <c r="U31"/>
  <c r="U38" s="1"/>
  <c r="T31"/>
  <c r="T38" s="1"/>
  <c r="S31"/>
  <c r="S38" s="1"/>
  <c r="R31"/>
  <c r="R38" s="1"/>
  <c r="Q31"/>
  <c r="Q38" s="1"/>
  <c r="P31"/>
  <c r="P38" s="1"/>
  <c r="O31"/>
  <c r="L31"/>
  <c r="L62" s="1"/>
  <c r="K31"/>
  <c r="K62" s="1"/>
  <c r="J31"/>
  <c r="J62" s="1"/>
  <c r="I31"/>
  <c r="L30"/>
  <c r="K30"/>
  <c r="J30"/>
  <c r="I30"/>
  <c r="Z29"/>
  <c r="Y29"/>
  <c r="X29"/>
  <c r="W29"/>
  <c r="U29"/>
  <c r="T29"/>
  <c r="S29"/>
  <c r="R29"/>
  <c r="Q29"/>
  <c r="P29"/>
  <c r="O29"/>
  <c r="L29"/>
  <c r="K29"/>
  <c r="J29"/>
  <c r="I29"/>
  <c r="Z28"/>
  <c r="Y28"/>
  <c r="X28"/>
  <c r="W28"/>
  <c r="U28"/>
  <c r="T28"/>
  <c r="S28"/>
  <c r="R28"/>
  <c r="Q28"/>
  <c r="P28"/>
  <c r="O28"/>
  <c r="L28"/>
  <c r="K28"/>
  <c r="J28"/>
  <c r="I28"/>
  <c r="U27"/>
  <c r="U71" s="1"/>
  <c r="T27"/>
  <c r="T71" s="1"/>
  <c r="S27"/>
  <c r="S30" s="1"/>
  <c r="S77" s="1"/>
  <c r="R27"/>
  <c r="Q27"/>
  <c r="Q71" s="1"/>
  <c r="P27"/>
  <c r="P71" s="1"/>
  <c r="O27"/>
  <c r="L27"/>
  <c r="K27"/>
  <c r="J27"/>
  <c r="I27"/>
  <c r="Z26"/>
  <c r="Z31" s="1"/>
  <c r="Z32" s="1"/>
  <c r="Y26"/>
  <c r="X26"/>
  <c r="X31" s="1"/>
  <c r="X32" s="1"/>
  <c r="X33" s="1"/>
  <c r="W26"/>
  <c r="W31" s="1"/>
  <c r="W32" s="1"/>
  <c r="W33" s="1"/>
  <c r="U26"/>
  <c r="T26"/>
  <c r="S26"/>
  <c r="R26"/>
  <c r="R71" s="1"/>
  <c r="Q26"/>
  <c r="P26"/>
  <c r="O26"/>
  <c r="L26"/>
  <c r="K26"/>
  <c r="J26"/>
  <c r="I26"/>
  <c r="Z25"/>
  <c r="L87" s="1"/>
  <c r="Y25"/>
  <c r="X25"/>
  <c r="J87" s="1"/>
  <c r="W25"/>
  <c r="U25"/>
  <c r="U30" s="1"/>
  <c r="U77" s="1"/>
  <c r="U78" s="1"/>
  <c r="T25"/>
  <c r="T30" s="1"/>
  <c r="T77" s="1"/>
  <c r="S25"/>
  <c r="R25"/>
  <c r="R30" s="1"/>
  <c r="R77" s="1"/>
  <c r="R78" s="1"/>
  <c r="Q25"/>
  <c r="Q30" s="1"/>
  <c r="Q77" s="1"/>
  <c r="Q78" s="1"/>
  <c r="P25"/>
  <c r="P30" s="1"/>
  <c r="P77" s="1"/>
  <c r="O25"/>
  <c r="L25"/>
  <c r="K25"/>
  <c r="J25"/>
  <c r="I25"/>
  <c r="Z24"/>
  <c r="L86" s="1"/>
  <c r="Y24"/>
  <c r="K86" s="1"/>
  <c r="X24"/>
  <c r="W24"/>
  <c r="L24"/>
  <c r="K24"/>
  <c r="J24"/>
  <c r="I24"/>
  <c r="Y23"/>
  <c r="X23"/>
  <c r="W23"/>
  <c r="Z20"/>
  <c r="Y20"/>
  <c r="X20"/>
  <c r="W20"/>
  <c r="V19"/>
  <c r="L90" i="60"/>
  <c r="K90"/>
  <c r="J90"/>
  <c r="L89"/>
  <c r="K89"/>
  <c r="J89"/>
  <c r="L84"/>
  <c r="K84"/>
  <c r="J84"/>
  <c r="I84"/>
  <c r="L83"/>
  <c r="L85" s="1"/>
  <c r="I83"/>
  <c r="I85" s="1"/>
  <c r="L82"/>
  <c r="K82"/>
  <c r="J82"/>
  <c r="I82"/>
  <c r="L81"/>
  <c r="K81"/>
  <c r="J81"/>
  <c r="I81"/>
  <c r="L80"/>
  <c r="K80"/>
  <c r="K83" s="1"/>
  <c r="K85" s="1"/>
  <c r="J80"/>
  <c r="J83" s="1"/>
  <c r="J85" s="1"/>
  <c r="I80"/>
  <c r="L77"/>
  <c r="K77"/>
  <c r="J77"/>
  <c r="I77"/>
  <c r="L76"/>
  <c r="L74" s="1"/>
  <c r="K76"/>
  <c r="J76"/>
  <c r="I76"/>
  <c r="I74" s="1"/>
  <c r="L75"/>
  <c r="K75"/>
  <c r="J75"/>
  <c r="I75"/>
  <c r="K74"/>
  <c r="J74"/>
  <c r="U73"/>
  <c r="T73"/>
  <c r="S73"/>
  <c r="R73"/>
  <c r="Q73"/>
  <c r="P73"/>
  <c r="L73"/>
  <c r="K73"/>
  <c r="J73"/>
  <c r="L72"/>
  <c r="K72"/>
  <c r="J72"/>
  <c r="U70"/>
  <c r="T70"/>
  <c r="S70"/>
  <c r="R70"/>
  <c r="Q70"/>
  <c r="P70"/>
  <c r="O70"/>
  <c r="U69"/>
  <c r="T69"/>
  <c r="S69"/>
  <c r="R69"/>
  <c r="Q69"/>
  <c r="P69"/>
  <c r="O69"/>
  <c r="U68"/>
  <c r="T68"/>
  <c r="S68"/>
  <c r="R68"/>
  <c r="Q68"/>
  <c r="P68"/>
  <c r="O68"/>
  <c r="U67"/>
  <c r="T67"/>
  <c r="S67"/>
  <c r="R67"/>
  <c r="Q67"/>
  <c r="P67"/>
  <c r="O67"/>
  <c r="U66"/>
  <c r="T66"/>
  <c r="S66"/>
  <c r="R66"/>
  <c r="Q66"/>
  <c r="P66"/>
  <c r="O66"/>
  <c r="U65"/>
  <c r="T65"/>
  <c r="S65"/>
  <c r="S63" s="1"/>
  <c r="S79" s="1"/>
  <c r="R65"/>
  <c r="Q65"/>
  <c r="P65"/>
  <c r="O65"/>
  <c r="U64"/>
  <c r="T64"/>
  <c r="T63" s="1"/>
  <c r="S64"/>
  <c r="R64"/>
  <c r="R63" s="1"/>
  <c r="R79" s="1"/>
  <c r="R80" s="1"/>
  <c r="Q64"/>
  <c r="P64"/>
  <c r="P63" s="1"/>
  <c r="O64"/>
  <c r="U63"/>
  <c r="Q63"/>
  <c r="L63"/>
  <c r="K63"/>
  <c r="J63"/>
  <c r="I63"/>
  <c r="L61"/>
  <c r="K61"/>
  <c r="J61"/>
  <c r="I61"/>
  <c r="U60"/>
  <c r="T60"/>
  <c r="S60"/>
  <c r="R60"/>
  <c r="Q60"/>
  <c r="P60"/>
  <c r="O60"/>
  <c r="L60"/>
  <c r="K60"/>
  <c r="J60"/>
  <c r="I60"/>
  <c r="U59"/>
  <c r="T59"/>
  <c r="S59"/>
  <c r="R59"/>
  <c r="Q59"/>
  <c r="P59"/>
  <c r="O59"/>
  <c r="L59"/>
  <c r="K59"/>
  <c r="J59"/>
  <c r="I59"/>
  <c r="U58"/>
  <c r="T58"/>
  <c r="S58"/>
  <c r="R58"/>
  <c r="Q58"/>
  <c r="P58"/>
  <c r="O58"/>
  <c r="U57"/>
  <c r="T57"/>
  <c r="S57"/>
  <c r="R57"/>
  <c r="Q57"/>
  <c r="P57"/>
  <c r="O57"/>
  <c r="U56"/>
  <c r="T56"/>
  <c r="S56"/>
  <c r="R56"/>
  <c r="Q56"/>
  <c r="P56"/>
  <c r="O56"/>
  <c r="U55"/>
  <c r="T55"/>
  <c r="S55"/>
  <c r="R55"/>
  <c r="Q55"/>
  <c r="P55"/>
  <c r="O55"/>
  <c r="U54"/>
  <c r="T54"/>
  <c r="S54"/>
  <c r="R54"/>
  <c r="R61" s="1"/>
  <c r="Q54"/>
  <c r="P54"/>
  <c r="O54"/>
  <c r="L54"/>
  <c r="K54"/>
  <c r="J54"/>
  <c r="U53"/>
  <c r="T53"/>
  <c r="T61" s="1"/>
  <c r="S53"/>
  <c r="R53"/>
  <c r="Q53"/>
  <c r="P53"/>
  <c r="P61" s="1"/>
  <c r="O53"/>
  <c r="L53"/>
  <c r="K53"/>
  <c r="J53"/>
  <c r="I53"/>
  <c r="U52"/>
  <c r="U61" s="1"/>
  <c r="T52"/>
  <c r="S52"/>
  <c r="S61" s="1"/>
  <c r="R52"/>
  <c r="Q52"/>
  <c r="Q61" s="1"/>
  <c r="P52"/>
  <c r="O52"/>
  <c r="L52"/>
  <c r="K52"/>
  <c r="J52"/>
  <c r="I52"/>
  <c r="L51"/>
  <c r="K51"/>
  <c r="J51"/>
  <c r="I51"/>
  <c r="U50"/>
  <c r="T50"/>
  <c r="S50"/>
  <c r="R50"/>
  <c r="Q50"/>
  <c r="P50"/>
  <c r="O50"/>
  <c r="L50"/>
  <c r="K50"/>
  <c r="J50"/>
  <c r="I50"/>
  <c r="U49"/>
  <c r="T49"/>
  <c r="S49"/>
  <c r="R49"/>
  <c r="Q49"/>
  <c r="P49"/>
  <c r="O49"/>
  <c r="L49"/>
  <c r="K49"/>
  <c r="J49"/>
  <c r="I49"/>
  <c r="Z48"/>
  <c r="Y48"/>
  <c r="X48"/>
  <c r="U48"/>
  <c r="T48"/>
  <c r="S48"/>
  <c r="R48"/>
  <c r="Q48"/>
  <c r="P48"/>
  <c r="O48"/>
  <c r="L48"/>
  <c r="K48"/>
  <c r="J48"/>
  <c r="I48"/>
  <c r="U47"/>
  <c r="T47"/>
  <c r="S47"/>
  <c r="R47"/>
  <c r="Q47"/>
  <c r="P47"/>
  <c r="O47"/>
  <c r="J47"/>
  <c r="U46"/>
  <c r="T46"/>
  <c r="S46"/>
  <c r="R46"/>
  <c r="Q46"/>
  <c r="P46"/>
  <c r="O46"/>
  <c r="L46"/>
  <c r="L47" s="1"/>
  <c r="K46"/>
  <c r="K47" s="1"/>
  <c r="J46"/>
  <c r="I46"/>
  <c r="I47" s="1"/>
  <c r="Z45"/>
  <c r="Y45"/>
  <c r="X45"/>
  <c r="U45"/>
  <c r="T45"/>
  <c r="S45"/>
  <c r="R45"/>
  <c r="Q45"/>
  <c r="P45"/>
  <c r="O45"/>
  <c r="Z44"/>
  <c r="Y44"/>
  <c r="X44"/>
  <c r="X46" s="1"/>
  <c r="U44"/>
  <c r="T44"/>
  <c r="T51" s="1"/>
  <c r="S44"/>
  <c r="R44"/>
  <c r="R51" s="1"/>
  <c r="Q44"/>
  <c r="P44"/>
  <c r="P51" s="1"/>
  <c r="O44"/>
  <c r="U43"/>
  <c r="T43"/>
  <c r="S43"/>
  <c r="R43"/>
  <c r="Q43"/>
  <c r="P43"/>
  <c r="O43"/>
  <c r="L43"/>
  <c r="K43"/>
  <c r="J43"/>
  <c r="I43"/>
  <c r="U42"/>
  <c r="U51" s="1"/>
  <c r="T42"/>
  <c r="S42"/>
  <c r="S51" s="1"/>
  <c r="R42"/>
  <c r="Q42"/>
  <c r="Q51" s="1"/>
  <c r="P42"/>
  <c r="O42"/>
  <c r="L42"/>
  <c r="K42"/>
  <c r="J42"/>
  <c r="L41"/>
  <c r="K41"/>
  <c r="J41"/>
  <c r="X40"/>
  <c r="X42" s="1"/>
  <c r="L40"/>
  <c r="K40"/>
  <c r="J40"/>
  <c r="Z39"/>
  <c r="Y39"/>
  <c r="X39"/>
  <c r="W39"/>
  <c r="L39"/>
  <c r="K39"/>
  <c r="J39"/>
  <c r="Y38"/>
  <c r="Y47" s="1"/>
  <c r="L38"/>
  <c r="K38"/>
  <c r="J38"/>
  <c r="I38"/>
  <c r="Z37"/>
  <c r="Y37"/>
  <c r="X37"/>
  <c r="W37"/>
  <c r="W38" s="1"/>
  <c r="U37"/>
  <c r="T37"/>
  <c r="S37"/>
  <c r="R37"/>
  <c r="Q37"/>
  <c r="P37"/>
  <c r="O37"/>
  <c r="L37"/>
  <c r="J37"/>
  <c r="Z36"/>
  <c r="Z38" s="1"/>
  <c r="Y36"/>
  <c r="Y40" s="1"/>
  <c r="Y42" s="1"/>
  <c r="X36"/>
  <c r="X38" s="1"/>
  <c r="W36"/>
  <c r="U36"/>
  <c r="T36"/>
  <c r="S36"/>
  <c r="R36"/>
  <c r="Q36"/>
  <c r="P36"/>
  <c r="O36"/>
  <c r="L36"/>
  <c r="K36"/>
  <c r="J36"/>
  <c r="I36"/>
  <c r="U35"/>
  <c r="T35"/>
  <c r="S35"/>
  <c r="R35"/>
  <c r="Q35"/>
  <c r="P35"/>
  <c r="O35"/>
  <c r="L35"/>
  <c r="K35"/>
  <c r="J35"/>
  <c r="I35"/>
  <c r="U34"/>
  <c r="T34"/>
  <c r="S34"/>
  <c r="R34"/>
  <c r="Q34"/>
  <c r="P34"/>
  <c r="O34"/>
  <c r="L34"/>
  <c r="K34"/>
  <c r="K37" s="1"/>
  <c r="J34"/>
  <c r="I34"/>
  <c r="I37" s="1"/>
  <c r="U33"/>
  <c r="T33"/>
  <c r="S33"/>
  <c r="R33"/>
  <c r="Q33"/>
  <c r="P33"/>
  <c r="O33"/>
  <c r="U32"/>
  <c r="T32"/>
  <c r="S32"/>
  <c r="R32"/>
  <c r="Q32"/>
  <c r="P32"/>
  <c r="O32"/>
  <c r="Y31"/>
  <c r="Y32" s="1"/>
  <c r="Y33" s="1"/>
  <c r="U31"/>
  <c r="U38" s="1"/>
  <c r="T31"/>
  <c r="T38" s="1"/>
  <c r="S31"/>
  <c r="S38" s="1"/>
  <c r="R31"/>
  <c r="R38" s="1"/>
  <c r="Q31"/>
  <c r="Q38" s="1"/>
  <c r="P31"/>
  <c r="P38" s="1"/>
  <c r="O31"/>
  <c r="L31"/>
  <c r="L62" s="1"/>
  <c r="K31"/>
  <c r="K62" s="1"/>
  <c r="J31"/>
  <c r="J62" s="1"/>
  <c r="I31"/>
  <c r="L30"/>
  <c r="K30"/>
  <c r="J30"/>
  <c r="I30"/>
  <c r="Z29"/>
  <c r="Y29"/>
  <c r="X29"/>
  <c r="W29"/>
  <c r="U29"/>
  <c r="T29"/>
  <c r="S29"/>
  <c r="R29"/>
  <c r="Q29"/>
  <c r="P29"/>
  <c r="O29"/>
  <c r="L29"/>
  <c r="K29"/>
  <c r="J29"/>
  <c r="I29"/>
  <c r="Z28"/>
  <c r="Y28"/>
  <c r="X28"/>
  <c r="W28"/>
  <c r="U28"/>
  <c r="T28"/>
  <c r="S28"/>
  <c r="R28"/>
  <c r="Q28"/>
  <c r="P28"/>
  <c r="O28"/>
  <c r="L28"/>
  <c r="K28"/>
  <c r="J28"/>
  <c r="I28"/>
  <c r="U27"/>
  <c r="U71" s="1"/>
  <c r="T27"/>
  <c r="T71" s="1"/>
  <c r="S27"/>
  <c r="S30" s="1"/>
  <c r="R27"/>
  <c r="Q27"/>
  <c r="Q71" s="1"/>
  <c r="P27"/>
  <c r="P71" s="1"/>
  <c r="O27"/>
  <c r="L27"/>
  <c r="K27"/>
  <c r="J27"/>
  <c r="I27"/>
  <c r="Z26"/>
  <c r="Z31" s="1"/>
  <c r="Z32" s="1"/>
  <c r="Y26"/>
  <c r="X26"/>
  <c r="X31" s="1"/>
  <c r="X32" s="1"/>
  <c r="W26"/>
  <c r="W31" s="1"/>
  <c r="W32" s="1"/>
  <c r="W33" s="1"/>
  <c r="U26"/>
  <c r="T26"/>
  <c r="S26"/>
  <c r="R26"/>
  <c r="R71" s="1"/>
  <c r="Q26"/>
  <c r="P26"/>
  <c r="O26"/>
  <c r="L26"/>
  <c r="K26"/>
  <c r="J26"/>
  <c r="I26"/>
  <c r="Z25"/>
  <c r="L87" s="1"/>
  <c r="Y25"/>
  <c r="X25"/>
  <c r="J87" s="1"/>
  <c r="W25"/>
  <c r="U25"/>
  <c r="U30" s="1"/>
  <c r="T25"/>
  <c r="T30" s="1"/>
  <c r="T77" s="1"/>
  <c r="S25"/>
  <c r="R25"/>
  <c r="R30" s="1"/>
  <c r="R77" s="1"/>
  <c r="Q25"/>
  <c r="Q30" s="1"/>
  <c r="P25"/>
  <c r="P30" s="1"/>
  <c r="P77" s="1"/>
  <c r="O25"/>
  <c r="L25"/>
  <c r="K25"/>
  <c r="J25"/>
  <c r="I25"/>
  <c r="Z24"/>
  <c r="L86" s="1"/>
  <c r="Y24"/>
  <c r="K86" s="1"/>
  <c r="X24"/>
  <c r="W24"/>
  <c r="J86" s="1"/>
  <c r="L24"/>
  <c r="K24"/>
  <c r="J24"/>
  <c r="I24"/>
  <c r="Y23"/>
  <c r="W23"/>
  <c r="Z20"/>
  <c r="Y20"/>
  <c r="X20"/>
  <c r="W20"/>
  <c r="V19"/>
  <c r="E92" i="57"/>
  <c r="J84" s="1"/>
  <c r="F92"/>
  <c r="Y37" s="1"/>
  <c r="G92"/>
  <c r="L84" s="1"/>
  <c r="D92"/>
  <c r="D89"/>
  <c r="W39" s="1"/>
  <c r="E89"/>
  <c r="F89"/>
  <c r="Y39" s="1"/>
  <c r="G89"/>
  <c r="L90" s="1"/>
  <c r="D90"/>
  <c r="E90"/>
  <c r="F90"/>
  <c r="G90"/>
  <c r="E88"/>
  <c r="F88"/>
  <c r="G88"/>
  <c r="D88"/>
  <c r="D80"/>
  <c r="E80"/>
  <c r="F80"/>
  <c r="G80"/>
  <c r="D81"/>
  <c r="E81"/>
  <c r="F81"/>
  <c r="G81"/>
  <c r="D82"/>
  <c r="E82"/>
  <c r="F82"/>
  <c r="G82"/>
  <c r="D83"/>
  <c r="E83"/>
  <c r="F83"/>
  <c r="G83"/>
  <c r="D84"/>
  <c r="E84"/>
  <c r="F84"/>
  <c r="G84"/>
  <c r="D85"/>
  <c r="E85"/>
  <c r="F85"/>
  <c r="G85"/>
  <c r="D86"/>
  <c r="E86"/>
  <c r="F86"/>
  <c r="G86"/>
  <c r="E79"/>
  <c r="F79"/>
  <c r="G79"/>
  <c r="D79"/>
  <c r="D76"/>
  <c r="E76"/>
  <c r="F76"/>
  <c r="G76"/>
  <c r="D77"/>
  <c r="I29" s="1"/>
  <c r="E77"/>
  <c r="F77"/>
  <c r="G77"/>
  <c r="E75"/>
  <c r="F75"/>
  <c r="G75"/>
  <c r="D75"/>
  <c r="D65"/>
  <c r="E65"/>
  <c r="F65"/>
  <c r="U65" s="1"/>
  <c r="G65"/>
  <c r="T65" s="1"/>
  <c r="D66"/>
  <c r="E66"/>
  <c r="F66"/>
  <c r="G66"/>
  <c r="U66" s="1"/>
  <c r="D67"/>
  <c r="E67"/>
  <c r="F67"/>
  <c r="G67"/>
  <c r="D68"/>
  <c r="E68"/>
  <c r="F68"/>
  <c r="G68"/>
  <c r="D69"/>
  <c r="O69" s="1"/>
  <c r="E69"/>
  <c r="F69"/>
  <c r="U69" s="1"/>
  <c r="G69"/>
  <c r="T69" s="1"/>
  <c r="D70"/>
  <c r="E70"/>
  <c r="F70"/>
  <c r="G70"/>
  <c r="U70" s="1"/>
  <c r="E64"/>
  <c r="F64"/>
  <c r="G64"/>
  <c r="D64"/>
  <c r="D53"/>
  <c r="E53"/>
  <c r="F53"/>
  <c r="U53" s="1"/>
  <c r="G53"/>
  <c r="T53" s="1"/>
  <c r="D54"/>
  <c r="P54" s="1"/>
  <c r="E54"/>
  <c r="F54"/>
  <c r="G54"/>
  <c r="D55"/>
  <c r="Q55" s="1"/>
  <c r="E55"/>
  <c r="F55"/>
  <c r="G55"/>
  <c r="D56"/>
  <c r="E56"/>
  <c r="F56"/>
  <c r="U56" s="1"/>
  <c r="G56"/>
  <c r="T56" s="1"/>
  <c r="D57"/>
  <c r="E57"/>
  <c r="F57"/>
  <c r="G57"/>
  <c r="U57" s="1"/>
  <c r="D58"/>
  <c r="E58"/>
  <c r="F58"/>
  <c r="G58"/>
  <c r="D59"/>
  <c r="E59"/>
  <c r="F59"/>
  <c r="G59"/>
  <c r="D60"/>
  <c r="E60"/>
  <c r="F60"/>
  <c r="U60" s="1"/>
  <c r="G60"/>
  <c r="T60" s="1"/>
  <c r="E52"/>
  <c r="F52"/>
  <c r="G52"/>
  <c r="D52"/>
  <c r="D43"/>
  <c r="P43" s="1"/>
  <c r="E43"/>
  <c r="F43"/>
  <c r="G43"/>
  <c r="U43" s="1"/>
  <c r="D44"/>
  <c r="Q44" s="1"/>
  <c r="E44"/>
  <c r="F44"/>
  <c r="G44"/>
  <c r="D45"/>
  <c r="O45" s="1"/>
  <c r="E45"/>
  <c r="F45"/>
  <c r="U45" s="1"/>
  <c r="G45"/>
  <c r="T45" s="1"/>
  <c r="D46"/>
  <c r="P46" s="1"/>
  <c r="E46"/>
  <c r="F46"/>
  <c r="G46"/>
  <c r="D47"/>
  <c r="P47" s="1"/>
  <c r="E47"/>
  <c r="F47"/>
  <c r="G47"/>
  <c r="D48"/>
  <c r="E48"/>
  <c r="F48"/>
  <c r="G48"/>
  <c r="D49"/>
  <c r="O49" s="1"/>
  <c r="E49"/>
  <c r="F49"/>
  <c r="G49"/>
  <c r="U49" s="1"/>
  <c r="D50"/>
  <c r="E50"/>
  <c r="F50"/>
  <c r="G50"/>
  <c r="E42"/>
  <c r="F42"/>
  <c r="G42"/>
  <c r="D42"/>
  <c r="D32"/>
  <c r="E32"/>
  <c r="F32"/>
  <c r="G32"/>
  <c r="U32" s="1"/>
  <c r="D33"/>
  <c r="W25" s="1"/>
  <c r="E33"/>
  <c r="F33"/>
  <c r="G33"/>
  <c r="D34"/>
  <c r="E34"/>
  <c r="F34"/>
  <c r="G34"/>
  <c r="D35"/>
  <c r="E35"/>
  <c r="F35"/>
  <c r="U35" s="1"/>
  <c r="G35"/>
  <c r="T35" s="1"/>
  <c r="D36"/>
  <c r="E36"/>
  <c r="F36"/>
  <c r="G36"/>
  <c r="U36" s="1"/>
  <c r="D37"/>
  <c r="E37"/>
  <c r="F37"/>
  <c r="U37" s="1"/>
  <c r="G37"/>
  <c r="T37" s="1"/>
  <c r="E31"/>
  <c r="Q31" s="1"/>
  <c r="F31"/>
  <c r="G31"/>
  <c r="D31"/>
  <c r="D25"/>
  <c r="E25"/>
  <c r="F25"/>
  <c r="U25" s="1"/>
  <c r="G25"/>
  <c r="T25" s="1"/>
  <c r="D26"/>
  <c r="E26"/>
  <c r="F26"/>
  <c r="G26"/>
  <c r="U26" s="1"/>
  <c r="D27"/>
  <c r="I36" s="1"/>
  <c r="E27"/>
  <c r="F27"/>
  <c r="K36" s="1"/>
  <c r="G27"/>
  <c r="D28"/>
  <c r="E28"/>
  <c r="F28"/>
  <c r="G28"/>
  <c r="D29"/>
  <c r="O29" s="1"/>
  <c r="E29"/>
  <c r="F29"/>
  <c r="U29" s="1"/>
  <c r="G29"/>
  <c r="T29" s="1"/>
  <c r="E24"/>
  <c r="Q73" s="1"/>
  <c r="F24"/>
  <c r="G24"/>
  <c r="D24"/>
  <c r="J46" i="64"/>
  <c r="J61"/>
  <c r="J42"/>
  <c r="J43"/>
  <c r="J54"/>
  <c r="K82" i="57" l="1"/>
  <c r="L82"/>
  <c r="L81"/>
  <c r="K81"/>
  <c r="L29"/>
  <c r="Z39"/>
  <c r="P42"/>
  <c r="J89"/>
  <c r="Q42"/>
  <c r="Q51" s="1"/>
  <c r="O52"/>
  <c r="P52"/>
  <c r="O64"/>
  <c r="P64"/>
  <c r="Q64"/>
  <c r="J42"/>
  <c r="J72"/>
  <c r="J41"/>
  <c r="J28"/>
  <c r="R73"/>
  <c r="S73"/>
  <c r="P29"/>
  <c r="Q29"/>
  <c r="O28"/>
  <c r="P28"/>
  <c r="J73"/>
  <c r="J25"/>
  <c r="O27"/>
  <c r="P25"/>
  <c r="Q25"/>
  <c r="P37"/>
  <c r="Q37"/>
  <c r="P35"/>
  <c r="Q35"/>
  <c r="O34"/>
  <c r="P34"/>
  <c r="Y29"/>
  <c r="K89"/>
  <c r="O48"/>
  <c r="P48"/>
  <c r="P45"/>
  <c r="Q45"/>
  <c r="S52"/>
  <c r="P60"/>
  <c r="Q60"/>
  <c r="R60"/>
  <c r="O59"/>
  <c r="P59"/>
  <c r="Q59"/>
  <c r="O58"/>
  <c r="P58"/>
  <c r="P56"/>
  <c r="Q56"/>
  <c r="O55"/>
  <c r="P55"/>
  <c r="P53"/>
  <c r="Q53"/>
  <c r="S64"/>
  <c r="S63" s="1"/>
  <c r="U64"/>
  <c r="U63" s="1"/>
  <c r="U79" s="1"/>
  <c r="Q70"/>
  <c r="S70"/>
  <c r="O70"/>
  <c r="P69"/>
  <c r="Q69"/>
  <c r="R69"/>
  <c r="O68"/>
  <c r="P68"/>
  <c r="Q68"/>
  <c r="O67"/>
  <c r="P67"/>
  <c r="Q66"/>
  <c r="S66"/>
  <c r="O66"/>
  <c r="P65"/>
  <c r="Q65"/>
  <c r="R65"/>
  <c r="K42"/>
  <c r="K72"/>
  <c r="J90"/>
  <c r="X44"/>
  <c r="U71"/>
  <c r="T30"/>
  <c r="W26"/>
  <c r="I82"/>
  <c r="I81"/>
  <c r="X29"/>
  <c r="O35"/>
  <c r="S42"/>
  <c r="Q26"/>
  <c r="R31"/>
  <c r="Q36"/>
  <c r="O33"/>
  <c r="Q32"/>
  <c r="Q38" s="1"/>
  <c r="O50"/>
  <c r="Q49"/>
  <c r="O47"/>
  <c r="O46"/>
  <c r="O44"/>
  <c r="Q43"/>
  <c r="Q57"/>
  <c r="O54"/>
  <c r="J29"/>
  <c r="J82"/>
  <c r="J81"/>
  <c r="I25"/>
  <c r="S25"/>
  <c r="S26"/>
  <c r="Q28"/>
  <c r="S31"/>
  <c r="S32"/>
  <c r="Q34"/>
  <c r="P36"/>
  <c r="S37"/>
  <c r="X39"/>
  <c r="K41"/>
  <c r="R42"/>
  <c r="O43"/>
  <c r="P44"/>
  <c r="Z44"/>
  <c r="R48"/>
  <c r="Q50"/>
  <c r="R52"/>
  <c r="O53"/>
  <c r="U61"/>
  <c r="O56"/>
  <c r="P57"/>
  <c r="O65"/>
  <c r="Q67"/>
  <c r="T73"/>
  <c r="L89"/>
  <c r="U73"/>
  <c r="S28"/>
  <c r="R26"/>
  <c r="R30" s="1"/>
  <c r="U30"/>
  <c r="U31"/>
  <c r="U38" s="1"/>
  <c r="R36"/>
  <c r="S34"/>
  <c r="R33"/>
  <c r="R32"/>
  <c r="T42"/>
  <c r="R50"/>
  <c r="R49"/>
  <c r="S48"/>
  <c r="R47"/>
  <c r="R46"/>
  <c r="R44"/>
  <c r="R43"/>
  <c r="T52"/>
  <c r="S59"/>
  <c r="S61" s="1"/>
  <c r="R58"/>
  <c r="R57"/>
  <c r="S55"/>
  <c r="R54"/>
  <c r="T64"/>
  <c r="T63" s="1"/>
  <c r="R70"/>
  <c r="S68"/>
  <c r="R67"/>
  <c r="R66"/>
  <c r="K39"/>
  <c r="R25"/>
  <c r="P26"/>
  <c r="Y26"/>
  <c r="Q27"/>
  <c r="L28"/>
  <c r="S29"/>
  <c r="P31"/>
  <c r="P32"/>
  <c r="Q33"/>
  <c r="S35"/>
  <c r="O36"/>
  <c r="R37"/>
  <c r="O42"/>
  <c r="U51"/>
  <c r="U77" s="1"/>
  <c r="S45"/>
  <c r="Q48"/>
  <c r="S49"/>
  <c r="P50"/>
  <c r="Q52"/>
  <c r="Q61" s="1"/>
  <c r="O57"/>
  <c r="Q58"/>
  <c r="R59"/>
  <c r="S60"/>
  <c r="R64"/>
  <c r="R68"/>
  <c r="P70"/>
  <c r="P73"/>
  <c r="K84"/>
  <c r="K25"/>
  <c r="L87"/>
  <c r="S27"/>
  <c r="T28"/>
  <c r="K29"/>
  <c r="Z29"/>
  <c r="S33"/>
  <c r="T34"/>
  <c r="T38" s="1"/>
  <c r="Z37"/>
  <c r="L39"/>
  <c r="U42"/>
  <c r="S44"/>
  <c r="Y44"/>
  <c r="S46"/>
  <c r="S47"/>
  <c r="T48"/>
  <c r="S50"/>
  <c r="S54"/>
  <c r="T55"/>
  <c r="S58"/>
  <c r="T59"/>
  <c r="T71" s="1"/>
  <c r="S67"/>
  <c r="T68"/>
  <c r="K73"/>
  <c r="K90"/>
  <c r="Y25"/>
  <c r="K87" s="1"/>
  <c r="Z26"/>
  <c r="R27"/>
  <c r="I28"/>
  <c r="J87"/>
  <c r="S72" i="58"/>
  <c r="S75" s="1"/>
  <c r="R72"/>
  <c r="R75" s="1"/>
  <c r="R79"/>
  <c r="R80" s="1"/>
  <c r="S79"/>
  <c r="T79"/>
  <c r="Q77"/>
  <c r="Q78" s="1"/>
  <c r="U77"/>
  <c r="R77"/>
  <c r="Q79"/>
  <c r="Q80" s="1"/>
  <c r="U79"/>
  <c r="U80" s="1"/>
  <c r="P79"/>
  <c r="P77"/>
  <c r="T77"/>
  <c r="T78" s="1"/>
  <c r="S30"/>
  <c r="S77" s="1"/>
  <c r="S78" s="1"/>
  <c r="Q71"/>
  <c r="U71"/>
  <c r="Z23"/>
  <c r="Z33" s="1"/>
  <c r="Y46"/>
  <c r="R71"/>
  <c r="Z46"/>
  <c r="P78" i="62"/>
  <c r="N78" s="1"/>
  <c r="T78"/>
  <c r="S79"/>
  <c r="S80" s="1"/>
  <c r="U79"/>
  <c r="R79"/>
  <c r="P79"/>
  <c r="P80" s="1"/>
  <c r="N80" s="1"/>
  <c r="T79"/>
  <c r="T80" s="1"/>
  <c r="Q77"/>
  <c r="Q78" s="1"/>
  <c r="U77"/>
  <c r="U78" s="1"/>
  <c r="S78"/>
  <c r="Q79"/>
  <c r="R30"/>
  <c r="R77" s="1"/>
  <c r="R78" s="1"/>
  <c r="Q71"/>
  <c r="U71"/>
  <c r="Z23"/>
  <c r="Z33" s="1"/>
  <c r="Z38"/>
  <c r="Y46"/>
  <c r="Y49" s="1"/>
  <c r="Y50" s="1"/>
  <c r="S71"/>
  <c r="Y41"/>
  <c r="X41"/>
  <c r="Z46"/>
  <c r="P72" i="61"/>
  <c r="P75" s="1"/>
  <c r="Q72"/>
  <c r="Q75" s="1"/>
  <c r="U72"/>
  <c r="U75" s="1"/>
  <c r="T72"/>
  <c r="T75" s="1"/>
  <c r="U79"/>
  <c r="U80" s="1"/>
  <c r="R79"/>
  <c r="R80" s="1"/>
  <c r="S79"/>
  <c r="P79"/>
  <c r="P80" s="1"/>
  <c r="N80" s="1"/>
  <c r="T79"/>
  <c r="T80" s="1"/>
  <c r="S78"/>
  <c r="K88"/>
  <c r="K91" s="1"/>
  <c r="X47"/>
  <c r="X49" s="1"/>
  <c r="X41"/>
  <c r="P82"/>
  <c r="P78"/>
  <c r="N78" s="1"/>
  <c r="Q79"/>
  <c r="L88"/>
  <c r="L91" s="1"/>
  <c r="T78"/>
  <c r="T82" s="1"/>
  <c r="J88"/>
  <c r="J91" s="1"/>
  <c r="Z23"/>
  <c r="Z33" s="1"/>
  <c r="Z38"/>
  <c r="Y46"/>
  <c r="Y49" s="1"/>
  <c r="Y50" s="1"/>
  <c r="S71"/>
  <c r="Y41"/>
  <c r="Z46"/>
  <c r="P82" i="60"/>
  <c r="Z41"/>
  <c r="P72"/>
  <c r="P75" s="1"/>
  <c r="Q72"/>
  <c r="Q75" s="1"/>
  <c r="T72"/>
  <c r="T75" s="1"/>
  <c r="U72"/>
  <c r="U75" s="1"/>
  <c r="X47"/>
  <c r="X49" s="1"/>
  <c r="X41"/>
  <c r="Q82"/>
  <c r="U82"/>
  <c r="U79"/>
  <c r="U80" s="1"/>
  <c r="S80"/>
  <c r="Q79"/>
  <c r="Q80" s="1"/>
  <c r="R78"/>
  <c r="Y49"/>
  <c r="P79"/>
  <c r="T79"/>
  <c r="Q77"/>
  <c r="Q78" s="1"/>
  <c r="U77"/>
  <c r="U78" s="1"/>
  <c r="S77"/>
  <c r="S78" s="1"/>
  <c r="J88"/>
  <c r="J91" s="1"/>
  <c r="L88"/>
  <c r="L91" s="1"/>
  <c r="Z40"/>
  <c r="Z42" s="1"/>
  <c r="Z46"/>
  <c r="Z23"/>
  <c r="Z33" s="1"/>
  <c r="Y46"/>
  <c r="S71"/>
  <c r="K87"/>
  <c r="K88" s="1"/>
  <c r="K91" s="1"/>
  <c r="X23"/>
  <c r="X33" s="1"/>
  <c r="Y41"/>
  <c r="K24" i="64"/>
  <c r="E18"/>
  <c r="F18"/>
  <c r="G18"/>
  <c r="V19"/>
  <c r="W20"/>
  <c r="X20"/>
  <c r="Y20"/>
  <c r="Z20"/>
  <c r="G23"/>
  <c r="L76" s="1"/>
  <c r="I25"/>
  <c r="J25"/>
  <c r="K25"/>
  <c r="L25"/>
  <c r="O25"/>
  <c r="P25"/>
  <c r="Q25"/>
  <c r="R25"/>
  <c r="R71" s="1"/>
  <c r="S25"/>
  <c r="S30" s="1"/>
  <c r="S77" s="1"/>
  <c r="T25"/>
  <c r="U25"/>
  <c r="W25"/>
  <c r="X25"/>
  <c r="J87" s="1"/>
  <c r="Y25"/>
  <c r="Z25"/>
  <c r="O26"/>
  <c r="P26"/>
  <c r="Q26"/>
  <c r="R26"/>
  <c r="S26"/>
  <c r="T26"/>
  <c r="U26"/>
  <c r="W26"/>
  <c r="X26"/>
  <c r="X31" s="1"/>
  <c r="X32" s="1"/>
  <c r="Y26"/>
  <c r="Z26"/>
  <c r="J27"/>
  <c r="O27"/>
  <c r="P27"/>
  <c r="P71" s="1"/>
  <c r="Q27"/>
  <c r="R27"/>
  <c r="S27"/>
  <c r="T27"/>
  <c r="T71" s="1"/>
  <c r="U27"/>
  <c r="I28"/>
  <c r="J28"/>
  <c r="K28"/>
  <c r="L28"/>
  <c r="O28"/>
  <c r="P28"/>
  <c r="Q28"/>
  <c r="Q30" s="1"/>
  <c r="R28"/>
  <c r="S28"/>
  <c r="T28"/>
  <c r="U28"/>
  <c r="U30" s="1"/>
  <c r="W28"/>
  <c r="X28"/>
  <c r="Y28"/>
  <c r="Z28"/>
  <c r="I29"/>
  <c r="J29"/>
  <c r="K29"/>
  <c r="L29"/>
  <c r="O29"/>
  <c r="P29"/>
  <c r="Q29"/>
  <c r="R29"/>
  <c r="S29"/>
  <c r="T29"/>
  <c r="U29"/>
  <c r="W29"/>
  <c r="X29"/>
  <c r="Y29"/>
  <c r="Z29"/>
  <c r="D30"/>
  <c r="I37" s="1"/>
  <c r="E30"/>
  <c r="J35" s="1"/>
  <c r="F30"/>
  <c r="F23" s="1"/>
  <c r="G30"/>
  <c r="P30"/>
  <c r="T30"/>
  <c r="O31"/>
  <c r="P31"/>
  <c r="Q31"/>
  <c r="R31"/>
  <c r="S31"/>
  <c r="T31"/>
  <c r="U31"/>
  <c r="W31"/>
  <c r="Z31"/>
  <c r="Z32" s="1"/>
  <c r="O32"/>
  <c r="P32"/>
  <c r="P38" s="1"/>
  <c r="Q32"/>
  <c r="R32"/>
  <c r="R38" s="1"/>
  <c r="S32"/>
  <c r="S38" s="1"/>
  <c r="T32"/>
  <c r="T38" s="1"/>
  <c r="U32"/>
  <c r="W32"/>
  <c r="O33"/>
  <c r="P33"/>
  <c r="Q33"/>
  <c r="R33"/>
  <c r="S33"/>
  <c r="T33"/>
  <c r="U33"/>
  <c r="J34"/>
  <c r="J37" s="1"/>
  <c r="K34"/>
  <c r="K37" s="1"/>
  <c r="O34"/>
  <c r="P34"/>
  <c r="Q34"/>
  <c r="R34"/>
  <c r="S34"/>
  <c r="T34"/>
  <c r="U34"/>
  <c r="K35"/>
  <c r="O35"/>
  <c r="P35"/>
  <c r="Q35"/>
  <c r="R35"/>
  <c r="S35"/>
  <c r="T35"/>
  <c r="U35"/>
  <c r="I36"/>
  <c r="J36"/>
  <c r="K36"/>
  <c r="L36"/>
  <c r="O36"/>
  <c r="P36"/>
  <c r="Q36"/>
  <c r="R36"/>
  <c r="S36"/>
  <c r="T36"/>
  <c r="U36"/>
  <c r="O37"/>
  <c r="P37"/>
  <c r="Q37"/>
  <c r="R37"/>
  <c r="S37"/>
  <c r="T37"/>
  <c r="U37"/>
  <c r="W37"/>
  <c r="X37"/>
  <c r="Y37"/>
  <c r="Z37"/>
  <c r="D38"/>
  <c r="E38"/>
  <c r="F38"/>
  <c r="G38"/>
  <c r="J38"/>
  <c r="K38"/>
  <c r="Q38"/>
  <c r="U38"/>
  <c r="J39"/>
  <c r="K39"/>
  <c r="L39"/>
  <c r="W39"/>
  <c r="X39"/>
  <c r="Y39"/>
  <c r="Z39"/>
  <c r="J40"/>
  <c r="K40"/>
  <c r="F41"/>
  <c r="K26" s="1"/>
  <c r="J41"/>
  <c r="K41"/>
  <c r="L41"/>
  <c r="K42"/>
  <c r="L42"/>
  <c r="O42"/>
  <c r="P42"/>
  <c r="P51" s="1"/>
  <c r="Q42"/>
  <c r="Q51" s="1"/>
  <c r="R42"/>
  <c r="R51" s="1"/>
  <c r="S42"/>
  <c r="T42"/>
  <c r="T51" s="1"/>
  <c r="T77" s="1"/>
  <c r="U42"/>
  <c r="U51" s="1"/>
  <c r="L43"/>
  <c r="O43"/>
  <c r="P43"/>
  <c r="Q43"/>
  <c r="R43"/>
  <c r="S43"/>
  <c r="T43"/>
  <c r="U43"/>
  <c r="O44"/>
  <c r="P44"/>
  <c r="Q44"/>
  <c r="R44"/>
  <c r="S44"/>
  <c r="T44"/>
  <c r="U44"/>
  <c r="X44"/>
  <c r="Y44"/>
  <c r="Z44"/>
  <c r="O45"/>
  <c r="P45"/>
  <c r="Q45"/>
  <c r="R45"/>
  <c r="S45"/>
  <c r="T45"/>
  <c r="U45"/>
  <c r="O46"/>
  <c r="P46"/>
  <c r="Q46"/>
  <c r="R46"/>
  <c r="S46"/>
  <c r="T46"/>
  <c r="U46"/>
  <c r="O47"/>
  <c r="P47"/>
  <c r="Q47"/>
  <c r="R47"/>
  <c r="S47"/>
  <c r="T47"/>
  <c r="U47"/>
  <c r="O48"/>
  <c r="P48"/>
  <c r="Q48"/>
  <c r="R48"/>
  <c r="S48"/>
  <c r="T48"/>
  <c r="U48"/>
  <c r="O49"/>
  <c r="P49"/>
  <c r="Q49"/>
  <c r="R49"/>
  <c r="S49"/>
  <c r="T49"/>
  <c r="U49"/>
  <c r="I50"/>
  <c r="J50"/>
  <c r="O50"/>
  <c r="P50"/>
  <c r="Q50"/>
  <c r="R50"/>
  <c r="S50"/>
  <c r="T50"/>
  <c r="U50"/>
  <c r="D51"/>
  <c r="I38" s="1"/>
  <c r="E51"/>
  <c r="E41" s="1"/>
  <c r="F51"/>
  <c r="G51"/>
  <c r="L34" s="1"/>
  <c r="L37" s="1"/>
  <c r="I51"/>
  <c r="J51"/>
  <c r="L51"/>
  <c r="S51"/>
  <c r="O52"/>
  <c r="P52"/>
  <c r="P61" s="1"/>
  <c r="Q52"/>
  <c r="Q61" s="1"/>
  <c r="R52"/>
  <c r="R61" s="1"/>
  <c r="S52"/>
  <c r="T52"/>
  <c r="T61" s="1"/>
  <c r="U52"/>
  <c r="U61" s="1"/>
  <c r="K53"/>
  <c r="O53"/>
  <c r="P53"/>
  <c r="Q53"/>
  <c r="R53"/>
  <c r="S53"/>
  <c r="T53"/>
  <c r="U53"/>
  <c r="O54"/>
  <c r="P54"/>
  <c r="Q54"/>
  <c r="R54"/>
  <c r="S54"/>
  <c r="T54"/>
  <c r="U54"/>
  <c r="O55"/>
  <c r="P55"/>
  <c r="Q55"/>
  <c r="R55"/>
  <c r="S55"/>
  <c r="T55"/>
  <c r="U55"/>
  <c r="O56"/>
  <c r="P56"/>
  <c r="Q56"/>
  <c r="R56"/>
  <c r="S56"/>
  <c r="T56"/>
  <c r="U56"/>
  <c r="O57"/>
  <c r="P57"/>
  <c r="Q57"/>
  <c r="R57"/>
  <c r="S57"/>
  <c r="T57"/>
  <c r="U57"/>
  <c r="O58"/>
  <c r="P58"/>
  <c r="Q58"/>
  <c r="R58"/>
  <c r="S58"/>
  <c r="T58"/>
  <c r="U58"/>
  <c r="O59"/>
  <c r="P59"/>
  <c r="Q59"/>
  <c r="R59"/>
  <c r="S59"/>
  <c r="T59"/>
  <c r="U59"/>
  <c r="O60"/>
  <c r="P60"/>
  <c r="Q60"/>
  <c r="R60"/>
  <c r="S60"/>
  <c r="T60"/>
  <c r="U60"/>
  <c r="D61"/>
  <c r="E61"/>
  <c r="F61"/>
  <c r="G61"/>
  <c r="S61"/>
  <c r="D63"/>
  <c r="I27" s="1"/>
  <c r="E63"/>
  <c r="J49" s="1"/>
  <c r="F63"/>
  <c r="G63"/>
  <c r="L50" s="1"/>
  <c r="R63"/>
  <c r="O64"/>
  <c r="P64"/>
  <c r="P63" s="1"/>
  <c r="P79" s="1"/>
  <c r="P80" s="1"/>
  <c r="N80" s="1"/>
  <c r="Q64"/>
  <c r="Q63" s="1"/>
  <c r="Q79" s="1"/>
  <c r="R64"/>
  <c r="S64"/>
  <c r="T64"/>
  <c r="T63" s="1"/>
  <c r="T79" s="1"/>
  <c r="T80" s="1"/>
  <c r="U64"/>
  <c r="U63" s="1"/>
  <c r="U79" s="1"/>
  <c r="O65"/>
  <c r="P65"/>
  <c r="Q65"/>
  <c r="R65"/>
  <c r="S65"/>
  <c r="T65"/>
  <c r="U65"/>
  <c r="O66"/>
  <c r="P66"/>
  <c r="Q66"/>
  <c r="R66"/>
  <c r="S66"/>
  <c r="T66"/>
  <c r="U66"/>
  <c r="O67"/>
  <c r="P67"/>
  <c r="Q67"/>
  <c r="R67"/>
  <c r="S67"/>
  <c r="T67"/>
  <c r="U67"/>
  <c r="O68"/>
  <c r="P68"/>
  <c r="Q68"/>
  <c r="R68"/>
  <c r="S68"/>
  <c r="T68"/>
  <c r="U68"/>
  <c r="O69"/>
  <c r="P69"/>
  <c r="Q69"/>
  <c r="R69"/>
  <c r="S69"/>
  <c r="T69"/>
  <c r="U69"/>
  <c r="O70"/>
  <c r="P70"/>
  <c r="Q70"/>
  <c r="R70"/>
  <c r="S70"/>
  <c r="T70"/>
  <c r="U70"/>
  <c r="S71"/>
  <c r="E72"/>
  <c r="J72"/>
  <c r="K72"/>
  <c r="L72"/>
  <c r="J73"/>
  <c r="K73"/>
  <c r="L73"/>
  <c r="P73"/>
  <c r="Q73"/>
  <c r="R73"/>
  <c r="S73"/>
  <c r="T73"/>
  <c r="U73"/>
  <c r="P77"/>
  <c r="D78"/>
  <c r="D87" s="1"/>
  <c r="E78"/>
  <c r="F78"/>
  <c r="F87" s="1"/>
  <c r="G78"/>
  <c r="G87" s="1"/>
  <c r="I81"/>
  <c r="J81"/>
  <c r="K81"/>
  <c r="L81"/>
  <c r="I82"/>
  <c r="J82"/>
  <c r="K82"/>
  <c r="L82"/>
  <c r="I84"/>
  <c r="J84"/>
  <c r="K84"/>
  <c r="L84"/>
  <c r="E87"/>
  <c r="K87"/>
  <c r="L87"/>
  <c r="J89"/>
  <c r="K89"/>
  <c r="L89"/>
  <c r="J90"/>
  <c r="K90"/>
  <c r="L90"/>
  <c r="E98"/>
  <c r="F98"/>
  <c r="G98"/>
  <c r="L40" s="1"/>
  <c r="E99"/>
  <c r="F99" s="1"/>
  <c r="E100"/>
  <c r="F100" s="1"/>
  <c r="G100" s="1"/>
  <c r="E101"/>
  <c r="F101"/>
  <c r="G101" s="1"/>
  <c r="D102"/>
  <c r="E102" s="1"/>
  <c r="F102" s="1"/>
  <c r="G102" s="1"/>
  <c r="E103"/>
  <c r="F103"/>
  <c r="G103"/>
  <c r="F72" i="57"/>
  <c r="U72" l="1"/>
  <c r="U75" s="1"/>
  <c r="S79"/>
  <c r="S71"/>
  <c r="T72"/>
  <c r="T75" s="1"/>
  <c r="P38"/>
  <c r="R61"/>
  <c r="P30"/>
  <c r="P63"/>
  <c r="P79" s="1"/>
  <c r="S51"/>
  <c r="R51"/>
  <c r="R77" s="1"/>
  <c r="Q71"/>
  <c r="R63"/>
  <c r="Q30"/>
  <c r="Q77" s="1"/>
  <c r="Q63"/>
  <c r="Q79" s="1"/>
  <c r="Q80" s="1"/>
  <c r="R71"/>
  <c r="T61"/>
  <c r="T79" s="1"/>
  <c r="T80" s="1"/>
  <c r="T51"/>
  <c r="T77" s="1"/>
  <c r="S38"/>
  <c r="S30"/>
  <c r="S77" s="1"/>
  <c r="R38"/>
  <c r="P71"/>
  <c r="P61"/>
  <c r="P51"/>
  <c r="S82" i="58"/>
  <c r="R82"/>
  <c r="P72"/>
  <c r="P75" s="1"/>
  <c r="Q72"/>
  <c r="Q75" s="1"/>
  <c r="U78"/>
  <c r="Q82"/>
  <c r="P80"/>
  <c r="N80" s="1"/>
  <c r="R78"/>
  <c r="T80"/>
  <c r="T72"/>
  <c r="T75" s="1"/>
  <c r="U72"/>
  <c r="U75" s="1"/>
  <c r="P82"/>
  <c r="P78"/>
  <c r="N78" s="1"/>
  <c r="S80"/>
  <c r="U82"/>
  <c r="P72" i="62"/>
  <c r="P75" s="1"/>
  <c r="Q72"/>
  <c r="Q75" s="1"/>
  <c r="S72"/>
  <c r="S75" s="1"/>
  <c r="R72"/>
  <c r="R75" s="1"/>
  <c r="T72"/>
  <c r="T75" s="1"/>
  <c r="T82" s="1"/>
  <c r="U72"/>
  <c r="U75" s="1"/>
  <c r="U82" s="1"/>
  <c r="Z41"/>
  <c r="Z47"/>
  <c r="Z49" s="1"/>
  <c r="Z50" s="1"/>
  <c r="P82"/>
  <c r="S82"/>
  <c r="Q80"/>
  <c r="Q82" s="1"/>
  <c r="U80"/>
  <c r="R80"/>
  <c r="Q82" i="61"/>
  <c r="U82"/>
  <c r="S72"/>
  <c r="S75" s="1"/>
  <c r="R72"/>
  <c r="R75" s="1"/>
  <c r="R82" s="1"/>
  <c r="Z41"/>
  <c r="Z47"/>
  <c r="Z49" s="1"/>
  <c r="Z50" s="1"/>
  <c r="Q80"/>
  <c r="S80"/>
  <c r="S82" s="1"/>
  <c r="S72" i="60"/>
  <c r="S75" s="1"/>
  <c r="S82" s="1"/>
  <c r="R72"/>
  <c r="R75" s="1"/>
  <c r="R82" s="1"/>
  <c r="Y50"/>
  <c r="P78"/>
  <c r="N78" s="1"/>
  <c r="P80"/>
  <c r="N80" s="1"/>
  <c r="T78"/>
  <c r="T82" s="1"/>
  <c r="Z47"/>
  <c r="Z49" s="1"/>
  <c r="Z50" s="1"/>
  <c r="T80"/>
  <c r="T78" i="64"/>
  <c r="G99"/>
  <c r="Z45" s="1"/>
  <c r="Y45"/>
  <c r="J31"/>
  <c r="X48"/>
  <c r="J60"/>
  <c r="J30"/>
  <c r="X36"/>
  <c r="J59"/>
  <c r="K30"/>
  <c r="Y36"/>
  <c r="K54"/>
  <c r="K59"/>
  <c r="K80"/>
  <c r="K83" s="1"/>
  <c r="K85" s="1"/>
  <c r="F91"/>
  <c r="F93" s="1"/>
  <c r="K31"/>
  <c r="Y48"/>
  <c r="K60"/>
  <c r="L30"/>
  <c r="Z36"/>
  <c r="L54"/>
  <c r="L59"/>
  <c r="L80"/>
  <c r="L83" s="1"/>
  <c r="L85" s="1"/>
  <c r="G91"/>
  <c r="G93" s="1"/>
  <c r="L31"/>
  <c r="L62" s="1"/>
  <c r="Z48"/>
  <c r="L60"/>
  <c r="S72"/>
  <c r="S75" s="1"/>
  <c r="R72"/>
  <c r="R75" s="1"/>
  <c r="J53"/>
  <c r="E71"/>
  <c r="J26"/>
  <c r="J52"/>
  <c r="I59"/>
  <c r="I80"/>
  <c r="I83" s="1"/>
  <c r="I85" s="1"/>
  <c r="D91"/>
  <c r="D93" s="1"/>
  <c r="I31"/>
  <c r="I60"/>
  <c r="I30"/>
  <c r="W36"/>
  <c r="W38" s="1"/>
  <c r="Y31"/>
  <c r="Y32" s="1"/>
  <c r="K51"/>
  <c r="F71"/>
  <c r="K50"/>
  <c r="K27"/>
  <c r="K49"/>
  <c r="J80"/>
  <c r="J83" s="1"/>
  <c r="J85" s="1"/>
  <c r="U80"/>
  <c r="Q80"/>
  <c r="E91"/>
  <c r="E93" s="1"/>
  <c r="R79"/>
  <c r="U77"/>
  <c r="U78" s="1"/>
  <c r="Q77"/>
  <c r="Q78" s="1"/>
  <c r="S63"/>
  <c r="S79" s="1"/>
  <c r="S80" s="1"/>
  <c r="U71"/>
  <c r="Q71"/>
  <c r="P78"/>
  <c r="N78" s="1"/>
  <c r="P82"/>
  <c r="K76"/>
  <c r="K77"/>
  <c r="F62"/>
  <c r="L24"/>
  <c r="Z24"/>
  <c r="K52"/>
  <c r="L49"/>
  <c r="X45"/>
  <c r="G41"/>
  <c r="L35"/>
  <c r="W24"/>
  <c r="W23" s="1"/>
  <c r="W33" s="1"/>
  <c r="D23"/>
  <c r="L52"/>
  <c r="I49"/>
  <c r="K48"/>
  <c r="K46"/>
  <c r="D41"/>
  <c r="L38"/>
  <c r="R30"/>
  <c r="R77" s="1"/>
  <c r="R78" s="1"/>
  <c r="L27"/>
  <c r="X24"/>
  <c r="E23"/>
  <c r="L77"/>
  <c r="I52"/>
  <c r="K43"/>
  <c r="Y24"/>
  <c r="T78" i="57" l="1"/>
  <c r="T82" s="1"/>
  <c r="U78"/>
  <c r="R78"/>
  <c r="S78"/>
  <c r="P72"/>
  <c r="P75" s="1"/>
  <c r="Q72"/>
  <c r="Q75" s="1"/>
  <c r="S72"/>
  <c r="S75" s="1"/>
  <c r="R72"/>
  <c r="R75" s="1"/>
  <c r="R82" s="1"/>
  <c r="P77"/>
  <c r="P80"/>
  <c r="N80" s="1"/>
  <c r="U80"/>
  <c r="U82" s="1"/>
  <c r="R79"/>
  <c r="R80" s="1"/>
  <c r="T82" i="58"/>
  <c r="R82" i="62"/>
  <c r="X46" i="64"/>
  <c r="J47"/>
  <c r="L75"/>
  <c r="L74" s="1"/>
  <c r="L61"/>
  <c r="Z40"/>
  <c r="Z42" s="1"/>
  <c r="Z38"/>
  <c r="J63"/>
  <c r="J75"/>
  <c r="J74" s="1"/>
  <c r="F73"/>
  <c r="F74"/>
  <c r="X23"/>
  <c r="X33" s="1"/>
  <c r="J86"/>
  <c r="I24"/>
  <c r="I77"/>
  <c r="I76"/>
  <c r="L86"/>
  <c r="Z23"/>
  <c r="Z33" s="1"/>
  <c r="P72"/>
  <c r="P75" s="1"/>
  <c r="Q72"/>
  <c r="Q75" s="1"/>
  <c r="Q82" s="1"/>
  <c r="I63"/>
  <c r="I75"/>
  <c r="I61"/>
  <c r="J88"/>
  <c r="J91" s="1"/>
  <c r="I43"/>
  <c r="R80"/>
  <c r="R82" s="1"/>
  <c r="I53"/>
  <c r="D71"/>
  <c r="I26"/>
  <c r="I46"/>
  <c r="I47" s="1"/>
  <c r="I48"/>
  <c r="T72"/>
  <c r="T75" s="1"/>
  <c r="T82" s="1"/>
  <c r="U72"/>
  <c r="U75" s="1"/>
  <c r="Y23"/>
  <c r="K86"/>
  <c r="K88" s="1"/>
  <c r="K91" s="1"/>
  <c r="J24"/>
  <c r="J76"/>
  <c r="J77"/>
  <c r="E62"/>
  <c r="Y46"/>
  <c r="K47"/>
  <c r="L26"/>
  <c r="L46"/>
  <c r="L48"/>
  <c r="L53"/>
  <c r="G71"/>
  <c r="E74"/>
  <c r="E73"/>
  <c r="K61"/>
  <c r="K63"/>
  <c r="K75"/>
  <c r="K74" s="1"/>
  <c r="Y38"/>
  <c r="Y40"/>
  <c r="Y42" s="1"/>
  <c r="X40"/>
  <c r="X42" s="1"/>
  <c r="X38"/>
  <c r="S78"/>
  <c r="S82" s="1"/>
  <c r="U82"/>
  <c r="Y33"/>
  <c r="L88"/>
  <c r="L91" s="1"/>
  <c r="E18" i="58"/>
  <c r="G98" i="62"/>
  <c r="F98"/>
  <c r="E98"/>
  <c r="G87"/>
  <c r="G91" s="1"/>
  <c r="G93" s="1"/>
  <c r="G78"/>
  <c r="F78"/>
  <c r="F87" s="1"/>
  <c r="E78"/>
  <c r="E87" s="1"/>
  <c r="D78"/>
  <c r="D87" s="1"/>
  <c r="G72"/>
  <c r="F72"/>
  <c r="E72"/>
  <c r="D72"/>
  <c r="G63"/>
  <c r="F63"/>
  <c r="E63"/>
  <c r="D63"/>
  <c r="D71" s="1"/>
  <c r="G61"/>
  <c r="F61"/>
  <c r="E61"/>
  <c r="D61"/>
  <c r="G51"/>
  <c r="G41" s="1"/>
  <c r="F51"/>
  <c r="E51"/>
  <c r="E41" s="1"/>
  <c r="D51"/>
  <c r="D41"/>
  <c r="G38"/>
  <c r="F38"/>
  <c r="E38"/>
  <c r="D38"/>
  <c r="G30"/>
  <c r="F30"/>
  <c r="E30"/>
  <c r="D30"/>
  <c r="D23"/>
  <c r="G18"/>
  <c r="F18"/>
  <c r="E18"/>
  <c r="P78" i="57" l="1"/>
  <c r="N78" s="1"/>
  <c r="P82"/>
  <c r="S80"/>
  <c r="Q78"/>
  <c r="Q82" s="1"/>
  <c r="S82"/>
  <c r="D74" i="64"/>
  <c r="D73"/>
  <c r="G74"/>
  <c r="G73"/>
  <c r="G62"/>
  <c r="Z41"/>
  <c r="Z47"/>
  <c r="D62"/>
  <c r="Y41"/>
  <c r="Y47"/>
  <c r="Y49" s="1"/>
  <c r="X41"/>
  <c r="X47"/>
  <c r="X49" s="1"/>
  <c r="Z46"/>
  <c r="L47"/>
  <c r="I74"/>
  <c r="F41" i="62"/>
  <c r="F23"/>
  <c r="E71"/>
  <c r="G71"/>
  <c r="E91"/>
  <c r="E93" s="1"/>
  <c r="D62"/>
  <c r="D74"/>
  <c r="D73"/>
  <c r="F91"/>
  <c r="F93" s="1"/>
  <c r="E23"/>
  <c r="D91"/>
  <c r="D93" s="1"/>
  <c r="G23"/>
  <c r="Y50" i="64" l="1"/>
  <c r="Z49"/>
  <c r="Z50" s="1"/>
  <c r="F71" i="62"/>
  <c r="F73" s="1"/>
  <c r="E73"/>
  <c r="E74"/>
  <c r="G62"/>
  <c r="E62"/>
  <c r="G74"/>
  <c r="G73"/>
  <c r="F74" l="1"/>
  <c r="F62"/>
  <c r="E87" i="58" l="1"/>
  <c r="F87"/>
  <c r="G87"/>
  <c r="D87"/>
  <c r="G18"/>
  <c r="F18"/>
  <c r="E30"/>
  <c r="F30"/>
  <c r="F23" s="1"/>
  <c r="G30"/>
  <c r="D30"/>
  <c r="D23"/>
  <c r="G98" i="61"/>
  <c r="F98"/>
  <c r="E98"/>
  <c r="G78"/>
  <c r="G87" s="1"/>
  <c r="F78"/>
  <c r="F87" s="1"/>
  <c r="E78"/>
  <c r="E87" s="1"/>
  <c r="D78"/>
  <c r="D87" s="1"/>
  <c r="G72"/>
  <c r="F72"/>
  <c r="E72"/>
  <c r="D72"/>
  <c r="G63"/>
  <c r="F63"/>
  <c r="E63"/>
  <c r="D63"/>
  <c r="G61"/>
  <c r="F61"/>
  <c r="E61"/>
  <c r="D61"/>
  <c r="G51"/>
  <c r="G41" s="1"/>
  <c r="F51"/>
  <c r="E51"/>
  <c r="D51"/>
  <c r="D41"/>
  <c r="G38"/>
  <c r="F38"/>
  <c r="E38"/>
  <c r="D38"/>
  <c r="G30"/>
  <c r="F30"/>
  <c r="E30"/>
  <c r="D30"/>
  <c r="G18"/>
  <c r="F18"/>
  <c r="E18"/>
  <c r="G98" i="60"/>
  <c r="F98"/>
  <c r="E98"/>
  <c r="F87"/>
  <c r="E87"/>
  <c r="D87"/>
  <c r="G78"/>
  <c r="G87" s="1"/>
  <c r="F78"/>
  <c r="E78"/>
  <c r="D78"/>
  <c r="G72"/>
  <c r="F72"/>
  <c r="E72"/>
  <c r="D72"/>
  <c r="G71"/>
  <c r="F71"/>
  <c r="F73" s="1"/>
  <c r="G63"/>
  <c r="F63"/>
  <c r="E63"/>
  <c r="D63"/>
  <c r="G61"/>
  <c r="F61"/>
  <c r="E61"/>
  <c r="D61"/>
  <c r="G51"/>
  <c r="F51"/>
  <c r="E51"/>
  <c r="E41" s="1"/>
  <c r="D51"/>
  <c r="G41"/>
  <c r="F41"/>
  <c r="D41"/>
  <c r="G38"/>
  <c r="F38"/>
  <c r="E38"/>
  <c r="D38"/>
  <c r="G30"/>
  <c r="F30"/>
  <c r="E30"/>
  <c r="D30"/>
  <c r="F23"/>
  <c r="E23"/>
  <c r="D23"/>
  <c r="G18"/>
  <c r="F18"/>
  <c r="E18"/>
  <c r="G98" i="58"/>
  <c r="F98"/>
  <c r="E98"/>
  <c r="G78"/>
  <c r="F78"/>
  <c r="E78"/>
  <c r="D78"/>
  <c r="G72"/>
  <c r="F72"/>
  <c r="E72"/>
  <c r="D72"/>
  <c r="G63"/>
  <c r="F63"/>
  <c r="E63"/>
  <c r="D63"/>
  <c r="G61"/>
  <c r="F61"/>
  <c r="E61"/>
  <c r="D61"/>
  <c r="G51"/>
  <c r="F51"/>
  <c r="F41" s="1"/>
  <c r="E51"/>
  <c r="D51"/>
  <c r="E41"/>
  <c r="G38"/>
  <c r="F38"/>
  <c r="E38"/>
  <c r="D38"/>
  <c r="K54" l="1"/>
  <c r="Y36"/>
  <c r="K80"/>
  <c r="K83" s="1"/>
  <c r="K85" s="1"/>
  <c r="K88" s="1"/>
  <c r="K91" s="1"/>
  <c r="Y48"/>
  <c r="K60"/>
  <c r="K31"/>
  <c r="K62" s="1"/>
  <c r="K30"/>
  <c r="K59"/>
  <c r="L59"/>
  <c r="L54"/>
  <c r="L80"/>
  <c r="L83" s="1"/>
  <c r="L85" s="1"/>
  <c r="L88" s="1"/>
  <c r="L91" s="1"/>
  <c r="Z48"/>
  <c r="L60"/>
  <c r="Z36"/>
  <c r="L31"/>
  <c r="L62" s="1"/>
  <c r="L30"/>
  <c r="J80"/>
  <c r="J83" s="1"/>
  <c r="J85" s="1"/>
  <c r="J88" s="1"/>
  <c r="J91" s="1"/>
  <c r="X48"/>
  <c r="J60"/>
  <c r="X36"/>
  <c r="J31"/>
  <c r="J62" s="1"/>
  <c r="J30"/>
  <c r="J59"/>
  <c r="J54"/>
  <c r="E91"/>
  <c r="I60"/>
  <c r="W36"/>
  <c r="W38" s="1"/>
  <c r="I31"/>
  <c r="I30"/>
  <c r="I59"/>
  <c r="I80"/>
  <c r="I83" s="1"/>
  <c r="I85" s="1"/>
  <c r="D71" i="60"/>
  <c r="D62" s="1"/>
  <c r="E41" i="61"/>
  <c r="F41"/>
  <c r="F71" s="1"/>
  <c r="F73" s="1"/>
  <c r="E23" i="58"/>
  <c r="D41"/>
  <c r="F23" i="61"/>
  <c r="D71"/>
  <c r="D23"/>
  <c r="E23"/>
  <c r="G23"/>
  <c r="E71"/>
  <c r="G71"/>
  <c r="D74"/>
  <c r="E91"/>
  <c r="E93" s="1"/>
  <c r="G91"/>
  <c r="G93" s="1"/>
  <c r="D91"/>
  <c r="D93" s="1"/>
  <c r="F91"/>
  <c r="F93" s="1"/>
  <c r="G41" i="58"/>
  <c r="E71" i="60"/>
  <c r="G91"/>
  <c r="G93" s="1"/>
  <c r="F91"/>
  <c r="F93" s="1"/>
  <c r="F62"/>
  <c r="F74"/>
  <c r="E91"/>
  <c r="E93" s="1"/>
  <c r="D91"/>
  <c r="D93" s="1"/>
  <c r="G23"/>
  <c r="G23" i="58"/>
  <c r="E71"/>
  <c r="G71"/>
  <c r="D91"/>
  <c r="D93" s="1"/>
  <c r="F91"/>
  <c r="F93" s="1"/>
  <c r="E93"/>
  <c r="G91"/>
  <c r="G93" s="1"/>
  <c r="F71"/>
  <c r="R91" i="56"/>
  <c r="R93" s="1"/>
  <c r="R87"/>
  <c r="R78"/>
  <c r="R63"/>
  <c r="R61"/>
  <c r="R51"/>
  <c r="R41" s="1"/>
  <c r="R71" s="1"/>
  <c r="R38"/>
  <c r="R30"/>
  <c r="R23" s="1"/>
  <c r="S78"/>
  <c r="S87" s="1"/>
  <c r="S91" s="1"/>
  <c r="S93" s="1"/>
  <c r="S73"/>
  <c r="S63"/>
  <c r="S71" s="1"/>
  <c r="S61"/>
  <c r="S51"/>
  <c r="S41"/>
  <c r="S38"/>
  <c r="S30"/>
  <c r="S23" s="1"/>
  <c r="G98" i="57"/>
  <c r="L40" s="1"/>
  <c r="F98"/>
  <c r="K40" s="1"/>
  <c r="E98"/>
  <c r="J40" s="1"/>
  <c r="G78"/>
  <c r="G87" s="1"/>
  <c r="F78"/>
  <c r="F87" s="1"/>
  <c r="E78"/>
  <c r="E87" s="1"/>
  <c r="D78"/>
  <c r="D87" s="1"/>
  <c r="G72"/>
  <c r="E72"/>
  <c r="D72"/>
  <c r="G63"/>
  <c r="F63"/>
  <c r="E63"/>
  <c r="D63"/>
  <c r="G61"/>
  <c r="F61"/>
  <c r="E61"/>
  <c r="D61"/>
  <c r="G51"/>
  <c r="F51"/>
  <c r="E51"/>
  <c r="D51"/>
  <c r="G38"/>
  <c r="F38"/>
  <c r="E38"/>
  <c r="D38"/>
  <c r="G30"/>
  <c r="F30"/>
  <c r="E30"/>
  <c r="D30"/>
  <c r="G18"/>
  <c r="F18"/>
  <c r="E18"/>
  <c r="T91" i="56"/>
  <c r="T93" s="1"/>
  <c r="T87"/>
  <c r="T78"/>
  <c r="T63"/>
  <c r="T61"/>
  <c r="T51"/>
  <c r="T41" s="1"/>
  <c r="T71" s="1"/>
  <c r="T38"/>
  <c r="T30"/>
  <c r="T23" s="1"/>
  <c r="Q91"/>
  <c r="Q93" s="1"/>
  <c r="Q87"/>
  <c r="Q78"/>
  <c r="Q72"/>
  <c r="Q63"/>
  <c r="Q61"/>
  <c r="Q51"/>
  <c r="Q41" s="1"/>
  <c r="Q71" s="1"/>
  <c r="Q38"/>
  <c r="Q30"/>
  <c r="Q23" s="1"/>
  <c r="P91"/>
  <c r="P93" s="1"/>
  <c r="P87"/>
  <c r="P78"/>
  <c r="P72"/>
  <c r="P63"/>
  <c r="P61"/>
  <c r="P51"/>
  <c r="P41" s="1"/>
  <c r="P71" s="1"/>
  <c r="P38"/>
  <c r="P30"/>
  <c r="P23" s="1"/>
  <c r="O78"/>
  <c r="O87" s="1"/>
  <c r="O91" s="1"/>
  <c r="O93" s="1"/>
  <c r="O72"/>
  <c r="O63"/>
  <c r="O71" s="1"/>
  <c r="O61"/>
  <c r="O51"/>
  <c r="O41"/>
  <c r="O38"/>
  <c r="O30"/>
  <c r="O23" s="1"/>
  <c r="O62" s="1"/>
  <c r="N91"/>
  <c r="N93" s="1"/>
  <c r="N87"/>
  <c r="N78"/>
  <c r="N63"/>
  <c r="N61"/>
  <c r="N51"/>
  <c r="N41" s="1"/>
  <c r="N71" s="1"/>
  <c r="N38"/>
  <c r="N30"/>
  <c r="N23" s="1"/>
  <c r="N62" s="1"/>
  <c r="M78"/>
  <c r="M87" s="1"/>
  <c r="M91" s="1"/>
  <c r="M93" s="1"/>
  <c r="M72"/>
  <c r="M63"/>
  <c r="M71" s="1"/>
  <c r="M61"/>
  <c r="M51"/>
  <c r="M41"/>
  <c r="M38"/>
  <c r="M30"/>
  <c r="M23" s="1"/>
  <c r="M62" s="1"/>
  <c r="K75" i="58" l="1"/>
  <c r="K74" s="1"/>
  <c r="K63"/>
  <c r="K61"/>
  <c r="Z40"/>
  <c r="Z42" s="1"/>
  <c r="Z38"/>
  <c r="Y40"/>
  <c r="Y42" s="1"/>
  <c r="Y38"/>
  <c r="I75"/>
  <c r="I74" s="1"/>
  <c r="I63"/>
  <c r="I61"/>
  <c r="J75"/>
  <c r="J74" s="1"/>
  <c r="J63"/>
  <c r="J61"/>
  <c r="L75"/>
  <c r="L74" s="1"/>
  <c r="L63"/>
  <c r="L61"/>
  <c r="X40"/>
  <c r="X42" s="1"/>
  <c r="X38"/>
  <c r="L43" i="57"/>
  <c r="L34"/>
  <c r="L37" s="1"/>
  <c r="Z24"/>
  <c r="L35"/>
  <c r="L38"/>
  <c r="L50"/>
  <c r="L27"/>
  <c r="L51"/>
  <c r="L49"/>
  <c r="Z31"/>
  <c r="Z32" s="1"/>
  <c r="I80"/>
  <c r="I83" s="1"/>
  <c r="I85" s="1"/>
  <c r="I59"/>
  <c r="W36"/>
  <c r="W38" s="1"/>
  <c r="I31"/>
  <c r="I60"/>
  <c r="I30"/>
  <c r="K35"/>
  <c r="Y24"/>
  <c r="K34"/>
  <c r="K37" s="1"/>
  <c r="K38"/>
  <c r="K52"/>
  <c r="K51"/>
  <c r="K27"/>
  <c r="K50"/>
  <c r="K49"/>
  <c r="Y31"/>
  <c r="Y32" s="1"/>
  <c r="L54"/>
  <c r="Z36"/>
  <c r="L31"/>
  <c r="L30"/>
  <c r="L60"/>
  <c r="L80"/>
  <c r="L83" s="1"/>
  <c r="L85" s="1"/>
  <c r="L59"/>
  <c r="J35"/>
  <c r="X24"/>
  <c r="J34"/>
  <c r="J37" s="1"/>
  <c r="J52"/>
  <c r="J38"/>
  <c r="J51"/>
  <c r="X31"/>
  <c r="X32" s="1"/>
  <c r="J27"/>
  <c r="J50"/>
  <c r="J49"/>
  <c r="K31"/>
  <c r="K30"/>
  <c r="K60"/>
  <c r="K80"/>
  <c r="K83" s="1"/>
  <c r="K85" s="1"/>
  <c r="K59"/>
  <c r="K54"/>
  <c r="Y36"/>
  <c r="I34"/>
  <c r="I37" s="1"/>
  <c r="I35"/>
  <c r="I43"/>
  <c r="W24"/>
  <c r="W23" s="1"/>
  <c r="I38"/>
  <c r="I51"/>
  <c r="I50"/>
  <c r="I27"/>
  <c r="I49"/>
  <c r="W31"/>
  <c r="W32" s="1"/>
  <c r="W33" s="1"/>
  <c r="J60"/>
  <c r="J80"/>
  <c r="J83" s="1"/>
  <c r="J85" s="1"/>
  <c r="J59"/>
  <c r="J54"/>
  <c r="X36"/>
  <c r="J30"/>
  <c r="J31"/>
  <c r="J62" s="1"/>
  <c r="X48"/>
  <c r="F91"/>
  <c r="F93" s="1"/>
  <c r="E41"/>
  <c r="D41"/>
  <c r="D74" i="60"/>
  <c r="D73"/>
  <c r="F74" i="61"/>
  <c r="E73" i="58"/>
  <c r="G62"/>
  <c r="D71"/>
  <c r="D62" s="1"/>
  <c r="D73" i="61"/>
  <c r="G73"/>
  <c r="G74"/>
  <c r="E73"/>
  <c r="E74"/>
  <c r="E62" i="58"/>
  <c r="E74"/>
  <c r="G62" i="60"/>
  <c r="E73"/>
  <c r="E74"/>
  <c r="G74"/>
  <c r="E62"/>
  <c r="G73"/>
  <c r="G73" i="58"/>
  <c r="G74"/>
  <c r="F62"/>
  <c r="F73"/>
  <c r="F74"/>
  <c r="R74" i="56"/>
  <c r="R73"/>
  <c r="R62"/>
  <c r="S62"/>
  <c r="G41" i="57"/>
  <c r="D23"/>
  <c r="F41"/>
  <c r="F23"/>
  <c r="G91"/>
  <c r="G93" s="1"/>
  <c r="E91"/>
  <c r="E93" s="1"/>
  <c r="E23"/>
  <c r="D91"/>
  <c r="D93" s="1"/>
  <c r="G23"/>
  <c r="T73" i="56"/>
  <c r="T74"/>
  <c r="T62"/>
  <c r="Q74"/>
  <c r="Q73"/>
  <c r="Q62"/>
  <c r="P62"/>
  <c r="P73"/>
  <c r="P74"/>
  <c r="O73"/>
  <c r="O74"/>
  <c r="N73"/>
  <c r="N74"/>
  <c r="M73"/>
  <c r="M74"/>
  <c r="X47" i="58" l="1"/>
  <c r="X49" s="1"/>
  <c r="X41"/>
  <c r="Y41"/>
  <c r="Y47"/>
  <c r="Y49" s="1"/>
  <c r="Y50" s="1"/>
  <c r="Z41"/>
  <c r="Z47"/>
  <c r="Z49" s="1"/>
  <c r="Z50" s="1"/>
  <c r="I75" i="57"/>
  <c r="I74" s="1"/>
  <c r="I63"/>
  <c r="I61"/>
  <c r="K24"/>
  <c r="K77"/>
  <c r="K76"/>
  <c r="I48"/>
  <c r="I46"/>
  <c r="I47" s="1"/>
  <c r="I26"/>
  <c r="I53"/>
  <c r="L76"/>
  <c r="L77"/>
  <c r="L24"/>
  <c r="L63"/>
  <c r="L61"/>
  <c r="L75"/>
  <c r="L46"/>
  <c r="L26"/>
  <c r="L53"/>
  <c r="L48"/>
  <c r="J86"/>
  <c r="J88" s="1"/>
  <c r="J91" s="1"/>
  <c r="X23"/>
  <c r="X33" s="1"/>
  <c r="Z40"/>
  <c r="Z42" s="1"/>
  <c r="Z38"/>
  <c r="J75"/>
  <c r="J61"/>
  <c r="J63"/>
  <c r="I77"/>
  <c r="I24"/>
  <c r="I76"/>
  <c r="K63"/>
  <c r="K61"/>
  <c r="K75"/>
  <c r="K74" s="1"/>
  <c r="X40"/>
  <c r="X42" s="1"/>
  <c r="X38"/>
  <c r="Y38"/>
  <c r="Y40"/>
  <c r="Y42" s="1"/>
  <c r="L86"/>
  <c r="L88" s="1"/>
  <c r="L91" s="1"/>
  <c r="Z23"/>
  <c r="J24"/>
  <c r="J77"/>
  <c r="J76"/>
  <c r="K26"/>
  <c r="K46"/>
  <c r="K48"/>
  <c r="K53"/>
  <c r="J48"/>
  <c r="J46"/>
  <c r="J26"/>
  <c r="J53"/>
  <c r="K86"/>
  <c r="Y23"/>
  <c r="Y33" s="1"/>
  <c r="K62"/>
  <c r="K43"/>
  <c r="L52"/>
  <c r="Z48"/>
  <c r="Z33"/>
  <c r="I52"/>
  <c r="K88"/>
  <c r="K91" s="1"/>
  <c r="Y48"/>
  <c r="J43"/>
  <c r="L62"/>
  <c r="G71"/>
  <c r="G62" s="1"/>
  <c r="E71"/>
  <c r="E74" s="1"/>
  <c r="F71"/>
  <c r="F73" s="1"/>
  <c r="D71"/>
  <c r="D73" s="1"/>
  <c r="D73" i="58"/>
  <c r="D74"/>
  <c r="I72" i="56"/>
  <c r="F27"/>
  <c r="D27"/>
  <c r="K98"/>
  <c r="K78"/>
  <c r="K87" s="1"/>
  <c r="K91" s="1"/>
  <c r="K93" s="1"/>
  <c r="K63"/>
  <c r="K61"/>
  <c r="K51"/>
  <c r="K41" s="1"/>
  <c r="K38"/>
  <c r="K30"/>
  <c r="K23" s="1"/>
  <c r="K18"/>
  <c r="I98"/>
  <c r="I78"/>
  <c r="I87" s="1"/>
  <c r="I91" s="1"/>
  <c r="I93" s="1"/>
  <c r="I63"/>
  <c r="I61"/>
  <c r="I51"/>
  <c r="I38"/>
  <c r="I30"/>
  <c r="I23"/>
  <c r="I18"/>
  <c r="G98"/>
  <c r="G78"/>
  <c r="G87" s="1"/>
  <c r="G91" s="1"/>
  <c r="G93" s="1"/>
  <c r="G72"/>
  <c r="G63"/>
  <c r="G61"/>
  <c r="G51"/>
  <c r="G38"/>
  <c r="G30"/>
  <c r="G18"/>
  <c r="E78"/>
  <c r="E87" s="1"/>
  <c r="E63"/>
  <c r="E61"/>
  <c r="E51"/>
  <c r="E38"/>
  <c r="E30"/>
  <c r="J98"/>
  <c r="H98"/>
  <c r="F98"/>
  <c r="J78"/>
  <c r="J87" s="1"/>
  <c r="H78"/>
  <c r="H87" s="1"/>
  <c r="F78"/>
  <c r="F87" s="1"/>
  <c r="D78"/>
  <c r="D87" s="1"/>
  <c r="J72"/>
  <c r="S72" s="1"/>
  <c r="H72"/>
  <c r="F72"/>
  <c r="D72"/>
  <c r="J63"/>
  <c r="H63"/>
  <c r="F63"/>
  <c r="D63"/>
  <c r="J61"/>
  <c r="H61"/>
  <c r="F61"/>
  <c r="D61"/>
  <c r="J51"/>
  <c r="H51"/>
  <c r="F51"/>
  <c r="D51"/>
  <c r="J41"/>
  <c r="H41"/>
  <c r="F41"/>
  <c r="D41"/>
  <c r="J38"/>
  <c r="H38"/>
  <c r="F38"/>
  <c r="D38"/>
  <c r="J30"/>
  <c r="H30"/>
  <c r="F30"/>
  <c r="D30"/>
  <c r="J23"/>
  <c r="H23"/>
  <c r="F23"/>
  <c r="D23"/>
  <c r="J18"/>
  <c r="H18"/>
  <c r="F18"/>
  <c r="L74" i="57" l="1"/>
  <c r="L47"/>
  <c r="Z46"/>
  <c r="X47"/>
  <c r="X41"/>
  <c r="J47"/>
  <c r="X46"/>
  <c r="K47"/>
  <c r="Y46"/>
  <c r="Y47"/>
  <c r="Y49" s="1"/>
  <c r="Y41"/>
  <c r="Z41"/>
  <c r="Z47"/>
  <c r="J74"/>
  <c r="D74"/>
  <c r="F62"/>
  <c r="F74"/>
  <c r="G74"/>
  <c r="G73"/>
  <c r="E73"/>
  <c r="E62"/>
  <c r="D62"/>
  <c r="E91" i="56"/>
  <c r="E23"/>
  <c r="E41"/>
  <c r="G23"/>
  <c r="G41"/>
  <c r="G71"/>
  <c r="I41"/>
  <c r="K71"/>
  <c r="K74" s="1"/>
  <c r="G62"/>
  <c r="G74"/>
  <c r="G73"/>
  <c r="F71"/>
  <c r="F73" s="1"/>
  <c r="J71"/>
  <c r="D91"/>
  <c r="D93" s="1"/>
  <c r="H91"/>
  <c r="H93" s="1"/>
  <c r="F74"/>
  <c r="J74"/>
  <c r="J73"/>
  <c r="F91"/>
  <c r="F93" s="1"/>
  <c r="J91"/>
  <c r="J93" s="1"/>
  <c r="D71"/>
  <c r="H71"/>
  <c r="H62" s="1"/>
  <c r="F62"/>
  <c r="J62"/>
  <c r="X49" i="57" l="1"/>
  <c r="Y50" s="1"/>
  <c r="Z49"/>
  <c r="Z50" s="1"/>
  <c r="I71" i="56"/>
  <c r="K62"/>
  <c r="E71"/>
  <c r="E93"/>
  <c r="K73"/>
  <c r="D73"/>
  <c r="D74"/>
  <c r="H73"/>
  <c r="H74"/>
  <c r="D62"/>
  <c r="E73" l="1"/>
  <c r="E62"/>
  <c r="E74"/>
  <c r="I62"/>
  <c r="I73"/>
  <c r="I74"/>
</calcChain>
</file>

<file path=xl/comments1.xml><?xml version="1.0" encoding="utf-8"?>
<comments xmlns="http://schemas.openxmlformats.org/spreadsheetml/2006/main">
  <authors>
    <author>ALFONSO VARGAS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Si no cuenta con la cifra correspondiente tome fila 102 y calcule el gasto financiero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<sst xmlns="http://schemas.openxmlformats.org/spreadsheetml/2006/main" count="1452" uniqueCount="171">
  <si>
    <t>MODELO PARA LA MODERNIZACIÓN DE LA GESTION DE LAS ORGANIZACIONES</t>
  </si>
  <si>
    <t>Vicerrectoria de Investigaciones</t>
  </si>
  <si>
    <t>PERFIL FINANCIERO</t>
  </si>
  <si>
    <t>Datos en miles de pesos ($000,00)</t>
  </si>
  <si>
    <t xml:space="preserve">CIFRAS DE NEGOCIO E  INDICADORES </t>
  </si>
  <si>
    <t>SUBTOTAL DISPONIBLE</t>
  </si>
  <si>
    <t>CAPITAL DE TRABAJO NETO</t>
  </si>
  <si>
    <t>TOTAL ACTIVO CORRIENTE</t>
  </si>
  <si>
    <t>PROPIEDADES PLANTA Y EQUIPO</t>
  </si>
  <si>
    <t>SUBTOTAL INTANGIBLES</t>
  </si>
  <si>
    <t>SUBTOTAL OTROS ACTIVOS</t>
  </si>
  <si>
    <t>SUBTOTAL VALORIZACIONES</t>
  </si>
  <si>
    <t>TOTAL ACTIVO NO CORRIENTE</t>
  </si>
  <si>
    <t>ROA</t>
  </si>
  <si>
    <t>ROE</t>
  </si>
  <si>
    <t>NIVEL DE ENDEUDAMIENTO</t>
  </si>
  <si>
    <t>NIVEL DE APALANCAMIENTO</t>
  </si>
  <si>
    <t>VENTAS</t>
  </si>
  <si>
    <t>EBITDA</t>
  </si>
  <si>
    <t>TOTAL PASIVO CORRIENTE</t>
  </si>
  <si>
    <t>SUBTOTAL CUENTAS POR PAGAR</t>
  </si>
  <si>
    <t>OBLIGACIONES LABORALES</t>
  </si>
  <si>
    <t>SUBTOTAL PASIVOS ESTIMAD. Y PROVIS.</t>
  </si>
  <si>
    <t>SUBTOTAL  DIFERIDOS</t>
  </si>
  <si>
    <t>SUBTOTAL  OTROS PASIVOS</t>
  </si>
  <si>
    <t xml:space="preserve">Observaciones: Los datos deben corresponder a los mismos cierres, esto es, todos a 31 de Diciembre ó todos a 30 de junio ó todos a 30 de marzo etc. </t>
  </si>
  <si>
    <t>SUBTOTAL BONOS Y PAPELES COMERCIA.</t>
  </si>
  <si>
    <t>TOTAL PASIVO NO CORRIENTE</t>
  </si>
  <si>
    <t>TOTAL PATRIMONIO</t>
  </si>
  <si>
    <t>SUBTOTAL  CAPITAL SOCIAL</t>
  </si>
  <si>
    <t>SUBTOTAL SUPERÁVIT DE CAPITAL</t>
  </si>
  <si>
    <t>REVALORIZACIÓN DEL PATRIMONIO</t>
  </si>
  <si>
    <t>DIVIDEN. O PARTC. DECRET. EN ACC.O CUOTAS</t>
  </si>
  <si>
    <t>RESULTADOS DEL EJERCICIO</t>
  </si>
  <si>
    <t>RESULTADOS DE EJERCICIOS ANTERIORES</t>
  </si>
  <si>
    <t>SUPERÁVIT POR VALORIZACIONES</t>
  </si>
  <si>
    <t>TOTAL PASIVO Y PATRIMONIO</t>
  </si>
  <si>
    <t>INGRESOS OPERACIONALES</t>
  </si>
  <si>
    <t>COSTO DE VENTAS Y DE PREST SERVICIOS</t>
  </si>
  <si>
    <t>UTILIDAD BRUTA</t>
  </si>
  <si>
    <t>GASTOS OPERACIONALES DE ADMINISTRACIÓN</t>
  </si>
  <si>
    <t>GASTOS OPERACIONALES DE VENTAS</t>
  </si>
  <si>
    <t>UTILIDAD OPERACIONAL</t>
  </si>
  <si>
    <t>INGRESOS NO OPERACIONALES</t>
  </si>
  <si>
    <t>GASTOS NO OPERACIONALES</t>
  </si>
  <si>
    <t xml:space="preserve">UTILIDAD ANTES DE IMPUESTOS </t>
  </si>
  <si>
    <t>IMPUESTO DE RENTA Y COMPLEMENTARIOS</t>
  </si>
  <si>
    <t>GANANCIAS Y PERDIDAS</t>
  </si>
  <si>
    <r>
      <t xml:space="preserve">     VERSIÓN especial - </t>
    </r>
    <r>
      <rPr>
        <b/>
        <sz val="12"/>
        <color indexed="12"/>
        <rFont val="Arial"/>
        <family val="2"/>
      </rPr>
      <t>Pentagono de la excelencia vers1.0</t>
    </r>
    <r>
      <rPr>
        <b/>
        <sz val="12"/>
        <rFont val="Arial"/>
        <family val="2"/>
      </rPr>
      <t xml:space="preserve">  /  basado en el </t>
    </r>
    <r>
      <rPr>
        <b/>
        <sz val="12"/>
        <color indexed="12"/>
        <rFont val="Arial"/>
        <family val="2"/>
      </rPr>
      <t>aplicativo 9c</t>
    </r>
  </si>
  <si>
    <t xml:space="preserve">VICERRECTORÍA DE INVESTIGACIONES </t>
  </si>
  <si>
    <t xml:space="preserve">© FICHA - AMBIENTE DE FINANZAS  </t>
  </si>
  <si>
    <t>Herramienta para la captura y análisis de la información financiera.</t>
  </si>
  <si>
    <t xml:space="preserve"> - Depreciación Acumulada</t>
  </si>
  <si>
    <t xml:space="preserve">OBLIGACIONES FINANCIERAS </t>
  </si>
  <si>
    <t xml:space="preserve">PROVEEDORES </t>
  </si>
  <si>
    <t>IMPUESTOS GRAVÁMENES Y TASAS</t>
  </si>
  <si>
    <t xml:space="preserve">SUBTOTAL INVERSIONES </t>
  </si>
  <si>
    <t>SUBTOTAL DEUDORES</t>
  </si>
  <si>
    <t xml:space="preserve"> - Deudores - clientes </t>
  </si>
  <si>
    <t xml:space="preserve">SUBTOTAL INVENTARIOS </t>
  </si>
  <si>
    <t>SUBTOTAL DIFERIDO</t>
  </si>
  <si>
    <t>SUBTOTAL  DEUDORES</t>
  </si>
  <si>
    <t xml:space="preserve">SUBTOTAL DIFERIDO </t>
  </si>
  <si>
    <t xml:space="preserve">OBLIGACIONES FINANCIERAS  </t>
  </si>
  <si>
    <t>DIFERIDOS</t>
  </si>
  <si>
    <t>SUBTOTAL BONOS Y PAPELES COMERCIA</t>
  </si>
  <si>
    <t>RESERVAS</t>
  </si>
  <si>
    <t>ACTIVOS</t>
  </si>
  <si>
    <t>PASIVOS</t>
  </si>
  <si>
    <t>Validación</t>
  </si>
  <si>
    <t xml:space="preserve"> - Gastos de personal</t>
  </si>
  <si>
    <t xml:space="preserve"> - Depreciaciones</t>
  </si>
  <si>
    <t xml:space="preserve"> - Amortizaciones</t>
  </si>
  <si>
    <t xml:space="preserve"> - Gastos Financieros.</t>
  </si>
  <si>
    <t xml:space="preserve">Otra Información derivada </t>
  </si>
  <si>
    <t>OTROS Indicadores</t>
  </si>
  <si>
    <t>Dupont</t>
  </si>
  <si>
    <t>Margen neto</t>
  </si>
  <si>
    <t>Eficiencia del activo</t>
  </si>
  <si>
    <t>Multiplicador del capital</t>
  </si>
  <si>
    <t>Devoluciones y decuentos</t>
  </si>
  <si>
    <t xml:space="preserve">ACTIVOS </t>
  </si>
  <si>
    <t>PATRIIMONIO</t>
  </si>
  <si>
    <t>NECESIDADES FTO CAPITAL DE TRABAJO</t>
  </si>
  <si>
    <t>NIVEL SOLVENCIA C.P</t>
  </si>
  <si>
    <t>PROVEEDORES (ROTACION )</t>
  </si>
  <si>
    <t>INVENTARIOS    (ROTACION )</t>
  </si>
  <si>
    <t>CARTERA          (ROTACION)</t>
  </si>
  <si>
    <t>COSTOS Y GASTOS OPERATIVOS</t>
  </si>
  <si>
    <t>CTO promedio    (ROTACION)</t>
  </si>
  <si>
    <t>CAPITAL DE TRABAJO</t>
  </si>
  <si>
    <t xml:space="preserve">RAZÓN FONDO DE MANIOBRA </t>
  </si>
  <si>
    <t>AUTONOMIA</t>
  </si>
  <si>
    <t>ENDEUDAMIENTO Y COBERTURA</t>
  </si>
  <si>
    <t>COBERTURA DEL GASTO FINANCIERO</t>
  </si>
  <si>
    <t>MARGENES Y RENTABILIDAD</t>
  </si>
  <si>
    <t>MARGEN EBITDA</t>
  </si>
  <si>
    <t>MARGEN OPERACIONAL</t>
  </si>
  <si>
    <t>MARGEN NETO</t>
  </si>
  <si>
    <t>ENDEUDAMIENTO - ACT FIJO</t>
  </si>
  <si>
    <t>COMPRAS</t>
  </si>
  <si>
    <t>FUENTES Y USOS DE CAPITAL</t>
  </si>
  <si>
    <t>Estados fiancieros cortados a 31 Dic</t>
  </si>
  <si>
    <t>F / U</t>
  </si>
  <si>
    <t>VARIACION DEL DISPONIBLE</t>
  </si>
  <si>
    <t>USOS</t>
  </si>
  <si>
    <t>FUENTES</t>
  </si>
  <si>
    <t>DIFERENCIAS EN EL BALANCE GENERAL</t>
  </si>
  <si>
    <t>SUMAS IGUALES</t>
  </si>
  <si>
    <t>TOTALES</t>
  </si>
  <si>
    <t>Capital de trabajo</t>
  </si>
  <si>
    <t>Estructura de capital</t>
  </si>
  <si>
    <t>ACTIVOS  OPERATIVOS</t>
  </si>
  <si>
    <t>COSTO estimado del patrimonio</t>
  </si>
  <si>
    <t>TENDENCIA  (base 2007)</t>
  </si>
  <si>
    <t xml:space="preserve">NIVEL DEPENDENCIA De Capital de trabajo </t>
  </si>
  <si>
    <t>CAPITALIZACIÓN EXTERNA LP</t>
  </si>
  <si>
    <t>Razón PATRIMONIO - ACTIVOS Op.</t>
  </si>
  <si>
    <t>Concentración</t>
  </si>
  <si>
    <t>Concentración Financiera</t>
  </si>
  <si>
    <t>Variación Ventas / Variación  Inventarios</t>
  </si>
  <si>
    <t>Variación cxc Clientes / Variación  Inventarios</t>
  </si>
  <si>
    <t>EBIT</t>
  </si>
  <si>
    <t>(+) Depreciaciones</t>
  </si>
  <si>
    <t>(+) Amortizaciones</t>
  </si>
  <si>
    <t>(-) Tax</t>
  </si>
  <si>
    <t>Flujo de Caja Operativo</t>
  </si>
  <si>
    <t>(-) Variación KWNO</t>
  </si>
  <si>
    <t>(-) CAPEX</t>
  </si>
  <si>
    <t>FCL de la Firma</t>
  </si>
  <si>
    <t>(-) Servicio de la Deuda Capital</t>
  </si>
  <si>
    <t>(-) Servicio de la Deuda Intereses</t>
  </si>
  <si>
    <t>Capital de Trabajo Neto Op</t>
  </si>
  <si>
    <t>Capex</t>
  </si>
  <si>
    <t>Activos No Op</t>
  </si>
  <si>
    <t>Patrimonio</t>
  </si>
  <si>
    <t>Balance de Situación L.P.</t>
  </si>
  <si>
    <t>Utilidad Operacional</t>
  </si>
  <si>
    <t>Utilidad Operacional + Tx</t>
  </si>
  <si>
    <t>CPPC / WACC</t>
  </si>
  <si>
    <t>Costo Estiamdo Patrimonio</t>
  </si>
  <si>
    <t>Costo Neto Deuda (1-0,33)</t>
  </si>
  <si>
    <t xml:space="preserve">Impuestos </t>
  </si>
  <si>
    <t xml:space="preserve">Intereses pagados (costos Fcieros) </t>
  </si>
  <si>
    <t>Utilidad operacional + intereses</t>
  </si>
  <si>
    <t xml:space="preserve">Utilidad Neta </t>
  </si>
  <si>
    <t>Utilidad Operacional Neta (Tx + Int)</t>
  </si>
  <si>
    <t>Rentabilidad Activo Neto - RAN</t>
  </si>
  <si>
    <t>Rentabilidad activo Total - ROA</t>
  </si>
  <si>
    <t>Crea o destruye valor</t>
  </si>
  <si>
    <t xml:space="preserve">Análisis de Flujos </t>
  </si>
  <si>
    <t xml:space="preserve">EMPRESA: </t>
  </si>
  <si>
    <t>DTF</t>
  </si>
  <si>
    <t>FC de los Accionistas</t>
  </si>
  <si>
    <t>TREFIMALLAS</t>
  </si>
  <si>
    <t>SIREM</t>
  </si>
  <si>
    <t>EMPRESA: TREFIMALLAS S.A.S</t>
  </si>
  <si>
    <t>EMPRESA: SECTOR</t>
  </si>
  <si>
    <t>EMPRESA: DISHIERROS EU</t>
  </si>
  <si>
    <t>EMPRESA: DISTRIACERO FIGURADO LTDA</t>
  </si>
  <si>
    <t>EMPRESA: METALCENTER LTDA</t>
  </si>
  <si>
    <t>TOTAL ACTIVOS OPERATIVOS</t>
  </si>
  <si>
    <t>Obligaciones Financieras</t>
  </si>
  <si>
    <t>TOTAL PASIVO + PATRIMONIO</t>
  </si>
  <si>
    <t>Promedio de deuda</t>
  </si>
  <si>
    <t>COSTO FCIERO ESTIMADO</t>
  </si>
  <si>
    <t>SPREAD</t>
  </si>
  <si>
    <t>Prueva acida</t>
  </si>
  <si>
    <t>Razon corriente</t>
  </si>
  <si>
    <t>EMPRESA: TREFIACEROS</t>
  </si>
  <si>
    <t>TREFIACEROS</t>
  </si>
</sst>
</file>

<file path=xl/styles.xml><?xml version="1.0" encoding="utf-8"?>
<styleSheet xmlns="http://schemas.openxmlformats.org/spreadsheetml/2006/main">
  <numFmts count="11">
    <numFmt numFmtId="44" formatCode="_(&quot;$&quot;\ * #,##0.00_);_(&quot;$&quot;\ * \(#,##0.00\);_(&quot;$&quot;\ * &quot;-&quot;??_);_(@_)"/>
    <numFmt numFmtId="164" formatCode="_ * #,##0.00_ ;_ * \-#,##0.00_ ;_ * &quot;-&quot;??_ ;_ @_ "/>
    <numFmt numFmtId="165" formatCode="_ * #,##0.0_ ;_ * \-#,##0.0_ ;_ * &quot;-&quot;??_ ;_ @_ "/>
    <numFmt numFmtId="166" formatCode="0.0%"/>
    <numFmt numFmtId="167" formatCode="_ * #,##0_ ;_ * \-#,##0_ ;_ * &quot;-&quot;??_ ;_ @_ "/>
    <numFmt numFmtId="168" formatCode="_(* #,##0.0_);_(* \(#,##0.0\);_(* &quot;-&quot;?_);_(@_)"/>
    <numFmt numFmtId="169" formatCode="0.0000"/>
    <numFmt numFmtId="170" formatCode="_(* #,##0_);_(* \(#,##0\);_(* &quot;-&quot;?_);_(@_)"/>
    <numFmt numFmtId="171" formatCode="#,##0.0"/>
    <numFmt numFmtId="172" formatCode="_(&quot;$&quot;\ * #,##0_);_(&quot;$&quot;\ * \(#,##0\);_(&quot;$&quot;\ * &quot;-&quot;??_);_(@_)"/>
    <numFmt numFmtId="173" formatCode="_ * #,##0.000_ ;_ * \-#,##0.000_ ;_ * &quot;-&quot;??_ ;_ @_ "/>
  </numFmts>
  <fonts count="4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56"/>
      <name val="Arial"/>
      <family val="2"/>
    </font>
    <font>
      <b/>
      <sz val="18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i/>
      <sz val="8"/>
      <color rgb="FF0000FF"/>
      <name val="Arial"/>
      <family val="2"/>
    </font>
    <font>
      <b/>
      <sz val="8"/>
      <color rgb="FFFFFF00"/>
      <name val="Arial"/>
      <family val="2"/>
    </font>
    <font>
      <sz val="9"/>
      <color rgb="FFFFFF00"/>
      <name val="Arial"/>
      <family val="2"/>
    </font>
    <font>
      <sz val="9"/>
      <color theme="1"/>
      <name val="Arial"/>
      <family val="2"/>
    </font>
    <font>
      <b/>
      <sz val="12"/>
      <color rgb="FF0000FF"/>
      <name val="Arial"/>
      <family val="2"/>
    </font>
    <font>
      <b/>
      <sz val="8"/>
      <color rgb="FF0000FF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8"/>
      <color theme="9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rgb="FFFFFF00"/>
      <name val="Arial"/>
      <family val="2"/>
    </font>
    <font>
      <b/>
      <sz val="9"/>
      <color theme="0" tint="-0.14999847407452621"/>
      <name val="Arial"/>
      <family val="2"/>
    </font>
    <font>
      <b/>
      <sz val="9"/>
      <color rgb="FFFFFF00"/>
      <name val="Arial"/>
      <family val="2"/>
    </font>
    <font>
      <b/>
      <sz val="9"/>
      <color rgb="FF0000FF"/>
      <name val="Arial"/>
      <family val="2"/>
    </font>
    <font>
      <b/>
      <sz val="8"/>
      <color theme="0" tint="-0.34998626667073579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FF00"/>
      <name val="Arial"/>
      <family val="2"/>
    </font>
    <font>
      <b/>
      <sz val="11"/>
      <color rgb="FFFFFF00"/>
      <name val="Arial"/>
      <family val="2"/>
    </font>
    <font>
      <sz val="8"/>
      <color theme="9" tint="-0.249977111117893"/>
      <name val="Arial"/>
      <family val="2"/>
    </font>
    <font>
      <sz val="16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7"/>
      <name val="Arial"/>
      <family val="2"/>
    </font>
    <font>
      <b/>
      <sz val="7"/>
      <color theme="1"/>
      <name val="Arial"/>
      <family val="2"/>
    </font>
    <font>
      <b/>
      <sz val="7"/>
      <color rgb="FF0000FF"/>
      <name val="Arial"/>
      <family val="2"/>
    </font>
    <font>
      <b/>
      <sz val="7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57"/>
      </right>
      <top style="double">
        <color indexed="57"/>
      </top>
      <bottom/>
      <diagonal/>
    </border>
    <border>
      <left style="hair">
        <color indexed="57"/>
      </left>
      <right style="hair">
        <color indexed="57"/>
      </right>
      <top style="double">
        <color indexed="57"/>
      </top>
      <bottom/>
      <diagonal/>
    </border>
    <border>
      <left style="hair">
        <color indexed="57"/>
      </left>
      <right style="double">
        <color indexed="57"/>
      </right>
      <top style="double">
        <color indexed="57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/>
      <right/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 applyFont="0"/>
    <xf numFmtId="16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1" fillId="0" borderId="0"/>
  </cellStyleXfs>
  <cellXfs count="421">
    <xf numFmtId="0" fontId="0" fillId="0" borderId="0" xfId="0"/>
    <xf numFmtId="0" fontId="0" fillId="2" borderId="0" xfId="0" applyFill="1"/>
    <xf numFmtId="0" fontId="7" fillId="2" borderId="0" xfId="0" applyFont="1" applyFill="1"/>
    <xf numFmtId="164" fontId="0" fillId="2" borderId="0" xfId="1" applyFont="1" applyFill="1"/>
    <xf numFmtId="0" fontId="3" fillId="2" borderId="0" xfId="0" applyFont="1" applyFill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3" fillId="5" borderId="10" xfId="0" applyFont="1" applyFill="1" applyBorder="1"/>
    <xf numFmtId="0" fontId="3" fillId="5" borderId="11" xfId="2" applyFont="1" applyFill="1" applyBorder="1" applyAlignment="1" applyProtection="1">
      <alignment horizontal="center" vertical="center" wrapText="1"/>
    </xf>
    <xf numFmtId="0" fontId="3" fillId="5" borderId="12" xfId="2" applyFont="1" applyFill="1" applyBorder="1" applyAlignment="1" applyProtection="1">
      <alignment horizontal="center" vertical="center" wrapText="1"/>
    </xf>
    <xf numFmtId="0" fontId="3" fillId="5" borderId="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16" fillId="4" borderId="5" xfId="0" applyFont="1" applyFill="1" applyBorder="1" applyAlignment="1">
      <alignment horizontal="center"/>
    </xf>
    <xf numFmtId="165" fontId="4" fillId="4" borderId="15" xfId="1" applyNumberFormat="1" applyFont="1" applyFill="1" applyBorder="1" applyAlignment="1" applyProtection="1">
      <alignment vertical="center" wrapText="1"/>
      <protection locked="0"/>
    </xf>
    <xf numFmtId="0" fontId="16" fillId="4" borderId="6" xfId="0" applyFont="1" applyFill="1" applyBorder="1" applyAlignment="1">
      <alignment horizontal="center"/>
    </xf>
    <xf numFmtId="0" fontId="5" fillId="3" borderId="16" xfId="2" applyFont="1" applyFill="1" applyBorder="1" applyAlignment="1" applyProtection="1">
      <alignment horizontal="left" vertical="center" wrapText="1"/>
    </xf>
    <xf numFmtId="165" fontId="4" fillId="4" borderId="11" xfId="1" applyNumberFormat="1" applyFont="1" applyFill="1" applyBorder="1" applyAlignment="1" applyProtection="1">
      <alignment vertical="center" wrapText="1"/>
      <protection locked="0"/>
    </xf>
    <xf numFmtId="0" fontId="5" fillId="3" borderId="11" xfId="2" applyFont="1" applyFill="1" applyBorder="1" applyAlignment="1" applyProtection="1">
      <alignment horizontal="left" vertical="center" wrapText="1"/>
    </xf>
    <xf numFmtId="0" fontId="5" fillId="3" borderId="18" xfId="2" applyFont="1" applyFill="1" applyBorder="1" applyAlignment="1" applyProtection="1">
      <alignment horizontal="left" vertical="center" wrapText="1"/>
    </xf>
    <xf numFmtId="0" fontId="16" fillId="4" borderId="3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18" fillId="6" borderId="19" xfId="0" applyFont="1" applyFill="1" applyBorder="1"/>
    <xf numFmtId="0" fontId="18" fillId="6" borderId="20" xfId="0" applyFont="1" applyFill="1" applyBorder="1"/>
    <xf numFmtId="0" fontId="18" fillId="6" borderId="21" xfId="0" applyFont="1" applyFill="1" applyBorder="1"/>
    <xf numFmtId="0" fontId="18" fillId="6" borderId="22" xfId="0" applyFont="1" applyFill="1" applyBorder="1"/>
    <xf numFmtId="0" fontId="4" fillId="2" borderId="0" xfId="2" applyFont="1" applyFill="1" applyBorder="1" applyAlignment="1" applyProtection="1">
      <alignment horizontal="left" vertical="center" wrapText="1"/>
    </xf>
    <xf numFmtId="0" fontId="6" fillId="2" borderId="0" xfId="2" applyFill="1" applyProtection="1"/>
    <xf numFmtId="0" fontId="6" fillId="0" borderId="0" xfId="2" applyProtection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/>
    <xf numFmtId="0" fontId="7" fillId="2" borderId="0" xfId="0" applyFont="1" applyFill="1" applyAlignment="1"/>
    <xf numFmtId="0" fontId="5" fillId="4" borderId="23" xfId="2" applyFont="1" applyFill="1" applyBorder="1" applyAlignment="1" applyProtection="1">
      <alignment horizontal="left" vertical="center" wrapText="1"/>
    </xf>
    <xf numFmtId="0" fontId="4" fillId="8" borderId="24" xfId="2" applyFont="1" applyFill="1" applyBorder="1" applyAlignment="1" applyProtection="1">
      <alignment horizontal="center" vertical="center" wrapText="1"/>
    </xf>
    <xf numFmtId="0" fontId="18" fillId="3" borderId="21" xfId="0" applyFont="1" applyFill="1" applyBorder="1"/>
    <xf numFmtId="0" fontId="18" fillId="3" borderId="25" xfId="0" applyFont="1" applyFill="1" applyBorder="1"/>
    <xf numFmtId="0" fontId="18" fillId="3" borderId="22" xfId="0" applyFont="1" applyFill="1" applyBorder="1"/>
    <xf numFmtId="0" fontId="5" fillId="7" borderId="26" xfId="2" applyFont="1" applyFill="1" applyBorder="1" applyAlignment="1" applyProtection="1">
      <alignment horizontal="left" vertical="center" wrapText="1"/>
    </xf>
    <xf numFmtId="165" fontId="9" fillId="7" borderId="27" xfId="1" applyNumberFormat="1" applyFont="1" applyFill="1" applyBorder="1"/>
    <xf numFmtId="0" fontId="18" fillId="4" borderId="20" xfId="0" applyFont="1" applyFill="1" applyBorder="1"/>
    <xf numFmtId="0" fontId="20" fillId="9" borderId="24" xfId="2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>
      <alignment horizontal="center"/>
    </xf>
    <xf numFmtId="165" fontId="18" fillId="6" borderId="24" xfId="1" applyNumberFormat="1" applyFont="1" applyFill="1" applyBorder="1"/>
    <xf numFmtId="0" fontId="18" fillId="10" borderId="19" xfId="0" applyFont="1" applyFill="1" applyBorder="1"/>
    <xf numFmtId="165" fontId="18" fillId="10" borderId="24" xfId="1" applyNumberFormat="1" applyFont="1" applyFill="1" applyBorder="1"/>
    <xf numFmtId="0" fontId="16" fillId="7" borderId="20" xfId="0" applyFont="1" applyFill="1" applyBorder="1" applyAlignment="1">
      <alignment horizontal="left" vertical="center" wrapText="1"/>
    </xf>
    <xf numFmtId="0" fontId="18" fillId="7" borderId="20" xfId="0" applyFont="1" applyFill="1" applyBorder="1"/>
    <xf numFmtId="0" fontId="18" fillId="7" borderId="28" xfId="0" applyFont="1" applyFill="1" applyBorder="1"/>
    <xf numFmtId="0" fontId="18" fillId="7" borderId="0" xfId="0" applyFont="1" applyFill="1" applyBorder="1"/>
    <xf numFmtId="0" fontId="18" fillId="7" borderId="8" xfId="0" applyFont="1" applyFill="1" applyBorder="1"/>
    <xf numFmtId="0" fontId="18" fillId="7" borderId="18" xfId="0" applyFont="1" applyFill="1" applyBorder="1"/>
    <xf numFmtId="0" fontId="18" fillId="7" borderId="29" xfId="0" applyFont="1" applyFill="1" applyBorder="1"/>
    <xf numFmtId="165" fontId="18" fillId="6" borderId="23" xfId="1" applyNumberFormat="1" applyFont="1" applyFill="1" applyBorder="1"/>
    <xf numFmtId="165" fontId="18" fillId="6" borderId="16" xfId="1" applyNumberFormat="1" applyFont="1" applyFill="1" applyBorder="1"/>
    <xf numFmtId="165" fontId="18" fillId="6" borderId="18" xfId="1" applyNumberFormat="1" applyFont="1" applyFill="1" applyBorder="1"/>
    <xf numFmtId="165" fontId="21" fillId="9" borderId="19" xfId="1" applyNumberFormat="1" applyFont="1" applyFill="1" applyBorder="1"/>
    <xf numFmtId="165" fontId="21" fillId="9" borderId="24" xfId="1" applyNumberFormat="1" applyFont="1" applyFill="1" applyBorder="1"/>
    <xf numFmtId="165" fontId="21" fillId="9" borderId="30" xfId="1" applyNumberFormat="1" applyFont="1" applyFill="1" applyBorder="1"/>
    <xf numFmtId="165" fontId="13" fillId="3" borderId="21" xfId="1" applyNumberFormat="1" applyFont="1" applyFill="1" applyBorder="1"/>
    <xf numFmtId="165" fontId="13" fillId="3" borderId="16" xfId="1" applyNumberFormat="1" applyFont="1" applyFill="1" applyBorder="1"/>
    <xf numFmtId="165" fontId="13" fillId="8" borderId="19" xfId="1" applyNumberFormat="1" applyFont="1" applyFill="1" applyBorder="1"/>
    <xf numFmtId="165" fontId="13" fillId="8" borderId="24" xfId="1" applyNumberFormat="1" applyFont="1" applyFill="1" applyBorder="1"/>
    <xf numFmtId="165" fontId="13" fillId="8" borderId="30" xfId="1" applyNumberFormat="1" applyFont="1" applyFill="1" applyBorder="1"/>
    <xf numFmtId="165" fontId="13" fillId="7" borderId="27" xfId="1" applyNumberFormat="1" applyFont="1" applyFill="1" applyBorder="1"/>
    <xf numFmtId="165" fontId="22" fillId="3" borderId="16" xfId="1" applyNumberFormat="1" applyFont="1" applyFill="1" applyBorder="1"/>
    <xf numFmtId="168" fontId="18" fillId="7" borderId="18" xfId="0" applyNumberFormat="1" applyFont="1" applyFill="1" applyBorder="1"/>
    <xf numFmtId="166" fontId="4" fillId="4" borderId="11" xfId="3" applyNumberFormat="1" applyFont="1" applyFill="1" applyBorder="1" applyAlignment="1" applyProtection="1">
      <alignment horizontal="center" vertical="center" wrapText="1"/>
      <protection locked="0"/>
    </xf>
    <xf numFmtId="165" fontId="13" fillId="8" borderId="31" xfId="1" applyNumberFormat="1" applyFont="1" applyFill="1" applyBorder="1"/>
    <xf numFmtId="165" fontId="21" fillId="9" borderId="31" xfId="1" applyNumberFormat="1" applyFont="1" applyFill="1" applyBorder="1"/>
    <xf numFmtId="165" fontId="18" fillId="10" borderId="32" xfId="1" applyNumberFormat="1" applyFont="1" applyFill="1" applyBorder="1"/>
    <xf numFmtId="168" fontId="0" fillId="4" borderId="0" xfId="0" applyNumberFormat="1" applyFill="1" applyBorder="1"/>
    <xf numFmtId="169" fontId="4" fillId="4" borderId="11" xfId="1" applyNumberFormat="1" applyFont="1" applyFill="1" applyBorder="1" applyAlignment="1" applyProtection="1">
      <alignment vertical="center" wrapText="1"/>
      <protection locked="0"/>
    </xf>
    <xf numFmtId="169" fontId="4" fillId="4" borderId="11" xfId="3" applyNumberFormat="1" applyFont="1" applyFill="1" applyBorder="1" applyAlignment="1" applyProtection="1">
      <alignment horizontal="center" vertical="center" wrapText="1"/>
      <protection locked="0"/>
    </xf>
    <xf numFmtId="0" fontId="24" fillId="4" borderId="0" xfId="0" applyFont="1" applyFill="1" applyBorder="1" applyAlignment="1">
      <alignment horizontal="center"/>
    </xf>
    <xf numFmtId="0" fontId="24" fillId="4" borderId="20" xfId="2" applyFont="1" applyFill="1" applyBorder="1" applyAlignment="1" applyProtection="1">
      <alignment horizontal="left" vertical="center" wrapText="1"/>
    </xf>
    <xf numFmtId="0" fontId="25" fillId="4" borderId="0" xfId="0" applyFont="1" applyFill="1"/>
    <xf numFmtId="165" fontId="15" fillId="4" borderId="0" xfId="1" applyNumberFormat="1" applyFont="1" applyFill="1" applyBorder="1" applyAlignment="1">
      <alignment horizontal="center"/>
    </xf>
    <xf numFmtId="165" fontId="26" fillId="7" borderId="27" xfId="1" applyNumberFormat="1" applyFont="1" applyFill="1" applyBorder="1"/>
    <xf numFmtId="166" fontId="0" fillId="4" borderId="0" xfId="0" applyNumberFormat="1" applyFill="1"/>
    <xf numFmtId="168" fontId="0" fillId="2" borderId="0" xfId="0" applyNumberFormat="1" applyFill="1"/>
    <xf numFmtId="9" fontId="0" fillId="2" borderId="0" xfId="3" applyFont="1" applyFill="1"/>
    <xf numFmtId="168" fontId="0" fillId="4" borderId="0" xfId="0" applyNumberFormat="1" applyFill="1"/>
    <xf numFmtId="10" fontId="4" fillId="4" borderId="11" xfId="3" applyNumberFormat="1" applyFont="1" applyFill="1" applyBorder="1" applyAlignment="1" applyProtection="1">
      <alignment horizontal="center" vertical="center" wrapText="1"/>
      <protection locked="0"/>
    </xf>
    <xf numFmtId="170" fontId="0" fillId="2" borderId="0" xfId="0" applyNumberFormat="1" applyFill="1"/>
    <xf numFmtId="170" fontId="0" fillId="4" borderId="0" xfId="0" applyNumberFormat="1" applyFill="1"/>
    <xf numFmtId="164" fontId="3" fillId="4" borderId="11" xfId="1" applyNumberFormat="1" applyFont="1" applyFill="1" applyBorder="1" applyAlignment="1" applyProtection="1">
      <alignment vertical="center" wrapText="1"/>
      <protection locked="0"/>
    </xf>
    <xf numFmtId="167" fontId="13" fillId="2" borderId="0" xfId="1" applyNumberFormat="1" applyFont="1" applyFill="1"/>
    <xf numFmtId="0" fontId="2" fillId="4" borderId="0" xfId="0" applyFont="1" applyFill="1"/>
    <xf numFmtId="171" fontId="4" fillId="4" borderId="11" xfId="1" applyNumberFormat="1" applyFont="1" applyFill="1" applyBorder="1" applyAlignment="1" applyProtection="1">
      <alignment horizontal="center" vertical="center" wrapText="1"/>
      <protection locked="0"/>
    </xf>
    <xf numFmtId="165" fontId="27" fillId="6" borderId="23" xfId="1" applyNumberFormat="1" applyFont="1" applyFill="1" applyBorder="1"/>
    <xf numFmtId="165" fontId="4" fillId="4" borderId="11" xfId="3" applyNumberFormat="1" applyFont="1" applyFill="1" applyBorder="1" applyAlignment="1" applyProtection="1">
      <alignment vertical="center" wrapText="1"/>
      <protection locked="0"/>
    </xf>
    <xf numFmtId="165" fontId="0" fillId="4" borderId="0" xfId="0" applyNumberFormat="1" applyFill="1"/>
    <xf numFmtId="166" fontId="18" fillId="7" borderId="18" xfId="3" applyNumberFormat="1" applyFont="1" applyFill="1" applyBorder="1" applyAlignment="1">
      <alignment horizontal="center"/>
    </xf>
    <xf numFmtId="166" fontId="18" fillId="7" borderId="18" xfId="0" applyNumberFormat="1" applyFont="1" applyFill="1" applyBorder="1"/>
    <xf numFmtId="165" fontId="0" fillId="4" borderId="0" xfId="0" applyNumberFormat="1" applyFill="1" applyBorder="1"/>
    <xf numFmtId="0" fontId="3" fillId="5" borderId="33" xfId="0" applyFont="1" applyFill="1" applyBorder="1" applyAlignment="1"/>
    <xf numFmtId="0" fontId="4" fillId="5" borderId="1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168" fontId="28" fillId="4" borderId="0" xfId="0" applyNumberFormat="1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0" fillId="4" borderId="36" xfId="0" applyFill="1" applyBorder="1"/>
    <xf numFmtId="0" fontId="0" fillId="4" borderId="37" xfId="0" applyFill="1" applyBorder="1"/>
    <xf numFmtId="165" fontId="24" fillId="4" borderId="36" xfId="1" applyNumberFormat="1" applyFont="1" applyFill="1" applyBorder="1" applyAlignment="1" applyProtection="1">
      <alignment horizontal="center" vertical="center" wrapText="1"/>
    </xf>
    <xf numFmtId="165" fontId="24" fillId="4" borderId="37" xfId="1" applyNumberFormat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/>
    <xf numFmtId="0" fontId="4" fillId="5" borderId="38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8" fontId="0" fillId="4" borderId="20" xfId="0" applyNumberFormat="1" applyFill="1" applyBorder="1"/>
    <xf numFmtId="168" fontId="29" fillId="11" borderId="39" xfId="0" applyNumberFormat="1" applyFont="1" applyFill="1" applyBorder="1"/>
    <xf numFmtId="168" fontId="29" fillId="11" borderId="14" xfId="0" applyNumberFormat="1" applyFont="1" applyFill="1" applyBorder="1"/>
    <xf numFmtId="168" fontId="29" fillId="11" borderId="35" xfId="0" applyNumberFormat="1" applyFont="1" applyFill="1" applyBorder="1"/>
    <xf numFmtId="165" fontId="31" fillId="9" borderId="0" xfId="1" applyNumberFormat="1" applyFont="1" applyFill="1" applyBorder="1" applyAlignment="1" applyProtection="1">
      <alignment horizontal="center" vertical="center" wrapText="1"/>
    </xf>
    <xf numFmtId="168" fontId="32" fillId="4" borderId="37" xfId="0" applyNumberFormat="1" applyFont="1" applyFill="1" applyBorder="1"/>
    <xf numFmtId="165" fontId="33" fillId="4" borderId="36" xfId="1" applyNumberFormat="1" applyFont="1" applyFill="1" applyBorder="1" applyAlignment="1" applyProtection="1">
      <alignment horizontal="center" vertical="center" wrapText="1"/>
    </xf>
    <xf numFmtId="168" fontId="14" fillId="4" borderId="37" xfId="0" applyNumberFormat="1" applyFont="1" applyFill="1" applyBorder="1"/>
    <xf numFmtId="0" fontId="3" fillId="12" borderId="3" xfId="0" applyFont="1" applyFill="1" applyBorder="1"/>
    <xf numFmtId="0" fontId="3" fillId="12" borderId="2" xfId="0" applyFont="1" applyFill="1" applyBorder="1"/>
    <xf numFmtId="165" fontId="13" fillId="12" borderId="33" xfId="0" applyNumberFormat="1" applyFont="1" applyFill="1" applyBorder="1"/>
    <xf numFmtId="165" fontId="13" fillId="12" borderId="7" xfId="0" applyNumberFormat="1" applyFont="1" applyFill="1" applyBorder="1"/>
    <xf numFmtId="168" fontId="32" fillId="12" borderId="2" xfId="0" applyNumberFormat="1" applyFont="1" applyFill="1" applyBorder="1"/>
    <xf numFmtId="168" fontId="32" fillId="12" borderId="9" xfId="0" applyNumberFormat="1" applyFont="1" applyFill="1" applyBorder="1"/>
    <xf numFmtId="168" fontId="13" fillId="12" borderId="33" xfId="0" applyNumberFormat="1" applyFont="1" applyFill="1" applyBorder="1"/>
    <xf numFmtId="168" fontId="13" fillId="12" borderId="7" xfId="0" applyNumberFormat="1" applyFont="1" applyFill="1" applyBorder="1"/>
    <xf numFmtId="168" fontId="14" fillId="12" borderId="2" xfId="0" applyNumberFormat="1" applyFont="1" applyFill="1" applyBorder="1"/>
    <xf numFmtId="168" fontId="14" fillId="12" borderId="9" xfId="0" applyNumberFormat="1" applyFont="1" applyFill="1" applyBorder="1"/>
    <xf numFmtId="0" fontId="0" fillId="13" borderId="33" xfId="0" applyFill="1" applyBorder="1"/>
    <xf numFmtId="165" fontId="13" fillId="13" borderId="33" xfId="0" applyNumberFormat="1" applyFont="1" applyFill="1" applyBorder="1"/>
    <xf numFmtId="165" fontId="13" fillId="13" borderId="7" xfId="0" applyNumberFormat="1" applyFont="1" applyFill="1" applyBorder="1"/>
    <xf numFmtId="0" fontId="15" fillId="13" borderId="3" xfId="0" applyFont="1" applyFill="1" applyBorder="1"/>
    <xf numFmtId="0" fontId="15" fillId="13" borderId="2" xfId="0" applyFont="1" applyFill="1" applyBorder="1"/>
    <xf numFmtId="168" fontId="32" fillId="13" borderId="2" xfId="0" applyNumberFormat="1" applyFont="1" applyFill="1" applyBorder="1"/>
    <xf numFmtId="168" fontId="32" fillId="13" borderId="9" xfId="0" applyNumberFormat="1" applyFont="1" applyFill="1" applyBorder="1"/>
    <xf numFmtId="168" fontId="13" fillId="13" borderId="33" xfId="0" applyNumberFormat="1" applyFont="1" applyFill="1" applyBorder="1"/>
    <xf numFmtId="168" fontId="13" fillId="13" borderId="7" xfId="0" applyNumberFormat="1" applyFont="1" applyFill="1" applyBorder="1"/>
    <xf numFmtId="0" fontId="3" fillId="13" borderId="3" xfId="0" applyFont="1" applyFill="1" applyBorder="1"/>
    <xf numFmtId="0" fontId="3" fillId="13" borderId="2" xfId="0" applyFont="1" applyFill="1" applyBorder="1"/>
    <xf numFmtId="168" fontId="14" fillId="13" borderId="2" xfId="0" applyNumberFormat="1" applyFont="1" applyFill="1" applyBorder="1"/>
    <xf numFmtId="168" fontId="14" fillId="13" borderId="9" xfId="0" applyNumberFormat="1" applyFont="1" applyFill="1" applyBorder="1"/>
    <xf numFmtId="168" fontId="4" fillId="0" borderId="0" xfId="0" applyNumberFormat="1" applyFont="1"/>
    <xf numFmtId="168" fontId="28" fillId="4" borderId="0" xfId="0" applyNumberFormat="1" applyFont="1" applyFill="1"/>
    <xf numFmtId="165" fontId="31" fillId="9" borderId="19" xfId="1" applyNumberFormat="1" applyFont="1" applyFill="1" applyBorder="1"/>
    <xf numFmtId="165" fontId="31" fillId="9" borderId="24" xfId="1" applyNumberFormat="1" applyFont="1" applyFill="1" applyBorder="1"/>
    <xf numFmtId="165" fontId="31" fillId="9" borderId="30" xfId="1" applyNumberFormat="1" applyFont="1" applyFill="1" applyBorder="1"/>
    <xf numFmtId="0" fontId="34" fillId="0" borderId="0" xfId="0" applyFont="1"/>
    <xf numFmtId="165" fontId="0" fillId="4" borderId="0" xfId="1" applyNumberFormat="1" applyFont="1" applyFill="1" applyBorder="1"/>
    <xf numFmtId="167" fontId="0" fillId="4" borderId="0" xfId="1" applyNumberFormat="1" applyFont="1" applyFill="1"/>
    <xf numFmtId="167" fontId="0" fillId="4" borderId="0" xfId="0" applyNumberFormat="1" applyFill="1"/>
    <xf numFmtId="0" fontId="3" fillId="5" borderId="35" xfId="0" applyFont="1" applyFill="1" applyBorder="1"/>
    <xf numFmtId="0" fontId="4" fillId="5" borderId="52" xfId="0" applyFont="1" applyFill="1" applyBorder="1" applyAlignment="1">
      <alignment horizontal="center"/>
    </xf>
    <xf numFmtId="0" fontId="0" fillId="4" borderId="28" xfId="0" applyFill="1" applyBorder="1"/>
    <xf numFmtId="165" fontId="33" fillId="4" borderId="6" xfId="1" applyNumberFormat="1" applyFont="1" applyFill="1" applyBorder="1" applyAlignment="1" applyProtection="1">
      <alignment horizontal="center" vertical="center" wrapText="1"/>
    </xf>
    <xf numFmtId="0" fontId="0" fillId="4" borderId="6" xfId="0" applyFill="1" applyBorder="1"/>
    <xf numFmtId="0" fontId="0" fillId="4" borderId="8" xfId="0" applyFill="1" applyBorder="1"/>
    <xf numFmtId="165" fontId="0" fillId="4" borderId="6" xfId="0" applyNumberFormat="1" applyFill="1" applyBorder="1"/>
    <xf numFmtId="168" fontId="28" fillId="4" borderId="0" xfId="0" applyNumberFormat="1" applyFont="1" applyFill="1" applyBorder="1"/>
    <xf numFmtId="168" fontId="28" fillId="4" borderId="8" xfId="0" applyNumberFormat="1" applyFont="1" applyFill="1" applyBorder="1"/>
    <xf numFmtId="165" fontId="0" fillId="4" borderId="3" xfId="0" applyNumberFormat="1" applyFill="1" applyBorder="1"/>
    <xf numFmtId="168" fontId="28" fillId="4" borderId="2" xfId="0" applyNumberFormat="1" applyFont="1" applyFill="1" applyBorder="1"/>
    <xf numFmtId="168" fontId="28" fillId="4" borderId="9" xfId="0" applyNumberFormat="1" applyFont="1" applyFill="1" applyBorder="1"/>
    <xf numFmtId="10" fontId="0" fillId="4" borderId="0" xfId="3" applyNumberFormat="1" applyFont="1" applyFill="1"/>
    <xf numFmtId="165" fontId="0" fillId="4" borderId="5" xfId="0" applyNumberFormat="1" applyFill="1" applyBorder="1"/>
    <xf numFmtId="0" fontId="1" fillId="0" borderId="0" xfId="0" applyFont="1"/>
    <xf numFmtId="0" fontId="10" fillId="4" borderId="0" xfId="2" applyFont="1" applyFill="1" applyBorder="1" applyAlignment="1" applyProtection="1">
      <alignment horizontal="left" vertical="center" wrapText="1"/>
    </xf>
    <xf numFmtId="0" fontId="11" fillId="7" borderId="0" xfId="2" applyFont="1" applyFill="1" applyAlignment="1" applyProtection="1">
      <alignment horizontal="center" vertical="center" wrapText="1"/>
    </xf>
    <xf numFmtId="0" fontId="11" fillId="7" borderId="0" xfId="2" applyFont="1" applyFill="1" applyAlignment="1" applyProtection="1">
      <alignment horizontal="center"/>
    </xf>
    <xf numFmtId="165" fontId="37" fillId="6" borderId="23" xfId="1" applyNumberFormat="1" applyFont="1" applyFill="1" applyBorder="1"/>
    <xf numFmtId="0" fontId="0" fillId="14" borderId="0" xfId="0" applyFill="1"/>
    <xf numFmtId="0" fontId="3" fillId="14" borderId="11" xfId="2" applyFont="1" applyFill="1" applyBorder="1" applyAlignment="1" applyProtection="1">
      <alignment horizontal="center" vertical="center" wrapText="1"/>
    </xf>
    <xf numFmtId="0" fontId="0" fillId="14" borderId="0" xfId="0" applyFill="1" applyBorder="1"/>
    <xf numFmtId="165" fontId="13" fillId="14" borderId="21" xfId="1" applyNumberFormat="1" applyFont="1" applyFill="1" applyBorder="1"/>
    <xf numFmtId="165" fontId="13" fillId="14" borderId="19" xfId="1" applyNumberFormat="1" applyFont="1" applyFill="1" applyBorder="1"/>
    <xf numFmtId="165" fontId="13" fillId="14" borderId="27" xfId="1" applyNumberFormat="1" applyFont="1" applyFill="1" applyBorder="1"/>
    <xf numFmtId="165" fontId="13" fillId="14" borderId="16" xfId="1" applyNumberFormat="1" applyFont="1" applyFill="1" applyBorder="1"/>
    <xf numFmtId="168" fontId="0" fillId="14" borderId="0" xfId="0" applyNumberFormat="1" applyFill="1" applyBorder="1"/>
    <xf numFmtId="165" fontId="22" fillId="14" borderId="16" xfId="1" applyNumberFormat="1" applyFont="1" applyFill="1" applyBorder="1"/>
    <xf numFmtId="165" fontId="9" fillId="14" borderId="27" xfId="1" applyNumberFormat="1" applyFont="1" applyFill="1" applyBorder="1"/>
    <xf numFmtId="165" fontId="15" fillId="14" borderId="0" xfId="1" applyNumberFormat="1" applyFont="1" applyFill="1" applyBorder="1" applyAlignment="1">
      <alignment horizontal="center"/>
    </xf>
    <xf numFmtId="168" fontId="28" fillId="14" borderId="0" xfId="0" applyNumberFormat="1" applyFont="1" applyFill="1" applyBorder="1" applyAlignment="1">
      <alignment horizontal="center" vertical="center" wrapText="1"/>
    </xf>
    <xf numFmtId="165" fontId="18" fillId="14" borderId="24" xfId="1" applyNumberFormat="1" applyFont="1" applyFill="1" applyBorder="1"/>
    <xf numFmtId="165" fontId="18" fillId="14" borderId="23" xfId="1" applyNumberFormat="1" applyFont="1" applyFill="1" applyBorder="1"/>
    <xf numFmtId="165" fontId="18" fillId="14" borderId="16" xfId="1" applyNumberFormat="1" applyFont="1" applyFill="1" applyBorder="1"/>
    <xf numFmtId="165" fontId="18" fillId="14" borderId="18" xfId="1" applyNumberFormat="1" applyFont="1" applyFill="1" applyBorder="1"/>
    <xf numFmtId="0" fontId="18" fillId="14" borderId="28" xfId="0" applyFont="1" applyFill="1" applyBorder="1"/>
    <xf numFmtId="0" fontId="18" fillId="14" borderId="18" xfId="0" applyFont="1" applyFill="1" applyBorder="1"/>
    <xf numFmtId="166" fontId="18" fillId="14" borderId="18" xfId="3" applyNumberFormat="1" applyFont="1" applyFill="1" applyBorder="1" applyAlignment="1">
      <alignment horizontal="center"/>
    </xf>
    <xf numFmtId="167" fontId="0" fillId="14" borderId="0" xfId="1" applyNumberFormat="1" applyFont="1" applyFill="1"/>
    <xf numFmtId="165" fontId="13" fillId="14" borderId="24" xfId="1" applyNumberFormat="1" applyFont="1" applyFill="1" applyBorder="1"/>
    <xf numFmtId="165" fontId="26" fillId="14" borderId="27" xfId="1" applyNumberFormat="1" applyFont="1" applyFill="1" applyBorder="1"/>
    <xf numFmtId="165" fontId="37" fillId="14" borderId="23" xfId="1" applyNumberFormat="1" applyFont="1" applyFill="1" applyBorder="1"/>
    <xf numFmtId="0" fontId="18" fillId="14" borderId="0" xfId="0" applyFont="1" applyFill="1" applyBorder="1"/>
    <xf numFmtId="168" fontId="18" fillId="14" borderId="18" xfId="0" applyNumberFormat="1" applyFont="1" applyFill="1" applyBorder="1"/>
    <xf numFmtId="166" fontId="18" fillId="14" borderId="18" xfId="0" applyNumberFormat="1" applyFont="1" applyFill="1" applyBorder="1"/>
    <xf numFmtId="167" fontId="0" fillId="14" borderId="0" xfId="0" applyNumberFormat="1" applyFill="1"/>
    <xf numFmtId="165" fontId="0" fillId="14" borderId="0" xfId="0" applyNumberFormat="1" applyFill="1"/>
    <xf numFmtId="10" fontId="0" fillId="14" borderId="0" xfId="3" applyNumberFormat="1" applyFont="1" applyFill="1"/>
    <xf numFmtId="165" fontId="27" fillId="14" borderId="23" xfId="1" applyNumberFormat="1" applyFont="1" applyFill="1" applyBorder="1"/>
    <xf numFmtId="0" fontId="3" fillId="14" borderId="12" xfId="2" applyFont="1" applyFill="1" applyBorder="1" applyAlignment="1" applyProtection="1">
      <alignment horizontal="center" vertical="center" wrapText="1"/>
    </xf>
    <xf numFmtId="165" fontId="13" fillId="14" borderId="30" xfId="1" applyNumberFormat="1" applyFont="1" applyFill="1" applyBorder="1"/>
    <xf numFmtId="165" fontId="13" fillId="14" borderId="31" xfId="1" applyNumberFormat="1" applyFont="1" applyFill="1" applyBorder="1"/>
    <xf numFmtId="165" fontId="18" fillId="14" borderId="32" xfId="1" applyNumberFormat="1" applyFont="1" applyFill="1" applyBorder="1"/>
    <xf numFmtId="0" fontId="18" fillId="14" borderId="8" xfId="0" applyFont="1" applyFill="1" applyBorder="1"/>
    <xf numFmtId="0" fontId="18" fillId="14" borderId="29" xfId="0" applyFont="1" applyFill="1" applyBorder="1"/>
    <xf numFmtId="0" fontId="20" fillId="15" borderId="24" xfId="2" applyFont="1" applyFill="1" applyBorder="1" applyAlignment="1" applyProtection="1">
      <alignment horizontal="center" vertical="center" wrapText="1"/>
    </xf>
    <xf numFmtId="165" fontId="21" fillId="15" borderId="19" xfId="1" applyNumberFormat="1" applyFont="1" applyFill="1" applyBorder="1"/>
    <xf numFmtId="165" fontId="21" fillId="15" borderId="24" xfId="1" applyNumberFormat="1" applyFont="1" applyFill="1" applyBorder="1"/>
    <xf numFmtId="165" fontId="21" fillId="15" borderId="30" xfId="1" applyNumberFormat="1" applyFont="1" applyFill="1" applyBorder="1"/>
    <xf numFmtId="165" fontId="21" fillId="15" borderId="31" xfId="1" applyNumberFormat="1" applyFont="1" applyFill="1" applyBorder="1"/>
    <xf numFmtId="165" fontId="13" fillId="16" borderId="16" xfId="1" applyNumberFormat="1" applyFont="1" applyFill="1" applyBorder="1"/>
    <xf numFmtId="165" fontId="13" fillId="16" borderId="21" xfId="1" applyNumberFormat="1" applyFont="1" applyFill="1" applyBorder="1"/>
    <xf numFmtId="165" fontId="2" fillId="6" borderId="23" xfId="1" applyNumberFormat="1" applyFont="1" applyFill="1" applyBorder="1"/>
    <xf numFmtId="0" fontId="6" fillId="4" borderId="0" xfId="2" applyFill="1" applyProtection="1"/>
    <xf numFmtId="0" fontId="8" fillId="4" borderId="0" xfId="0" applyFont="1" applyFill="1" applyAlignment="1"/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/>
    <xf numFmtId="0" fontId="7" fillId="4" borderId="0" xfId="0" applyFont="1" applyFill="1"/>
    <xf numFmtId="168" fontId="4" fillId="4" borderId="0" xfId="0" applyNumberFormat="1" applyFont="1" applyFill="1"/>
    <xf numFmtId="0" fontId="38" fillId="4" borderId="0" xfId="0" applyFont="1" applyFill="1"/>
    <xf numFmtId="165" fontId="13" fillId="7" borderId="26" xfId="1" applyNumberFormat="1" applyFont="1" applyFill="1" applyBorder="1" applyAlignment="1" applyProtection="1">
      <alignment horizontal="left" vertical="center" wrapText="1"/>
    </xf>
    <xf numFmtId="0" fontId="13" fillId="4" borderId="0" xfId="2" applyFont="1" applyFill="1" applyProtection="1"/>
    <xf numFmtId="0" fontId="13" fillId="2" borderId="0" xfId="2" applyFont="1" applyFill="1" applyProtection="1"/>
    <xf numFmtId="0" fontId="13" fillId="4" borderId="0" xfId="0" applyFont="1" applyFill="1"/>
    <xf numFmtId="165" fontId="13" fillId="4" borderId="0" xfId="1" applyNumberFormat="1" applyFont="1" applyFill="1"/>
    <xf numFmtId="0" fontId="5" fillId="3" borderId="54" xfId="2" applyFont="1" applyFill="1" applyBorder="1" applyAlignment="1" applyProtection="1">
      <alignment horizontal="left" vertical="center" wrapText="1"/>
    </xf>
    <xf numFmtId="165" fontId="13" fillId="14" borderId="20" xfId="1" applyNumberFormat="1" applyFont="1" applyFill="1" applyBorder="1"/>
    <xf numFmtId="165" fontId="39" fillId="14" borderId="53" xfId="1" applyNumberFormat="1" applyFont="1" applyFill="1" applyBorder="1"/>
    <xf numFmtId="165" fontId="13" fillId="14" borderId="53" xfId="1" applyNumberFormat="1" applyFont="1" applyFill="1" applyBorder="1"/>
    <xf numFmtId="9" fontId="18" fillId="6" borderId="23" xfId="3" applyFont="1" applyFill="1" applyBorder="1"/>
    <xf numFmtId="0" fontId="1" fillId="2" borderId="0" xfId="7" applyFill="1" applyProtection="1"/>
    <xf numFmtId="0" fontId="1" fillId="0" borderId="0" xfId="7" applyProtection="1"/>
    <xf numFmtId="0" fontId="4" fillId="2" borderId="0" xfId="7" applyFont="1" applyFill="1" applyBorder="1" applyAlignment="1" applyProtection="1">
      <alignment horizontal="left" vertical="center" wrapText="1"/>
    </xf>
    <xf numFmtId="10" fontId="1" fillId="4" borderId="0" xfId="3" applyNumberFormat="1" applyFont="1" applyFill="1"/>
    <xf numFmtId="165" fontId="1" fillId="4" borderId="0" xfId="1" applyNumberFormat="1" applyFont="1" applyFill="1"/>
    <xf numFmtId="164" fontId="1" fillId="4" borderId="0" xfId="1" applyFont="1" applyFill="1"/>
    <xf numFmtId="0" fontId="3" fillId="5" borderId="11" xfId="7" applyFont="1" applyFill="1" applyBorder="1" applyAlignment="1" applyProtection="1">
      <alignment horizontal="center" vertical="center" wrapText="1"/>
    </xf>
    <xf numFmtId="0" fontId="3" fillId="5" borderId="1" xfId="7" applyFont="1" applyFill="1" applyBorder="1" applyAlignment="1" applyProtection="1">
      <alignment horizontal="center" vertical="center" wrapText="1"/>
    </xf>
    <xf numFmtId="0" fontId="3" fillId="5" borderId="17" xfId="7" applyFont="1" applyFill="1" applyBorder="1" applyAlignment="1" applyProtection="1">
      <alignment horizontal="center" vertical="center" wrapText="1"/>
    </xf>
    <xf numFmtId="0" fontId="1" fillId="4" borderId="4" xfId="7" applyFont="1" applyFill="1" applyBorder="1" applyProtection="1"/>
    <xf numFmtId="0" fontId="3" fillId="4" borderId="1" xfId="7" applyFont="1" applyFill="1" applyBorder="1" applyAlignment="1" applyProtection="1">
      <alignment horizontal="center" vertical="center" wrapText="1"/>
    </xf>
    <xf numFmtId="0" fontId="20" fillId="9" borderId="24" xfId="7" applyFont="1" applyFill="1" applyBorder="1" applyAlignment="1" applyProtection="1">
      <alignment horizontal="center" vertical="center" wrapText="1"/>
    </xf>
    <xf numFmtId="0" fontId="19" fillId="4" borderId="17" xfId="7" applyFont="1" applyFill="1" applyBorder="1" applyAlignment="1" applyProtection="1">
      <alignment horizontal="left" vertical="center" wrapText="1"/>
    </xf>
    <xf numFmtId="0" fontId="20" fillId="9" borderId="0" xfId="7" applyFont="1" applyFill="1" applyBorder="1" applyAlignment="1" applyProtection="1">
      <alignment horizontal="center" vertical="center" wrapText="1"/>
    </xf>
    <xf numFmtId="0" fontId="2" fillId="3" borderId="16" xfId="7" applyFont="1" applyFill="1" applyBorder="1" applyAlignment="1" applyProtection="1">
      <alignment horizontal="left" vertical="center" wrapText="1"/>
    </xf>
    <xf numFmtId="0" fontId="2" fillId="4" borderId="40" xfId="7" applyFont="1" applyFill="1" applyBorder="1" applyAlignment="1" applyProtection="1">
      <alignment horizontal="left" vertical="center" wrapText="1"/>
    </xf>
    <xf numFmtId="0" fontId="2" fillId="4" borderId="16" xfId="7" applyFont="1" applyFill="1" applyBorder="1" applyAlignment="1" applyProtection="1">
      <alignment horizontal="left" vertical="center" wrapText="1"/>
    </xf>
    <xf numFmtId="0" fontId="2" fillId="4" borderId="0" xfId="7" applyFont="1" applyFill="1" applyBorder="1" applyAlignment="1" applyProtection="1">
      <alignment horizontal="center" vertical="center" wrapText="1"/>
    </xf>
    <xf numFmtId="168" fontId="2" fillId="4" borderId="36" xfId="7" applyNumberFormat="1" applyFont="1" applyFill="1" applyBorder="1" applyAlignment="1" applyProtection="1">
      <alignment horizontal="center" vertical="center" wrapText="1"/>
    </xf>
    <xf numFmtId="0" fontId="2" fillId="3" borderId="11" xfId="7" applyFont="1" applyFill="1" applyBorder="1" applyAlignment="1" applyProtection="1">
      <alignment horizontal="left" vertical="center" wrapText="1"/>
    </xf>
    <xf numFmtId="0" fontId="2" fillId="4" borderId="17" xfId="7" applyFont="1" applyFill="1" applyBorder="1" applyAlignment="1" applyProtection="1">
      <alignment horizontal="left" vertical="center" wrapText="1"/>
    </xf>
    <xf numFmtId="0" fontId="2" fillId="3" borderId="0" xfId="7" applyFont="1" applyFill="1" applyBorder="1" applyAlignment="1" applyProtection="1">
      <alignment horizontal="center" vertical="center" wrapText="1"/>
    </xf>
    <xf numFmtId="165" fontId="2" fillId="4" borderId="36" xfId="1" applyNumberFormat="1" applyFont="1" applyFill="1" applyBorder="1" applyAlignment="1" applyProtection="1">
      <alignment horizontal="center" vertical="center" wrapText="1"/>
    </xf>
    <xf numFmtId="165" fontId="2" fillId="4" borderId="37" xfId="1" applyNumberFormat="1" applyFont="1" applyFill="1" applyBorder="1" applyAlignment="1" applyProtection="1">
      <alignment horizontal="center" vertical="center" wrapText="1"/>
    </xf>
    <xf numFmtId="165" fontId="2" fillId="4" borderId="28" xfId="1" applyNumberFormat="1" applyFont="1" applyFill="1" applyBorder="1" applyAlignment="1" applyProtection="1">
      <alignment horizontal="center" vertical="center" wrapText="1"/>
    </xf>
    <xf numFmtId="0" fontId="24" fillId="3" borderId="0" xfId="7" applyFont="1" applyFill="1" applyBorder="1" applyAlignment="1" applyProtection="1">
      <alignment horizontal="center" vertical="center" wrapText="1"/>
    </xf>
    <xf numFmtId="0" fontId="2" fillId="3" borderId="18" xfId="7" applyFont="1" applyFill="1" applyBorder="1" applyAlignment="1" applyProtection="1">
      <alignment horizontal="left" vertical="center" wrapText="1"/>
    </xf>
    <xf numFmtId="0" fontId="4" fillId="8" borderId="24" xfId="7" applyFont="1" applyFill="1" applyBorder="1" applyAlignment="1" applyProtection="1">
      <alignment horizontal="center" vertical="center" wrapText="1"/>
    </xf>
    <xf numFmtId="0" fontId="4" fillId="8" borderId="0" xfId="7" applyFont="1" applyFill="1" applyBorder="1" applyAlignment="1" applyProtection="1">
      <alignment horizontal="center" vertical="center" wrapText="1"/>
    </xf>
    <xf numFmtId="165" fontId="24" fillId="8" borderId="0" xfId="7" applyNumberFormat="1" applyFont="1" applyFill="1" applyBorder="1" applyAlignment="1" applyProtection="1">
      <alignment horizontal="center" vertical="center" wrapText="1"/>
    </xf>
    <xf numFmtId="0" fontId="2" fillId="4" borderId="22" xfId="7" applyFont="1" applyFill="1" applyBorder="1" applyAlignment="1" applyProtection="1">
      <alignment horizontal="left" vertical="center" wrapText="1"/>
    </xf>
    <xf numFmtId="165" fontId="4" fillId="8" borderId="0" xfId="7" applyNumberFormat="1" applyFont="1" applyFill="1" applyBorder="1" applyAlignment="1" applyProtection="1">
      <alignment horizontal="center" vertical="center" wrapText="1"/>
    </xf>
    <xf numFmtId="0" fontId="2" fillId="7" borderId="26" xfId="7" applyFont="1" applyFill="1" applyBorder="1" applyAlignment="1" applyProtection="1">
      <alignment horizontal="left" vertical="center" wrapText="1"/>
    </xf>
    <xf numFmtId="0" fontId="2" fillId="4" borderId="34" xfId="7" applyFont="1" applyFill="1" applyBorder="1" applyAlignment="1" applyProtection="1">
      <alignment horizontal="left" vertical="center" wrapText="1"/>
    </xf>
    <xf numFmtId="0" fontId="2" fillId="4" borderId="0" xfId="7" applyFont="1" applyFill="1" applyBorder="1" applyAlignment="1" applyProtection="1">
      <alignment horizontal="left" vertical="center" wrapText="1"/>
    </xf>
    <xf numFmtId="0" fontId="2" fillId="4" borderId="23" xfId="7" applyFont="1" applyFill="1" applyBorder="1" applyAlignment="1" applyProtection="1">
      <alignment horizontal="left" vertical="center" wrapText="1"/>
    </xf>
    <xf numFmtId="168" fontId="2" fillId="4" borderId="17" xfId="7" applyNumberFormat="1" applyFont="1" applyFill="1" applyBorder="1" applyAlignment="1" applyProtection="1">
      <alignment horizontal="left" vertical="center" wrapText="1"/>
    </xf>
    <xf numFmtId="166" fontId="1" fillId="4" borderId="0" xfId="3" applyNumberFormat="1" applyFont="1" applyFill="1" applyAlignment="1">
      <alignment horizontal="center"/>
    </xf>
    <xf numFmtId="0" fontId="1" fillId="4" borderId="0" xfId="0" applyFont="1" applyFill="1"/>
    <xf numFmtId="0" fontId="31" fillId="9" borderId="0" xfId="7" applyFont="1" applyFill="1" applyBorder="1" applyAlignment="1" applyProtection="1">
      <alignment horizontal="center" vertical="center" wrapText="1"/>
    </xf>
    <xf numFmtId="0" fontId="30" fillId="9" borderId="0" xfId="7" applyFont="1" applyFill="1" applyBorder="1" applyAlignment="1" applyProtection="1">
      <alignment horizontal="center" vertical="center" wrapText="1"/>
    </xf>
    <xf numFmtId="165" fontId="1" fillId="7" borderId="27" xfId="1" applyNumberFormat="1" applyFont="1" applyFill="1" applyBorder="1"/>
    <xf numFmtId="0" fontId="24" fillId="4" borderId="20" xfId="7" applyFont="1" applyFill="1" applyBorder="1" applyAlignment="1" applyProtection="1">
      <alignment horizontal="left" vertical="center" wrapText="1"/>
    </xf>
    <xf numFmtId="0" fontId="20" fillId="11" borderId="0" xfId="7" applyFont="1" applyFill="1" applyBorder="1" applyAlignment="1" applyProtection="1">
      <alignment horizontal="center" vertical="center" wrapText="1"/>
    </xf>
    <xf numFmtId="0" fontId="1" fillId="13" borderId="5" xfId="0" applyFont="1" applyFill="1" applyBorder="1"/>
    <xf numFmtId="165" fontId="1" fillId="4" borderId="0" xfId="1" applyNumberFormat="1" applyFont="1" applyFill="1" applyBorder="1"/>
    <xf numFmtId="0" fontId="35" fillId="9" borderId="46" xfId="7" applyFont="1" applyFill="1" applyBorder="1" applyAlignment="1" applyProtection="1">
      <alignment vertical="center" wrapText="1"/>
    </xf>
    <xf numFmtId="0" fontId="20" fillId="4" borderId="46" xfId="7" applyFont="1" applyFill="1" applyBorder="1" applyAlignment="1" applyProtection="1">
      <alignment vertical="center" wrapText="1"/>
    </xf>
    <xf numFmtId="0" fontId="20" fillId="4" borderId="31" xfId="7" applyFont="1" applyFill="1" applyBorder="1" applyAlignment="1" applyProtection="1">
      <alignment vertical="center" wrapText="1"/>
    </xf>
    <xf numFmtId="172" fontId="42" fillId="17" borderId="4" xfId="6" applyNumberFormat="1" applyFont="1" applyFill="1" applyBorder="1" applyAlignment="1">
      <alignment horizontal="left" vertical="center" wrapText="1"/>
    </xf>
    <xf numFmtId="172" fontId="42" fillId="17" borderId="55" xfId="6" applyNumberFormat="1" applyFont="1" applyFill="1" applyBorder="1" applyAlignment="1">
      <alignment horizontal="left" vertical="center" wrapText="1"/>
    </xf>
    <xf numFmtId="173" fontId="18" fillId="6" borderId="23" xfId="1" applyNumberFormat="1" applyFont="1" applyFill="1" applyBorder="1"/>
    <xf numFmtId="9" fontId="18" fillId="6" borderId="16" xfId="3" applyFont="1" applyFill="1" applyBorder="1"/>
    <xf numFmtId="0" fontId="0" fillId="5" borderId="56" xfId="0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3" fillId="5" borderId="60" xfId="2" applyFont="1" applyFill="1" applyBorder="1" applyAlignment="1" applyProtection="1">
      <alignment horizontal="center" vertical="center" wrapText="1"/>
    </xf>
    <xf numFmtId="0" fontId="0" fillId="5" borderId="61" xfId="0" applyFill="1" applyBorder="1" applyAlignment="1">
      <alignment horizontal="center"/>
    </xf>
    <xf numFmtId="0" fontId="4" fillId="5" borderId="62" xfId="0" applyFont="1" applyFill="1" applyBorder="1" applyAlignment="1">
      <alignment horizontal="left"/>
    </xf>
    <xf numFmtId="0" fontId="3" fillId="5" borderId="63" xfId="0" applyFont="1" applyFill="1" applyBorder="1"/>
    <xf numFmtId="0" fontId="3" fillId="5" borderId="64" xfId="0" applyFont="1" applyFill="1" applyBorder="1"/>
    <xf numFmtId="0" fontId="3" fillId="5" borderId="57" xfId="0" applyFont="1" applyFill="1" applyBorder="1" applyAlignment="1">
      <alignment horizontal="left"/>
    </xf>
    <xf numFmtId="0" fontId="0" fillId="4" borderId="57" xfId="0" applyFill="1" applyBorder="1"/>
    <xf numFmtId="0" fontId="13" fillId="4" borderId="57" xfId="0" applyFont="1" applyFill="1" applyBorder="1"/>
    <xf numFmtId="0" fontId="0" fillId="4" borderId="58" xfId="0" applyFill="1" applyBorder="1"/>
    <xf numFmtId="170" fontId="0" fillId="14" borderId="62" xfId="0" applyNumberFormat="1" applyFill="1" applyBorder="1" applyAlignment="1">
      <alignment horizontal="center"/>
    </xf>
    <xf numFmtId="170" fontId="0" fillId="4" borderId="62" xfId="0" applyNumberFormat="1" applyFill="1" applyBorder="1" applyAlignment="1">
      <alignment horizontal="center"/>
    </xf>
    <xf numFmtId="0" fontId="0" fillId="4" borderId="62" xfId="0" applyFill="1" applyBorder="1" applyAlignment="1">
      <alignment horizontal="center"/>
    </xf>
    <xf numFmtId="0" fontId="13" fillId="4" borderId="62" xfId="0" applyFont="1" applyFill="1" applyBorder="1" applyAlignment="1">
      <alignment horizontal="center"/>
    </xf>
    <xf numFmtId="0" fontId="13" fillId="4" borderId="67" xfId="0" applyFont="1" applyFill="1" applyBorder="1" applyAlignment="1">
      <alignment horizontal="center"/>
    </xf>
    <xf numFmtId="0" fontId="3" fillId="5" borderId="60" xfId="7" applyFont="1" applyFill="1" applyBorder="1" applyAlignment="1" applyProtection="1">
      <alignment horizontal="center" vertical="center" wrapText="1"/>
    </xf>
    <xf numFmtId="0" fontId="11" fillId="7" borderId="0" xfId="7" applyFont="1" applyFill="1" applyAlignment="1" applyProtection="1">
      <alignment horizontal="center" vertical="center" wrapText="1"/>
    </xf>
    <xf numFmtId="0" fontId="11" fillId="7" borderId="0" xfId="7" applyFont="1" applyFill="1" applyAlignment="1" applyProtection="1">
      <alignment horizontal="center"/>
    </xf>
    <xf numFmtId="9" fontId="0" fillId="4" borderId="0" xfId="3" applyFont="1" applyFill="1"/>
    <xf numFmtId="0" fontId="11" fillId="7" borderId="0" xfId="7" applyFont="1" applyFill="1" applyAlignment="1" applyProtection="1">
      <alignment horizontal="center" vertical="center" wrapText="1"/>
    </xf>
    <xf numFmtId="0" fontId="11" fillId="7" borderId="0" xfId="7" applyFont="1" applyFill="1" applyAlignment="1" applyProtection="1">
      <alignment horizontal="center"/>
    </xf>
    <xf numFmtId="0" fontId="43" fillId="4" borderId="0" xfId="0" applyFont="1" applyFill="1" applyAlignment="1">
      <alignment horizontal="center"/>
    </xf>
    <xf numFmtId="0" fontId="44" fillId="4" borderId="0" xfId="0" applyFont="1" applyFill="1" applyBorder="1" applyAlignment="1">
      <alignment horizontal="center"/>
    </xf>
    <xf numFmtId="0" fontId="44" fillId="4" borderId="3" xfId="0" applyFont="1" applyFill="1" applyBorder="1" applyAlignment="1">
      <alignment horizontal="center"/>
    </xf>
    <xf numFmtId="0" fontId="44" fillId="4" borderId="6" xfId="0" applyFont="1" applyFill="1" applyBorder="1" applyAlignment="1">
      <alignment horizontal="center"/>
    </xf>
    <xf numFmtId="168" fontId="0" fillId="8" borderId="0" xfId="0" applyNumberFormat="1" applyFill="1"/>
    <xf numFmtId="165" fontId="0" fillId="8" borderId="0" xfId="0" applyNumberFormat="1" applyFill="1" applyBorder="1"/>
    <xf numFmtId="2" fontId="4" fillId="4" borderId="11" xfId="1" applyNumberFormat="1" applyFont="1" applyFill="1" applyBorder="1" applyAlignment="1" applyProtection="1">
      <alignment horizontal="center" vertical="center" wrapText="1"/>
      <protection locked="0"/>
    </xf>
    <xf numFmtId="0" fontId="44" fillId="4" borderId="5" xfId="0" applyFont="1" applyFill="1" applyBorder="1" applyAlignment="1">
      <alignment horizontal="center"/>
    </xf>
    <xf numFmtId="0" fontId="28" fillId="4" borderId="0" xfId="0" applyFont="1" applyFill="1" applyBorder="1"/>
    <xf numFmtId="0" fontId="45" fillId="4" borderId="0" xfId="0" applyFont="1" applyFill="1" applyBorder="1" applyAlignment="1">
      <alignment horizontal="center"/>
    </xf>
    <xf numFmtId="0" fontId="26" fillId="4" borderId="0" xfId="0" applyFont="1" applyFill="1" applyBorder="1"/>
    <xf numFmtId="0" fontId="1" fillId="4" borderId="0" xfId="0" applyFont="1" applyFill="1" applyBorder="1"/>
    <xf numFmtId="0" fontId="43" fillId="4" borderId="0" xfId="0" applyFont="1" applyFill="1" applyBorder="1" applyAlignment="1">
      <alignment horizontal="center"/>
    </xf>
    <xf numFmtId="166" fontId="4" fillId="8" borderId="11" xfId="3" applyNumberFormat="1" applyFont="1" applyFill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166" fontId="36" fillId="9" borderId="68" xfId="3" applyNumberFormat="1" applyFont="1" applyFill="1" applyBorder="1" applyAlignment="1">
      <alignment horizontal="center"/>
    </xf>
    <xf numFmtId="166" fontId="36" fillId="9" borderId="69" xfId="3" applyNumberFormat="1" applyFont="1" applyFill="1" applyBorder="1" applyAlignment="1">
      <alignment horizontal="center"/>
    </xf>
    <xf numFmtId="166" fontId="36" fillId="9" borderId="71" xfId="3" applyNumberFormat="1" applyFont="1" applyFill="1" applyBorder="1" applyAlignment="1">
      <alignment horizontal="center"/>
    </xf>
    <xf numFmtId="166" fontId="36" fillId="9" borderId="72" xfId="3" applyNumberFormat="1" applyFont="1" applyFill="1" applyBorder="1" applyAlignment="1">
      <alignment horizontal="center"/>
    </xf>
    <xf numFmtId="166" fontId="1" fillId="4" borderId="71" xfId="3" applyNumberFormat="1" applyFont="1" applyFill="1" applyBorder="1" applyAlignment="1">
      <alignment horizontal="center"/>
    </xf>
    <xf numFmtId="166" fontId="1" fillId="4" borderId="72" xfId="3" applyNumberFormat="1" applyFont="1" applyFill="1" applyBorder="1" applyAlignment="1">
      <alignment horizontal="center"/>
    </xf>
    <xf numFmtId="0" fontId="1" fillId="4" borderId="73" xfId="0" applyFont="1" applyFill="1" applyBorder="1"/>
    <xf numFmtId="166" fontId="4" fillId="6" borderId="11" xfId="3" applyNumberFormat="1" applyFont="1" applyFill="1" applyBorder="1" applyAlignment="1" applyProtection="1">
      <alignment horizontal="center" vertical="center" wrapText="1"/>
      <protection locked="0"/>
    </xf>
    <xf numFmtId="166" fontId="0" fillId="4" borderId="71" xfId="0" applyNumberFormat="1" applyFill="1" applyBorder="1" applyAlignment="1">
      <alignment horizontal="center"/>
    </xf>
    <xf numFmtId="166" fontId="0" fillId="4" borderId="72" xfId="0" applyNumberFormat="1" applyFill="1" applyBorder="1" applyAlignment="1">
      <alignment horizontal="center"/>
    </xf>
    <xf numFmtId="166" fontId="1" fillId="4" borderId="74" xfId="3" applyNumberFormat="1" applyFont="1" applyFill="1" applyBorder="1" applyAlignment="1">
      <alignment horizontal="center"/>
    </xf>
    <xf numFmtId="166" fontId="1" fillId="4" borderId="75" xfId="3" applyNumberFormat="1" applyFont="1" applyFill="1" applyBorder="1" applyAlignment="1">
      <alignment horizontal="center"/>
    </xf>
    <xf numFmtId="0" fontId="1" fillId="4" borderId="76" xfId="0" applyFont="1" applyFill="1" applyBorder="1"/>
    <xf numFmtId="0" fontId="0" fillId="4" borderId="77" xfId="0" applyFill="1" applyBorder="1"/>
    <xf numFmtId="168" fontId="0" fillId="4" borderId="68" xfId="0" applyNumberFormat="1" applyFill="1" applyBorder="1"/>
    <xf numFmtId="168" fontId="0" fillId="4" borderId="69" xfId="0" applyNumberFormat="1" applyFill="1" applyBorder="1"/>
    <xf numFmtId="0" fontId="1" fillId="4" borderId="70" xfId="0" applyFont="1" applyFill="1" applyBorder="1"/>
    <xf numFmtId="165" fontId="4" fillId="6" borderId="11" xfId="1" applyNumberFormat="1" applyFont="1" applyFill="1" applyBorder="1" applyAlignment="1" applyProtection="1">
      <alignment vertical="center" wrapText="1"/>
      <protection locked="0"/>
    </xf>
    <xf numFmtId="165" fontId="0" fillId="4" borderId="71" xfId="0" applyNumberFormat="1" applyFill="1" applyBorder="1"/>
    <xf numFmtId="165" fontId="0" fillId="4" borderId="72" xfId="0" applyNumberFormat="1" applyFill="1" applyBorder="1"/>
    <xf numFmtId="165" fontId="4" fillId="8" borderId="11" xfId="1" applyNumberFormat="1" applyFont="1" applyFill="1" applyBorder="1" applyAlignment="1" applyProtection="1">
      <alignment vertical="center" wrapText="1"/>
      <protection locked="0"/>
    </xf>
    <xf numFmtId="168" fontId="0" fillId="4" borderId="71" xfId="0" applyNumberFormat="1" applyFill="1" applyBorder="1"/>
    <xf numFmtId="168" fontId="0" fillId="4" borderId="72" xfId="0" applyNumberFormat="1" applyFill="1" applyBorder="1"/>
    <xf numFmtId="165" fontId="0" fillId="4" borderId="74" xfId="0" applyNumberFormat="1" applyFill="1" applyBorder="1"/>
    <xf numFmtId="165" fontId="0" fillId="4" borderId="75" xfId="0" applyNumberFormat="1" applyFill="1" applyBorder="1"/>
    <xf numFmtId="165" fontId="31" fillId="9" borderId="78" xfId="1" applyNumberFormat="1" applyFont="1" applyFill="1" applyBorder="1"/>
    <xf numFmtId="165" fontId="0" fillId="4" borderId="68" xfId="0" applyNumberFormat="1" applyFill="1" applyBorder="1"/>
    <xf numFmtId="165" fontId="0" fillId="4" borderId="69" xfId="0" applyNumberFormat="1" applyFill="1" applyBorder="1"/>
    <xf numFmtId="10" fontId="4" fillId="8" borderId="11" xfId="3" applyNumberFormat="1" applyFont="1" applyFill="1" applyBorder="1" applyAlignment="1" applyProtection="1">
      <alignment horizontal="center" vertical="center" wrapText="1"/>
      <protection locked="0"/>
    </xf>
    <xf numFmtId="0" fontId="0" fillId="4" borderId="73" xfId="0" applyFill="1" applyBorder="1"/>
    <xf numFmtId="10" fontId="1" fillId="4" borderId="71" xfId="3" applyNumberFormat="1" applyFont="1" applyFill="1" applyBorder="1"/>
    <xf numFmtId="10" fontId="1" fillId="4" borderId="72" xfId="3" applyNumberFormat="1" applyFont="1" applyFill="1" applyBorder="1"/>
    <xf numFmtId="164" fontId="1" fillId="4" borderId="73" xfId="1" applyFont="1" applyFill="1" applyBorder="1"/>
    <xf numFmtId="168" fontId="28" fillId="4" borderId="71" xfId="0" applyNumberFormat="1" applyFont="1" applyFill="1" applyBorder="1"/>
    <xf numFmtId="168" fontId="28" fillId="4" borderId="72" xfId="0" applyNumberFormat="1" applyFont="1" applyFill="1" applyBorder="1"/>
    <xf numFmtId="0" fontId="28" fillId="4" borderId="73" xfId="0" applyFont="1" applyFill="1" applyBorder="1"/>
    <xf numFmtId="168" fontId="0" fillId="4" borderId="79" xfId="0" applyNumberFormat="1" applyFill="1" applyBorder="1"/>
    <xf numFmtId="168" fontId="0" fillId="4" borderId="80" xfId="0" applyNumberFormat="1" applyFill="1" applyBorder="1"/>
    <xf numFmtId="0" fontId="1" fillId="4" borderId="81" xfId="0" applyFont="1" applyFill="1" applyBorder="1"/>
    <xf numFmtId="0" fontId="43" fillId="5" borderId="3" xfId="0" applyFont="1" applyFill="1" applyBorder="1" applyAlignment="1">
      <alignment horizontal="center"/>
    </xf>
    <xf numFmtId="0" fontId="3" fillId="5" borderId="82" xfId="7" applyFont="1" applyFill="1" applyBorder="1" applyAlignment="1" applyProtection="1">
      <alignment horizontal="center" vertical="center" wrapText="1"/>
    </xf>
    <xf numFmtId="0" fontId="43" fillId="5" borderId="6" xfId="0" applyFont="1" applyFill="1" applyBorder="1" applyAlignment="1">
      <alignment horizontal="center"/>
    </xf>
    <xf numFmtId="0" fontId="0" fillId="5" borderId="5" xfId="0" applyFill="1" applyBorder="1"/>
    <xf numFmtId="0" fontId="43" fillId="5" borderId="5" xfId="0" applyFont="1" applyFill="1" applyBorder="1" applyAlignment="1">
      <alignment horizontal="center"/>
    </xf>
    <xf numFmtId="0" fontId="43" fillId="2" borderId="0" xfId="0" applyFont="1" applyFill="1"/>
    <xf numFmtId="0" fontId="1" fillId="0" borderId="0" xfId="7" applyFont="1" applyProtection="1"/>
    <xf numFmtId="0" fontId="1" fillId="2" borderId="0" xfId="7" applyFont="1" applyFill="1" applyProtection="1"/>
    <xf numFmtId="0" fontId="46" fillId="2" borderId="0" xfId="0" applyFont="1" applyFill="1" applyAlignment="1">
      <alignment wrapText="1"/>
    </xf>
    <xf numFmtId="0" fontId="43" fillId="0" borderId="0" xfId="7" applyFont="1" applyProtection="1"/>
    <xf numFmtId="0" fontId="4" fillId="4" borderId="11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/>
    <xf numFmtId="2" fontId="3" fillId="4" borderId="0" xfId="0" applyNumberFormat="1" applyFont="1" applyFill="1"/>
    <xf numFmtId="172" fontId="18" fillId="7" borderId="18" xfId="6" applyNumberFormat="1" applyFont="1" applyFill="1" applyBorder="1"/>
    <xf numFmtId="172" fontId="18" fillId="7" borderId="18" xfId="6" applyNumberFormat="1" applyFont="1" applyFill="1" applyBorder="1" applyAlignment="1">
      <alignment horizontal="center"/>
    </xf>
    <xf numFmtId="166" fontId="18" fillId="7" borderId="18" xfId="0" applyNumberFormat="1" applyFont="1" applyFill="1" applyBorder="1" applyAlignment="1">
      <alignment horizontal="center"/>
    </xf>
    <xf numFmtId="164" fontId="18" fillId="7" borderId="18" xfId="1" applyFont="1" applyFill="1" applyBorder="1"/>
    <xf numFmtId="166" fontId="31" fillId="9" borderId="72" xfId="3" applyNumberFormat="1" applyFont="1" applyFill="1" applyBorder="1" applyAlignment="1">
      <alignment horizontal="center"/>
    </xf>
    <xf numFmtId="166" fontId="31" fillId="9" borderId="69" xfId="3" applyNumberFormat="1" applyFont="1" applyFill="1" applyBorder="1" applyAlignment="1">
      <alignment horizontal="center"/>
    </xf>
    <xf numFmtId="0" fontId="20" fillId="9" borderId="32" xfId="7" applyFont="1" applyFill="1" applyBorder="1" applyAlignment="1" applyProtection="1">
      <alignment horizontal="center" vertical="center" wrapText="1"/>
    </xf>
    <xf numFmtId="0" fontId="20" fillId="9" borderId="31" xfId="7" applyFont="1" applyFill="1" applyBorder="1" applyAlignment="1" applyProtection="1">
      <alignment horizontal="center" vertical="center" wrapText="1"/>
    </xf>
    <xf numFmtId="0" fontId="20" fillId="9" borderId="19" xfId="7" applyFont="1" applyFill="1" applyBorder="1" applyAlignment="1" applyProtection="1">
      <alignment horizontal="center" vertical="center" wrapText="1"/>
    </xf>
    <xf numFmtId="0" fontId="10" fillId="4" borderId="49" xfId="7" applyFont="1" applyFill="1" applyBorder="1" applyAlignment="1" applyProtection="1">
      <alignment horizontal="left" vertical="center" wrapText="1"/>
    </xf>
    <xf numFmtId="0" fontId="10" fillId="4" borderId="50" xfId="7" applyFont="1" applyFill="1" applyBorder="1" applyAlignment="1" applyProtection="1">
      <alignment horizontal="left" vertical="center" wrapText="1"/>
    </xf>
    <xf numFmtId="0" fontId="10" fillId="4" borderId="6" xfId="7" applyFont="1" applyFill="1" applyBorder="1" applyAlignment="1" applyProtection="1">
      <alignment horizontal="left" vertical="center" wrapText="1"/>
    </xf>
    <xf numFmtId="0" fontId="10" fillId="4" borderId="0" xfId="7" applyFont="1" applyFill="1" applyBorder="1" applyAlignment="1" applyProtection="1">
      <alignment horizontal="left" vertical="center" wrapText="1"/>
    </xf>
    <xf numFmtId="0" fontId="20" fillId="9" borderId="46" xfId="7" applyFont="1" applyFill="1" applyBorder="1" applyAlignment="1" applyProtection="1">
      <alignment horizontal="center" vertical="center" wrapText="1"/>
    </xf>
    <xf numFmtId="0" fontId="2" fillId="4" borderId="47" xfId="7" applyFont="1" applyFill="1" applyBorder="1" applyAlignment="1" applyProtection="1">
      <alignment horizontal="left" vertical="center" wrapText="1"/>
    </xf>
    <xf numFmtId="0" fontId="2" fillId="4" borderId="48" xfId="7" applyFont="1" applyFill="1" applyBorder="1" applyAlignment="1" applyProtection="1">
      <alignment horizontal="left" vertical="center" wrapText="1"/>
    </xf>
    <xf numFmtId="166" fontId="23" fillId="9" borderId="73" xfId="3" applyNumberFormat="1" applyFont="1" applyFill="1" applyBorder="1" applyAlignment="1">
      <alignment horizontal="left" vertical="center" wrapText="1"/>
    </xf>
    <xf numFmtId="166" fontId="23" fillId="9" borderId="70" xfId="3" applyNumberFormat="1" applyFont="1" applyFill="1" applyBorder="1" applyAlignment="1">
      <alignment horizontal="left" vertical="center" wrapText="1"/>
    </xf>
    <xf numFmtId="166" fontId="7" fillId="4" borderId="0" xfId="3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1" fillId="7" borderId="0" xfId="7" applyFont="1" applyFill="1" applyAlignment="1" applyProtection="1">
      <alignment horizontal="center" vertical="center" wrapText="1"/>
    </xf>
    <xf numFmtId="0" fontId="11" fillId="7" borderId="0" xfId="7" applyFont="1" applyFill="1" applyAlignment="1" applyProtection="1">
      <alignment horizontal="center"/>
    </xf>
    <xf numFmtId="0" fontId="3" fillId="5" borderId="33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43" xfId="7" applyFont="1" applyFill="1" applyBorder="1" applyAlignment="1" applyProtection="1">
      <alignment horizontal="center"/>
    </xf>
    <xf numFmtId="0" fontId="3" fillId="5" borderId="44" xfId="7" applyFont="1" applyFill="1" applyBorder="1" applyAlignment="1" applyProtection="1">
      <alignment horizontal="center"/>
    </xf>
    <xf numFmtId="0" fontId="3" fillId="5" borderId="45" xfId="7" applyFont="1" applyFill="1" applyBorder="1" applyAlignment="1" applyProtection="1">
      <alignment horizontal="center"/>
    </xf>
    <xf numFmtId="0" fontId="3" fillId="5" borderId="3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41" xfId="7" applyFont="1" applyFill="1" applyBorder="1" applyAlignment="1" applyProtection="1">
      <alignment horizontal="center" vertical="center" wrapText="1"/>
    </xf>
    <xf numFmtId="0" fontId="3" fillId="5" borderId="42" xfId="7" applyFont="1" applyFill="1" applyBorder="1" applyAlignment="1" applyProtection="1">
      <alignment horizontal="center" vertical="center" wrapText="1"/>
    </xf>
    <xf numFmtId="0" fontId="3" fillId="5" borderId="51" xfId="7" applyFont="1" applyFill="1" applyBorder="1" applyAlignment="1" applyProtection="1">
      <alignment horizontal="center" vertical="center" wrapText="1"/>
    </xf>
    <xf numFmtId="0" fontId="14" fillId="6" borderId="54" xfId="2" applyFont="1" applyFill="1" applyBorder="1" applyAlignment="1" applyProtection="1">
      <alignment horizontal="center" vertical="center" wrapText="1"/>
    </xf>
    <xf numFmtId="0" fontId="14" fillId="6" borderId="25" xfId="2" applyFont="1" applyFill="1" applyBorder="1" applyAlignment="1" applyProtection="1">
      <alignment horizontal="center" vertical="center" wrapText="1"/>
    </xf>
    <xf numFmtId="0" fontId="14" fillId="6" borderId="28" xfId="2" applyFont="1" applyFill="1" applyBorder="1" applyAlignment="1" applyProtection="1">
      <alignment horizontal="center" vertical="center" wrapText="1"/>
    </xf>
    <xf numFmtId="0" fontId="14" fillId="6" borderId="66" xfId="2" applyFont="1" applyFill="1" applyBorder="1" applyAlignment="1" applyProtection="1">
      <alignment horizontal="center" vertical="center" wrapText="1"/>
    </xf>
    <xf numFmtId="0" fontId="10" fillId="4" borderId="49" xfId="2" applyFont="1" applyFill="1" applyBorder="1" applyAlignment="1" applyProtection="1">
      <alignment horizontal="left" vertical="center" wrapText="1"/>
    </xf>
    <xf numFmtId="0" fontId="10" fillId="4" borderId="50" xfId="2" applyFont="1" applyFill="1" applyBorder="1" applyAlignment="1" applyProtection="1">
      <alignment horizontal="left" vertical="center" wrapText="1"/>
    </xf>
    <xf numFmtId="0" fontId="10" fillId="4" borderId="6" xfId="2" applyFont="1" applyFill="1" applyBorder="1" applyAlignment="1" applyProtection="1">
      <alignment horizontal="left" vertical="center" wrapText="1"/>
    </xf>
    <xf numFmtId="0" fontId="10" fillId="4" borderId="0" xfId="2" applyFont="1" applyFill="1" applyBorder="1" applyAlignment="1" applyProtection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11" fillId="7" borderId="0" xfId="2" applyFont="1" applyFill="1" applyAlignment="1" applyProtection="1">
      <alignment horizontal="center" vertical="center" wrapText="1"/>
    </xf>
    <xf numFmtId="0" fontId="11" fillId="7" borderId="0" xfId="2" applyFont="1" applyFill="1" applyAlignment="1" applyProtection="1">
      <alignment horizontal="center"/>
    </xf>
    <xf numFmtId="0" fontId="3" fillId="5" borderId="57" xfId="0" applyFont="1" applyFill="1" applyBorder="1" applyAlignment="1">
      <alignment horizontal="left"/>
    </xf>
    <xf numFmtId="0" fontId="3" fillId="5" borderId="65" xfId="0" applyFont="1" applyFill="1" applyBorder="1" applyAlignment="1">
      <alignment horizontal="left"/>
    </xf>
    <xf numFmtId="0" fontId="3" fillId="5" borderId="58" xfId="0" applyFont="1" applyFill="1" applyBorder="1" applyAlignment="1">
      <alignment horizontal="left"/>
    </xf>
  </cellXfs>
  <cellStyles count="8">
    <cellStyle name="Millares" xfId="1" builtinId="3"/>
    <cellStyle name="Moneda" xfId="6" builtinId="4"/>
    <cellStyle name="Normal" xfId="0" builtinId="0"/>
    <cellStyle name="Normal 2" xfId="4"/>
    <cellStyle name="Normal_HAVA_FICHA FCIERA - última versión 09 - 2007" xfId="2"/>
    <cellStyle name="Normal_HAVA_FICHA FCIERA - última versión 09 - 2007 2" xfId="7"/>
    <cellStyle name="Porcentual" xfId="3" builtinId="5"/>
    <cellStyle name="Porcentual 2" xfId="5"/>
  </cellStyles>
  <dxfs count="0"/>
  <tableStyles count="0" defaultTableStyle="TableStyleMedium2" defaultPivotStyle="PivotStyleLight16"/>
  <colors>
    <mruColors>
      <color rgb="FF669900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1143000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3525" y="152400"/>
          <a:ext cx="7524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27083" y="1095375"/>
          <a:ext cx="10699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1195485</xdr:colOff>
      <xdr:row>5</xdr:row>
      <xdr:rowOff>200025</xdr:rowOff>
    </xdr:to>
    <xdr:pic>
      <xdr:nvPicPr>
        <xdr:cNvPr id="4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336" y="152400"/>
          <a:ext cx="1185960" cy="1009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762000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52400"/>
          <a:ext cx="7524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600075</xdr:colOff>
      <xdr:row>6</xdr:row>
      <xdr:rowOff>123825</xdr:rowOff>
    </xdr:from>
    <xdr:to>
      <xdr:col>7</xdr:col>
      <xdr:colOff>1438275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10475" y="1295400"/>
          <a:ext cx="838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4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6308" y="1295400"/>
          <a:ext cx="2060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762000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52400"/>
          <a:ext cx="7524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352426</xdr:colOff>
      <xdr:row>6</xdr:row>
      <xdr:rowOff>123825</xdr:rowOff>
    </xdr:from>
    <xdr:to>
      <xdr:col>7</xdr:col>
      <xdr:colOff>904875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86501" y="1295400"/>
          <a:ext cx="1628774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4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6308" y="1295400"/>
          <a:ext cx="2060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762000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52400"/>
          <a:ext cx="11906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600075</xdr:colOff>
      <xdr:row>6</xdr:row>
      <xdr:rowOff>123825</xdr:rowOff>
    </xdr:from>
    <xdr:to>
      <xdr:col>7</xdr:col>
      <xdr:colOff>1438275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10475" y="1295400"/>
          <a:ext cx="22098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4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6308" y="1295400"/>
          <a:ext cx="2060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762000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52400"/>
          <a:ext cx="11906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600075</xdr:colOff>
      <xdr:row>6</xdr:row>
      <xdr:rowOff>123825</xdr:rowOff>
    </xdr:from>
    <xdr:to>
      <xdr:col>7</xdr:col>
      <xdr:colOff>1524000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10475" y="1295400"/>
          <a:ext cx="22098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4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6308" y="1295400"/>
          <a:ext cx="2060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1200150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52400"/>
          <a:ext cx="11906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600075</xdr:colOff>
      <xdr:row>6</xdr:row>
      <xdr:rowOff>123825</xdr:rowOff>
    </xdr:from>
    <xdr:to>
      <xdr:col>7</xdr:col>
      <xdr:colOff>1438275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10475" y="1295400"/>
          <a:ext cx="22098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5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6308" y="1295400"/>
          <a:ext cx="2060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R108"/>
  <sheetViews>
    <sheetView tabSelected="1" topLeftCell="A92" zoomScaleNormal="100" workbookViewId="0">
      <selection activeCell="E109" sqref="E109"/>
    </sheetView>
  </sheetViews>
  <sheetFormatPr baseColWidth="10" defaultColWidth="11.42578125" defaultRowHeight="12.75" outlineLevelCol="1"/>
  <cols>
    <col min="1" max="1" width="2.42578125" style="5" customWidth="1"/>
    <col min="2" max="2" width="5.28515625" style="307" bestFit="1" customWidth="1"/>
    <col min="3" max="3" width="34.7109375" style="5" customWidth="1"/>
    <col min="4" max="4" width="14.85546875" style="5" customWidth="1"/>
    <col min="5" max="5" width="16.42578125" style="5" customWidth="1"/>
    <col min="6" max="7" width="16.140625" style="5" bestFit="1" customWidth="1"/>
    <col min="8" max="8" width="32" style="5" customWidth="1" outlineLevel="1"/>
    <col min="9" max="9" width="13.42578125" style="5" customWidth="1" outlineLevel="1"/>
    <col min="10" max="10" width="14.42578125" style="5" customWidth="1" outlineLevel="1"/>
    <col min="11" max="11" width="17.5703125" style="5" customWidth="1" outlineLevel="1"/>
    <col min="12" max="12" width="15.42578125" style="5" customWidth="1" outlineLevel="1"/>
    <col min="13" max="13" width="1.7109375" style="5" customWidth="1"/>
    <col min="14" max="14" width="41.42578125" style="5" customWidth="1" outlineLevel="1"/>
    <col min="15" max="15" width="9.5703125" style="5" customWidth="1" outlineLevel="1"/>
    <col min="16" max="16" width="13.42578125" style="5" customWidth="1" outlineLevel="1"/>
    <col min="17" max="19" width="14.85546875" style="5" customWidth="1" outlineLevel="1"/>
    <col min="20" max="21" width="15" style="5" customWidth="1" outlineLevel="1"/>
    <col min="22" max="22" width="34.28515625" style="5" customWidth="1"/>
    <col min="23" max="23" width="14" style="5" customWidth="1"/>
    <col min="24" max="24" width="14.85546875" style="5" bestFit="1" customWidth="1"/>
    <col min="25" max="26" width="15.42578125" style="5" bestFit="1" customWidth="1"/>
    <col min="27" max="27" width="12.42578125" style="5" bestFit="1" customWidth="1"/>
    <col min="28" max="28" width="13" style="5" customWidth="1"/>
    <col min="29" max="16384" width="11.42578125" style="5"/>
  </cols>
  <sheetData>
    <row r="1" spans="1:148" s="367" customFormat="1">
      <c r="A1" s="1"/>
      <c r="B1" s="366"/>
      <c r="C1" s="1"/>
      <c r="D1" s="1"/>
      <c r="E1" s="1"/>
      <c r="F1" s="1"/>
      <c r="G1" s="1"/>
      <c r="H1" s="1"/>
      <c r="I1" s="1"/>
      <c r="J1" s="1"/>
      <c r="K1" s="1"/>
      <c r="L1" s="1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368"/>
      <c r="BF1" s="368"/>
      <c r="BG1" s="368"/>
      <c r="BH1" s="368"/>
      <c r="BI1" s="368"/>
      <c r="BJ1" s="368"/>
      <c r="BK1" s="368"/>
      <c r="BL1" s="368"/>
      <c r="BM1" s="368"/>
      <c r="BN1" s="368"/>
      <c r="BO1" s="368"/>
      <c r="BP1" s="368"/>
      <c r="BQ1" s="368"/>
      <c r="BR1" s="368"/>
      <c r="BS1" s="368"/>
      <c r="BT1" s="368"/>
      <c r="BU1" s="368"/>
      <c r="BV1" s="368"/>
      <c r="BW1" s="368"/>
      <c r="BX1" s="368"/>
      <c r="BY1" s="368"/>
      <c r="BZ1" s="368"/>
      <c r="CA1" s="368"/>
      <c r="CB1" s="368"/>
      <c r="CC1" s="368"/>
      <c r="CD1" s="368"/>
      <c r="CE1" s="368"/>
      <c r="CF1" s="368"/>
      <c r="CG1" s="368"/>
      <c r="CH1" s="368"/>
      <c r="CI1" s="368"/>
      <c r="CJ1" s="368"/>
      <c r="CK1" s="368"/>
      <c r="CL1" s="368"/>
      <c r="CM1" s="368"/>
      <c r="CN1" s="368"/>
      <c r="CO1" s="368"/>
      <c r="CP1" s="368"/>
      <c r="CQ1" s="368"/>
      <c r="CR1" s="368"/>
      <c r="CS1" s="368"/>
      <c r="CT1" s="368"/>
      <c r="CU1" s="368"/>
      <c r="CV1" s="368"/>
      <c r="CW1" s="368"/>
      <c r="CX1" s="368"/>
      <c r="CY1" s="368"/>
      <c r="CZ1" s="368"/>
      <c r="DA1" s="368"/>
      <c r="DB1" s="368"/>
      <c r="DC1" s="368"/>
      <c r="DD1" s="368"/>
      <c r="DE1" s="368"/>
      <c r="DF1" s="368"/>
      <c r="DG1" s="368"/>
      <c r="DH1" s="368"/>
      <c r="DI1" s="368"/>
      <c r="DJ1" s="368"/>
      <c r="DK1" s="368"/>
      <c r="DL1" s="368"/>
      <c r="DM1" s="368"/>
      <c r="DN1" s="368"/>
      <c r="DO1" s="368"/>
      <c r="DP1" s="368"/>
      <c r="DQ1" s="368"/>
      <c r="DR1" s="368"/>
      <c r="DS1" s="368"/>
      <c r="DT1" s="368"/>
      <c r="DU1" s="368"/>
      <c r="DV1" s="368"/>
      <c r="DW1" s="368"/>
      <c r="DX1" s="368"/>
      <c r="DY1" s="368"/>
      <c r="DZ1" s="368"/>
      <c r="EA1" s="368"/>
      <c r="EB1" s="368"/>
      <c r="EC1" s="368"/>
      <c r="ED1" s="368"/>
      <c r="EE1" s="368"/>
      <c r="EF1" s="368"/>
      <c r="EG1" s="368"/>
      <c r="EH1" s="368"/>
      <c r="EI1" s="368"/>
      <c r="EJ1" s="368"/>
      <c r="EK1" s="368"/>
      <c r="EL1" s="368"/>
      <c r="EM1" s="368"/>
      <c r="EN1" s="368"/>
      <c r="EO1" s="368"/>
      <c r="EP1" s="368"/>
      <c r="EQ1" s="368"/>
      <c r="ER1" s="368"/>
    </row>
    <row r="2" spans="1:148" s="367" customFormat="1">
      <c r="A2" s="1"/>
      <c r="B2" s="366"/>
      <c r="C2" s="1"/>
      <c r="D2" s="1"/>
      <c r="E2" s="1"/>
      <c r="F2" s="1"/>
      <c r="G2" s="1"/>
      <c r="H2" s="1"/>
      <c r="I2" s="1"/>
      <c r="J2" s="1"/>
      <c r="K2" s="1"/>
      <c r="L2" s="1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68"/>
      <c r="AT2" s="368"/>
      <c r="AU2" s="368"/>
      <c r="AV2" s="368"/>
      <c r="AW2" s="368"/>
      <c r="AX2" s="368"/>
      <c r="AY2" s="368"/>
      <c r="AZ2" s="368"/>
      <c r="BA2" s="368"/>
      <c r="BB2" s="368"/>
      <c r="BC2" s="368"/>
      <c r="BD2" s="368"/>
      <c r="BE2" s="368"/>
      <c r="BF2" s="368"/>
      <c r="BG2" s="368"/>
      <c r="BH2" s="368"/>
      <c r="BI2" s="368"/>
      <c r="BJ2" s="368"/>
      <c r="BK2" s="368"/>
      <c r="BL2" s="368"/>
      <c r="BM2" s="368"/>
      <c r="BN2" s="368"/>
      <c r="BO2" s="368"/>
      <c r="BP2" s="368"/>
      <c r="BQ2" s="368"/>
      <c r="BR2" s="368"/>
      <c r="BS2" s="368"/>
      <c r="BT2" s="368"/>
      <c r="BU2" s="368"/>
      <c r="BV2" s="368"/>
      <c r="BW2" s="368"/>
      <c r="BX2" s="368"/>
      <c r="BY2" s="368"/>
      <c r="BZ2" s="368"/>
      <c r="CA2" s="368"/>
      <c r="CB2" s="368"/>
      <c r="CC2" s="368"/>
      <c r="CD2" s="368"/>
      <c r="CE2" s="368"/>
      <c r="CF2" s="368"/>
      <c r="CG2" s="368"/>
      <c r="CH2" s="368"/>
      <c r="CI2" s="368"/>
      <c r="CJ2" s="368"/>
      <c r="CK2" s="368"/>
      <c r="CL2" s="368"/>
      <c r="CM2" s="368"/>
      <c r="CN2" s="368"/>
      <c r="CO2" s="368"/>
      <c r="CP2" s="368"/>
      <c r="CQ2" s="368"/>
      <c r="CR2" s="368"/>
      <c r="CS2" s="368"/>
      <c r="CT2" s="368"/>
      <c r="CU2" s="368"/>
      <c r="CV2" s="368"/>
      <c r="CW2" s="368"/>
      <c r="CX2" s="368"/>
      <c r="CY2" s="368"/>
      <c r="CZ2" s="368"/>
      <c r="DA2" s="368"/>
      <c r="DB2" s="368"/>
      <c r="DC2" s="368"/>
      <c r="DD2" s="368"/>
      <c r="DE2" s="368"/>
      <c r="DF2" s="368"/>
      <c r="DG2" s="368"/>
      <c r="DH2" s="368"/>
      <c r="DI2" s="368"/>
      <c r="DJ2" s="368"/>
      <c r="DK2" s="368"/>
      <c r="DL2" s="368"/>
      <c r="DM2" s="368"/>
      <c r="DN2" s="368"/>
      <c r="DO2" s="368"/>
      <c r="DP2" s="368"/>
      <c r="DQ2" s="368"/>
      <c r="DR2" s="368"/>
      <c r="DS2" s="368"/>
      <c r="DT2" s="368"/>
      <c r="DU2" s="368"/>
      <c r="DV2" s="368"/>
      <c r="DW2" s="368"/>
      <c r="DX2" s="368"/>
      <c r="DY2" s="368"/>
      <c r="DZ2" s="368"/>
      <c r="EA2" s="368"/>
      <c r="EB2" s="368"/>
      <c r="EC2" s="368"/>
      <c r="ED2" s="368"/>
      <c r="EE2" s="368"/>
      <c r="EF2" s="368"/>
      <c r="EG2" s="368"/>
      <c r="EH2" s="368"/>
      <c r="EI2" s="368"/>
      <c r="EJ2" s="368"/>
      <c r="EK2" s="368"/>
      <c r="EL2" s="368"/>
      <c r="EM2" s="368"/>
      <c r="EN2" s="368"/>
      <c r="EO2" s="368"/>
      <c r="EP2" s="368"/>
      <c r="EQ2" s="368"/>
      <c r="ER2" s="368"/>
    </row>
    <row r="3" spans="1:148" s="367" customFormat="1">
      <c r="A3" s="1"/>
      <c r="B3" s="366"/>
      <c r="C3" s="1"/>
      <c r="D3" s="1"/>
      <c r="E3" s="1"/>
      <c r="F3" s="1"/>
      <c r="G3" s="1"/>
      <c r="H3" s="1"/>
      <c r="I3" s="1"/>
      <c r="J3" s="1"/>
      <c r="K3" s="1"/>
      <c r="L3" s="1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8"/>
      <c r="BC3" s="368"/>
      <c r="BD3" s="368"/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8"/>
      <c r="BT3" s="368"/>
      <c r="BU3" s="368"/>
      <c r="BV3" s="368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8"/>
      <c r="CJ3" s="368"/>
      <c r="CK3" s="368"/>
      <c r="CL3" s="368"/>
      <c r="CM3" s="368"/>
      <c r="CN3" s="368"/>
      <c r="CO3" s="368"/>
      <c r="CP3" s="368"/>
      <c r="CQ3" s="368"/>
      <c r="CR3" s="368"/>
      <c r="CS3" s="368"/>
      <c r="CT3" s="368"/>
      <c r="CU3" s="368"/>
      <c r="CV3" s="368"/>
      <c r="CW3" s="368"/>
      <c r="CX3" s="368"/>
      <c r="CY3" s="368"/>
      <c r="CZ3" s="368"/>
      <c r="DA3" s="368"/>
      <c r="DB3" s="368"/>
      <c r="DC3" s="368"/>
      <c r="DD3" s="368"/>
      <c r="DE3" s="368"/>
      <c r="DF3" s="368"/>
      <c r="DG3" s="368"/>
      <c r="DH3" s="368"/>
      <c r="DI3" s="368"/>
      <c r="DJ3" s="368"/>
      <c r="DK3" s="368"/>
      <c r="DL3" s="368"/>
      <c r="DM3" s="368"/>
      <c r="DN3" s="368"/>
      <c r="DO3" s="368"/>
      <c r="DP3" s="368"/>
      <c r="DQ3" s="368"/>
      <c r="DR3" s="368"/>
      <c r="DS3" s="368"/>
      <c r="DT3" s="368"/>
      <c r="DU3" s="368"/>
      <c r="DV3" s="368"/>
      <c r="DW3" s="368"/>
      <c r="DX3" s="368"/>
      <c r="DY3" s="368"/>
      <c r="DZ3" s="368"/>
      <c r="EA3" s="368"/>
      <c r="EB3" s="368"/>
      <c r="EC3" s="368"/>
      <c r="ED3" s="368"/>
      <c r="EE3" s="368"/>
      <c r="EF3" s="368"/>
      <c r="EG3" s="368"/>
      <c r="EH3" s="368"/>
      <c r="EI3" s="368"/>
      <c r="EJ3" s="368"/>
      <c r="EK3" s="368"/>
      <c r="EL3" s="368"/>
      <c r="EM3" s="368"/>
      <c r="EN3" s="368"/>
      <c r="EO3" s="368"/>
      <c r="EP3" s="368"/>
      <c r="EQ3" s="368"/>
      <c r="ER3" s="368"/>
    </row>
    <row r="4" spans="1:148" s="367" customFormat="1" ht="18">
      <c r="A4" s="1"/>
      <c r="B4" s="366"/>
      <c r="C4" s="32"/>
      <c r="D4" s="32" t="s">
        <v>0</v>
      </c>
      <c r="E4" s="32"/>
      <c r="F4" s="32"/>
      <c r="G4" s="32"/>
      <c r="H4" s="32"/>
      <c r="I4" s="32"/>
      <c r="J4" s="32"/>
      <c r="K4" s="32"/>
      <c r="L4" s="3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368"/>
      <c r="AS4" s="368"/>
      <c r="AT4" s="368"/>
      <c r="AU4" s="368"/>
      <c r="AV4" s="368"/>
      <c r="AW4" s="368"/>
      <c r="AX4" s="368"/>
      <c r="AY4" s="368"/>
      <c r="AZ4" s="368"/>
      <c r="BA4" s="368"/>
      <c r="BB4" s="368"/>
      <c r="BC4" s="368"/>
      <c r="BD4" s="368"/>
      <c r="BE4" s="368"/>
      <c r="BF4" s="368"/>
      <c r="BG4" s="368"/>
      <c r="BH4" s="368"/>
      <c r="BI4" s="368"/>
      <c r="BJ4" s="368"/>
      <c r="BK4" s="368"/>
      <c r="BL4" s="368"/>
      <c r="BM4" s="368"/>
      <c r="BN4" s="368"/>
      <c r="BO4" s="368"/>
      <c r="BP4" s="368"/>
      <c r="BQ4" s="368"/>
      <c r="BR4" s="368"/>
      <c r="BS4" s="368"/>
      <c r="BT4" s="368"/>
      <c r="BU4" s="368"/>
      <c r="BV4" s="368"/>
      <c r="BW4" s="368"/>
      <c r="BX4" s="368"/>
      <c r="BY4" s="368"/>
      <c r="BZ4" s="368"/>
      <c r="CA4" s="368"/>
      <c r="CB4" s="368"/>
      <c r="CC4" s="368"/>
      <c r="CD4" s="368"/>
      <c r="CE4" s="368"/>
      <c r="CF4" s="368"/>
      <c r="CG4" s="368"/>
      <c r="CH4" s="368"/>
      <c r="CI4" s="368"/>
      <c r="CJ4" s="368"/>
      <c r="CK4" s="368"/>
      <c r="CL4" s="368"/>
      <c r="CM4" s="368"/>
      <c r="CN4" s="368"/>
      <c r="CO4" s="368"/>
      <c r="CP4" s="368"/>
      <c r="CQ4" s="368"/>
      <c r="CR4" s="368"/>
      <c r="CS4" s="368"/>
      <c r="CT4" s="368"/>
      <c r="CU4" s="368"/>
      <c r="CV4" s="368"/>
      <c r="CW4" s="368"/>
      <c r="CX4" s="368"/>
      <c r="CY4" s="368"/>
      <c r="CZ4" s="368"/>
      <c r="DA4" s="368"/>
      <c r="DB4" s="368"/>
      <c r="DC4" s="368"/>
      <c r="DD4" s="368"/>
      <c r="DE4" s="368"/>
      <c r="DF4" s="368"/>
      <c r="DG4" s="368"/>
      <c r="DH4" s="368"/>
      <c r="DI4" s="368"/>
      <c r="DJ4" s="368"/>
      <c r="DK4" s="368"/>
      <c r="DL4" s="368"/>
      <c r="DM4" s="368"/>
      <c r="DN4" s="368"/>
      <c r="DO4" s="368"/>
      <c r="DP4" s="368"/>
      <c r="DQ4" s="368"/>
      <c r="DR4" s="368"/>
      <c r="DS4" s="368"/>
      <c r="DT4" s="368"/>
      <c r="DU4" s="368"/>
      <c r="DV4" s="368"/>
      <c r="DW4" s="368"/>
      <c r="DX4" s="368"/>
      <c r="DY4" s="368"/>
      <c r="DZ4" s="368"/>
      <c r="EA4" s="368"/>
      <c r="EB4" s="368"/>
      <c r="EC4" s="368"/>
      <c r="ED4" s="368"/>
      <c r="EE4" s="368"/>
      <c r="EF4" s="368"/>
      <c r="EG4" s="368"/>
      <c r="EH4" s="368"/>
      <c r="EI4" s="368"/>
      <c r="EJ4" s="368"/>
      <c r="EK4" s="368"/>
      <c r="EL4" s="368"/>
      <c r="EM4" s="368"/>
      <c r="EN4" s="368"/>
      <c r="EO4" s="368"/>
      <c r="EP4" s="368"/>
      <c r="EQ4" s="368"/>
      <c r="ER4" s="368"/>
    </row>
    <row r="5" spans="1:148" s="367" customFormat="1" ht="18" customHeight="1">
      <c r="A5" s="1"/>
      <c r="B5" s="366"/>
      <c r="C5" s="31"/>
      <c r="D5" s="393" t="s">
        <v>50</v>
      </c>
      <c r="E5" s="393"/>
      <c r="F5" s="393"/>
      <c r="G5" s="393"/>
      <c r="H5" s="393"/>
      <c r="I5" s="393"/>
      <c r="J5" s="393"/>
      <c r="K5" s="393"/>
      <c r="L5" s="31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368"/>
      <c r="BH5" s="368"/>
      <c r="BI5" s="368"/>
      <c r="BJ5" s="368"/>
      <c r="BK5" s="368"/>
      <c r="BL5" s="368"/>
      <c r="BM5" s="368"/>
      <c r="BN5" s="368"/>
      <c r="BO5" s="368"/>
      <c r="BP5" s="368"/>
      <c r="BQ5" s="368"/>
      <c r="BR5" s="368"/>
      <c r="BS5" s="368"/>
      <c r="BT5" s="368"/>
      <c r="BU5" s="368"/>
      <c r="BV5" s="368"/>
      <c r="BW5" s="368"/>
      <c r="BX5" s="368"/>
      <c r="BY5" s="368"/>
      <c r="BZ5" s="368"/>
      <c r="CA5" s="368"/>
      <c r="CB5" s="368"/>
      <c r="CC5" s="368"/>
      <c r="CD5" s="368"/>
      <c r="CE5" s="368"/>
      <c r="CF5" s="368"/>
      <c r="CG5" s="368"/>
      <c r="CH5" s="368"/>
      <c r="CI5" s="368"/>
      <c r="CJ5" s="368"/>
      <c r="CK5" s="368"/>
      <c r="CL5" s="368"/>
      <c r="CM5" s="368"/>
      <c r="CN5" s="368"/>
      <c r="CO5" s="368"/>
      <c r="CP5" s="368"/>
      <c r="CQ5" s="368"/>
      <c r="CR5" s="368"/>
      <c r="CS5" s="368"/>
      <c r="CT5" s="368"/>
      <c r="CU5" s="368"/>
      <c r="CV5" s="368"/>
      <c r="CW5" s="368"/>
      <c r="CX5" s="368"/>
      <c r="CY5" s="368"/>
      <c r="CZ5" s="368"/>
      <c r="DA5" s="368"/>
      <c r="DB5" s="368"/>
      <c r="DC5" s="368"/>
      <c r="DD5" s="368"/>
      <c r="DE5" s="368"/>
      <c r="DF5" s="368"/>
      <c r="DG5" s="368"/>
      <c r="DH5" s="368"/>
      <c r="DI5" s="368"/>
      <c r="DJ5" s="368"/>
      <c r="DK5" s="368"/>
      <c r="DL5" s="368"/>
      <c r="DM5" s="368"/>
      <c r="DN5" s="368"/>
      <c r="DO5" s="368"/>
      <c r="DP5" s="368"/>
      <c r="DQ5" s="368"/>
      <c r="DR5" s="368"/>
      <c r="DS5" s="368"/>
      <c r="DT5" s="368"/>
      <c r="DU5" s="368"/>
      <c r="DV5" s="368"/>
      <c r="DW5" s="368"/>
      <c r="DX5" s="368"/>
      <c r="DY5" s="368"/>
      <c r="DZ5" s="368"/>
      <c r="EA5" s="368"/>
      <c r="EB5" s="368"/>
      <c r="EC5" s="368"/>
      <c r="ED5" s="368"/>
      <c r="EE5" s="368"/>
      <c r="EF5" s="368"/>
      <c r="EG5" s="368"/>
      <c r="EH5" s="368"/>
      <c r="EI5" s="368"/>
      <c r="EJ5" s="368"/>
      <c r="EK5" s="368"/>
      <c r="EL5" s="368"/>
      <c r="EM5" s="368"/>
      <c r="EN5" s="368"/>
      <c r="EO5" s="368"/>
      <c r="EP5" s="368"/>
      <c r="EQ5" s="368"/>
      <c r="ER5" s="368"/>
    </row>
    <row r="6" spans="1:148" s="367" customFormat="1" ht="18" customHeight="1">
      <c r="A6" s="1"/>
      <c r="B6" s="369"/>
      <c r="C6" s="31"/>
      <c r="D6" s="33" t="s">
        <v>48</v>
      </c>
      <c r="E6" s="33"/>
      <c r="F6" s="33"/>
      <c r="G6" s="33"/>
      <c r="H6" s="33"/>
      <c r="I6" s="33"/>
      <c r="J6" s="33"/>
      <c r="K6" s="33"/>
      <c r="L6" s="31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368"/>
      <c r="AC6" s="368"/>
      <c r="AD6" s="368"/>
      <c r="AE6" s="368"/>
      <c r="AF6" s="368"/>
      <c r="AG6" s="368"/>
      <c r="AH6" s="368"/>
      <c r="AI6" s="368"/>
      <c r="AJ6" s="368"/>
      <c r="AK6" s="368"/>
      <c r="AL6" s="368"/>
      <c r="AM6" s="368"/>
      <c r="AN6" s="368"/>
      <c r="AO6" s="368"/>
      <c r="AP6" s="368"/>
      <c r="AQ6" s="368"/>
      <c r="AR6" s="368"/>
      <c r="AS6" s="368"/>
      <c r="AT6" s="368"/>
      <c r="AU6" s="368"/>
      <c r="AV6" s="368"/>
      <c r="AW6" s="368"/>
      <c r="AX6" s="368"/>
      <c r="AY6" s="368"/>
      <c r="AZ6" s="368"/>
      <c r="BA6" s="368"/>
      <c r="BB6" s="368"/>
      <c r="BC6" s="368"/>
      <c r="BD6" s="368"/>
      <c r="BE6" s="368"/>
      <c r="BF6" s="368"/>
      <c r="BG6" s="368"/>
      <c r="BH6" s="368"/>
      <c r="BI6" s="368"/>
      <c r="BJ6" s="368"/>
      <c r="BK6" s="368"/>
      <c r="BL6" s="368"/>
      <c r="BM6" s="368"/>
      <c r="BN6" s="368"/>
      <c r="BO6" s="368"/>
      <c r="BP6" s="368"/>
      <c r="BQ6" s="368"/>
      <c r="BR6" s="368"/>
      <c r="BS6" s="368"/>
      <c r="BT6" s="368"/>
      <c r="BU6" s="368"/>
      <c r="BV6" s="368"/>
      <c r="BW6" s="368"/>
      <c r="BX6" s="368"/>
      <c r="BY6" s="368"/>
      <c r="BZ6" s="368"/>
      <c r="CA6" s="368"/>
      <c r="CB6" s="368"/>
      <c r="CC6" s="368"/>
      <c r="CD6" s="368"/>
      <c r="CE6" s="368"/>
      <c r="CF6" s="368"/>
      <c r="CG6" s="368"/>
      <c r="CH6" s="368"/>
      <c r="CI6" s="368"/>
      <c r="CJ6" s="368"/>
      <c r="CK6" s="368"/>
      <c r="CL6" s="368"/>
      <c r="CM6" s="368"/>
      <c r="CN6" s="368"/>
      <c r="CO6" s="368"/>
      <c r="CP6" s="368"/>
      <c r="CQ6" s="368"/>
      <c r="CR6" s="368"/>
      <c r="CS6" s="368"/>
      <c r="CT6" s="368"/>
      <c r="CU6" s="368"/>
      <c r="CV6" s="368"/>
      <c r="CW6" s="368"/>
      <c r="CX6" s="368"/>
      <c r="CY6" s="368"/>
      <c r="CZ6" s="368"/>
      <c r="DA6" s="368"/>
      <c r="DB6" s="368"/>
      <c r="DC6" s="368"/>
      <c r="DD6" s="368"/>
      <c r="DE6" s="368"/>
      <c r="DF6" s="368"/>
      <c r="DG6" s="368"/>
      <c r="DH6" s="368"/>
      <c r="DI6" s="368"/>
      <c r="DJ6" s="368"/>
      <c r="DK6" s="368"/>
      <c r="DL6" s="368"/>
      <c r="DM6" s="368"/>
      <c r="DN6" s="368"/>
      <c r="DO6" s="368"/>
      <c r="DP6" s="368"/>
      <c r="DQ6" s="368"/>
      <c r="DR6" s="368"/>
      <c r="DS6" s="368"/>
      <c r="DT6" s="368"/>
      <c r="DU6" s="368"/>
      <c r="DV6" s="368"/>
      <c r="DW6" s="368"/>
      <c r="DX6" s="368"/>
      <c r="DY6" s="368"/>
      <c r="DZ6" s="368"/>
      <c r="EA6" s="368"/>
      <c r="EB6" s="368"/>
      <c r="EC6" s="368"/>
      <c r="ED6" s="368"/>
      <c r="EE6" s="368"/>
      <c r="EF6" s="368"/>
      <c r="EG6" s="368"/>
      <c r="EH6" s="368"/>
      <c r="EI6" s="368"/>
      <c r="EJ6" s="368"/>
      <c r="EK6" s="368"/>
      <c r="EL6" s="368"/>
      <c r="EM6" s="368"/>
      <c r="EN6" s="368"/>
      <c r="EO6" s="368"/>
      <c r="EP6" s="368"/>
      <c r="EQ6" s="368"/>
      <c r="ER6" s="368"/>
    </row>
    <row r="7" spans="1:148" s="367" customFormat="1" ht="15.75">
      <c r="A7" s="1"/>
      <c r="B7" s="369"/>
      <c r="C7" s="4" t="s">
        <v>1</v>
      </c>
      <c r="D7" s="1"/>
      <c r="E7" s="1"/>
      <c r="F7" s="2"/>
      <c r="G7" s="1"/>
      <c r="H7" s="1"/>
      <c r="I7" s="1"/>
      <c r="J7" s="1"/>
      <c r="K7" s="1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  <c r="AY7" s="368"/>
      <c r="AZ7" s="368"/>
      <c r="BA7" s="368"/>
      <c r="BB7" s="368"/>
      <c r="BC7" s="368"/>
      <c r="BD7" s="368"/>
      <c r="BE7" s="368"/>
      <c r="BF7" s="368"/>
      <c r="BG7" s="368"/>
      <c r="BH7" s="368"/>
      <c r="BI7" s="368"/>
      <c r="BJ7" s="368"/>
      <c r="BK7" s="368"/>
      <c r="BL7" s="368"/>
      <c r="BM7" s="368"/>
      <c r="BN7" s="368"/>
      <c r="BO7" s="368"/>
      <c r="BP7" s="368"/>
      <c r="BQ7" s="368"/>
      <c r="BR7" s="368"/>
      <c r="BS7" s="368"/>
      <c r="BT7" s="368"/>
      <c r="BU7" s="368"/>
      <c r="BV7" s="368"/>
      <c r="BW7" s="368"/>
      <c r="BX7" s="368"/>
      <c r="BY7" s="368"/>
      <c r="BZ7" s="368"/>
      <c r="CA7" s="368"/>
      <c r="CB7" s="368"/>
      <c r="CC7" s="368"/>
      <c r="CD7" s="368"/>
      <c r="CE7" s="368"/>
      <c r="CF7" s="368"/>
      <c r="CG7" s="368"/>
      <c r="CH7" s="368"/>
      <c r="CI7" s="368"/>
      <c r="CJ7" s="368"/>
      <c r="CK7" s="368"/>
      <c r="CL7" s="368"/>
      <c r="CM7" s="368"/>
      <c r="CN7" s="368"/>
      <c r="CO7" s="368"/>
      <c r="CP7" s="368"/>
      <c r="CQ7" s="368"/>
      <c r="CR7" s="368"/>
      <c r="CS7" s="368"/>
      <c r="CT7" s="368"/>
      <c r="CU7" s="368"/>
      <c r="CV7" s="368"/>
      <c r="CW7" s="368"/>
      <c r="CX7" s="368"/>
      <c r="CY7" s="368"/>
      <c r="CZ7" s="368"/>
      <c r="DA7" s="368"/>
      <c r="DB7" s="368"/>
      <c r="DC7" s="368"/>
      <c r="DD7" s="368"/>
      <c r="DE7" s="368"/>
      <c r="DF7" s="368"/>
      <c r="DG7" s="368"/>
      <c r="DH7" s="368"/>
      <c r="DI7" s="368"/>
      <c r="DJ7" s="368"/>
      <c r="DK7" s="368"/>
      <c r="DL7" s="368"/>
      <c r="DM7" s="368"/>
      <c r="DN7" s="368"/>
      <c r="DO7" s="368"/>
      <c r="DP7" s="368"/>
      <c r="DQ7" s="368"/>
      <c r="DR7" s="368"/>
      <c r="DS7" s="368"/>
      <c r="DT7" s="368"/>
      <c r="DU7" s="368"/>
      <c r="DV7" s="368"/>
      <c r="DW7" s="368"/>
      <c r="DX7" s="368"/>
      <c r="DY7" s="368"/>
      <c r="DZ7" s="368"/>
      <c r="EA7" s="368"/>
      <c r="EB7" s="368"/>
      <c r="EC7" s="368"/>
      <c r="ED7" s="368"/>
      <c r="EE7" s="368"/>
      <c r="EF7" s="368"/>
      <c r="EG7" s="368"/>
      <c r="EH7" s="368"/>
      <c r="EI7" s="368"/>
      <c r="EJ7" s="368"/>
      <c r="EK7" s="368"/>
      <c r="EL7" s="368"/>
      <c r="EM7" s="368"/>
      <c r="EN7" s="368"/>
      <c r="EO7" s="368"/>
      <c r="EP7" s="368"/>
      <c r="EQ7" s="368"/>
      <c r="ER7" s="368"/>
    </row>
    <row r="8" spans="1:148" s="367" customFormat="1">
      <c r="A8" s="1"/>
      <c r="B8" s="370"/>
      <c r="C8" s="4"/>
      <c r="D8" s="1"/>
      <c r="E8" s="1"/>
      <c r="F8" s="1"/>
      <c r="G8" s="1"/>
      <c r="H8" s="1"/>
      <c r="I8" s="1"/>
      <c r="J8" s="1"/>
      <c r="K8" s="1"/>
      <c r="L8" s="1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368"/>
      <c r="AC8" s="368"/>
      <c r="AD8" s="368"/>
      <c r="AE8" s="368"/>
      <c r="AF8" s="368"/>
      <c r="AG8" s="368"/>
      <c r="AH8" s="368"/>
      <c r="AI8" s="368"/>
      <c r="AJ8" s="368"/>
      <c r="AK8" s="368"/>
      <c r="AL8" s="368"/>
      <c r="AM8" s="368"/>
      <c r="AN8" s="368"/>
      <c r="AO8" s="368"/>
      <c r="AP8" s="368"/>
      <c r="AQ8" s="368"/>
      <c r="AR8" s="368"/>
      <c r="AS8" s="368"/>
      <c r="AT8" s="368"/>
      <c r="AU8" s="368"/>
      <c r="AV8" s="368"/>
      <c r="AW8" s="368"/>
      <c r="AX8" s="368"/>
      <c r="AY8" s="368"/>
      <c r="AZ8" s="368"/>
      <c r="BA8" s="368"/>
      <c r="BB8" s="368"/>
      <c r="BC8" s="368"/>
      <c r="BD8" s="368"/>
      <c r="BE8" s="368"/>
      <c r="BF8" s="368"/>
      <c r="BG8" s="368"/>
      <c r="BH8" s="368"/>
      <c r="BI8" s="368"/>
      <c r="BJ8" s="368"/>
      <c r="BK8" s="368"/>
      <c r="BL8" s="368"/>
      <c r="BM8" s="368"/>
      <c r="BN8" s="368"/>
      <c r="BO8" s="368"/>
      <c r="BP8" s="368"/>
      <c r="BQ8" s="368"/>
      <c r="BR8" s="368"/>
      <c r="BS8" s="368"/>
      <c r="BT8" s="368"/>
      <c r="BU8" s="368"/>
      <c r="BV8" s="368"/>
      <c r="BW8" s="368"/>
      <c r="BX8" s="368"/>
      <c r="BY8" s="368"/>
      <c r="BZ8" s="368"/>
      <c r="CA8" s="368"/>
      <c r="CB8" s="368"/>
      <c r="CC8" s="368"/>
      <c r="CD8" s="368"/>
      <c r="CE8" s="368"/>
      <c r="CF8" s="368"/>
      <c r="CG8" s="368"/>
      <c r="CH8" s="368"/>
      <c r="CI8" s="368"/>
      <c r="CJ8" s="368"/>
      <c r="CK8" s="368"/>
      <c r="CL8" s="368"/>
      <c r="CM8" s="368"/>
      <c r="CN8" s="368"/>
      <c r="CO8" s="368"/>
      <c r="CP8" s="368"/>
      <c r="CQ8" s="368"/>
      <c r="CR8" s="368"/>
      <c r="CS8" s="368"/>
      <c r="CT8" s="368"/>
      <c r="CU8" s="368"/>
      <c r="CV8" s="368"/>
      <c r="CW8" s="368"/>
      <c r="CX8" s="368"/>
      <c r="CY8" s="368"/>
      <c r="CZ8" s="368"/>
      <c r="DA8" s="368"/>
      <c r="DB8" s="368"/>
      <c r="DC8" s="368"/>
      <c r="DD8" s="368"/>
      <c r="DE8" s="368"/>
      <c r="DF8" s="368"/>
      <c r="DG8" s="368"/>
      <c r="DH8" s="368"/>
      <c r="DI8" s="368"/>
      <c r="DJ8" s="368"/>
      <c r="DK8" s="368"/>
      <c r="DL8" s="368"/>
      <c r="DM8" s="368"/>
      <c r="DN8" s="368"/>
      <c r="DO8" s="368"/>
      <c r="DP8" s="368"/>
      <c r="DQ8" s="368"/>
      <c r="DR8" s="368"/>
      <c r="DS8" s="368"/>
      <c r="DT8" s="368"/>
      <c r="DU8" s="368"/>
      <c r="DV8" s="368"/>
      <c r="DW8" s="368"/>
      <c r="DX8" s="368"/>
      <c r="DY8" s="368"/>
      <c r="DZ8" s="368"/>
      <c r="EA8" s="368"/>
      <c r="EB8" s="368"/>
      <c r="EC8" s="368"/>
      <c r="ED8" s="368"/>
      <c r="EE8" s="368"/>
      <c r="EF8" s="368"/>
      <c r="EG8" s="368"/>
      <c r="EH8" s="368"/>
      <c r="EI8" s="368"/>
      <c r="EJ8" s="368"/>
      <c r="EK8" s="368"/>
      <c r="EL8" s="368"/>
      <c r="EM8" s="368"/>
      <c r="EN8" s="368"/>
      <c r="EO8" s="368"/>
      <c r="EP8" s="368"/>
      <c r="EQ8" s="368"/>
      <c r="ER8" s="368"/>
    </row>
    <row r="9" spans="1:148" s="367" customFormat="1">
      <c r="A9" s="1"/>
      <c r="B9" s="369"/>
      <c r="C9" s="4"/>
      <c r="D9" s="141"/>
      <c r="E9" s="141"/>
      <c r="F9" s="141"/>
      <c r="G9" s="141"/>
      <c r="H9" s="1"/>
      <c r="I9" s="1"/>
      <c r="J9" s="1"/>
      <c r="K9" s="1"/>
      <c r="L9" s="1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368"/>
      <c r="EC9" s="368"/>
      <c r="ED9" s="368"/>
      <c r="EE9" s="368"/>
      <c r="EF9" s="368"/>
      <c r="EG9" s="368"/>
      <c r="EH9" s="368"/>
      <c r="EI9" s="368"/>
      <c r="EJ9" s="368"/>
      <c r="EK9" s="368"/>
      <c r="EL9" s="368"/>
      <c r="EM9" s="368"/>
      <c r="EN9" s="368"/>
      <c r="EO9" s="368"/>
      <c r="EP9" s="368"/>
      <c r="EQ9" s="368"/>
      <c r="ER9" s="368"/>
    </row>
    <row r="10" spans="1:148" s="367" customFormat="1">
      <c r="A10" s="1"/>
      <c r="B10" s="366"/>
      <c r="C10" s="1"/>
      <c r="D10" s="85"/>
      <c r="E10" s="85"/>
      <c r="F10" s="85"/>
      <c r="G10" s="85"/>
      <c r="H10" s="1"/>
      <c r="I10" s="1"/>
      <c r="J10" s="1"/>
      <c r="K10" s="1"/>
      <c r="L10" s="1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8"/>
      <c r="AD10" s="368"/>
      <c r="AE10" s="368"/>
      <c r="AF10" s="368"/>
      <c r="AG10" s="368"/>
      <c r="AH10" s="368"/>
      <c r="AI10" s="368"/>
      <c r="AJ10" s="368"/>
      <c r="AK10" s="368"/>
      <c r="AL10" s="368"/>
      <c r="AM10" s="368"/>
      <c r="AN10" s="368"/>
      <c r="AO10" s="368"/>
      <c r="AP10" s="368"/>
      <c r="AQ10" s="368"/>
      <c r="AR10" s="368"/>
      <c r="AS10" s="368"/>
      <c r="AT10" s="368"/>
      <c r="AU10" s="368"/>
      <c r="AV10" s="368"/>
      <c r="AW10" s="368"/>
      <c r="AX10" s="368"/>
      <c r="AY10" s="368"/>
      <c r="AZ10" s="368"/>
      <c r="BA10" s="368"/>
      <c r="BB10" s="368"/>
      <c r="BC10" s="368"/>
      <c r="BD10" s="368"/>
      <c r="BE10" s="368"/>
      <c r="BF10" s="368"/>
      <c r="BG10" s="368"/>
      <c r="BH10" s="368"/>
      <c r="BI10" s="368"/>
      <c r="BJ10" s="368"/>
      <c r="BK10" s="368"/>
      <c r="BL10" s="368"/>
      <c r="BM10" s="368"/>
      <c r="BN10" s="368"/>
      <c r="BO10" s="368"/>
      <c r="BP10" s="368"/>
      <c r="BQ10" s="368"/>
      <c r="BR10" s="368"/>
      <c r="BS10" s="368"/>
      <c r="BT10" s="368"/>
      <c r="BU10" s="368"/>
      <c r="BV10" s="368"/>
      <c r="BW10" s="368"/>
      <c r="BX10" s="368"/>
      <c r="BY10" s="368"/>
      <c r="BZ10" s="368"/>
      <c r="CA10" s="368"/>
      <c r="CB10" s="368"/>
      <c r="CC10" s="368"/>
      <c r="CD10" s="368"/>
      <c r="CE10" s="368"/>
      <c r="CF10" s="368"/>
      <c r="CG10" s="368"/>
      <c r="CH10" s="368"/>
      <c r="CI10" s="368"/>
      <c r="CJ10" s="368"/>
      <c r="CK10" s="368"/>
      <c r="CL10" s="368"/>
      <c r="CM10" s="368"/>
      <c r="CN10" s="368"/>
      <c r="CO10" s="368"/>
      <c r="CP10" s="368"/>
      <c r="CQ10" s="368"/>
      <c r="CR10" s="368"/>
      <c r="CS10" s="368"/>
      <c r="CT10" s="368"/>
      <c r="CU10" s="368"/>
      <c r="CV10" s="368"/>
      <c r="CW10" s="368"/>
      <c r="CX10" s="368"/>
      <c r="CY10" s="368"/>
      <c r="CZ10" s="368"/>
      <c r="DA10" s="368"/>
      <c r="DB10" s="368"/>
      <c r="DC10" s="368"/>
      <c r="DD10" s="368"/>
      <c r="DE10" s="368"/>
      <c r="DF10" s="368"/>
      <c r="DG10" s="368"/>
      <c r="DH10" s="368"/>
      <c r="DI10" s="368"/>
      <c r="DJ10" s="368"/>
      <c r="DK10" s="368"/>
      <c r="DL10" s="368"/>
      <c r="DM10" s="368"/>
      <c r="DN10" s="368"/>
      <c r="DO10" s="368"/>
      <c r="DP10" s="368"/>
      <c r="DQ10" s="368"/>
      <c r="DR10" s="368"/>
      <c r="DS10" s="368"/>
      <c r="DT10" s="368"/>
      <c r="DU10" s="368"/>
      <c r="DV10" s="368"/>
      <c r="DW10" s="368"/>
      <c r="DX10" s="368"/>
      <c r="DY10" s="368"/>
      <c r="DZ10" s="368"/>
      <c r="EA10" s="368"/>
      <c r="EB10" s="368"/>
      <c r="EC10" s="368"/>
      <c r="ED10" s="368"/>
      <c r="EE10" s="368"/>
      <c r="EF10" s="368"/>
      <c r="EG10" s="368"/>
      <c r="EH10" s="368"/>
      <c r="EI10" s="368"/>
      <c r="EJ10" s="368"/>
      <c r="EK10" s="368"/>
      <c r="EL10" s="368"/>
      <c r="EM10" s="368"/>
      <c r="EN10" s="368"/>
      <c r="EO10" s="368"/>
      <c r="EP10" s="368"/>
      <c r="EQ10" s="368"/>
      <c r="ER10" s="368"/>
    </row>
    <row r="11" spans="1:148" s="367" customFormat="1">
      <c r="A11" s="1"/>
      <c r="B11" s="366"/>
      <c r="C11" s="1"/>
      <c r="D11" s="1"/>
      <c r="E11" s="1"/>
      <c r="F11" s="1"/>
      <c r="G11" s="1"/>
      <c r="H11" s="1"/>
      <c r="I11" s="1"/>
      <c r="J11" s="1"/>
      <c r="K11" s="1"/>
      <c r="L11" s="1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368"/>
      <c r="BO11" s="368"/>
      <c r="BP11" s="368"/>
      <c r="BQ11" s="368"/>
      <c r="BR11" s="368"/>
      <c r="BS11" s="368"/>
      <c r="BT11" s="368"/>
      <c r="BU11" s="368"/>
      <c r="BV11" s="368"/>
      <c r="BW11" s="368"/>
      <c r="BX11" s="368"/>
      <c r="BY11" s="368"/>
      <c r="BZ11" s="368"/>
      <c r="CA11" s="368"/>
      <c r="CB11" s="368"/>
      <c r="CC11" s="368"/>
      <c r="CD11" s="368"/>
      <c r="CE11" s="368"/>
      <c r="CF11" s="368"/>
      <c r="CG11" s="368"/>
      <c r="CH11" s="368"/>
      <c r="CI11" s="368"/>
      <c r="CJ11" s="368"/>
      <c r="CK11" s="368"/>
      <c r="CL11" s="368"/>
      <c r="CM11" s="368"/>
      <c r="CN11" s="368"/>
      <c r="CO11" s="368"/>
      <c r="CP11" s="368"/>
      <c r="CQ11" s="368"/>
      <c r="CR11" s="368"/>
      <c r="CS11" s="368"/>
      <c r="CT11" s="368"/>
      <c r="CU11" s="368"/>
      <c r="CV11" s="368"/>
      <c r="CW11" s="368"/>
      <c r="CX11" s="368"/>
      <c r="CY11" s="368"/>
      <c r="CZ11" s="368"/>
      <c r="DA11" s="368"/>
      <c r="DB11" s="368"/>
      <c r="DC11" s="368"/>
      <c r="DD11" s="368"/>
      <c r="DE11" s="368"/>
      <c r="DF11" s="368"/>
      <c r="DG11" s="368"/>
      <c r="DH11" s="368"/>
      <c r="DI11" s="368"/>
      <c r="DJ11" s="368"/>
      <c r="DK11" s="368"/>
      <c r="DL11" s="368"/>
      <c r="DM11" s="368"/>
      <c r="DN11" s="368"/>
      <c r="DO11" s="368"/>
      <c r="DP11" s="368"/>
      <c r="DQ11" s="368"/>
      <c r="DR11" s="368"/>
      <c r="DS11" s="368"/>
      <c r="DT11" s="368"/>
      <c r="DU11" s="368"/>
      <c r="DV11" s="368"/>
      <c r="DW11" s="368"/>
      <c r="DX11" s="368"/>
      <c r="DY11" s="368"/>
      <c r="DZ11" s="368"/>
      <c r="EA11" s="368"/>
      <c r="EB11" s="368"/>
      <c r="EC11" s="368"/>
      <c r="ED11" s="368"/>
      <c r="EE11" s="368"/>
      <c r="EF11" s="368"/>
      <c r="EG11" s="368"/>
      <c r="EH11" s="368"/>
      <c r="EI11" s="368"/>
      <c r="EJ11" s="368"/>
      <c r="EK11" s="368"/>
      <c r="EL11" s="368"/>
      <c r="EM11" s="368"/>
      <c r="EN11" s="368"/>
      <c r="EO11" s="368"/>
      <c r="EP11" s="368"/>
      <c r="EQ11" s="368"/>
      <c r="ER11" s="368"/>
    </row>
    <row r="12" spans="1:148" s="367" customFormat="1">
      <c r="A12" s="1"/>
      <c r="B12" s="366"/>
      <c r="C12" s="1"/>
      <c r="D12" s="1"/>
      <c r="E12" s="1"/>
      <c r="F12" s="1"/>
      <c r="G12" s="1"/>
      <c r="H12" s="1"/>
      <c r="I12" s="1"/>
      <c r="J12" s="1"/>
      <c r="K12" s="1"/>
      <c r="L12" s="1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368"/>
      <c r="BO12" s="368"/>
      <c r="BP12" s="368"/>
      <c r="BQ12" s="368"/>
      <c r="BR12" s="368"/>
      <c r="BS12" s="368"/>
      <c r="BT12" s="368"/>
      <c r="BU12" s="368"/>
      <c r="BV12" s="368"/>
      <c r="BW12" s="368"/>
      <c r="BX12" s="368"/>
      <c r="BY12" s="368"/>
      <c r="BZ12" s="368"/>
      <c r="CA12" s="368"/>
      <c r="CB12" s="368"/>
      <c r="CC12" s="368"/>
      <c r="CD12" s="368"/>
      <c r="CE12" s="368"/>
      <c r="CF12" s="368"/>
      <c r="CG12" s="368"/>
      <c r="CH12" s="368"/>
      <c r="CI12" s="368"/>
      <c r="CJ12" s="368"/>
      <c r="CK12" s="368"/>
      <c r="CL12" s="368"/>
      <c r="CM12" s="368"/>
      <c r="CN12" s="368"/>
      <c r="CO12" s="368"/>
      <c r="CP12" s="368"/>
      <c r="CQ12" s="368"/>
      <c r="CR12" s="368"/>
      <c r="CS12" s="368"/>
      <c r="CT12" s="368"/>
      <c r="CU12" s="368"/>
      <c r="CV12" s="368"/>
      <c r="CW12" s="368"/>
      <c r="CX12" s="368"/>
      <c r="CY12" s="368"/>
      <c r="CZ12" s="368"/>
      <c r="DA12" s="368"/>
      <c r="DB12" s="368"/>
      <c r="DC12" s="368"/>
      <c r="DD12" s="368"/>
      <c r="DE12" s="368"/>
      <c r="DF12" s="368"/>
      <c r="DG12" s="368"/>
      <c r="DH12" s="368"/>
      <c r="DI12" s="368"/>
      <c r="DJ12" s="368"/>
      <c r="DK12" s="368"/>
      <c r="DL12" s="368"/>
      <c r="DM12" s="368"/>
      <c r="DN12" s="368"/>
      <c r="DO12" s="368"/>
      <c r="DP12" s="368"/>
      <c r="DQ12" s="368"/>
      <c r="DR12" s="368"/>
      <c r="DS12" s="368"/>
      <c r="DT12" s="368"/>
      <c r="DU12" s="368"/>
      <c r="DV12" s="368"/>
      <c r="DW12" s="368"/>
      <c r="DX12" s="368"/>
      <c r="DY12" s="368"/>
      <c r="DZ12" s="368"/>
      <c r="EA12" s="368"/>
      <c r="EB12" s="368"/>
      <c r="EC12" s="368"/>
      <c r="ED12" s="368"/>
      <c r="EE12" s="368"/>
      <c r="EF12" s="368"/>
      <c r="EG12" s="368"/>
      <c r="EH12" s="368"/>
      <c r="EI12" s="368"/>
      <c r="EJ12" s="368"/>
      <c r="EK12" s="368"/>
      <c r="EL12" s="368"/>
      <c r="EM12" s="368"/>
      <c r="EN12" s="368"/>
      <c r="EO12" s="368"/>
      <c r="EP12" s="368"/>
      <c r="EQ12" s="368"/>
      <c r="ER12" s="368"/>
    </row>
    <row r="13" spans="1:148" s="367" customFormat="1" ht="12.75" customHeight="1">
      <c r="A13" s="234"/>
      <c r="B13" s="394" t="s">
        <v>49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02"/>
      <c r="P13" s="368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68"/>
      <c r="BO13" s="368"/>
      <c r="BP13" s="368"/>
      <c r="BQ13" s="368"/>
      <c r="BR13" s="368"/>
      <c r="BS13" s="368"/>
      <c r="BT13" s="368"/>
      <c r="BU13" s="368"/>
      <c r="BV13" s="368"/>
      <c r="BW13" s="368"/>
      <c r="BX13" s="368"/>
      <c r="BY13" s="368"/>
      <c r="BZ13" s="368"/>
      <c r="CA13" s="368"/>
      <c r="CB13" s="368"/>
      <c r="CC13" s="368"/>
      <c r="CD13" s="368"/>
      <c r="CE13" s="368"/>
      <c r="CF13" s="368"/>
      <c r="CG13" s="368"/>
      <c r="CH13" s="368"/>
      <c r="CI13" s="368"/>
      <c r="CJ13" s="368"/>
      <c r="CK13" s="368"/>
      <c r="CL13" s="368"/>
      <c r="CM13" s="368"/>
      <c r="CN13" s="368"/>
      <c r="CO13" s="368"/>
      <c r="CP13" s="368"/>
      <c r="CQ13" s="368"/>
      <c r="CR13" s="368"/>
      <c r="CS13" s="368"/>
      <c r="CT13" s="368"/>
      <c r="CU13" s="368"/>
      <c r="CV13" s="368"/>
      <c r="CW13" s="368"/>
      <c r="CX13" s="368"/>
      <c r="CY13" s="368"/>
      <c r="CZ13" s="368"/>
      <c r="DA13" s="368"/>
      <c r="DB13" s="368"/>
      <c r="DC13" s="368"/>
      <c r="DD13" s="368"/>
      <c r="DE13" s="368"/>
      <c r="DF13" s="368"/>
      <c r="DG13" s="368"/>
      <c r="DH13" s="368"/>
      <c r="DI13" s="368"/>
      <c r="DJ13" s="368"/>
      <c r="DK13" s="368"/>
      <c r="DL13" s="368"/>
      <c r="DM13" s="368"/>
      <c r="DN13" s="368"/>
      <c r="DO13" s="368"/>
      <c r="DP13" s="368"/>
      <c r="DQ13" s="368"/>
      <c r="DR13" s="368"/>
      <c r="DS13" s="368"/>
      <c r="DT13" s="368"/>
      <c r="DU13" s="368"/>
      <c r="DV13" s="368"/>
      <c r="DW13" s="368"/>
      <c r="DX13" s="368"/>
      <c r="DY13" s="368"/>
      <c r="DZ13" s="368"/>
      <c r="EA13" s="368"/>
      <c r="EB13" s="368"/>
      <c r="EC13" s="368"/>
      <c r="ED13" s="368"/>
      <c r="EE13" s="368"/>
      <c r="EF13" s="368"/>
      <c r="EG13" s="368"/>
      <c r="EH13" s="368"/>
      <c r="EI13" s="368"/>
      <c r="EJ13" s="368"/>
      <c r="EK13" s="368"/>
      <c r="EL13" s="368"/>
      <c r="EM13" s="368"/>
      <c r="EN13" s="368"/>
      <c r="EO13" s="368"/>
      <c r="EP13" s="368"/>
      <c r="EQ13" s="368"/>
      <c r="ER13" s="368"/>
    </row>
    <row r="14" spans="1:148" s="367" customFormat="1" ht="12.75" customHeight="1">
      <c r="A14" s="234"/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02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368"/>
      <c r="BO14" s="368"/>
      <c r="BP14" s="368"/>
      <c r="BQ14" s="368"/>
      <c r="BR14" s="368"/>
      <c r="BS14" s="368"/>
      <c r="BT14" s="368"/>
      <c r="BU14" s="368"/>
      <c r="BV14" s="368"/>
      <c r="BW14" s="368"/>
      <c r="BX14" s="368"/>
      <c r="BY14" s="368"/>
      <c r="BZ14" s="368"/>
      <c r="CA14" s="368"/>
      <c r="CB14" s="368"/>
      <c r="CC14" s="368"/>
      <c r="CD14" s="368"/>
      <c r="CE14" s="368"/>
      <c r="CF14" s="368"/>
      <c r="CG14" s="368"/>
      <c r="CH14" s="368"/>
      <c r="CI14" s="368"/>
      <c r="CJ14" s="368"/>
      <c r="CK14" s="368"/>
      <c r="CL14" s="368"/>
      <c r="CM14" s="368"/>
      <c r="CN14" s="368"/>
      <c r="CO14" s="368"/>
      <c r="CP14" s="368"/>
      <c r="CQ14" s="368"/>
      <c r="CR14" s="368"/>
      <c r="CS14" s="368"/>
      <c r="CT14" s="368"/>
      <c r="CU14" s="368"/>
      <c r="CV14" s="368"/>
      <c r="CW14" s="368"/>
      <c r="CX14" s="368"/>
      <c r="CY14" s="368"/>
      <c r="CZ14" s="368"/>
      <c r="DA14" s="368"/>
      <c r="DB14" s="368"/>
      <c r="DC14" s="368"/>
      <c r="DD14" s="368"/>
      <c r="DE14" s="368"/>
      <c r="DF14" s="368"/>
      <c r="DG14" s="368"/>
      <c r="DH14" s="368"/>
      <c r="DI14" s="368"/>
      <c r="DJ14" s="368"/>
      <c r="DK14" s="368"/>
      <c r="DL14" s="368"/>
      <c r="DM14" s="368"/>
      <c r="DN14" s="368"/>
      <c r="DO14" s="368"/>
      <c r="DP14" s="368"/>
      <c r="DQ14" s="368"/>
      <c r="DR14" s="368"/>
      <c r="DS14" s="368"/>
      <c r="DT14" s="368"/>
      <c r="DU14" s="368"/>
      <c r="DV14" s="368"/>
      <c r="DW14" s="368"/>
      <c r="DX14" s="368"/>
      <c r="DY14" s="368"/>
      <c r="DZ14" s="368"/>
      <c r="EA14" s="368"/>
      <c r="EB14" s="368"/>
      <c r="EC14" s="368"/>
      <c r="ED14" s="368"/>
      <c r="EE14" s="368"/>
      <c r="EF14" s="368"/>
      <c r="EG14" s="368"/>
      <c r="EH14" s="368"/>
      <c r="EI14" s="368"/>
      <c r="EJ14" s="368"/>
      <c r="EK14" s="368"/>
      <c r="EL14" s="368"/>
      <c r="EM14" s="368"/>
      <c r="EN14" s="368"/>
      <c r="EO14" s="368"/>
      <c r="EP14" s="368"/>
      <c r="EQ14" s="368"/>
      <c r="ER14" s="368"/>
    </row>
    <row r="15" spans="1:148" s="367" customFormat="1" ht="6.75" customHeight="1">
      <c r="A15" s="234"/>
      <c r="B15" s="395" t="s">
        <v>51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03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368"/>
      <c r="BO15" s="368"/>
      <c r="BP15" s="368"/>
      <c r="BQ15" s="368"/>
      <c r="BR15" s="368"/>
      <c r="BS15" s="368"/>
      <c r="BT15" s="368"/>
      <c r="BU15" s="368"/>
      <c r="BV15" s="368"/>
      <c r="BW15" s="368"/>
      <c r="BX15" s="368"/>
      <c r="BY15" s="368"/>
      <c r="BZ15" s="368"/>
      <c r="CA15" s="368"/>
      <c r="CB15" s="368"/>
      <c r="CC15" s="368"/>
      <c r="CD15" s="368"/>
      <c r="CE15" s="368"/>
      <c r="CF15" s="368"/>
      <c r="CG15" s="368"/>
      <c r="CH15" s="368"/>
      <c r="CI15" s="368"/>
      <c r="CJ15" s="368"/>
      <c r="CK15" s="368"/>
      <c r="CL15" s="368"/>
      <c r="CM15" s="368"/>
      <c r="CN15" s="368"/>
      <c r="CO15" s="368"/>
      <c r="CP15" s="368"/>
      <c r="CQ15" s="368"/>
      <c r="CR15" s="368"/>
      <c r="CS15" s="368"/>
      <c r="CT15" s="368"/>
      <c r="CU15" s="368"/>
      <c r="CV15" s="368"/>
      <c r="CW15" s="368"/>
      <c r="CX15" s="368"/>
      <c r="CY15" s="368"/>
      <c r="CZ15" s="368"/>
      <c r="DA15" s="368"/>
      <c r="DB15" s="368"/>
      <c r="DC15" s="368"/>
      <c r="DD15" s="368"/>
      <c r="DE15" s="368"/>
      <c r="DF15" s="368"/>
      <c r="DG15" s="368"/>
      <c r="DH15" s="368"/>
      <c r="DI15" s="368"/>
      <c r="DJ15" s="368"/>
      <c r="DK15" s="368"/>
      <c r="DL15" s="368"/>
      <c r="DM15" s="368"/>
      <c r="DN15" s="368"/>
      <c r="DO15" s="368"/>
      <c r="DP15" s="368"/>
      <c r="DQ15" s="368"/>
      <c r="DR15" s="368"/>
      <c r="DS15" s="368"/>
      <c r="DT15" s="368"/>
      <c r="DU15" s="368"/>
      <c r="DV15" s="368"/>
      <c r="DW15" s="368"/>
      <c r="DX15" s="368"/>
      <c r="DY15" s="368"/>
      <c r="DZ15" s="368"/>
      <c r="EA15" s="368"/>
      <c r="EB15" s="368"/>
      <c r="EC15" s="368"/>
      <c r="ED15" s="368"/>
      <c r="EE15" s="368"/>
      <c r="EF15" s="368"/>
      <c r="EG15" s="368"/>
      <c r="EH15" s="368"/>
      <c r="EI15" s="368"/>
      <c r="EJ15" s="368"/>
      <c r="EK15" s="368"/>
      <c r="EL15" s="368"/>
      <c r="EM15" s="368"/>
      <c r="EN15" s="368"/>
      <c r="EO15" s="368"/>
      <c r="EP15" s="368"/>
      <c r="EQ15" s="368"/>
      <c r="ER15" s="368"/>
    </row>
    <row r="16" spans="1:148" s="367" customFormat="1" ht="12.75" customHeight="1">
      <c r="A16" s="368"/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03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368"/>
      <c r="AS16" s="368"/>
      <c r="AT16" s="368"/>
      <c r="AU16" s="368"/>
      <c r="AV16" s="368"/>
      <c r="AW16" s="368"/>
      <c r="AX16" s="368"/>
      <c r="AY16" s="368"/>
      <c r="AZ16" s="368"/>
      <c r="BA16" s="368"/>
      <c r="BB16" s="368"/>
      <c r="BC16" s="368"/>
      <c r="BD16" s="368"/>
      <c r="BE16" s="368"/>
      <c r="BF16" s="368"/>
      <c r="BG16" s="368"/>
      <c r="BH16" s="368"/>
      <c r="BI16" s="368"/>
      <c r="BJ16" s="368"/>
      <c r="BK16" s="368"/>
      <c r="BL16" s="368"/>
      <c r="BM16" s="368"/>
      <c r="BN16" s="368"/>
      <c r="BO16" s="368"/>
      <c r="BP16" s="368"/>
      <c r="BQ16" s="368"/>
      <c r="BR16" s="368"/>
      <c r="BS16" s="368"/>
      <c r="BT16" s="368"/>
      <c r="BU16" s="368"/>
      <c r="BV16" s="368"/>
      <c r="BW16" s="368"/>
      <c r="BX16" s="368"/>
      <c r="BY16" s="368"/>
      <c r="BZ16" s="368"/>
      <c r="CA16" s="368"/>
      <c r="CB16" s="368"/>
      <c r="CC16" s="368"/>
      <c r="CD16" s="368"/>
      <c r="CE16" s="368"/>
      <c r="CF16" s="368"/>
      <c r="CG16" s="368"/>
      <c r="CH16" s="368"/>
      <c r="CI16" s="368"/>
      <c r="CJ16" s="368"/>
      <c r="CK16" s="368"/>
      <c r="CL16" s="368"/>
      <c r="CM16" s="368"/>
      <c r="CN16" s="368"/>
      <c r="CO16" s="368"/>
      <c r="CP16" s="368"/>
      <c r="CQ16" s="368"/>
      <c r="CR16" s="368"/>
      <c r="CS16" s="368"/>
      <c r="CT16" s="368"/>
      <c r="CU16" s="368"/>
      <c r="CV16" s="368"/>
      <c r="CW16" s="368"/>
      <c r="CX16" s="368"/>
      <c r="CY16" s="368"/>
      <c r="CZ16" s="368"/>
      <c r="DA16" s="368"/>
      <c r="DB16" s="368"/>
      <c r="DC16" s="368"/>
      <c r="DD16" s="368"/>
      <c r="DE16" s="368"/>
      <c r="DF16" s="368"/>
      <c r="DG16" s="368"/>
      <c r="DH16" s="368"/>
      <c r="DI16" s="368"/>
      <c r="DJ16" s="368"/>
      <c r="DK16" s="368"/>
      <c r="DL16" s="368"/>
      <c r="DM16" s="368"/>
      <c r="DN16" s="368"/>
      <c r="DO16" s="368"/>
      <c r="DP16" s="368"/>
      <c r="DQ16" s="368"/>
      <c r="DR16" s="368"/>
      <c r="DS16" s="368"/>
      <c r="DT16" s="368"/>
      <c r="DU16" s="368"/>
      <c r="DV16" s="368"/>
      <c r="DW16" s="368"/>
      <c r="DX16" s="368"/>
      <c r="DY16" s="368"/>
      <c r="DZ16" s="368"/>
      <c r="EA16" s="368"/>
      <c r="EB16" s="368"/>
      <c r="EC16" s="368"/>
      <c r="ED16" s="368"/>
      <c r="EE16" s="368"/>
      <c r="EF16" s="368"/>
      <c r="EG16" s="368"/>
      <c r="EH16" s="368"/>
      <c r="EI16" s="368"/>
      <c r="EJ16" s="368"/>
      <c r="EK16" s="368"/>
      <c r="EL16" s="368"/>
      <c r="EM16" s="368"/>
      <c r="EN16" s="368"/>
      <c r="EO16" s="368"/>
      <c r="EP16" s="368"/>
      <c r="EQ16" s="368"/>
      <c r="ER16" s="368"/>
    </row>
    <row r="17" spans="1:26">
      <c r="A17" s="1"/>
      <c r="B17" s="366"/>
      <c r="C17" s="1"/>
      <c r="D17" s="85"/>
      <c r="E17" s="85"/>
      <c r="F17" s="85"/>
      <c r="G17" s="85"/>
      <c r="H17" s="81"/>
      <c r="I17" s="82"/>
      <c r="J17" s="88"/>
      <c r="K17" s="3"/>
      <c r="L17" s="82"/>
    </row>
    <row r="18" spans="1:26" ht="13.5" thickBot="1">
      <c r="D18" s="86"/>
      <c r="E18" s="86">
        <f>+E24-D24</f>
        <v>-70907</v>
      </c>
      <c r="F18" s="86">
        <f>+F24-E24</f>
        <v>-28694</v>
      </c>
      <c r="G18" s="86">
        <f>+G24-F24</f>
        <v>87711</v>
      </c>
      <c r="H18" s="83"/>
      <c r="I18" s="83"/>
      <c r="J18" s="83"/>
      <c r="K18" s="235"/>
      <c r="L18" s="236"/>
      <c r="V18" s="237"/>
    </row>
    <row r="19" spans="1:26" ht="13.5" thickTop="1">
      <c r="B19" s="365"/>
      <c r="C19" s="396" t="s">
        <v>169</v>
      </c>
      <c r="D19" s="396"/>
      <c r="E19" s="396"/>
      <c r="F19" s="396"/>
      <c r="G19" s="397"/>
      <c r="H19" s="398" t="s">
        <v>2</v>
      </c>
      <c r="I19" s="399"/>
      <c r="J19" s="399"/>
      <c r="K19" s="399"/>
      <c r="L19" s="400"/>
      <c r="N19" s="107" t="s">
        <v>151</v>
      </c>
      <c r="O19" s="97"/>
      <c r="P19" s="401" t="s">
        <v>101</v>
      </c>
      <c r="Q19" s="401"/>
      <c r="R19" s="401"/>
      <c r="S19" s="401"/>
      <c r="T19" s="401"/>
      <c r="U19" s="401"/>
      <c r="V19" s="364" t="str">
        <f>+C19</f>
        <v>EMPRESA: TREFIACEROS</v>
      </c>
      <c r="W19" s="402" t="s">
        <v>136</v>
      </c>
      <c r="X19" s="401"/>
      <c r="Y19" s="401"/>
      <c r="Z19" s="403"/>
    </row>
    <row r="20" spans="1:26">
      <c r="B20" s="363"/>
      <c r="C20" s="99" t="s">
        <v>102</v>
      </c>
      <c r="D20" s="8">
        <v>2007</v>
      </c>
      <c r="E20" s="8">
        <v>2008</v>
      </c>
      <c r="F20" s="8">
        <v>2009</v>
      </c>
      <c r="G20" s="287">
        <v>2010</v>
      </c>
      <c r="H20" s="98" t="s">
        <v>3</v>
      </c>
      <c r="I20" s="239">
        <v>2007</v>
      </c>
      <c r="J20" s="239">
        <v>2008</v>
      </c>
      <c r="K20" s="239">
        <v>2009</v>
      </c>
      <c r="L20" s="239">
        <v>2010</v>
      </c>
      <c r="N20" s="108" t="s">
        <v>3</v>
      </c>
      <c r="O20" s="7"/>
      <c r="P20" s="404">
        <v>2008</v>
      </c>
      <c r="Q20" s="405"/>
      <c r="R20" s="404">
        <v>2009</v>
      </c>
      <c r="S20" s="405"/>
      <c r="T20" s="404">
        <v>2010</v>
      </c>
      <c r="U20" s="406"/>
      <c r="V20" s="99" t="s">
        <v>102</v>
      </c>
      <c r="W20" s="240">
        <f>+D20</f>
        <v>2007</v>
      </c>
      <c r="X20" s="240">
        <f>+E20</f>
        <v>2008</v>
      </c>
      <c r="Y20" s="240">
        <f>+F20</f>
        <v>2009</v>
      </c>
      <c r="Z20" s="362">
        <f>+G20</f>
        <v>2010</v>
      </c>
    </row>
    <row r="21" spans="1:26" ht="13.5" thickBot="1">
      <c r="B21" s="361"/>
      <c r="C21" s="99" t="s">
        <v>3</v>
      </c>
      <c r="D21" s="11"/>
      <c r="E21" s="11"/>
      <c r="F21" s="11"/>
      <c r="G21" s="12"/>
      <c r="H21" s="387" t="s">
        <v>4</v>
      </c>
      <c r="I21" s="381"/>
      <c r="J21" s="381"/>
      <c r="K21" s="381"/>
      <c r="L21" s="381"/>
      <c r="N21" s="109" t="s">
        <v>3</v>
      </c>
      <c r="O21" s="10"/>
      <c r="P21" s="101" t="s">
        <v>105</v>
      </c>
      <c r="Q21" s="102" t="s">
        <v>106</v>
      </c>
      <c r="R21" s="101" t="s">
        <v>105</v>
      </c>
      <c r="S21" s="102" t="s">
        <v>106</v>
      </c>
      <c r="T21" s="101" t="s">
        <v>105</v>
      </c>
      <c r="U21" s="151" t="s">
        <v>106</v>
      </c>
      <c r="V21" s="99" t="s">
        <v>3</v>
      </c>
      <c r="W21" s="150"/>
      <c r="X21" s="11"/>
      <c r="Y21" s="11"/>
      <c r="Z21" s="12"/>
    </row>
    <row r="22" spans="1:26" ht="13.5" thickTop="1">
      <c r="B22" s="319"/>
      <c r="C22" s="14"/>
      <c r="D22" s="72"/>
      <c r="E22" s="72"/>
      <c r="F22" s="72"/>
      <c r="G22" s="72"/>
      <c r="H22" s="241"/>
      <c r="I22" s="242"/>
      <c r="J22" s="242"/>
      <c r="K22" s="242"/>
      <c r="L22" s="242"/>
      <c r="P22" s="103"/>
      <c r="Q22" s="104"/>
      <c r="R22" s="103"/>
      <c r="S22" s="104"/>
      <c r="T22" s="103"/>
      <c r="U22" s="152"/>
      <c r="V22" s="154"/>
      <c r="W22" s="14"/>
      <c r="X22" s="14"/>
      <c r="Y22" s="14"/>
      <c r="Z22" s="155"/>
    </row>
    <row r="23" spans="1:26" ht="13.5" thickBot="1">
      <c r="B23" s="314">
        <v>10</v>
      </c>
      <c r="C23" s="243" t="s">
        <v>67</v>
      </c>
      <c r="D23" s="57">
        <f>+D30+D38</f>
        <v>962313</v>
      </c>
      <c r="E23" s="58">
        <f>+E30+E38</f>
        <v>1745541</v>
      </c>
      <c r="F23" s="58">
        <f>+F30+F38</f>
        <v>3493342</v>
      </c>
      <c r="G23" s="59">
        <f>+G30+G38</f>
        <v>4557497</v>
      </c>
      <c r="H23" s="244"/>
      <c r="I23" s="16"/>
      <c r="J23" s="380" t="s">
        <v>114</v>
      </c>
      <c r="K23" s="381"/>
      <c r="L23" s="382"/>
      <c r="N23" s="243" t="s">
        <v>67</v>
      </c>
      <c r="O23" s="245" t="s">
        <v>103</v>
      </c>
      <c r="P23" s="103"/>
      <c r="Q23" s="104"/>
      <c r="R23" s="103"/>
      <c r="S23" s="104"/>
      <c r="T23" s="103"/>
      <c r="U23" s="152"/>
      <c r="V23" s="347" t="s">
        <v>161</v>
      </c>
      <c r="W23" s="143">
        <f>+W24+W25</f>
        <v>539689</v>
      </c>
      <c r="X23" s="144">
        <f>+X24+X25</f>
        <v>1255384</v>
      </c>
      <c r="Y23" s="144">
        <f>+Y24+Y25</f>
        <v>2073344</v>
      </c>
      <c r="Z23" s="145">
        <f>+Z24+Z25</f>
        <v>3373186</v>
      </c>
    </row>
    <row r="24" spans="1:26" ht="13.5" thickTop="1">
      <c r="B24" s="310">
        <v>11</v>
      </c>
      <c r="C24" s="246" t="s">
        <v>5</v>
      </c>
      <c r="D24" s="60">
        <v>99601</v>
      </c>
      <c r="E24" s="60">
        <v>28694</v>
      </c>
      <c r="F24" s="60">
        <v>0</v>
      </c>
      <c r="G24" s="60">
        <v>87711</v>
      </c>
      <c r="H24" s="247" t="s">
        <v>81</v>
      </c>
      <c r="I24" s="19">
        <f>+D23</f>
        <v>962313</v>
      </c>
      <c r="J24" s="350">
        <f>+E23/D23-1</f>
        <v>0.81390150605883949</v>
      </c>
      <c r="K24" s="350">
        <f>+F23/E23-1</f>
        <v>1.0012947275371933</v>
      </c>
      <c r="L24" s="350">
        <f>+G23/F23-1</f>
        <v>0.30462376715477624</v>
      </c>
      <c r="N24" s="248"/>
      <c r="O24" s="249"/>
      <c r="P24" s="250"/>
      <c r="Q24" s="104"/>
      <c r="R24" s="103"/>
      <c r="S24" s="104"/>
      <c r="T24" s="103"/>
      <c r="U24" s="152"/>
      <c r="V24" s="360" t="s">
        <v>132</v>
      </c>
      <c r="W24" s="359">
        <f>+D30-D51+D42+D50</f>
        <v>304169</v>
      </c>
      <c r="X24" s="359">
        <f>+E30-E51+E42+E50</f>
        <v>963882</v>
      </c>
      <c r="Y24" s="359">
        <f>+F30-F51+F42+F50</f>
        <v>1763674</v>
      </c>
      <c r="Z24" s="358">
        <f>+G30-G51+G42+G50</f>
        <v>2803413</v>
      </c>
    </row>
    <row r="25" spans="1:26">
      <c r="B25" s="310">
        <v>12</v>
      </c>
      <c r="C25" s="251" t="s">
        <v>56</v>
      </c>
      <c r="D25" s="60">
        <v>0</v>
      </c>
      <c r="E25" s="60">
        <v>0</v>
      </c>
      <c r="F25" s="60">
        <v>0</v>
      </c>
      <c r="G25" s="60">
        <v>0</v>
      </c>
      <c r="H25" s="252" t="s">
        <v>112</v>
      </c>
      <c r="I25" s="19">
        <f>+D27+D28+D33</f>
        <v>694255</v>
      </c>
      <c r="J25" s="350">
        <f>(E27+E28+E33)/(+D27+D28+D33)-1</f>
        <v>0.83671417562711103</v>
      </c>
      <c r="K25" s="350">
        <f>(F27+F28+F33)/(+E27+E28+E33)-1</f>
        <v>1.3783882341500751</v>
      </c>
      <c r="L25" s="350">
        <f>(G27+G28+G33)/(+F27+F28+F33)-1</f>
        <v>7.6015968098095632E-2</v>
      </c>
      <c r="N25" s="251" t="s">
        <v>56</v>
      </c>
      <c r="O25" s="253" t="str">
        <f>IF(E25-D25&lt;0,"F","U")</f>
        <v>U</v>
      </c>
      <c r="P25" s="254">
        <f>IF(E25-D25&lt;0,0,ABS(E25-D25))</f>
        <v>0</v>
      </c>
      <c r="Q25" s="255">
        <f>IF(E25-D25&gt;0,0,ABS(E25-D25))</f>
        <v>0</v>
      </c>
      <c r="R25" s="254">
        <f>IF(F25-E25&lt;0,0,ABS(F25-E25))</f>
        <v>0</v>
      </c>
      <c r="S25" s="255">
        <f>IF(F25-E25&gt;0,0,ABS(F25-E25))</f>
        <v>0</v>
      </c>
      <c r="T25" s="254">
        <f>IF(G25-F25&lt;0,0,ABS(G25-F25))</f>
        <v>0</v>
      </c>
      <c r="U25" s="256">
        <f>IF(G25-F25&gt;0,0,ABS(G25-F25))</f>
        <v>0</v>
      </c>
      <c r="V25" s="328" t="s">
        <v>133</v>
      </c>
      <c r="W25" s="341">
        <f>+D33+D34</f>
        <v>235520</v>
      </c>
      <c r="X25" s="341">
        <f>+E33+E34</f>
        <v>291502</v>
      </c>
      <c r="Y25" s="341">
        <f>+F33+F34</f>
        <v>309670</v>
      </c>
      <c r="Z25" s="340">
        <f>+G33+G34</f>
        <v>569773</v>
      </c>
    </row>
    <row r="26" spans="1:26">
      <c r="B26" s="310">
        <v>13</v>
      </c>
      <c r="C26" s="251" t="s">
        <v>57</v>
      </c>
      <c r="D26" s="60">
        <v>408190</v>
      </c>
      <c r="E26" s="60">
        <v>675614</v>
      </c>
      <c r="F26" s="60">
        <v>1348456</v>
      </c>
      <c r="G26" s="60">
        <v>2550385</v>
      </c>
      <c r="H26" s="252" t="s">
        <v>68</v>
      </c>
      <c r="I26" s="19">
        <f>+D41</f>
        <v>661094</v>
      </c>
      <c r="J26" s="84">
        <f>+E41/D41-1</f>
        <v>0.83495085419017578</v>
      </c>
      <c r="K26" s="84">
        <f>+F41/E41-1</f>
        <v>1.1565476165941924</v>
      </c>
      <c r="L26" s="84">
        <f>+G41/F41-1</f>
        <v>0.10065809039110052</v>
      </c>
      <c r="N26" s="251" t="s">
        <v>57</v>
      </c>
      <c r="O26" s="253" t="str">
        <f>IF(E26-D26&lt;0,"F","U")</f>
        <v>U</v>
      </c>
      <c r="P26" s="254">
        <f>IF(E26-D26&lt;0,0,ABS(E26-D26))</f>
        <v>267424</v>
      </c>
      <c r="Q26" s="255">
        <f>IF(E26-D26&gt;0,0,ABS(E26-D26))</f>
        <v>0</v>
      </c>
      <c r="R26" s="254">
        <f>IF(F26-E26&lt;0,0,ABS(F26-E26))</f>
        <v>672842</v>
      </c>
      <c r="S26" s="255">
        <f>IF(F26-E26&gt;0,0,ABS(F26-E26))</f>
        <v>0</v>
      </c>
      <c r="T26" s="254">
        <f>IF(G26-F26&lt;0,0,ABS(G26-F26))</f>
        <v>1201929</v>
      </c>
      <c r="U26" s="256">
        <f>IF(G26-F26&gt;0,0,ABS(G26-F26))</f>
        <v>0</v>
      </c>
      <c r="V26" s="357" t="s">
        <v>134</v>
      </c>
      <c r="W26" s="356">
        <f>SUM(D35:D37)+D31</f>
        <v>0</v>
      </c>
      <c r="X26" s="356">
        <f>SUM(E35:E37)+E31</f>
        <v>0</v>
      </c>
      <c r="Y26" s="356">
        <f>SUM(F35:F37)+F31</f>
        <v>0</v>
      </c>
      <c r="Z26" s="355">
        <f>SUM(G35:G37)+G31</f>
        <v>0</v>
      </c>
    </row>
    <row r="27" spans="1:26">
      <c r="B27" s="310">
        <v>1305</v>
      </c>
      <c r="C27" s="251" t="s">
        <v>58</v>
      </c>
      <c r="D27" s="60">
        <v>239733</v>
      </c>
      <c r="E27" s="60">
        <v>389070</v>
      </c>
      <c r="F27" s="60">
        <v>894615</v>
      </c>
      <c r="G27" s="60">
        <v>1439579</v>
      </c>
      <c r="H27" s="252" t="s">
        <v>82</v>
      </c>
      <c r="I27" s="19">
        <f>+D63</f>
        <v>301219</v>
      </c>
      <c r="J27" s="84">
        <f>+E63/D63-1</f>
        <v>0.76770389650055271</v>
      </c>
      <c r="K27" s="84">
        <f>+F63/E63-1</f>
        <v>0.64759440039364025</v>
      </c>
      <c r="L27" s="84">
        <f>+G63/F63-1</f>
        <v>0.91284504062519956</v>
      </c>
      <c r="N27" s="251" t="s">
        <v>58</v>
      </c>
      <c r="O27" s="257" t="str">
        <f>IF(E27-D27&lt;0,"F","U")</f>
        <v>U</v>
      </c>
      <c r="P27" s="116">
        <f>IF(E27-D27&lt;0,0,ABS(E27-D27))</f>
        <v>149337</v>
      </c>
      <c r="Q27" s="116">
        <f>IF(E27-D27&gt;0,0,ABS(E27-D27))</f>
        <v>0</v>
      </c>
      <c r="R27" s="116">
        <f>IF(F27-E27&lt;0,0,ABS(F27-E27))</f>
        <v>505545</v>
      </c>
      <c r="S27" s="116">
        <f>IF(F27-E27&gt;0,0,ABS(F27-E27))</f>
        <v>0</v>
      </c>
      <c r="T27" s="116">
        <f>IF(G27-F27&lt;0,0,ABS(G27-F27))</f>
        <v>544964</v>
      </c>
      <c r="U27" s="153">
        <f>IF(G27-F27&gt;0,0,ABS(G27-F27))</f>
        <v>0</v>
      </c>
      <c r="V27" s="354"/>
      <c r="W27" s="353"/>
      <c r="X27" s="353"/>
      <c r="Y27" s="353"/>
      <c r="Z27" s="352"/>
    </row>
    <row r="28" spans="1:26">
      <c r="B28" s="310">
        <v>14</v>
      </c>
      <c r="C28" s="251" t="s">
        <v>59</v>
      </c>
      <c r="D28" s="60">
        <v>219002</v>
      </c>
      <c r="E28" s="60">
        <v>594576</v>
      </c>
      <c r="F28" s="60">
        <v>1828512</v>
      </c>
      <c r="G28" s="60">
        <v>1253986</v>
      </c>
      <c r="H28" s="252" t="s">
        <v>17</v>
      </c>
      <c r="I28" s="19">
        <f>+D75</f>
        <v>3516622</v>
      </c>
      <c r="J28" s="84">
        <f>+E75/D75-1</f>
        <v>0.7694639912961927</v>
      </c>
      <c r="K28" s="84">
        <f>+F75/E75-1</f>
        <v>0.39022996411752375</v>
      </c>
      <c r="L28" s="84">
        <f>+G75/F75-1</f>
        <v>0.22434917826835021</v>
      </c>
      <c r="N28" s="251" t="s">
        <v>59</v>
      </c>
      <c r="O28" s="253" t="str">
        <f>IF(E28-D28&lt;0,"F","U")</f>
        <v>U</v>
      </c>
      <c r="P28" s="254">
        <f>IF(E28-D28&lt;0,0,ABS(E28-D28))</f>
        <v>375574</v>
      </c>
      <c r="Q28" s="255">
        <f>IF(E28-D28&gt;0,0,ABS(E28-D28))</f>
        <v>0</v>
      </c>
      <c r="R28" s="254">
        <f>IF(F28-E28&lt;0,0,ABS(F28-E28))</f>
        <v>1233936</v>
      </c>
      <c r="S28" s="255">
        <f>IF(F28-E28&gt;0,0,ABS(F28-E28))</f>
        <v>0</v>
      </c>
      <c r="T28" s="254">
        <f>IF(G28-F28&lt;0,0,ABS(G28-F28))</f>
        <v>0</v>
      </c>
      <c r="U28" s="256">
        <f>IF(G28-F28&gt;0,0,ABS(G28-F28))</f>
        <v>574526</v>
      </c>
      <c r="V28" s="351"/>
      <c r="W28" s="341">
        <f>SUM(W58:W61)</f>
        <v>0</v>
      </c>
      <c r="X28" s="341">
        <f>SUM(X58:X61)</f>
        <v>0</v>
      </c>
      <c r="Y28" s="341">
        <f>SUM(Y58:Y61)</f>
        <v>0</v>
      </c>
      <c r="Z28" s="340">
        <f>SUM(Z58:Z61)</f>
        <v>0</v>
      </c>
    </row>
    <row r="29" spans="1:26">
      <c r="B29" s="310">
        <v>17</v>
      </c>
      <c r="C29" s="258" t="s">
        <v>60</v>
      </c>
      <c r="D29" s="60">
        <v>0</v>
      </c>
      <c r="E29" s="60">
        <v>155155</v>
      </c>
      <c r="F29" s="60">
        <v>6704</v>
      </c>
      <c r="G29" s="60">
        <v>95642</v>
      </c>
      <c r="H29" s="252" t="s">
        <v>88</v>
      </c>
      <c r="I29" s="19">
        <f>+D77+D79+D83</f>
        <v>3254408</v>
      </c>
      <c r="J29" s="84">
        <f>+(E77+E79+E83)/(D77+D79+D83)-1</f>
        <v>0.76334774250800752</v>
      </c>
      <c r="K29" s="84">
        <f>+(F77+F79+F83)/(E77+E79+E83)-1</f>
        <v>0.41127752453406741</v>
      </c>
      <c r="L29" s="84">
        <f>+(G77+G79+G83)/(F77+F79+F83)-1</f>
        <v>0.22560067920905147</v>
      </c>
      <c r="N29" s="258" t="s">
        <v>60</v>
      </c>
      <c r="O29" s="253" t="str">
        <f>IF(E29-D29&lt;0,"F","U")</f>
        <v>U</v>
      </c>
      <c r="P29" s="254">
        <f>IF(E29-D29&lt;0,0,ABS(E29-D29))</f>
        <v>155155</v>
      </c>
      <c r="Q29" s="255">
        <f>IF(E29-D29&gt;0,0,ABS(E29-D29))</f>
        <v>0</v>
      </c>
      <c r="R29" s="254">
        <f>IF(F29-E29&lt;0,0,ABS(F29-E29))</f>
        <v>0</v>
      </c>
      <c r="S29" s="255">
        <f>IF(F29-E29&gt;0,0,ABS(F29-E29))</f>
        <v>148451</v>
      </c>
      <c r="T29" s="254">
        <f>IF(G29-F29&lt;0,0,ABS(G29-F29))</f>
        <v>88938</v>
      </c>
      <c r="U29" s="256">
        <f>IF(G29-F29&gt;0,0,ABS(G29-F29))</f>
        <v>0</v>
      </c>
      <c r="V29" s="328" t="s">
        <v>162</v>
      </c>
      <c r="W29" s="344">
        <f>+D42+D52</f>
        <v>238470</v>
      </c>
      <c r="X29" s="344">
        <f>+E42+E52</f>
        <v>722918</v>
      </c>
      <c r="Y29" s="344">
        <f>+F42+F52</f>
        <v>1196056</v>
      </c>
      <c r="Z29" s="343">
        <f>+G42+G52</f>
        <v>1695070</v>
      </c>
    </row>
    <row r="30" spans="1:26" ht="13.5" thickBot="1">
      <c r="B30" s="310"/>
      <c r="C30" s="259" t="s">
        <v>7</v>
      </c>
      <c r="D30" s="62">
        <f>+D24+D25+D26+D28+D29</f>
        <v>726793</v>
      </c>
      <c r="E30" s="63">
        <f>+E24+E25+E26+E28+E29</f>
        <v>1454039</v>
      </c>
      <c r="F30" s="63">
        <f>+F24+F25+F26+F28+F29</f>
        <v>3183672</v>
      </c>
      <c r="G30" s="64">
        <f>+G24+G25+G26+G28+G29</f>
        <v>3987724</v>
      </c>
      <c r="H30" s="252" t="s">
        <v>42</v>
      </c>
      <c r="I30" s="19">
        <f>+D87</f>
        <v>262214</v>
      </c>
      <c r="J30" s="350">
        <f>+E87/D87-1</f>
        <v>0.84537438885795568</v>
      </c>
      <c r="K30" s="350">
        <f>+F87/E87-1</f>
        <v>0.14061457005102462</v>
      </c>
      <c r="L30" s="350">
        <f>+G87/F87-1</f>
        <v>0.205984881976504</v>
      </c>
      <c r="N30" s="259" t="s">
        <v>7</v>
      </c>
      <c r="O30" s="260"/>
      <c r="P30" s="261">
        <f t="shared" ref="P30:U30" si="0">SUM(P25:P29)</f>
        <v>947490</v>
      </c>
      <c r="Q30" s="261">
        <f t="shared" si="0"/>
        <v>0</v>
      </c>
      <c r="R30" s="261">
        <f t="shared" si="0"/>
        <v>2412323</v>
      </c>
      <c r="S30" s="261">
        <f t="shared" si="0"/>
        <v>148451</v>
      </c>
      <c r="T30" s="261">
        <f t="shared" si="0"/>
        <v>1835831</v>
      </c>
      <c r="U30" s="261">
        <f t="shared" si="0"/>
        <v>574526</v>
      </c>
      <c r="V30" s="328"/>
      <c r="W30" s="341"/>
      <c r="X30" s="341"/>
      <c r="Y30" s="341"/>
      <c r="Z30" s="340"/>
    </row>
    <row r="31" spans="1:26" ht="13.5" thickTop="1">
      <c r="B31" s="310">
        <v>12</v>
      </c>
      <c r="C31" s="246" t="s">
        <v>56</v>
      </c>
      <c r="D31" s="60">
        <v>0</v>
      </c>
      <c r="E31" s="60">
        <v>0</v>
      </c>
      <c r="F31" s="60">
        <v>0</v>
      </c>
      <c r="G31" s="60">
        <v>0</v>
      </c>
      <c r="H31" s="252" t="s">
        <v>18</v>
      </c>
      <c r="I31" s="92">
        <f>+(D87+D81+D82+D85+D86)</f>
        <v>291238</v>
      </c>
      <c r="J31" s="350">
        <f>+(E87+E81+E82+E85+E86)/(D87+D81+D82+D85+D86)-1</f>
        <v>0.75327052101717507</v>
      </c>
      <c r="K31" s="350">
        <f>+(F87+F81+F82+F85+F86)/(E87+E81+E82+E85+E86)-1</f>
        <v>0.23749214189052892</v>
      </c>
      <c r="L31" s="350">
        <f>+(G87+G81+G82+G85+G86)/(F87+F81+F82+F85+F86)-1</f>
        <v>0.17869017719940428</v>
      </c>
      <c r="N31" s="246" t="s">
        <v>56</v>
      </c>
      <c r="O31" s="253" t="str">
        <f t="shared" ref="O31:O37" si="1">IF(E31-D31&lt;0,"F","U")</f>
        <v>U</v>
      </c>
      <c r="P31" s="254">
        <f t="shared" ref="P31:P37" si="2">IF(E31-D31&lt;0,0,ABS(E31-D31))</f>
        <v>0</v>
      </c>
      <c r="Q31" s="255">
        <f t="shared" ref="Q31:Q37" si="3">IF(E31-D31&gt;0,0,ABS(E31-D31))</f>
        <v>0</v>
      </c>
      <c r="R31" s="254">
        <f t="shared" ref="R31:R37" si="4">IF(F31-E31&lt;0,0,ABS(F31-E31))</f>
        <v>0</v>
      </c>
      <c r="S31" s="255">
        <f t="shared" ref="S31:S37" si="5">IF(F31-E31&gt;0,0,ABS(F31-E31))</f>
        <v>0</v>
      </c>
      <c r="T31" s="254">
        <f t="shared" ref="T31:T37" si="6">IF(G31-F31&lt;0,0,ABS(G31-F31))</f>
        <v>0</v>
      </c>
      <c r="U31" s="256">
        <f t="shared" ref="U31:U37" si="7">IF(G31-F31&gt;0,0,ABS(G31-F31))</f>
        <v>0</v>
      </c>
      <c r="V31" s="338" t="s">
        <v>135</v>
      </c>
      <c r="W31" s="349">
        <f>+D63-W26</f>
        <v>301219</v>
      </c>
      <c r="X31" s="349">
        <f>+E63-X26</f>
        <v>532466</v>
      </c>
      <c r="Y31" s="349">
        <f>+F63-Y26</f>
        <v>877288</v>
      </c>
      <c r="Z31" s="348">
        <f>+G63-Z26</f>
        <v>1678116</v>
      </c>
    </row>
    <row r="32" spans="1:26" ht="13.5" thickBot="1">
      <c r="B32" s="310">
        <v>13</v>
      </c>
      <c r="C32" s="251" t="s">
        <v>61</v>
      </c>
      <c r="D32" s="60">
        <v>0</v>
      </c>
      <c r="E32" s="60">
        <v>0</v>
      </c>
      <c r="F32" s="60">
        <v>0</v>
      </c>
      <c r="G32" s="60">
        <v>0</v>
      </c>
      <c r="H32" s="252"/>
      <c r="I32" s="19"/>
      <c r="J32" s="19"/>
      <c r="K32" s="19"/>
      <c r="L32" s="19"/>
      <c r="N32" s="251" t="s">
        <v>61</v>
      </c>
      <c r="O32" s="253" t="str">
        <f t="shared" si="1"/>
        <v>U</v>
      </c>
      <c r="P32" s="254">
        <f t="shared" si="2"/>
        <v>0</v>
      </c>
      <c r="Q32" s="255">
        <f t="shared" si="3"/>
        <v>0</v>
      </c>
      <c r="R32" s="254">
        <f t="shared" si="4"/>
        <v>0</v>
      </c>
      <c r="S32" s="255">
        <f t="shared" si="5"/>
        <v>0</v>
      </c>
      <c r="T32" s="254">
        <f t="shared" si="6"/>
        <v>0</v>
      </c>
      <c r="U32" s="256">
        <f t="shared" si="7"/>
        <v>0</v>
      </c>
      <c r="V32" s="347" t="s">
        <v>163</v>
      </c>
      <c r="W32" s="143">
        <f>+W31+W30+W29</f>
        <v>539689</v>
      </c>
      <c r="X32" s="144">
        <f>+X31+X30+X29</f>
        <v>1255384</v>
      </c>
      <c r="Y32" s="144">
        <f>+Y31+Y30+Y29</f>
        <v>2073344</v>
      </c>
      <c r="Z32" s="145">
        <f>+Z31+Z30+Z29</f>
        <v>3373186</v>
      </c>
    </row>
    <row r="33" spans="2:29" ht="14.25" thickTop="1" thickBot="1">
      <c r="B33" s="310">
        <v>15</v>
      </c>
      <c r="C33" s="251" t="s">
        <v>8</v>
      </c>
      <c r="D33" s="60">
        <v>235520</v>
      </c>
      <c r="E33" s="60">
        <v>291502</v>
      </c>
      <c r="F33" s="60">
        <v>309670</v>
      </c>
      <c r="G33" s="60">
        <v>569773</v>
      </c>
      <c r="H33" s="89"/>
      <c r="J33" s="380" t="s">
        <v>90</v>
      </c>
      <c r="K33" s="381"/>
      <c r="L33" s="382"/>
      <c r="N33" s="251" t="s">
        <v>8</v>
      </c>
      <c r="O33" s="253" t="str">
        <f t="shared" si="1"/>
        <v>U</v>
      </c>
      <c r="P33" s="254">
        <f t="shared" si="2"/>
        <v>55982</v>
      </c>
      <c r="Q33" s="255">
        <f t="shared" si="3"/>
        <v>0</v>
      </c>
      <c r="R33" s="254">
        <f t="shared" si="4"/>
        <v>18168</v>
      </c>
      <c r="S33" s="255">
        <f t="shared" si="5"/>
        <v>0</v>
      </c>
      <c r="T33" s="254">
        <f t="shared" si="6"/>
        <v>260103</v>
      </c>
      <c r="U33" s="256">
        <f t="shared" si="7"/>
        <v>0</v>
      </c>
      <c r="V33" s="156"/>
      <c r="W33" s="157">
        <f>+W32-W23</f>
        <v>0</v>
      </c>
      <c r="X33" s="157">
        <f>+X32-X23</f>
        <v>0</v>
      </c>
      <c r="Y33" s="157">
        <f>+Y32-Y23</f>
        <v>0</v>
      </c>
      <c r="Z33" s="158">
        <f>+Z32-Z23</f>
        <v>0</v>
      </c>
    </row>
    <row r="34" spans="2:29" ht="13.5" thickTop="1">
      <c r="B34" s="310"/>
      <c r="C34" s="251" t="s">
        <v>52</v>
      </c>
      <c r="D34" s="60">
        <v>0</v>
      </c>
      <c r="E34" s="60">
        <v>0</v>
      </c>
      <c r="F34" s="60">
        <v>0</v>
      </c>
      <c r="G34" s="60">
        <v>0</v>
      </c>
      <c r="H34" s="388" t="s">
        <v>6</v>
      </c>
      <c r="I34" s="19">
        <f>+D30-D51</f>
        <v>65699</v>
      </c>
      <c r="J34" s="342">
        <f>+E30-E51</f>
        <v>240964</v>
      </c>
      <c r="K34" s="342">
        <f>+F30-F51</f>
        <v>567618</v>
      </c>
      <c r="L34" s="342">
        <f>+G30-G51</f>
        <v>1108343</v>
      </c>
      <c r="N34" s="251" t="s">
        <v>52</v>
      </c>
      <c r="O34" s="257" t="str">
        <f t="shared" si="1"/>
        <v>U</v>
      </c>
      <c r="P34" s="105">
        <f t="shared" si="2"/>
        <v>0</v>
      </c>
      <c r="Q34" s="106">
        <f t="shared" si="3"/>
        <v>0</v>
      </c>
      <c r="R34" s="254">
        <f t="shared" si="4"/>
        <v>0</v>
      </c>
      <c r="S34" s="255">
        <f t="shared" si="5"/>
        <v>0</v>
      </c>
      <c r="T34" s="254">
        <f t="shared" si="6"/>
        <v>0</v>
      </c>
      <c r="U34" s="256">
        <f t="shared" si="7"/>
        <v>0</v>
      </c>
      <c r="V34" s="159"/>
      <c r="W34" s="160"/>
      <c r="X34" s="160"/>
      <c r="Y34" s="160"/>
      <c r="Z34" s="161"/>
    </row>
    <row r="35" spans="2:29">
      <c r="B35" s="310">
        <v>16</v>
      </c>
      <c r="C35" s="251" t="s">
        <v>9</v>
      </c>
      <c r="D35" s="60">
        <v>0</v>
      </c>
      <c r="E35" s="60">
        <v>0</v>
      </c>
      <c r="F35" s="60">
        <v>0</v>
      </c>
      <c r="G35" s="60">
        <v>0</v>
      </c>
      <c r="H35" s="389"/>
      <c r="I35" s="87">
        <f>+D30/D51</f>
        <v>1.0993792108232718</v>
      </c>
      <c r="J35" s="87">
        <f>+E30/E51</f>
        <v>1.1986389959400696</v>
      </c>
      <c r="K35" s="87">
        <f>+F30/F51</f>
        <v>1.2169748789589205</v>
      </c>
      <c r="L35" s="87">
        <f>+G30/G51</f>
        <v>1.3849240513846552</v>
      </c>
      <c r="N35" s="251" t="s">
        <v>9</v>
      </c>
      <c r="O35" s="253" t="str">
        <f t="shared" si="1"/>
        <v>U</v>
      </c>
      <c r="P35" s="254">
        <f t="shared" si="2"/>
        <v>0</v>
      </c>
      <c r="Q35" s="255">
        <f t="shared" si="3"/>
        <v>0</v>
      </c>
      <c r="R35" s="254">
        <f t="shared" si="4"/>
        <v>0</v>
      </c>
      <c r="S35" s="255">
        <f t="shared" si="5"/>
        <v>0</v>
      </c>
      <c r="T35" s="254">
        <f t="shared" si="6"/>
        <v>0</v>
      </c>
      <c r="U35" s="256">
        <f t="shared" si="7"/>
        <v>0</v>
      </c>
      <c r="V35" s="163"/>
    </row>
    <row r="36" spans="2:29" ht="28.5" customHeight="1">
      <c r="B36" s="310">
        <v>17</v>
      </c>
      <c r="C36" s="251" t="s">
        <v>62</v>
      </c>
      <c r="D36" s="60">
        <v>0</v>
      </c>
      <c r="E36" s="60">
        <v>0</v>
      </c>
      <c r="F36" s="60">
        <v>0</v>
      </c>
      <c r="G36" s="60">
        <v>0</v>
      </c>
      <c r="H36" s="252" t="s">
        <v>83</v>
      </c>
      <c r="I36" s="19">
        <f>(D27+D28)-(D43+D44+D46)</f>
        <v>162756</v>
      </c>
      <c r="J36" s="19">
        <f>(E27+E28)-(E43+E44+E46)</f>
        <v>496673</v>
      </c>
      <c r="K36" s="19">
        <f>(F27+F28)-(F43+F44+F46)</f>
        <v>1338327</v>
      </c>
      <c r="L36" s="19">
        <f>(G27+G28)-(G43+G44+G46)</f>
        <v>1541497</v>
      </c>
      <c r="N36" s="251" t="s">
        <v>62</v>
      </c>
      <c r="O36" s="253" t="str">
        <f t="shared" si="1"/>
        <v>U</v>
      </c>
      <c r="P36" s="254">
        <f t="shared" si="2"/>
        <v>0</v>
      </c>
      <c r="Q36" s="255">
        <f t="shared" si="3"/>
        <v>0</v>
      </c>
      <c r="R36" s="254">
        <f t="shared" si="4"/>
        <v>0</v>
      </c>
      <c r="S36" s="255">
        <f t="shared" si="5"/>
        <v>0</v>
      </c>
      <c r="T36" s="254">
        <f t="shared" si="6"/>
        <v>0</v>
      </c>
      <c r="U36" s="256">
        <f t="shared" si="7"/>
        <v>0</v>
      </c>
      <c r="V36" s="334" t="s">
        <v>137</v>
      </c>
      <c r="W36" s="346">
        <f>+D87</f>
        <v>262214</v>
      </c>
      <c r="X36" s="346">
        <f>+E87</f>
        <v>483883</v>
      </c>
      <c r="Y36" s="346">
        <f>+F87</f>
        <v>551924</v>
      </c>
      <c r="Z36" s="345">
        <f>+G87</f>
        <v>665612</v>
      </c>
    </row>
    <row r="37" spans="2:29">
      <c r="B37" s="310">
        <v>18</v>
      </c>
      <c r="C37" s="258" t="s">
        <v>10</v>
      </c>
      <c r="D37" s="60">
        <v>0</v>
      </c>
      <c r="E37" s="60">
        <v>0</v>
      </c>
      <c r="F37" s="60">
        <v>0</v>
      </c>
      <c r="G37" s="60">
        <v>0</v>
      </c>
      <c r="H37" s="252" t="s">
        <v>84</v>
      </c>
      <c r="I37" s="19">
        <f>+I34-I36</f>
        <v>-97057</v>
      </c>
      <c r="J37" s="19">
        <f>+J34-J36</f>
        <v>-255709</v>
      </c>
      <c r="K37" s="19">
        <f>+K34-K36</f>
        <v>-770709</v>
      </c>
      <c r="L37" s="19">
        <f>+L34-L36</f>
        <v>-433154</v>
      </c>
      <c r="N37" s="258" t="s">
        <v>10</v>
      </c>
      <c r="O37" s="253" t="str">
        <f t="shared" si="1"/>
        <v>U</v>
      </c>
      <c r="P37" s="254">
        <f t="shared" si="2"/>
        <v>0</v>
      </c>
      <c r="Q37" s="255">
        <f t="shared" si="3"/>
        <v>0</v>
      </c>
      <c r="R37" s="254">
        <f t="shared" si="4"/>
        <v>0</v>
      </c>
      <c r="S37" s="255">
        <f t="shared" si="5"/>
        <v>0</v>
      </c>
      <c r="T37" s="254">
        <f t="shared" si="6"/>
        <v>0</v>
      </c>
      <c r="U37" s="256">
        <f t="shared" si="7"/>
        <v>0</v>
      </c>
      <c r="V37" s="328" t="s">
        <v>142</v>
      </c>
      <c r="W37" s="341">
        <f>+D92</f>
        <v>89500</v>
      </c>
      <c r="X37" s="341">
        <f>+E92</f>
        <v>25336</v>
      </c>
      <c r="Y37" s="341">
        <f>+F92</f>
        <v>35200</v>
      </c>
      <c r="Z37" s="340">
        <f>+G92</f>
        <v>0</v>
      </c>
    </row>
    <row r="38" spans="2:29" ht="13.5" thickBot="1">
      <c r="B38" s="310"/>
      <c r="C38" s="259" t="s">
        <v>12</v>
      </c>
      <c r="D38" s="62">
        <f>+D31+D32+D33+D35+D36+D37</f>
        <v>235520</v>
      </c>
      <c r="E38" s="62">
        <f>+E31+E32+E33+E35+E36+E37</f>
        <v>291502</v>
      </c>
      <c r="F38" s="62">
        <f>+F31+F32+F33+F35+F36+F37</f>
        <v>309670</v>
      </c>
      <c r="G38" s="62">
        <f>+G31+G32+G33+G35+G36+G37</f>
        <v>569773</v>
      </c>
      <c r="H38" s="262" t="s">
        <v>115</v>
      </c>
      <c r="I38" s="320">
        <f>D51/(D27+D28)</f>
        <v>1.4411239604564727</v>
      </c>
      <c r="J38" s="320">
        <f>E51/(E27+E28)</f>
        <v>1.2332434636037761</v>
      </c>
      <c r="K38" s="320">
        <f>F51/(F27+F28)</f>
        <v>0.96068012986540841</v>
      </c>
      <c r="L38" s="320">
        <f>G51/(G27+G28)</f>
        <v>1.0689851553610179</v>
      </c>
      <c r="N38" s="259" t="s">
        <v>12</v>
      </c>
      <c r="O38" s="260"/>
      <c r="P38" s="263">
        <f t="shared" ref="P38:U38" si="8">SUM(P31:P37)</f>
        <v>55982</v>
      </c>
      <c r="Q38" s="263">
        <f t="shared" si="8"/>
        <v>0</v>
      </c>
      <c r="R38" s="263">
        <f t="shared" si="8"/>
        <v>18168</v>
      </c>
      <c r="S38" s="263">
        <f t="shared" si="8"/>
        <v>0</v>
      </c>
      <c r="T38" s="263">
        <f t="shared" si="8"/>
        <v>260103</v>
      </c>
      <c r="U38" s="263">
        <f t="shared" si="8"/>
        <v>0</v>
      </c>
      <c r="V38" s="328" t="s">
        <v>138</v>
      </c>
      <c r="W38" s="341">
        <f>+W36-W37</f>
        <v>172714</v>
      </c>
      <c r="X38" s="341">
        <f>+X36-X37</f>
        <v>458547</v>
      </c>
      <c r="Y38" s="341">
        <f>+Y36-Y37</f>
        <v>516724</v>
      </c>
      <c r="Z38" s="340">
        <f>+Z36-Z37</f>
        <v>665612</v>
      </c>
    </row>
    <row r="39" spans="2:29" ht="13.5" thickTop="1">
      <c r="B39" s="309">
        <v>19</v>
      </c>
      <c r="C39" s="264" t="s">
        <v>11</v>
      </c>
      <c r="D39" s="65">
        <v>0</v>
      </c>
      <c r="E39" s="65"/>
      <c r="F39" s="65">
        <v>0</v>
      </c>
      <c r="G39" s="65"/>
      <c r="H39" s="252" t="s">
        <v>86</v>
      </c>
      <c r="I39" s="19"/>
      <c r="J39" s="342">
        <f>360/(E77/(AVERAGE(D28:E28)))</f>
        <v>27.113617996250781</v>
      </c>
      <c r="K39" s="342">
        <f>360/(F77/(AVERAGE(E28:F28)))</f>
        <v>57.817613489491166</v>
      </c>
      <c r="L39" s="342">
        <f>360/(G77/(AVERAGE(F28:G28)))</f>
        <v>58.905200201372359</v>
      </c>
      <c r="N39" s="265"/>
      <c r="O39" s="266"/>
      <c r="P39" s="103"/>
      <c r="Q39" s="115"/>
      <c r="R39" s="254"/>
      <c r="S39" s="104"/>
      <c r="T39" s="103"/>
      <c r="U39" s="152"/>
      <c r="V39" s="328" t="s">
        <v>143</v>
      </c>
      <c r="W39" s="344">
        <f>+D89</f>
        <v>0</v>
      </c>
      <c r="X39" s="344">
        <f>+E89</f>
        <v>76939.881640000051</v>
      </c>
      <c r="Y39" s="344">
        <f>+F89</f>
        <v>153575.48922000008</v>
      </c>
      <c r="Z39" s="343">
        <f>+G89</f>
        <v>231376.81378000014</v>
      </c>
    </row>
    <row r="40" spans="2:29">
      <c r="B40" s="319"/>
      <c r="C40" s="267"/>
      <c r="D40" s="14"/>
      <c r="E40" s="14"/>
      <c r="F40" s="72"/>
      <c r="G40" s="14"/>
      <c r="H40" s="252" t="s">
        <v>85</v>
      </c>
      <c r="I40" s="19"/>
      <c r="J40" s="342">
        <f>360/(E98/(AVERAGE(D43:E43)))</f>
        <v>21.413949385280414</v>
      </c>
      <c r="K40" s="342">
        <f>360/(F98/(AVERAGE(E43:F43)))</f>
        <v>36.189704094041346</v>
      </c>
      <c r="L40" s="342">
        <f>360/(G98/(AVERAGE(F43:G43)))</f>
        <v>40.081077780943467</v>
      </c>
      <c r="N40" s="267"/>
      <c r="O40" s="266"/>
      <c r="P40" s="115"/>
      <c r="Q40" s="117"/>
      <c r="R40" s="254"/>
      <c r="S40" s="104"/>
      <c r="T40" s="103"/>
      <c r="U40" s="152"/>
      <c r="V40" s="328" t="s">
        <v>144</v>
      </c>
      <c r="W40" s="344"/>
      <c r="X40" s="344">
        <f>+X36-X39</f>
        <v>406943.11835999996</v>
      </c>
      <c r="Y40" s="344">
        <f>+Y36-Y39</f>
        <v>398348.5107799999</v>
      </c>
      <c r="Z40" s="343">
        <f>+Z36-Z39</f>
        <v>434235.18621999986</v>
      </c>
    </row>
    <row r="41" spans="2:29" ht="13.5" thickBot="1">
      <c r="B41" s="314">
        <v>20</v>
      </c>
      <c r="C41" s="259" t="s">
        <v>68</v>
      </c>
      <c r="D41" s="62">
        <f>+D51+D61</f>
        <v>661094</v>
      </c>
      <c r="E41" s="62">
        <f>+E51+E61</f>
        <v>1213075</v>
      </c>
      <c r="F41" s="62">
        <f>+F51+F61</f>
        <v>2616054</v>
      </c>
      <c r="G41" s="62">
        <f>+G51+G61</f>
        <v>2879381</v>
      </c>
      <c r="H41" s="252" t="s">
        <v>87</v>
      </c>
      <c r="I41" s="19"/>
      <c r="J41" s="342">
        <f>360/(E75/(AVERAGE(D27:E27)))</f>
        <v>18.189455231757599</v>
      </c>
      <c r="K41" s="342">
        <f>360/(F75/(AVERAGE(E27:F27)))</f>
        <v>26.710185791854492</v>
      </c>
      <c r="L41" s="342">
        <f>360/(G75/(AVERAGE(F27:G27)))</f>
        <v>39.668894418246403</v>
      </c>
      <c r="N41" s="259" t="s">
        <v>68</v>
      </c>
      <c r="O41" s="260"/>
      <c r="P41" s="260"/>
      <c r="Q41" s="260"/>
      <c r="R41" s="260"/>
      <c r="S41" s="260"/>
      <c r="T41" s="260"/>
      <c r="U41" s="260"/>
      <c r="V41" s="328" t="s">
        <v>146</v>
      </c>
      <c r="W41" s="341"/>
      <c r="X41" s="341">
        <f>+X38-X39</f>
        <v>381607.11835999996</v>
      </c>
      <c r="Y41" s="341">
        <f>+Y38-Y39</f>
        <v>363148.5107799999</v>
      </c>
      <c r="Z41" s="340">
        <f>+Z38-Z39</f>
        <v>434235.18621999986</v>
      </c>
      <c r="AA41" s="83"/>
      <c r="AB41" s="83"/>
      <c r="AC41" s="83"/>
    </row>
    <row r="42" spans="2:29" ht="13.5" thickTop="1">
      <c r="B42" s="310">
        <v>21</v>
      </c>
      <c r="C42" s="246" t="s">
        <v>63</v>
      </c>
      <c r="D42" s="61">
        <v>238470</v>
      </c>
      <c r="E42" s="61">
        <v>722918</v>
      </c>
      <c r="F42" s="61">
        <v>1196056</v>
      </c>
      <c r="G42" s="61">
        <v>1695070</v>
      </c>
      <c r="H42" s="252" t="s">
        <v>89</v>
      </c>
      <c r="I42" s="68"/>
      <c r="J42" s="339">
        <f>360/(E$75/(AVERAGE(D$27:E$27)+AVERAGE(D$28:E$28)))</f>
        <v>41.723917708149855</v>
      </c>
      <c r="K42" s="339">
        <f>360/(F75/(AVERAGE(E27:F27)+AVERAGE(E28:F28)))</f>
        <v>77.128419758920501</v>
      </c>
      <c r="L42" s="339">
        <f>360/(G75/(AVERAGE(F27:G27)+AVERAGE(F28:G28)))</f>
        <v>92.054980453278489</v>
      </c>
      <c r="N42" s="246" t="s">
        <v>63</v>
      </c>
      <c r="O42" s="253" t="str">
        <f t="shared" ref="O42:O50" si="9">IF(E42-D42&gt;0,"F","U")</f>
        <v>F</v>
      </c>
      <c r="P42" s="254">
        <f t="shared" ref="P42:P50" si="10">IF(E42-D42&gt;0,0,ABS(E42-D42))</f>
        <v>0</v>
      </c>
      <c r="Q42" s="255">
        <f t="shared" ref="Q42:Q50" si="11">IF(E42-D42&lt;0,0,ABS(E42-D42))</f>
        <v>484448</v>
      </c>
      <c r="R42" s="254">
        <f t="shared" ref="R42:R50" si="12">IF(F42-E42&gt;0,0,ABS(F42-E42))</f>
        <v>0</v>
      </c>
      <c r="S42" s="255">
        <f t="shared" ref="S42:S50" si="13">IF(F42-E42&lt;0,0,ABS(F42-E42))</f>
        <v>473138</v>
      </c>
      <c r="T42" s="254">
        <f t="shared" ref="T42:T50" si="14">IF(G42-F42&gt;0,0,ABS(G42-F42))</f>
        <v>0</v>
      </c>
      <c r="U42" s="256">
        <f t="shared" ref="U42:U50" si="15">IF(G42-F42&lt;0,0,ABS(G42-F42))</f>
        <v>499014</v>
      </c>
      <c r="V42" s="338" t="s">
        <v>145</v>
      </c>
      <c r="W42" s="337"/>
      <c r="X42" s="337">
        <f>+X40-X37</f>
        <v>381607.11835999996</v>
      </c>
      <c r="Y42" s="337">
        <f>+Y40-Y37</f>
        <v>363148.5107799999</v>
      </c>
      <c r="Z42" s="336">
        <f>+Z40-Z37</f>
        <v>434235.18621999986</v>
      </c>
    </row>
    <row r="43" spans="2:29">
      <c r="B43" s="310">
        <v>22</v>
      </c>
      <c r="C43" s="251" t="s">
        <v>54</v>
      </c>
      <c r="D43" s="61">
        <v>264896</v>
      </c>
      <c r="E43" s="61">
        <v>422337</v>
      </c>
      <c r="F43" s="61">
        <v>1342431</v>
      </c>
      <c r="G43" s="61">
        <v>627073</v>
      </c>
      <c r="H43" s="252" t="s">
        <v>91</v>
      </c>
      <c r="I43" s="68">
        <f>(D30/D23)</f>
        <v>0.75525634590824398</v>
      </c>
      <c r="J43" s="68">
        <f>+E30/E23</f>
        <v>0.83300191745710928</v>
      </c>
      <c r="K43" s="68">
        <f>+F30/F23</f>
        <v>0.91135422755630568</v>
      </c>
      <c r="L43" s="68">
        <f>+G30/G23</f>
        <v>0.87498115742039984</v>
      </c>
      <c r="N43" s="251" t="s">
        <v>54</v>
      </c>
      <c r="O43" s="253" t="str">
        <f t="shared" si="9"/>
        <v>F</v>
      </c>
      <c r="P43" s="254">
        <f t="shared" si="10"/>
        <v>0</v>
      </c>
      <c r="Q43" s="255">
        <f t="shared" si="11"/>
        <v>157441</v>
      </c>
      <c r="R43" s="254">
        <f t="shared" si="12"/>
        <v>0</v>
      </c>
      <c r="S43" s="255">
        <f t="shared" si="13"/>
        <v>920094</v>
      </c>
      <c r="T43" s="254">
        <f t="shared" si="14"/>
        <v>715358</v>
      </c>
      <c r="U43" s="256">
        <f t="shared" si="15"/>
        <v>0</v>
      </c>
      <c r="V43" s="335"/>
    </row>
    <row r="44" spans="2:29">
      <c r="B44" s="310">
        <v>23</v>
      </c>
      <c r="C44" s="251" t="s">
        <v>20</v>
      </c>
      <c r="D44" s="61">
        <v>23984</v>
      </c>
      <c r="E44" s="61">
        <v>64636</v>
      </c>
      <c r="F44" s="61">
        <v>39149</v>
      </c>
      <c r="G44" s="61">
        <v>522977</v>
      </c>
      <c r="H44" s="268"/>
      <c r="I44" s="68"/>
      <c r="J44" s="19"/>
      <c r="K44" s="19"/>
      <c r="L44" s="19"/>
      <c r="N44" s="251" t="s">
        <v>20</v>
      </c>
      <c r="O44" s="253" t="str">
        <f t="shared" si="9"/>
        <v>F</v>
      </c>
      <c r="P44" s="254">
        <f t="shared" si="10"/>
        <v>0</v>
      </c>
      <c r="Q44" s="255">
        <f t="shared" si="11"/>
        <v>40652</v>
      </c>
      <c r="R44" s="254">
        <f t="shared" si="12"/>
        <v>25487</v>
      </c>
      <c r="S44" s="255">
        <f t="shared" si="13"/>
        <v>0</v>
      </c>
      <c r="T44" s="254">
        <f t="shared" si="14"/>
        <v>0</v>
      </c>
      <c r="U44" s="256">
        <f t="shared" si="15"/>
        <v>483828</v>
      </c>
      <c r="V44" s="334" t="s">
        <v>141</v>
      </c>
      <c r="W44" s="333"/>
      <c r="X44" s="333">
        <f>(E89/((E42+D42+E52+D52)/2))*(1-0.33)</f>
        <v>0.10724020000000006</v>
      </c>
      <c r="Y44" s="333">
        <f>(F89/((F42+E42+F52+E52)/2))*(1-0.33)</f>
        <v>0.10724020000000005</v>
      </c>
      <c r="Z44" s="332">
        <f>(G89/((G42+F42+G52+F52)/2))*(1-0.33)</f>
        <v>0.10724020000000005</v>
      </c>
    </row>
    <row r="45" spans="2:29" ht="13.5" thickBot="1">
      <c r="B45" s="310">
        <v>24</v>
      </c>
      <c r="C45" s="251" t="s">
        <v>55</v>
      </c>
      <c r="D45" s="61">
        <v>109156</v>
      </c>
      <c r="E45" s="61">
        <v>2879</v>
      </c>
      <c r="F45" s="61">
        <v>0</v>
      </c>
      <c r="G45" s="61">
        <v>4559</v>
      </c>
      <c r="H45" s="83"/>
      <c r="I45" s="83"/>
      <c r="J45" s="380" t="s">
        <v>93</v>
      </c>
      <c r="K45" s="381"/>
      <c r="L45" s="382"/>
      <c r="N45" s="251" t="s">
        <v>55</v>
      </c>
      <c r="O45" s="253" t="str">
        <f t="shared" si="9"/>
        <v>U</v>
      </c>
      <c r="P45" s="254">
        <f t="shared" si="10"/>
        <v>106277</v>
      </c>
      <c r="Q45" s="255">
        <f t="shared" si="11"/>
        <v>0</v>
      </c>
      <c r="R45" s="254">
        <f t="shared" si="12"/>
        <v>2879</v>
      </c>
      <c r="S45" s="255">
        <f t="shared" si="13"/>
        <v>0</v>
      </c>
      <c r="T45" s="254">
        <f t="shared" si="14"/>
        <v>0</v>
      </c>
      <c r="U45" s="256">
        <f t="shared" si="15"/>
        <v>4559</v>
      </c>
      <c r="V45" s="328" t="s">
        <v>140</v>
      </c>
      <c r="W45" s="331"/>
      <c r="X45" s="331">
        <f>+E99</f>
        <v>2.5000000000000001E-3</v>
      </c>
      <c r="Y45" s="331">
        <f>+F99</f>
        <v>2.5000000000000001E-3</v>
      </c>
      <c r="Z45" s="330">
        <f>+G99</f>
        <v>2.5000000000000001E-3</v>
      </c>
    </row>
    <row r="46" spans="2:29" ht="13.5" thickTop="1">
      <c r="B46" s="310">
        <v>25</v>
      </c>
      <c r="C46" s="251" t="s">
        <v>21</v>
      </c>
      <c r="D46" s="61">
        <v>7099</v>
      </c>
      <c r="E46" s="61">
        <v>0</v>
      </c>
      <c r="F46" s="61">
        <v>3220</v>
      </c>
      <c r="G46" s="61">
        <v>2018</v>
      </c>
      <c r="H46" s="252" t="s">
        <v>15</v>
      </c>
      <c r="I46" s="68">
        <f>+D41/D23</f>
        <v>0.68698438034194698</v>
      </c>
      <c r="J46" s="68">
        <f>+E41/E23</f>
        <v>0.69495646335434114</v>
      </c>
      <c r="K46" s="68">
        <f>+F41/F23</f>
        <v>0.74886856196730811</v>
      </c>
      <c r="L46" s="68">
        <f>+G41/G23</f>
        <v>0.6317899934986243</v>
      </c>
      <c r="N46" s="251" t="s">
        <v>21</v>
      </c>
      <c r="O46" s="253" t="str">
        <f t="shared" si="9"/>
        <v>U</v>
      </c>
      <c r="P46" s="254">
        <f t="shared" si="10"/>
        <v>7099</v>
      </c>
      <c r="Q46" s="255">
        <f t="shared" si="11"/>
        <v>0</v>
      </c>
      <c r="R46" s="254">
        <f t="shared" si="12"/>
        <v>0</v>
      </c>
      <c r="S46" s="255">
        <f t="shared" si="13"/>
        <v>3220</v>
      </c>
      <c r="T46" s="254">
        <f t="shared" si="14"/>
        <v>1202</v>
      </c>
      <c r="U46" s="256">
        <f t="shared" si="15"/>
        <v>0</v>
      </c>
      <c r="V46" s="328" t="s">
        <v>139</v>
      </c>
      <c r="W46" s="331"/>
      <c r="X46" s="331">
        <f>(J46*X44)+(1-J46)*X45</f>
        <v>7.5289878963026413E-2</v>
      </c>
      <c r="Y46" s="331">
        <f>(K46*Y44)+(1-K46)*Y45</f>
        <v>8.0936642954168289E-2</v>
      </c>
      <c r="Z46" s="330">
        <f>(L46*Z44)+(1-L46)*Z45</f>
        <v>6.8673810277044639E-2</v>
      </c>
    </row>
    <row r="47" spans="2:29">
      <c r="B47" s="310">
        <v>26</v>
      </c>
      <c r="C47" s="251" t="s">
        <v>22</v>
      </c>
      <c r="D47" s="61">
        <v>0</v>
      </c>
      <c r="E47" s="61">
        <v>0</v>
      </c>
      <c r="F47" s="61">
        <v>35198</v>
      </c>
      <c r="G47" s="61">
        <v>0</v>
      </c>
      <c r="H47" s="252" t="s">
        <v>92</v>
      </c>
      <c r="I47" s="68">
        <f>1-I46</f>
        <v>0.31301561965805302</v>
      </c>
      <c r="J47" s="68">
        <f>1-J46</f>
        <v>0.30504353664565886</v>
      </c>
      <c r="K47" s="329">
        <f>1-K46</f>
        <v>0.25113143803269189</v>
      </c>
      <c r="L47" s="68">
        <f>1-L46</f>
        <v>0.3682100065013757</v>
      </c>
      <c r="N47" s="251" t="s">
        <v>22</v>
      </c>
      <c r="O47" s="253" t="str">
        <f t="shared" si="9"/>
        <v>U</v>
      </c>
      <c r="P47" s="254">
        <f t="shared" si="10"/>
        <v>0</v>
      </c>
      <c r="Q47" s="255">
        <f t="shared" si="11"/>
        <v>0</v>
      </c>
      <c r="R47" s="254">
        <f t="shared" si="12"/>
        <v>0</v>
      </c>
      <c r="S47" s="255">
        <f t="shared" si="13"/>
        <v>35198</v>
      </c>
      <c r="T47" s="254">
        <f t="shared" si="14"/>
        <v>35198</v>
      </c>
      <c r="U47" s="256">
        <f t="shared" si="15"/>
        <v>0</v>
      </c>
      <c r="V47" s="328" t="s">
        <v>147</v>
      </c>
      <c r="W47" s="327"/>
      <c r="X47" s="327">
        <f>+X38/X23</f>
        <v>0.36526433346290854</v>
      </c>
      <c r="Y47" s="327">
        <f>+Y38/Y23</f>
        <v>0.24922251203852328</v>
      </c>
      <c r="Z47" s="326">
        <f>+Z38/Z23</f>
        <v>0.19732442859658494</v>
      </c>
    </row>
    <row r="48" spans="2:29">
      <c r="B48" s="310">
        <v>27</v>
      </c>
      <c r="C48" s="251" t="s">
        <v>64</v>
      </c>
      <c r="D48" s="61">
        <v>0</v>
      </c>
      <c r="E48" s="61">
        <v>0</v>
      </c>
      <c r="F48" s="61">
        <v>0</v>
      </c>
      <c r="G48" s="61">
        <v>0</v>
      </c>
      <c r="H48" s="252" t="s">
        <v>16</v>
      </c>
      <c r="I48" s="90">
        <f>+D41/D63</f>
        <v>2.1947287521703478</v>
      </c>
      <c r="J48" s="90">
        <f>+E41/E63</f>
        <v>2.2782205812202094</v>
      </c>
      <c r="K48" s="90">
        <f>+F41/F63</f>
        <v>2.9819785520832385</v>
      </c>
      <c r="L48" s="90">
        <f>+G41/G63</f>
        <v>1.7158414555370427</v>
      </c>
      <c r="N48" s="251" t="s">
        <v>64</v>
      </c>
      <c r="O48" s="253" t="str">
        <f t="shared" si="9"/>
        <v>U</v>
      </c>
      <c r="P48" s="254">
        <f t="shared" si="10"/>
        <v>0</v>
      </c>
      <c r="Q48" s="255">
        <f t="shared" si="11"/>
        <v>0</v>
      </c>
      <c r="R48" s="254">
        <f t="shared" si="12"/>
        <v>0</v>
      </c>
      <c r="S48" s="255">
        <f t="shared" si="13"/>
        <v>0</v>
      </c>
      <c r="T48" s="254">
        <f t="shared" si="14"/>
        <v>0</v>
      </c>
      <c r="U48" s="256">
        <f t="shared" si="15"/>
        <v>0</v>
      </c>
      <c r="V48" s="328" t="s">
        <v>148</v>
      </c>
      <c r="W48" s="327"/>
      <c r="X48" s="327">
        <f>+E87/E23</f>
        <v>0.2772109048140376</v>
      </c>
      <c r="Y48" s="327">
        <f>+F87/F23</f>
        <v>0.15799311948271885</v>
      </c>
      <c r="Z48" s="326">
        <f>+G87/G23</f>
        <v>0.14604770996009434</v>
      </c>
    </row>
    <row r="49" spans="2:26" ht="15">
      <c r="B49" s="310">
        <v>28</v>
      </c>
      <c r="C49" s="251" t="s">
        <v>24</v>
      </c>
      <c r="D49" s="61">
        <v>17489</v>
      </c>
      <c r="E49" s="61">
        <v>305</v>
      </c>
      <c r="F49" s="61">
        <v>0</v>
      </c>
      <c r="G49" s="61">
        <v>27684</v>
      </c>
      <c r="H49" s="252" t="s">
        <v>116</v>
      </c>
      <c r="I49" s="68">
        <f>+D52/(D63+D52)</f>
        <v>0</v>
      </c>
      <c r="J49" s="320">
        <f>+E52/(E63+E52)</f>
        <v>0</v>
      </c>
      <c r="K49" s="320">
        <f>+F52/(F63+F52)</f>
        <v>0</v>
      </c>
      <c r="L49" s="320">
        <f>+G52/(G63+G52)</f>
        <v>0</v>
      </c>
      <c r="N49" s="251" t="s">
        <v>24</v>
      </c>
      <c r="O49" s="253" t="str">
        <f t="shared" si="9"/>
        <v>U</v>
      </c>
      <c r="P49" s="254">
        <f t="shared" si="10"/>
        <v>17184</v>
      </c>
      <c r="Q49" s="255">
        <f t="shared" si="11"/>
        <v>0</v>
      </c>
      <c r="R49" s="254">
        <f t="shared" si="12"/>
        <v>305</v>
      </c>
      <c r="S49" s="255">
        <f t="shared" si="13"/>
        <v>0</v>
      </c>
      <c r="T49" s="254">
        <f t="shared" si="14"/>
        <v>0</v>
      </c>
      <c r="U49" s="256">
        <f t="shared" si="15"/>
        <v>27684</v>
      </c>
      <c r="V49" s="390" t="s">
        <v>149</v>
      </c>
      <c r="W49" s="378"/>
      <c r="X49" s="325">
        <f>+X47-X46</f>
        <v>0.28997445449988213</v>
      </c>
      <c r="Y49" s="325">
        <f>+Y47-Y46</f>
        <v>0.168285869084355</v>
      </c>
      <c r="Z49" s="324">
        <f>+Z47-Z46</f>
        <v>0.12865061831954031</v>
      </c>
    </row>
    <row r="50" spans="2:26" ht="15">
      <c r="B50" s="310">
        <v>29</v>
      </c>
      <c r="C50" s="258" t="s">
        <v>65</v>
      </c>
      <c r="D50" s="61">
        <v>0</v>
      </c>
      <c r="E50" s="61">
        <v>0</v>
      </c>
      <c r="F50" s="61">
        <v>0</v>
      </c>
      <c r="G50" s="61">
        <v>0</v>
      </c>
      <c r="H50" s="252" t="s">
        <v>99</v>
      </c>
      <c r="I50" s="90">
        <f>+D63/D33</f>
        <v>1.2789529551630434</v>
      </c>
      <c r="J50" s="90">
        <f>+E63/E33</f>
        <v>1.8266289768166255</v>
      </c>
      <c r="K50" s="90">
        <f>+F63/F33</f>
        <v>2.8329770400749186</v>
      </c>
      <c r="L50" s="90">
        <f>+G63/G33</f>
        <v>2.9452360852479846</v>
      </c>
      <c r="N50" s="258" t="s">
        <v>65</v>
      </c>
      <c r="O50" s="253" t="str">
        <f t="shared" si="9"/>
        <v>U</v>
      </c>
      <c r="P50" s="254">
        <f t="shared" si="10"/>
        <v>0</v>
      </c>
      <c r="Q50" s="255">
        <f t="shared" si="11"/>
        <v>0</v>
      </c>
      <c r="R50" s="254">
        <f t="shared" si="12"/>
        <v>0</v>
      </c>
      <c r="S50" s="255">
        <f t="shared" si="13"/>
        <v>0</v>
      </c>
      <c r="T50" s="254">
        <f t="shared" si="14"/>
        <v>0</v>
      </c>
      <c r="U50" s="256">
        <f t="shared" si="15"/>
        <v>0</v>
      </c>
      <c r="V50" s="391"/>
      <c r="W50" s="379"/>
      <c r="X50" s="323"/>
      <c r="Y50" s="323">
        <f>+Y49-X49</f>
        <v>-0.12168858541552713</v>
      </c>
      <c r="Z50" s="322">
        <f>+Z49-Y49</f>
        <v>-3.9635250764814695E-2</v>
      </c>
    </row>
    <row r="51" spans="2:26" ht="13.5" thickBot="1">
      <c r="B51" s="310">
        <v>0</v>
      </c>
      <c r="C51" s="259" t="s">
        <v>19</v>
      </c>
      <c r="D51" s="62">
        <f>SUM(D42:D50)</f>
        <v>661094</v>
      </c>
      <c r="E51" s="62">
        <f>SUM(E42:E50)</f>
        <v>1213075</v>
      </c>
      <c r="F51" s="62">
        <f>SUM(F42:F50)</f>
        <v>2616054</v>
      </c>
      <c r="G51" s="62">
        <f>SUM(G42:G50)</f>
        <v>2879381</v>
      </c>
      <c r="H51" s="252" t="s">
        <v>117</v>
      </c>
      <c r="I51" s="68">
        <f>+D63/(D27+D28+D33)</f>
        <v>0.43387372075102087</v>
      </c>
      <c r="J51" s="68">
        <f>+E63/(E27+E28+E33)</f>
        <v>0.4175719210632805</v>
      </c>
      <c r="K51" s="68">
        <f>+F63/(F27+F28+F33)</f>
        <v>0.28926697039069876</v>
      </c>
      <c r="L51" s="68">
        <f>+G63/(G27+G28+G33)</f>
        <v>0.51423297249625999</v>
      </c>
      <c r="N51" s="259" t="s">
        <v>19</v>
      </c>
      <c r="O51" s="260"/>
      <c r="P51" s="261">
        <f t="shared" ref="P51:U51" si="16">SUM(P42:P50)</f>
        <v>130560</v>
      </c>
      <c r="Q51" s="261">
        <f t="shared" si="16"/>
        <v>682541</v>
      </c>
      <c r="R51" s="261">
        <f t="shared" si="16"/>
        <v>28671</v>
      </c>
      <c r="S51" s="261">
        <f t="shared" si="16"/>
        <v>1431650</v>
      </c>
      <c r="T51" s="261">
        <f t="shared" si="16"/>
        <v>751758</v>
      </c>
      <c r="U51" s="261">
        <f t="shared" si="16"/>
        <v>1015085</v>
      </c>
      <c r="V51" s="321"/>
      <c r="W51" s="269"/>
    </row>
    <row r="52" spans="2:26" ht="13.5" thickTop="1">
      <c r="B52" s="310">
        <v>21</v>
      </c>
      <c r="C52" s="246" t="s">
        <v>53</v>
      </c>
      <c r="D52" s="61">
        <v>0</v>
      </c>
      <c r="E52" s="61">
        <v>0</v>
      </c>
      <c r="F52" s="61">
        <v>0</v>
      </c>
      <c r="G52" s="61">
        <v>0</v>
      </c>
      <c r="H52" s="252" t="s">
        <v>118</v>
      </c>
      <c r="I52" s="68">
        <f>+D51/D41</f>
        <v>1</v>
      </c>
      <c r="J52" s="68">
        <f>+E51/E41</f>
        <v>1</v>
      </c>
      <c r="K52" s="68">
        <f>+F51/F41</f>
        <v>1</v>
      </c>
      <c r="L52" s="68">
        <f>+G51/G41</f>
        <v>1</v>
      </c>
      <c r="N52" s="246" t="s">
        <v>53</v>
      </c>
      <c r="O52" s="253" t="str">
        <f t="shared" ref="O52:O60" si="17">IF(E52-D52&gt;0,"F","U")</f>
        <v>U</v>
      </c>
      <c r="P52" s="254">
        <f t="shared" ref="P52:P60" si="18">IF(E52-D52&gt;0,0,ABS(E52-D52))</f>
        <v>0</v>
      </c>
      <c r="Q52" s="255">
        <f t="shared" ref="Q52:Q60" si="19">IF(E52-D52&lt;0,0,ABS(E52-D52))</f>
        <v>0</v>
      </c>
      <c r="R52" s="254">
        <f t="shared" ref="R52:R60" si="20">IF(F52-E52&gt;0,0,ABS(F52-E52))</f>
        <v>0</v>
      </c>
      <c r="S52" s="255">
        <f t="shared" ref="S52:S60" si="21">IF(F52-E52&lt;0,0,ABS(F52-E52))</f>
        <v>0</v>
      </c>
      <c r="T52" s="254">
        <f t="shared" ref="T52:T60" si="22">IF(G52-F52&gt;0,0,ABS(G52-F52))</f>
        <v>0</v>
      </c>
      <c r="U52" s="256">
        <f t="shared" ref="U52:U60" si="23">IF(G52-F52&lt;0,0,ABS(G52-F52))</f>
        <v>0</v>
      </c>
      <c r="V52" s="14"/>
    </row>
    <row r="53" spans="2:26">
      <c r="B53" s="310">
        <v>22</v>
      </c>
      <c r="C53" s="251" t="s">
        <v>54</v>
      </c>
      <c r="D53" s="61">
        <v>0</v>
      </c>
      <c r="E53" s="61">
        <v>0</v>
      </c>
      <c r="F53" s="61">
        <v>0</v>
      </c>
      <c r="G53" s="61">
        <v>0</v>
      </c>
      <c r="H53" s="252" t="s">
        <v>119</v>
      </c>
      <c r="I53" s="68">
        <f>+(D42+D52)/D41</f>
        <v>0.36072026065884732</v>
      </c>
      <c r="J53" s="320">
        <f>+(E42+E52)/E41</f>
        <v>0.59593842095501104</v>
      </c>
      <c r="K53" s="320">
        <f>+(F42+F52)/F41</f>
        <v>0.45719851348634238</v>
      </c>
      <c r="L53" s="320">
        <f>+(G42+G52)/G41</f>
        <v>0.58869250022834774</v>
      </c>
      <c r="N53" s="251" t="s">
        <v>54</v>
      </c>
      <c r="O53" s="253" t="str">
        <f t="shared" si="17"/>
        <v>U</v>
      </c>
      <c r="P53" s="254">
        <f t="shared" si="18"/>
        <v>0</v>
      </c>
      <c r="Q53" s="255">
        <f t="shared" si="19"/>
        <v>0</v>
      </c>
      <c r="R53" s="254">
        <f t="shared" si="20"/>
        <v>0</v>
      </c>
      <c r="S53" s="255">
        <f t="shared" si="21"/>
        <v>0</v>
      </c>
      <c r="T53" s="254">
        <f t="shared" si="22"/>
        <v>0</v>
      </c>
      <c r="U53" s="256">
        <f t="shared" si="23"/>
        <v>0</v>
      </c>
      <c r="V53" s="14"/>
    </row>
    <row r="54" spans="2:26">
      <c r="B54" s="310">
        <v>23</v>
      </c>
      <c r="C54" s="251" t="s">
        <v>20</v>
      </c>
      <c r="D54" s="61">
        <v>0</v>
      </c>
      <c r="E54" s="61">
        <v>0</v>
      </c>
      <c r="F54" s="61">
        <v>0</v>
      </c>
      <c r="G54" s="61">
        <v>0</v>
      </c>
      <c r="H54" s="252" t="s">
        <v>94</v>
      </c>
      <c r="I54" s="90"/>
      <c r="J54" s="371">
        <f>+(E87+E81+E82+E85+E86)/E89</f>
        <v>6.6365971602240652</v>
      </c>
      <c r="K54" s="90">
        <f>+(F87+F81+F82+F85+F86)/F89</f>
        <v>4.1145042298697074</v>
      </c>
      <c r="L54" s="90">
        <f>+(G87+G81+G82+G85+G86)/G89</f>
        <v>3.2189871916387296</v>
      </c>
      <c r="N54" s="251" t="s">
        <v>20</v>
      </c>
      <c r="O54" s="253" t="str">
        <f t="shared" si="17"/>
        <v>U</v>
      </c>
      <c r="P54" s="254">
        <f t="shared" si="18"/>
        <v>0</v>
      </c>
      <c r="Q54" s="255">
        <f t="shared" si="19"/>
        <v>0</v>
      </c>
      <c r="R54" s="254">
        <f t="shared" si="20"/>
        <v>0</v>
      </c>
      <c r="S54" s="255">
        <f t="shared" si="21"/>
        <v>0</v>
      </c>
      <c r="T54" s="254">
        <f t="shared" si="22"/>
        <v>0</v>
      </c>
      <c r="U54" s="256">
        <f t="shared" si="23"/>
        <v>0</v>
      </c>
      <c r="V54" s="318"/>
    </row>
    <row r="55" spans="2:26">
      <c r="B55" s="309">
        <v>24</v>
      </c>
      <c r="C55" s="251" t="s">
        <v>55</v>
      </c>
      <c r="D55" s="61">
        <v>0</v>
      </c>
      <c r="E55" s="61">
        <v>0</v>
      </c>
      <c r="F55" s="61">
        <v>0</v>
      </c>
      <c r="G55" s="61">
        <v>0</v>
      </c>
      <c r="H55" s="252"/>
      <c r="I55" s="68"/>
      <c r="J55" s="68"/>
      <c r="K55" s="68"/>
      <c r="L55" s="68"/>
      <c r="N55" s="251" t="s">
        <v>55</v>
      </c>
      <c r="O55" s="253" t="str">
        <f t="shared" si="17"/>
        <v>U</v>
      </c>
      <c r="P55" s="254">
        <f t="shared" si="18"/>
        <v>0</v>
      </c>
      <c r="Q55" s="255">
        <f t="shared" si="19"/>
        <v>0</v>
      </c>
      <c r="R55" s="254">
        <f t="shared" si="20"/>
        <v>0</v>
      </c>
      <c r="S55" s="255">
        <f t="shared" si="21"/>
        <v>0</v>
      </c>
      <c r="T55" s="254">
        <f t="shared" si="22"/>
        <v>0</v>
      </c>
      <c r="U55" s="256">
        <f t="shared" si="23"/>
        <v>0</v>
      </c>
      <c r="V55" s="318"/>
    </row>
    <row r="56" spans="2:26">
      <c r="B56" s="314">
        <v>25</v>
      </c>
      <c r="C56" s="251" t="s">
        <v>21</v>
      </c>
      <c r="D56" s="61">
        <v>0</v>
      </c>
      <c r="E56" s="61">
        <v>0</v>
      </c>
      <c r="F56" s="61">
        <v>0</v>
      </c>
      <c r="G56" s="61">
        <v>0</v>
      </c>
      <c r="I56" s="80"/>
      <c r="J56" s="80"/>
      <c r="K56" s="80"/>
      <c r="L56" s="80"/>
      <c r="M56" s="80"/>
      <c r="N56" s="251" t="s">
        <v>21</v>
      </c>
      <c r="O56" s="253" t="str">
        <f t="shared" si="17"/>
        <v>U</v>
      </c>
      <c r="P56" s="254">
        <f t="shared" si="18"/>
        <v>0</v>
      </c>
      <c r="Q56" s="255">
        <f t="shared" si="19"/>
        <v>0</v>
      </c>
      <c r="R56" s="254">
        <f t="shared" si="20"/>
        <v>0</v>
      </c>
      <c r="S56" s="255">
        <f t="shared" si="21"/>
        <v>0</v>
      </c>
      <c r="T56" s="254">
        <f t="shared" si="22"/>
        <v>0</v>
      </c>
      <c r="U56" s="256">
        <f t="shared" si="23"/>
        <v>0</v>
      </c>
      <c r="V56" s="318"/>
    </row>
    <row r="57" spans="2:26" ht="13.5" thickBot="1">
      <c r="B57" s="310">
        <v>26</v>
      </c>
      <c r="C57" s="251" t="s">
        <v>22</v>
      </c>
      <c r="D57" s="61">
        <v>0</v>
      </c>
      <c r="E57" s="61">
        <v>0</v>
      </c>
      <c r="F57" s="61">
        <v>0</v>
      </c>
      <c r="G57" s="61">
        <v>0</v>
      </c>
      <c r="J57" s="380" t="s">
        <v>95</v>
      </c>
      <c r="K57" s="381"/>
      <c r="L57" s="382"/>
      <c r="N57" s="251" t="s">
        <v>22</v>
      </c>
      <c r="O57" s="253" t="str">
        <f t="shared" si="17"/>
        <v>U</v>
      </c>
      <c r="P57" s="254">
        <f t="shared" si="18"/>
        <v>0</v>
      </c>
      <c r="Q57" s="255">
        <f t="shared" si="19"/>
        <v>0</v>
      </c>
      <c r="R57" s="254">
        <f t="shared" si="20"/>
        <v>0</v>
      </c>
      <c r="S57" s="255">
        <f t="shared" si="21"/>
        <v>0</v>
      </c>
      <c r="T57" s="254">
        <f t="shared" si="22"/>
        <v>0</v>
      </c>
      <c r="U57" s="256">
        <f t="shared" si="23"/>
        <v>0</v>
      </c>
      <c r="V57" s="318"/>
    </row>
    <row r="58" spans="2:26" ht="13.5" thickTop="1">
      <c r="B58" s="310">
        <v>27</v>
      </c>
      <c r="C58" s="251" t="s">
        <v>23</v>
      </c>
      <c r="D58" s="61">
        <v>0</v>
      </c>
      <c r="E58" s="61">
        <v>0</v>
      </c>
      <c r="F58" s="61">
        <v>0</v>
      </c>
      <c r="G58" s="61">
        <v>0</v>
      </c>
      <c r="N58" s="251" t="s">
        <v>23</v>
      </c>
      <c r="O58" s="253" t="str">
        <f t="shared" si="17"/>
        <v>U</v>
      </c>
      <c r="P58" s="254">
        <f t="shared" si="18"/>
        <v>0</v>
      </c>
      <c r="Q58" s="255">
        <f t="shared" si="19"/>
        <v>0</v>
      </c>
      <c r="R58" s="254">
        <f t="shared" si="20"/>
        <v>0</v>
      </c>
      <c r="S58" s="255">
        <f t="shared" si="21"/>
        <v>0</v>
      </c>
      <c r="T58" s="254">
        <f t="shared" si="22"/>
        <v>0</v>
      </c>
      <c r="U58" s="256">
        <f t="shared" si="23"/>
        <v>0</v>
      </c>
      <c r="V58" s="318"/>
      <c r="W58" s="83"/>
      <c r="X58" s="83"/>
      <c r="Y58" s="83"/>
      <c r="Z58" s="83"/>
    </row>
    <row r="59" spans="2:26">
      <c r="B59" s="310">
        <v>28</v>
      </c>
      <c r="C59" s="251" t="s">
        <v>24</v>
      </c>
      <c r="D59" s="61">
        <v>0</v>
      </c>
      <c r="E59" s="61">
        <v>0</v>
      </c>
      <c r="F59" s="61">
        <v>0</v>
      </c>
      <c r="G59" s="61">
        <v>0</v>
      </c>
      <c r="H59" s="252" t="s">
        <v>96</v>
      </c>
      <c r="I59" s="68">
        <f>+(D87+D81+D82+D85+D86)/D75</f>
        <v>8.2817544791564182E-2</v>
      </c>
      <c r="J59" s="320">
        <f>+(E87+E81+E82+E85+E86)/E75</f>
        <v>8.2059629707244758E-2</v>
      </c>
      <c r="K59" s="320">
        <f>+(F87+F81+F82+F85+F86)/F75</f>
        <v>7.3044136258148998E-2</v>
      </c>
      <c r="L59" s="320">
        <f>+(G87+G81+G82+G85+G86)/G75</f>
        <v>7.0320140232596834E-2</v>
      </c>
      <c r="N59" s="251" t="s">
        <v>24</v>
      </c>
      <c r="O59" s="253" t="str">
        <f t="shared" si="17"/>
        <v>U</v>
      </c>
      <c r="P59" s="254">
        <f t="shared" si="18"/>
        <v>0</v>
      </c>
      <c r="Q59" s="255">
        <f t="shared" si="19"/>
        <v>0</v>
      </c>
      <c r="R59" s="254">
        <f t="shared" si="20"/>
        <v>0</v>
      </c>
      <c r="S59" s="255">
        <f t="shared" si="21"/>
        <v>0</v>
      </c>
      <c r="T59" s="254">
        <f t="shared" si="22"/>
        <v>0</v>
      </c>
      <c r="U59" s="256">
        <f t="shared" si="23"/>
        <v>0</v>
      </c>
      <c r="V59" s="318"/>
      <c r="W59" s="93"/>
      <c r="X59" s="93"/>
      <c r="Y59" s="93"/>
      <c r="Z59" s="93"/>
    </row>
    <row r="60" spans="2:26">
      <c r="B60" s="310">
        <v>29</v>
      </c>
      <c r="C60" s="258" t="s">
        <v>26</v>
      </c>
      <c r="D60" s="61">
        <v>0</v>
      </c>
      <c r="E60" s="61">
        <v>0</v>
      </c>
      <c r="F60" s="61">
        <v>0</v>
      </c>
      <c r="G60" s="61">
        <v>0</v>
      </c>
      <c r="H60" s="252" t="s">
        <v>97</v>
      </c>
      <c r="I60" s="68">
        <f>+D87/D75</f>
        <v>7.4564169819787279E-2</v>
      </c>
      <c r="J60" s="320">
        <f>+E87/E75</f>
        <v>7.7762989237828442E-2</v>
      </c>
      <c r="K60" s="320">
        <f>+F87/F75</f>
        <v>6.3800666670057501E-2</v>
      </c>
      <c r="L60" s="320">
        <f>+G87/G75</f>
        <v>6.2843705725302054E-2</v>
      </c>
      <c r="N60" s="258" t="s">
        <v>26</v>
      </c>
      <c r="O60" s="253" t="str">
        <f t="shared" si="17"/>
        <v>U</v>
      </c>
      <c r="P60" s="254">
        <f t="shared" si="18"/>
        <v>0</v>
      </c>
      <c r="Q60" s="255">
        <f t="shared" si="19"/>
        <v>0</v>
      </c>
      <c r="R60" s="254">
        <f t="shared" si="20"/>
        <v>0</v>
      </c>
      <c r="S60" s="255">
        <f t="shared" si="21"/>
        <v>0</v>
      </c>
      <c r="T60" s="254">
        <f t="shared" si="22"/>
        <v>0</v>
      </c>
      <c r="U60" s="256">
        <f t="shared" si="23"/>
        <v>0</v>
      </c>
      <c r="V60" s="318"/>
    </row>
    <row r="61" spans="2:26" ht="13.5" thickBot="1">
      <c r="B61" s="309">
        <v>0</v>
      </c>
      <c r="C61" s="259" t="s">
        <v>27</v>
      </c>
      <c r="D61" s="62">
        <f>SUM(D52:D60)</f>
        <v>0</v>
      </c>
      <c r="E61" s="62">
        <f>SUM(E52:E60)</f>
        <v>0</v>
      </c>
      <c r="F61" s="62">
        <f>SUM(F52:F60)</f>
        <v>0</v>
      </c>
      <c r="G61" s="62">
        <f>SUM(G52:G60)</f>
        <v>0</v>
      </c>
      <c r="H61" s="252" t="s">
        <v>98</v>
      </c>
      <c r="I61" s="68">
        <f>+D93/D75</f>
        <v>3.4231430048495402E-2</v>
      </c>
      <c r="J61" s="320">
        <f>+E93/E75</f>
        <v>3.7162822360529535E-2</v>
      </c>
      <c r="K61" s="320">
        <f>+F93/F75</f>
        <v>3.7217787670811658E-2</v>
      </c>
      <c r="L61" s="320">
        <f>+G93/G75</f>
        <v>4.6377271080161479E-2</v>
      </c>
      <c r="N61" s="259" t="s">
        <v>27</v>
      </c>
      <c r="O61" s="260"/>
      <c r="P61" s="263">
        <f t="shared" ref="P61:U61" si="24">SUM(P52:P60)</f>
        <v>0</v>
      </c>
      <c r="Q61" s="263">
        <f t="shared" si="24"/>
        <v>0</v>
      </c>
      <c r="R61" s="263">
        <f t="shared" si="24"/>
        <v>0</v>
      </c>
      <c r="S61" s="263">
        <f t="shared" si="24"/>
        <v>0</v>
      </c>
      <c r="T61" s="263">
        <f t="shared" si="24"/>
        <v>0</v>
      </c>
      <c r="U61" s="263">
        <f t="shared" si="24"/>
        <v>0</v>
      </c>
      <c r="V61" s="14"/>
    </row>
    <row r="62" spans="2:26" ht="13.5" thickTop="1">
      <c r="B62" s="319"/>
      <c r="C62" s="14"/>
      <c r="D62" s="72">
        <f>+D23-D71</f>
        <v>0</v>
      </c>
      <c r="E62" s="72">
        <f>+E23-E71</f>
        <v>0</v>
      </c>
      <c r="F62" s="72">
        <f>+F23-F71</f>
        <v>0</v>
      </c>
      <c r="G62" s="72">
        <f>+G23-G71</f>
        <v>0</v>
      </c>
      <c r="H62" s="252" t="s">
        <v>13</v>
      </c>
      <c r="I62" s="68"/>
      <c r="J62" s="68">
        <f>+J31/AVERAGE(D23:E23)</f>
        <v>5.5635977494885252E-7</v>
      </c>
      <c r="K62" s="68">
        <f>+K31/AVERAGE(E23:F23)</f>
        <v>9.0665182593514276E-8</v>
      </c>
      <c r="L62" s="68">
        <f>+L31/AVERAGE(F23:G23)</f>
        <v>4.4390448548133747E-8</v>
      </c>
      <c r="N62" s="14"/>
      <c r="O62" s="14"/>
      <c r="P62" s="14"/>
      <c r="Q62" s="14"/>
      <c r="R62" s="14"/>
      <c r="S62" s="14"/>
      <c r="T62" s="14"/>
      <c r="U62" s="14"/>
      <c r="V62" s="318"/>
    </row>
    <row r="63" spans="2:26" ht="13.5" thickBot="1">
      <c r="B63" s="314">
        <v>30</v>
      </c>
      <c r="C63" s="259" t="s">
        <v>28</v>
      </c>
      <c r="D63" s="62">
        <f>SUM(D64:D70)</f>
        <v>301219</v>
      </c>
      <c r="E63" s="62">
        <f>SUM(E64:E70)</f>
        <v>532466</v>
      </c>
      <c r="F63" s="62">
        <f>SUM(F64:F70)</f>
        <v>877288</v>
      </c>
      <c r="G63" s="69">
        <f>SUM(G64:G70)</f>
        <v>1678116</v>
      </c>
      <c r="H63" s="252" t="s">
        <v>14</v>
      </c>
      <c r="I63" s="68">
        <f>+D93/D63</f>
        <v>0.399639464973989</v>
      </c>
      <c r="J63" s="68">
        <f>+E93/E63</f>
        <v>0.43429439626192096</v>
      </c>
      <c r="K63" s="68">
        <f>+F93/F63</f>
        <v>0.36699692689287894</v>
      </c>
      <c r="L63" s="68">
        <f>+G93/G63</f>
        <v>0.29271337619091886</v>
      </c>
      <c r="N63" s="259" t="s">
        <v>28</v>
      </c>
      <c r="O63" s="260"/>
      <c r="P63" s="263">
        <f t="shared" ref="P63:U63" si="25">SUM(P64:P70)</f>
        <v>0</v>
      </c>
      <c r="Q63" s="263">
        <f t="shared" si="25"/>
        <v>231247</v>
      </c>
      <c r="R63" s="263">
        <f t="shared" si="25"/>
        <v>0</v>
      </c>
      <c r="S63" s="263">
        <f t="shared" si="25"/>
        <v>344822</v>
      </c>
      <c r="T63" s="263">
        <f t="shared" si="25"/>
        <v>0</v>
      </c>
      <c r="U63" s="263">
        <f t="shared" si="25"/>
        <v>800828</v>
      </c>
      <c r="V63" s="318"/>
    </row>
    <row r="64" spans="2:26" ht="13.5" thickTop="1">
      <c r="B64" s="310">
        <v>31</v>
      </c>
      <c r="C64" s="36" t="s">
        <v>29</v>
      </c>
      <c r="D64" s="66">
        <v>100000</v>
      </c>
      <c r="E64" s="66">
        <v>100000</v>
      </c>
      <c r="F64" s="66">
        <v>100000</v>
      </c>
      <c r="G64" s="66">
        <v>300000</v>
      </c>
      <c r="H64" s="270"/>
      <c r="N64" s="36" t="s">
        <v>29</v>
      </c>
      <c r="O64" s="253" t="str">
        <f t="shared" ref="O64:O70" si="26">IF(E64-D64&gt;0,"F","U")</f>
        <v>U</v>
      </c>
      <c r="P64" s="254">
        <f t="shared" ref="P64:P70" si="27">IF(E64-D64&gt;0,0,ABS(E64-D64))</f>
        <v>0</v>
      </c>
      <c r="Q64" s="255">
        <f t="shared" ref="Q64:Q70" si="28">IF(E64-D64&lt;0,0,ABS(E64-D64))</f>
        <v>0</v>
      </c>
      <c r="R64" s="254">
        <f t="shared" ref="R64:R70" si="29">IF(F64-E64&gt;0,0,ABS(F64-E64))</f>
        <v>0</v>
      </c>
      <c r="S64" s="255">
        <f t="shared" ref="S64:S70" si="30">IF(F64-E64&lt;0,0,ABS(F64-E64))</f>
        <v>0</v>
      </c>
      <c r="T64" s="254">
        <f t="shared" ref="T64:T70" si="31">IF(G64-F64&gt;0,0,ABS(G64-F64))</f>
        <v>0</v>
      </c>
      <c r="U64" s="256">
        <f t="shared" ref="U64:U70" si="32">IF(G64-F64&lt;0,0,ABS(G64-F64))</f>
        <v>200000</v>
      </c>
      <c r="V64" s="318"/>
    </row>
    <row r="65" spans="2:26">
      <c r="B65" s="310">
        <v>32</v>
      </c>
      <c r="C65" s="37" t="s">
        <v>30</v>
      </c>
      <c r="D65" s="66">
        <v>0</v>
      </c>
      <c r="E65" s="66">
        <v>0</v>
      </c>
      <c r="F65" s="66">
        <v>0</v>
      </c>
      <c r="G65" s="66">
        <v>0</v>
      </c>
      <c r="H65" s="252"/>
      <c r="I65" s="90"/>
      <c r="J65" s="90"/>
      <c r="K65" s="90"/>
      <c r="L65" s="90"/>
      <c r="N65" s="37" t="s">
        <v>30</v>
      </c>
      <c r="O65" s="253" t="str">
        <f t="shared" si="26"/>
        <v>U</v>
      </c>
      <c r="P65" s="254">
        <f t="shared" si="27"/>
        <v>0</v>
      </c>
      <c r="Q65" s="255">
        <f t="shared" si="28"/>
        <v>0</v>
      </c>
      <c r="R65" s="254">
        <f t="shared" si="29"/>
        <v>0</v>
      </c>
      <c r="S65" s="255">
        <f t="shared" si="30"/>
        <v>0</v>
      </c>
      <c r="T65" s="254">
        <f t="shared" si="31"/>
        <v>0</v>
      </c>
      <c r="U65" s="256">
        <f t="shared" si="32"/>
        <v>0</v>
      </c>
      <c r="V65" s="318"/>
    </row>
    <row r="66" spans="2:26">
      <c r="B66" s="310">
        <v>33</v>
      </c>
      <c r="C66" s="37" t="s">
        <v>66</v>
      </c>
      <c r="D66" s="66">
        <v>6351</v>
      </c>
      <c r="E66" s="66">
        <v>6351</v>
      </c>
      <c r="F66" s="66">
        <v>19988</v>
      </c>
      <c r="G66" s="66">
        <v>19988</v>
      </c>
      <c r="H66" s="252"/>
      <c r="I66" s="90"/>
      <c r="J66" s="90"/>
      <c r="K66" s="90"/>
      <c r="L66" s="90"/>
      <c r="N66" s="37" t="s">
        <v>66</v>
      </c>
      <c r="O66" s="253" t="str">
        <f t="shared" si="26"/>
        <v>U</v>
      </c>
      <c r="P66" s="254">
        <f t="shared" si="27"/>
        <v>0</v>
      </c>
      <c r="Q66" s="255">
        <f t="shared" si="28"/>
        <v>0</v>
      </c>
      <c r="R66" s="254">
        <f t="shared" si="29"/>
        <v>0</v>
      </c>
      <c r="S66" s="255">
        <f t="shared" si="30"/>
        <v>13637</v>
      </c>
      <c r="T66" s="254">
        <f t="shared" si="31"/>
        <v>0</v>
      </c>
      <c r="U66" s="256">
        <f t="shared" si="32"/>
        <v>0</v>
      </c>
      <c r="V66" s="317"/>
    </row>
    <row r="67" spans="2:26">
      <c r="B67" s="310">
        <v>34</v>
      </c>
      <c r="C67" s="37" t="s">
        <v>31</v>
      </c>
      <c r="D67" s="66">
        <v>0</v>
      </c>
      <c r="E67" s="66">
        <v>0</v>
      </c>
      <c r="F67" s="66">
        <v>0</v>
      </c>
      <c r="G67" s="66">
        <v>301981</v>
      </c>
      <c r="H67" s="252"/>
      <c r="I67" s="84"/>
      <c r="J67" s="68"/>
      <c r="K67" s="68"/>
      <c r="L67" s="68"/>
      <c r="N67" s="37" t="s">
        <v>31</v>
      </c>
      <c r="O67" s="253" t="str">
        <f t="shared" si="26"/>
        <v>U</v>
      </c>
      <c r="P67" s="254">
        <f t="shared" si="27"/>
        <v>0</v>
      </c>
      <c r="Q67" s="255">
        <f t="shared" si="28"/>
        <v>0</v>
      </c>
      <c r="R67" s="254">
        <f t="shared" si="29"/>
        <v>0</v>
      </c>
      <c r="S67" s="255">
        <f t="shared" si="30"/>
        <v>0</v>
      </c>
      <c r="T67" s="254">
        <f t="shared" si="31"/>
        <v>0</v>
      </c>
      <c r="U67" s="256">
        <f t="shared" si="32"/>
        <v>301981</v>
      </c>
      <c r="V67" s="392"/>
    </row>
    <row r="68" spans="2:26">
      <c r="B68" s="310">
        <v>35</v>
      </c>
      <c r="C68" s="37" t="s">
        <v>32</v>
      </c>
      <c r="D68" s="66">
        <v>0</v>
      </c>
      <c r="E68" s="66">
        <v>0</v>
      </c>
      <c r="F68" s="66">
        <v>0</v>
      </c>
      <c r="G68" s="66">
        <v>0</v>
      </c>
      <c r="H68" s="252"/>
      <c r="I68" s="19"/>
      <c r="J68" s="19"/>
      <c r="K68" s="68"/>
      <c r="L68" s="68"/>
      <c r="N68" s="37" t="s">
        <v>32</v>
      </c>
      <c r="O68" s="253" t="str">
        <f t="shared" si="26"/>
        <v>U</v>
      </c>
      <c r="P68" s="254">
        <f t="shared" si="27"/>
        <v>0</v>
      </c>
      <c r="Q68" s="255">
        <f t="shared" si="28"/>
        <v>0</v>
      </c>
      <c r="R68" s="254">
        <f t="shared" si="29"/>
        <v>0</v>
      </c>
      <c r="S68" s="255">
        <f t="shared" si="30"/>
        <v>0</v>
      </c>
      <c r="T68" s="254">
        <f t="shared" si="31"/>
        <v>0</v>
      </c>
      <c r="U68" s="256">
        <f t="shared" si="32"/>
        <v>0</v>
      </c>
      <c r="V68" s="392"/>
    </row>
    <row r="69" spans="2:26">
      <c r="B69" s="310">
        <v>36</v>
      </c>
      <c r="C69" s="37" t="s">
        <v>33</v>
      </c>
      <c r="D69" s="66">
        <v>120379</v>
      </c>
      <c r="E69" s="66">
        <v>231247</v>
      </c>
      <c r="F69" s="66">
        <v>321962</v>
      </c>
      <c r="G69" s="66">
        <v>491207</v>
      </c>
      <c r="H69" s="252"/>
      <c r="I69" s="19"/>
      <c r="J69" s="68"/>
      <c r="K69" s="68"/>
      <c r="L69" s="68"/>
      <c r="N69" s="37" t="s">
        <v>33</v>
      </c>
      <c r="O69" s="253" t="str">
        <f t="shared" si="26"/>
        <v>F</v>
      </c>
      <c r="P69" s="254">
        <f t="shared" si="27"/>
        <v>0</v>
      </c>
      <c r="Q69" s="255">
        <f t="shared" si="28"/>
        <v>110868</v>
      </c>
      <c r="R69" s="254">
        <f t="shared" si="29"/>
        <v>0</v>
      </c>
      <c r="S69" s="255">
        <f t="shared" si="30"/>
        <v>90715</v>
      </c>
      <c r="T69" s="254">
        <f t="shared" si="31"/>
        <v>0</v>
      </c>
      <c r="U69" s="256">
        <f t="shared" si="32"/>
        <v>169245</v>
      </c>
      <c r="V69" s="14"/>
    </row>
    <row r="70" spans="2:26">
      <c r="B70" s="310">
        <v>37</v>
      </c>
      <c r="C70" s="38" t="s">
        <v>34</v>
      </c>
      <c r="D70" s="66">
        <v>74489</v>
      </c>
      <c r="E70" s="66">
        <v>194868</v>
      </c>
      <c r="F70" s="66">
        <v>435338</v>
      </c>
      <c r="G70" s="66">
        <v>564940</v>
      </c>
      <c r="N70" s="38" t="s">
        <v>34</v>
      </c>
      <c r="O70" s="253" t="str">
        <f t="shared" si="26"/>
        <v>F</v>
      </c>
      <c r="P70" s="254">
        <f t="shared" si="27"/>
        <v>0</v>
      </c>
      <c r="Q70" s="255">
        <f t="shared" si="28"/>
        <v>120379</v>
      </c>
      <c r="R70" s="254">
        <f t="shared" si="29"/>
        <v>0</v>
      </c>
      <c r="S70" s="255">
        <f t="shared" si="30"/>
        <v>240470</v>
      </c>
      <c r="T70" s="254">
        <f t="shared" si="31"/>
        <v>0</v>
      </c>
      <c r="U70" s="256">
        <f t="shared" si="32"/>
        <v>129602</v>
      </c>
      <c r="V70" s="14"/>
    </row>
    <row r="71" spans="2:26" ht="13.5" thickBot="1">
      <c r="B71" s="310"/>
      <c r="C71" s="243" t="s">
        <v>36</v>
      </c>
      <c r="D71" s="57">
        <f>+D63+D41</f>
        <v>962313</v>
      </c>
      <c r="E71" s="57">
        <f>+E63+E41</f>
        <v>1745541</v>
      </c>
      <c r="F71" s="57">
        <f>+F63+F41</f>
        <v>3493342</v>
      </c>
      <c r="G71" s="70">
        <f>+G63+G41</f>
        <v>4557497</v>
      </c>
      <c r="H71" s="244" t="s">
        <v>75</v>
      </c>
      <c r="I71" s="19"/>
      <c r="J71" s="19"/>
      <c r="K71" s="19"/>
      <c r="L71" s="19"/>
      <c r="N71" s="271" t="s">
        <v>109</v>
      </c>
      <c r="O71" s="272"/>
      <c r="P71" s="114">
        <f t="shared" ref="P71:U71" si="33">+SUM(P25:P29)-P27+SUM(P31:P37)+SUM(P42:P50)+SUM(P52:P60)+SUM(P64:P70)</f>
        <v>984695</v>
      </c>
      <c r="Q71" s="114">
        <f t="shared" si="33"/>
        <v>913788</v>
      </c>
      <c r="R71" s="114">
        <f t="shared" si="33"/>
        <v>1953617</v>
      </c>
      <c r="S71" s="114">
        <f t="shared" si="33"/>
        <v>1924923</v>
      </c>
      <c r="T71" s="114">
        <f t="shared" si="33"/>
        <v>2302728</v>
      </c>
      <c r="U71" s="114">
        <f t="shared" si="33"/>
        <v>2390439</v>
      </c>
      <c r="V71" s="14"/>
    </row>
    <row r="72" spans="2:26" ht="13.5" customHeight="1" thickTop="1">
      <c r="B72" s="309">
        <v>38</v>
      </c>
      <c r="C72" s="264" t="s">
        <v>35</v>
      </c>
      <c r="D72" s="273">
        <v>0</v>
      </c>
      <c r="E72" s="79">
        <f>+E39</f>
        <v>0</v>
      </c>
      <c r="F72" s="273">
        <v>301981</v>
      </c>
      <c r="G72" s="79">
        <v>0</v>
      </c>
      <c r="H72" s="252" t="s">
        <v>120</v>
      </c>
      <c r="I72" s="19"/>
      <c r="J72" s="73">
        <f>+((E75-D75)/D75)/((E28-D28)/D28)</f>
        <v>0.44868428864045123</v>
      </c>
      <c r="K72" s="74">
        <f>+((F75-E75)/E75)/((F28-E28)/E28)</f>
        <v>0.188033553721701</v>
      </c>
      <c r="L72" s="74">
        <f>+((G75-F75)/F75)/((G28-F28)/F28)</f>
        <v>-0.71402367282562929</v>
      </c>
      <c r="N72" s="271" t="s">
        <v>108</v>
      </c>
      <c r="O72" s="272"/>
      <c r="P72" s="114">
        <f>IF($Q$71-$P$71&lt;0,ABS($Q$71-$P$71),"")</f>
        <v>70907</v>
      </c>
      <c r="Q72" s="114">
        <f>IF($Q$71-$P$71&gt;0,ABS($Q$71-$P$71),0)</f>
        <v>0</v>
      </c>
      <c r="R72" s="114">
        <f>IF($S$71-$R$71&lt;0,ABS($S$71-$R$71),0)</f>
        <v>28694</v>
      </c>
      <c r="S72" s="114">
        <f>IF($S$71-$R$71&gt;0,ABS($S$71-$R$71),0)</f>
        <v>0</v>
      </c>
      <c r="T72" s="114">
        <f>IF($U$71-$T$71&lt;0,ABS($U$71-$T$71),0)</f>
        <v>0</v>
      </c>
      <c r="U72" s="114">
        <f>IF($U$71-$T$71&gt;0,ABS($U$71-$T$71),0)</f>
        <v>87711</v>
      </c>
      <c r="V72" s="14"/>
    </row>
    <row r="73" spans="2:26" s="77" customFormat="1" ht="22.5">
      <c r="B73" s="316"/>
      <c r="C73" s="274" t="s">
        <v>69</v>
      </c>
      <c r="D73" s="78" t="str">
        <f>+IF(D71=D23,"OK","ERROR")</f>
        <v>OK</v>
      </c>
      <c r="E73" s="78" t="str">
        <f>+IF(E71=E23,"OK","ERROR")</f>
        <v>OK</v>
      </c>
      <c r="F73" s="78" t="str">
        <f>+IF(F71=F23,"OK","ERROR")</f>
        <v>OK</v>
      </c>
      <c r="G73" s="78" t="str">
        <f>+IF(G71=G23,"OK","ERROR")</f>
        <v>OK</v>
      </c>
      <c r="H73" s="252" t="s">
        <v>121</v>
      </c>
      <c r="I73" s="19"/>
      <c r="J73" s="73">
        <f>+((E27-D27)/D27)/((E28-D28)/D28)</f>
        <v>0.36323874281286095</v>
      </c>
      <c r="K73" s="74">
        <f>+((F27-E27)/E27)/((F28-E28)/E28)</f>
        <v>0.62610448458378909</v>
      </c>
      <c r="L73" s="74">
        <f>+((G27-F27)/F27)/((G28-F28)/F28)</f>
        <v>-1.9387408706669622</v>
      </c>
      <c r="N73" s="271" t="s">
        <v>104</v>
      </c>
      <c r="O73" s="272"/>
      <c r="P73" s="114">
        <f>IF($E$24-$D$24&lt;0,ABS($E$24-$D$24),"")</f>
        <v>70907</v>
      </c>
      <c r="Q73" s="114">
        <f>IF($E$24-$D$24&gt;0,ABS($E$24-$D$24),0)</f>
        <v>0</v>
      </c>
      <c r="R73" s="114">
        <f>IF($F$24-$E$24&lt;0,ABS($F$24-$E$24),0)</f>
        <v>28694</v>
      </c>
      <c r="S73" s="114">
        <f>IF($F$24-$E$24&gt;0,ABS($F$24-$E$24),0)</f>
        <v>0</v>
      </c>
      <c r="T73" s="114">
        <f>IF($G$24-$F$24&lt;0,ABS($G$24-$F$24),0)</f>
        <v>0</v>
      </c>
      <c r="U73" s="114">
        <f>IF($G$24-$F$24&gt;0,ABS($G$24-$F$24),0)</f>
        <v>87711</v>
      </c>
      <c r="V73" s="315"/>
      <c r="W73" s="142"/>
      <c r="X73" s="142"/>
      <c r="Y73" s="142"/>
      <c r="Z73" s="142"/>
    </row>
    <row r="74" spans="2:26">
      <c r="B74" s="308"/>
      <c r="C74" s="41"/>
      <c r="D74" s="100">
        <f>+D71-D23</f>
        <v>0</v>
      </c>
      <c r="E74" s="100">
        <f>+E71-E23</f>
        <v>0</v>
      </c>
      <c r="F74" s="100">
        <f>+F71-F23</f>
        <v>0</v>
      </c>
      <c r="G74" s="100">
        <f>+G71-G23</f>
        <v>0</v>
      </c>
      <c r="H74" s="252" t="s">
        <v>76</v>
      </c>
      <c r="I74" s="68">
        <f>+I75*I76*I77</f>
        <v>0.399639464973989</v>
      </c>
      <c r="J74" s="68">
        <f>+J75*J76*J77</f>
        <v>0.43429439626192096</v>
      </c>
      <c r="K74" s="68">
        <f>+K75*K76*K77</f>
        <v>0.36699692689287894</v>
      </c>
      <c r="L74" s="68">
        <f>+L75*L76*L77</f>
        <v>0.29271337619091886</v>
      </c>
      <c r="N74" s="14"/>
      <c r="O74" s="14"/>
      <c r="P74" s="110"/>
      <c r="Q74" s="104"/>
      <c r="R74" s="103"/>
      <c r="S74" s="104"/>
      <c r="T74" s="103"/>
      <c r="U74" s="104"/>
      <c r="W74" s="83"/>
      <c r="X74" s="83"/>
      <c r="Y74" s="83"/>
      <c r="Z74" s="83"/>
    </row>
    <row r="75" spans="2:26" ht="13.5" thickBot="1">
      <c r="B75" s="314">
        <v>41</v>
      </c>
      <c r="C75" s="24" t="s">
        <v>37</v>
      </c>
      <c r="D75" s="44">
        <v>3516622</v>
      </c>
      <c r="E75" s="44">
        <v>6222536</v>
      </c>
      <c r="F75" s="44">
        <v>8650756</v>
      </c>
      <c r="G75" s="44">
        <v>10591546</v>
      </c>
      <c r="H75" s="252" t="s">
        <v>77</v>
      </c>
      <c r="I75" s="68">
        <f>+D93/D75</f>
        <v>3.4231430048495402E-2</v>
      </c>
      <c r="J75" s="68">
        <f>+E93/E75</f>
        <v>3.7162822360529535E-2</v>
      </c>
      <c r="K75" s="68">
        <f>+F93/F75</f>
        <v>3.7217787670811658E-2</v>
      </c>
      <c r="L75" s="68">
        <f>+G93/G75</f>
        <v>4.6377271080161479E-2</v>
      </c>
      <c r="N75" s="275" t="s">
        <v>107</v>
      </c>
      <c r="O75" s="275"/>
      <c r="P75" s="111">
        <f t="shared" ref="P75:U75" si="34">+P72-P73</f>
        <v>0</v>
      </c>
      <c r="Q75" s="112">
        <f t="shared" si="34"/>
        <v>0</v>
      </c>
      <c r="R75" s="113">
        <f t="shared" si="34"/>
        <v>0</v>
      </c>
      <c r="S75" s="112">
        <f t="shared" si="34"/>
        <v>0</v>
      </c>
      <c r="T75" s="113">
        <f t="shared" si="34"/>
        <v>0</v>
      </c>
      <c r="U75" s="112">
        <f t="shared" si="34"/>
        <v>0</v>
      </c>
    </row>
    <row r="76" spans="2:26" ht="13.5" thickTop="1">
      <c r="B76" s="310"/>
      <c r="C76" s="25" t="s">
        <v>80</v>
      </c>
      <c r="D76" s="54"/>
      <c r="E76" s="54"/>
      <c r="F76" s="54"/>
      <c r="G76" s="54"/>
      <c r="H76" s="252" t="s">
        <v>78</v>
      </c>
      <c r="I76" s="313">
        <f>+D75/D23</f>
        <v>3.6543432334386003</v>
      </c>
      <c r="J76" s="313">
        <f>+E75/E23</f>
        <v>3.5648180134411049</v>
      </c>
      <c r="K76" s="313">
        <f>+F75/F23</f>
        <v>2.4763553067521014</v>
      </c>
      <c r="L76" s="313">
        <f>+G75/G23</f>
        <v>2.3239830986175085</v>
      </c>
      <c r="N76" s="72"/>
      <c r="O76" s="14"/>
    </row>
    <row r="77" spans="2:26">
      <c r="B77" s="310">
        <v>61</v>
      </c>
      <c r="C77" s="25" t="s">
        <v>38</v>
      </c>
      <c r="D77" s="54">
        <v>3021260</v>
      </c>
      <c r="E77" s="54">
        <v>5401125</v>
      </c>
      <c r="F77" s="54">
        <v>7543650</v>
      </c>
      <c r="G77" s="54">
        <v>9419366</v>
      </c>
      <c r="H77" s="252" t="s">
        <v>79</v>
      </c>
      <c r="I77" s="313">
        <f>+D23/D63</f>
        <v>3.1947287521703478</v>
      </c>
      <c r="J77" s="313">
        <f>+E23/E63</f>
        <v>3.2782205812202094</v>
      </c>
      <c r="K77" s="313">
        <f>+F23/F63</f>
        <v>3.9819785520832385</v>
      </c>
      <c r="L77" s="313">
        <f>+G23/G63</f>
        <v>2.7158414555370429</v>
      </c>
      <c r="N77" s="276" t="s">
        <v>110</v>
      </c>
      <c r="O77" s="128"/>
      <c r="P77" s="129">
        <f t="shared" ref="P77:U77" si="35">+P30+P51</f>
        <v>1078050</v>
      </c>
      <c r="Q77" s="130">
        <f t="shared" si="35"/>
        <v>682541</v>
      </c>
      <c r="R77" s="120">
        <f t="shared" si="35"/>
        <v>2440994</v>
      </c>
      <c r="S77" s="121">
        <f t="shared" si="35"/>
        <v>1580101</v>
      </c>
      <c r="T77" s="120">
        <f t="shared" si="35"/>
        <v>2587589</v>
      </c>
      <c r="U77" s="121">
        <f t="shared" si="35"/>
        <v>1589611</v>
      </c>
    </row>
    <row r="78" spans="2:26" ht="13.5" thickBot="1">
      <c r="B78" s="310"/>
      <c r="C78" s="45" t="s">
        <v>39</v>
      </c>
      <c r="D78" s="46">
        <f>+D75-D77</f>
        <v>495362</v>
      </c>
      <c r="E78" s="46">
        <f>+E75-E77</f>
        <v>821411</v>
      </c>
      <c r="F78" s="46">
        <f>+F75-F77</f>
        <v>1107106</v>
      </c>
      <c r="G78" s="71">
        <f>+G75-G77</f>
        <v>1172180</v>
      </c>
      <c r="H78" s="14"/>
      <c r="I78" s="96"/>
      <c r="J78" s="277"/>
      <c r="K78" s="14"/>
      <c r="L78" s="14"/>
      <c r="N78" s="131" t="str">
        <f>+IF(P78&gt;0,"Usos","Fuentes")</f>
        <v>Usos</v>
      </c>
      <c r="O78" s="132"/>
      <c r="P78" s="133">
        <f>IF(P77-Q77&lt;0,0,P77-Q77)</f>
        <v>395509</v>
      </c>
      <c r="Q78" s="134">
        <f>IF(Q77-P77&lt;0,0,Q77-P77)</f>
        <v>0</v>
      </c>
      <c r="R78" s="122">
        <f>IF(R77-S77&lt;0,0,R77-S77)</f>
        <v>860893</v>
      </c>
      <c r="S78" s="123">
        <f>IF(S77-R77&lt;0,0,S77-R77)</f>
        <v>0</v>
      </c>
      <c r="T78" s="122">
        <f>IF(T77-U77&lt;0,0,T77-U77)</f>
        <v>997978</v>
      </c>
      <c r="U78" s="123">
        <f>IF(U77-T77&lt;0,0,U77-T77)</f>
        <v>0</v>
      </c>
    </row>
    <row r="79" spans="2:26" ht="17.25" thickTop="1" thickBot="1">
      <c r="B79" s="310">
        <v>51</v>
      </c>
      <c r="C79" s="26" t="s">
        <v>40</v>
      </c>
      <c r="D79" s="55">
        <v>209214</v>
      </c>
      <c r="E79" s="55">
        <v>312940</v>
      </c>
      <c r="F79" s="55">
        <v>464515</v>
      </c>
      <c r="G79" s="55">
        <v>483867</v>
      </c>
      <c r="H79" s="278" t="s">
        <v>150</v>
      </c>
      <c r="I79" s="278">
        <v>2007</v>
      </c>
      <c r="J79" s="278">
        <v>2008</v>
      </c>
      <c r="K79" s="278">
        <v>2009</v>
      </c>
      <c r="L79" s="278">
        <v>2010</v>
      </c>
      <c r="N79" s="276" t="s">
        <v>111</v>
      </c>
      <c r="O79" s="128"/>
      <c r="P79" s="135">
        <f t="shared" ref="P79:U79" si="36">+P63+P61+P38</f>
        <v>55982</v>
      </c>
      <c r="Q79" s="136">
        <f t="shared" si="36"/>
        <v>231247</v>
      </c>
      <c r="R79" s="124">
        <f t="shared" si="36"/>
        <v>18168</v>
      </c>
      <c r="S79" s="125">
        <f t="shared" si="36"/>
        <v>344822</v>
      </c>
      <c r="T79" s="124">
        <f t="shared" si="36"/>
        <v>260103</v>
      </c>
      <c r="U79" s="125">
        <f t="shared" si="36"/>
        <v>800828</v>
      </c>
    </row>
    <row r="80" spans="2:26" ht="13.5" thickTop="1">
      <c r="B80" s="310">
        <v>5105</v>
      </c>
      <c r="C80" s="25" t="s">
        <v>70</v>
      </c>
      <c r="D80" s="283"/>
      <c r="E80" s="283"/>
      <c r="F80" s="283"/>
      <c r="G80" s="54"/>
      <c r="H80" t="s">
        <v>122</v>
      </c>
      <c r="I80" s="147">
        <f>+D87</f>
        <v>262214</v>
      </c>
      <c r="J80" s="147">
        <f>+E87</f>
        <v>483883</v>
      </c>
      <c r="K80" s="147">
        <f>+F87</f>
        <v>551924</v>
      </c>
      <c r="L80" s="147">
        <f>+G87</f>
        <v>665612</v>
      </c>
      <c r="N80" s="137" t="str">
        <f>+IF(P80&gt;0,"Usos","Fuentes")</f>
        <v>Fuentes</v>
      </c>
      <c r="O80" s="138"/>
      <c r="P80" s="139">
        <f>IF(P79-Q79&lt;0,0,P79-Q79)</f>
        <v>0</v>
      </c>
      <c r="Q80" s="140">
        <f>IF(Q79-P79&lt;0,0,Q79-P79)</f>
        <v>175265</v>
      </c>
      <c r="R80" s="126">
        <f>IF(R79-S79&lt;0,0,R79-S79)</f>
        <v>0</v>
      </c>
      <c r="S80" s="127">
        <f>IF(S79-R79&lt;0,0,S79-R79)</f>
        <v>326654</v>
      </c>
      <c r="T80" s="126">
        <f>IF(T79-U79&lt;0,0,T79-U79)</f>
        <v>0</v>
      </c>
      <c r="U80" s="127">
        <f>IF(U79-T79&lt;0,0,U79-T79)</f>
        <v>540725</v>
      </c>
    </row>
    <row r="81" spans="2:23">
      <c r="B81" s="310">
        <v>5160</v>
      </c>
      <c r="C81" s="25" t="s">
        <v>71</v>
      </c>
      <c r="D81" s="283">
        <v>29024</v>
      </c>
      <c r="E81" s="283">
        <v>26736</v>
      </c>
      <c r="F81" s="283">
        <v>51473</v>
      </c>
      <c r="G81" s="54">
        <v>48107</v>
      </c>
      <c r="H81" t="s">
        <v>123</v>
      </c>
      <c r="I81" s="96">
        <f t="shared" ref="I81:L82" si="37">+D81+D85</f>
        <v>29024</v>
      </c>
      <c r="J81" s="96">
        <f t="shared" si="37"/>
        <v>26736</v>
      </c>
      <c r="K81" s="96">
        <f t="shared" si="37"/>
        <v>51473</v>
      </c>
      <c r="L81" s="96">
        <f t="shared" si="37"/>
        <v>48107</v>
      </c>
    </row>
    <row r="82" spans="2:23">
      <c r="B82" s="310">
        <v>5165</v>
      </c>
      <c r="C82" s="25" t="s">
        <v>72</v>
      </c>
      <c r="D82" s="54"/>
      <c r="E82" s="54"/>
      <c r="F82" s="54">
        <v>28490</v>
      </c>
      <c r="G82" s="54">
        <v>31080</v>
      </c>
      <c r="H82" t="s">
        <v>124</v>
      </c>
      <c r="I82" s="96">
        <f t="shared" si="37"/>
        <v>0</v>
      </c>
      <c r="J82" s="96">
        <f t="shared" si="37"/>
        <v>0</v>
      </c>
      <c r="K82" s="96">
        <f t="shared" si="37"/>
        <v>28490</v>
      </c>
      <c r="L82" s="96">
        <f t="shared" si="37"/>
        <v>31080</v>
      </c>
      <c r="N82" s="118" t="s">
        <v>109</v>
      </c>
      <c r="O82" s="119"/>
      <c r="P82" s="126">
        <f>+P77+P79</f>
        <v>1134032</v>
      </c>
      <c r="Q82" s="127">
        <f>+SUM(Q36:Q40)-Q38+SUM(Q42:Q48)+SUM(Q53:Q61)+SUM(Q63:Q71)+SUM(Q75:Q81)</f>
        <v>3147876</v>
      </c>
      <c r="R82" s="126">
        <f>+SUM(R36:R40)-R38+SUM(R42:R48)+SUM(R53:R61)+SUM(R63:R71)+SUM(R75:R81)</f>
        <v>5302038</v>
      </c>
      <c r="S82" s="127">
        <f>+SUM(S36:S40)-S38+SUM(S42:S48)+SUM(S53:S61)+SUM(S63:S71)+SUM(S75:S81)</f>
        <v>6297794</v>
      </c>
      <c r="T82" s="126">
        <f>+SUM(T36:T40)-T38+SUM(T42:T48)+SUM(T53:T61)+SUM(T63:T71)+SUM(T75:T81)</f>
        <v>6900156</v>
      </c>
      <c r="U82" s="127">
        <f>+SUM(U36:U40)-U38+SUM(U42:U48)+SUM(U53:U61)+SUM(U63:U71)+SUM(U75:U81)</f>
        <v>7910660</v>
      </c>
    </row>
    <row r="83" spans="2:23" ht="15">
      <c r="B83" s="310">
        <v>52</v>
      </c>
      <c r="C83" s="27" t="s">
        <v>41</v>
      </c>
      <c r="D83" s="56">
        <v>23934</v>
      </c>
      <c r="E83" s="56">
        <v>24588</v>
      </c>
      <c r="F83" s="56">
        <v>90667</v>
      </c>
      <c r="G83" s="56">
        <v>22701</v>
      </c>
      <c r="H83" s="146" t="s">
        <v>18</v>
      </c>
      <c r="I83" s="96">
        <f>+I80+I81+I82</f>
        <v>291238</v>
      </c>
      <c r="J83" s="96">
        <f>+J80+J81+J82</f>
        <v>510619</v>
      </c>
      <c r="K83" s="96">
        <f>+K80+K81+K82</f>
        <v>631887</v>
      </c>
      <c r="L83" s="96">
        <f>+L80+L81+L82</f>
        <v>744799</v>
      </c>
      <c r="P83" s="83"/>
    </row>
    <row r="84" spans="2:23">
      <c r="B84" s="310">
        <v>5205</v>
      </c>
      <c r="C84" s="25" t="s">
        <v>70</v>
      </c>
      <c r="D84" s="54"/>
      <c r="E84" s="54"/>
      <c r="F84" s="54"/>
      <c r="G84" s="54"/>
      <c r="H84" t="s">
        <v>125</v>
      </c>
      <c r="I84" s="96">
        <f>+D92</f>
        <v>89500</v>
      </c>
      <c r="J84" s="96">
        <f>+E92</f>
        <v>25336</v>
      </c>
      <c r="K84" s="96">
        <f>+F92</f>
        <v>35200</v>
      </c>
      <c r="L84" s="96">
        <f>+G92</f>
        <v>0</v>
      </c>
    </row>
    <row r="85" spans="2:23" ht="15">
      <c r="B85" s="310">
        <v>5260</v>
      </c>
      <c r="C85" s="25" t="s">
        <v>71</v>
      </c>
      <c r="D85" s="54"/>
      <c r="E85" s="54"/>
      <c r="F85" s="54"/>
      <c r="G85" s="54"/>
      <c r="H85" s="146" t="s">
        <v>126</v>
      </c>
      <c r="I85" s="96">
        <f>+I83-I84</f>
        <v>201738</v>
      </c>
      <c r="J85" s="96">
        <f>+J83-J84</f>
        <v>485283</v>
      </c>
      <c r="K85" s="96">
        <f>+K83-K84</f>
        <v>596687</v>
      </c>
      <c r="L85" s="96">
        <f>+L83-L84</f>
        <v>744799</v>
      </c>
    </row>
    <row r="86" spans="2:23">
      <c r="B86" s="310">
        <v>5265</v>
      </c>
      <c r="C86" s="25" t="s">
        <v>72</v>
      </c>
      <c r="D86" s="54"/>
      <c r="E86" s="54"/>
      <c r="F86" s="54"/>
      <c r="G86" s="54"/>
      <c r="H86" t="s">
        <v>127</v>
      </c>
      <c r="I86" s="14"/>
      <c r="J86" s="312">
        <f t="shared" ref="J86:L87" si="38">+X24-W24</f>
        <v>659713</v>
      </c>
      <c r="K86" s="312">
        <f t="shared" si="38"/>
        <v>799792</v>
      </c>
      <c r="L86" s="312">
        <f t="shared" si="38"/>
        <v>1039739</v>
      </c>
    </row>
    <row r="87" spans="2:23" ht="13.5" thickBot="1">
      <c r="B87" s="310"/>
      <c r="C87" s="45" t="s">
        <v>42</v>
      </c>
      <c r="D87" s="46">
        <f>+D78-D79-D83</f>
        <v>262214</v>
      </c>
      <c r="E87" s="46">
        <f>+E78-E79-E83</f>
        <v>483883</v>
      </c>
      <c r="F87" s="46">
        <f>+F78-F79-F83</f>
        <v>551924</v>
      </c>
      <c r="G87" s="46">
        <f>+G78-G79-G83</f>
        <v>665612</v>
      </c>
      <c r="H87" t="s">
        <v>128</v>
      </c>
      <c r="I87" s="14"/>
      <c r="J87" s="96">
        <f t="shared" si="38"/>
        <v>55982</v>
      </c>
      <c r="K87" s="96">
        <f t="shared" si="38"/>
        <v>18168</v>
      </c>
      <c r="L87" s="96">
        <f t="shared" si="38"/>
        <v>260103</v>
      </c>
    </row>
    <row r="88" spans="2:23" ht="18.75" thickTop="1">
      <c r="B88" s="310">
        <v>42</v>
      </c>
      <c r="C88" s="26" t="s">
        <v>43</v>
      </c>
      <c r="D88" s="55">
        <v>6962</v>
      </c>
      <c r="E88" s="55">
        <v>13728</v>
      </c>
      <c r="F88" s="55">
        <v>62575</v>
      </c>
      <c r="G88" s="55">
        <v>63954</v>
      </c>
      <c r="H88" s="146" t="s">
        <v>129</v>
      </c>
      <c r="I88" s="31"/>
      <c r="J88" s="96">
        <f>+J85-J86-J87</f>
        <v>-230412</v>
      </c>
      <c r="K88" s="96">
        <f>+K85-K86-K87</f>
        <v>-221273</v>
      </c>
      <c r="L88" s="96">
        <f>+L85-L86-L87</f>
        <v>-555043</v>
      </c>
    </row>
    <row r="89" spans="2:23">
      <c r="B89" s="310"/>
      <c r="C89" s="25" t="s">
        <v>73</v>
      </c>
      <c r="D89" s="54">
        <f>D102*D103</f>
        <v>0</v>
      </c>
      <c r="E89" s="54">
        <f t="shared" ref="E89:G89" si="39">E102*E103</f>
        <v>76939.881640000051</v>
      </c>
      <c r="F89" s="54">
        <f t="shared" si="39"/>
        <v>153575.48922000008</v>
      </c>
      <c r="G89" s="54">
        <f t="shared" si="39"/>
        <v>231376.81378000014</v>
      </c>
      <c r="H89" t="s">
        <v>130</v>
      </c>
      <c r="J89" s="96">
        <f>-E42-E52+D52+D42</f>
        <v>-484448</v>
      </c>
      <c r="K89" s="96">
        <f>-F42-F52+E52+E42</f>
        <v>-473138</v>
      </c>
      <c r="L89" s="96">
        <f>-G42-G52+F52+F42</f>
        <v>-499014</v>
      </c>
    </row>
    <row r="90" spans="2:23">
      <c r="B90" s="310">
        <v>53</v>
      </c>
      <c r="C90" s="27" t="s">
        <v>44</v>
      </c>
      <c r="D90" s="56">
        <v>59297</v>
      </c>
      <c r="E90" s="56">
        <v>241028</v>
      </c>
      <c r="F90" s="56">
        <v>257337</v>
      </c>
      <c r="G90" s="56">
        <v>238359</v>
      </c>
      <c r="H90" t="s">
        <v>131</v>
      </c>
      <c r="J90" s="93">
        <f>+E89</f>
        <v>76939.881640000051</v>
      </c>
      <c r="K90" s="93">
        <f>+F89</f>
        <v>153575.48922000008</v>
      </c>
      <c r="L90" s="93">
        <f>+G89</f>
        <v>231376.81378000014</v>
      </c>
    </row>
    <row r="91" spans="2:23" ht="13.5" thickBot="1">
      <c r="B91" s="310"/>
      <c r="C91" s="45" t="s">
        <v>45</v>
      </c>
      <c r="D91" s="46">
        <f>+D87+D88-D90</f>
        <v>209879</v>
      </c>
      <c r="E91" s="46">
        <f>+E87+E88-E90</f>
        <v>256583</v>
      </c>
      <c r="F91" s="46">
        <f>+F87+F88-F90</f>
        <v>357162</v>
      </c>
      <c r="G91" s="46">
        <f>+G87+G88-G90</f>
        <v>491207</v>
      </c>
      <c r="H91" s="164" t="s">
        <v>153</v>
      </c>
      <c r="J91" s="311">
        <f>+J88-J89-J90</f>
        <v>177096.11835999996</v>
      </c>
      <c r="K91" s="311">
        <f>+K88-K89-K90</f>
        <v>98289.510779999924</v>
      </c>
      <c r="L91" s="311">
        <f>+L88-L89-L90</f>
        <v>-287405.81378000014</v>
      </c>
    </row>
    <row r="92" spans="2:23" ht="13.5" thickTop="1">
      <c r="B92" s="310">
        <v>54</v>
      </c>
      <c r="C92" s="25" t="s">
        <v>46</v>
      </c>
      <c r="D92" s="54">
        <v>89500</v>
      </c>
      <c r="E92" s="54">
        <v>25336</v>
      </c>
      <c r="F92" s="54">
        <v>35200</v>
      </c>
      <c r="G92" s="54">
        <v>0</v>
      </c>
      <c r="W92" s="270"/>
    </row>
    <row r="93" spans="2:23" ht="13.5" thickBot="1">
      <c r="B93" s="309">
        <v>59</v>
      </c>
      <c r="C93" s="45" t="s">
        <v>47</v>
      </c>
      <c r="D93" s="46">
        <f>+D91-D92</f>
        <v>120379</v>
      </c>
      <c r="E93" s="46">
        <f>+E91-E92</f>
        <v>231247</v>
      </c>
      <c r="F93" s="46">
        <f>+F91-F92</f>
        <v>321962</v>
      </c>
      <c r="G93" s="46">
        <f>+G91-G92</f>
        <v>491207</v>
      </c>
      <c r="H93" s="279"/>
      <c r="I93" s="280"/>
      <c r="J93" s="280"/>
      <c r="K93" s="280"/>
      <c r="L93" s="280"/>
    </row>
    <row r="94" spans="2:23" ht="13.5" thickTop="1">
      <c r="B94" s="308"/>
      <c r="C94" s="383" t="s">
        <v>25</v>
      </c>
      <c r="D94" s="384"/>
      <c r="E94" s="384"/>
      <c r="F94" s="384"/>
      <c r="G94" s="384"/>
    </row>
    <row r="95" spans="2:23">
      <c r="B95" s="308"/>
      <c r="C95" s="385"/>
      <c r="D95" s="386"/>
      <c r="E95" s="386"/>
      <c r="F95" s="386"/>
      <c r="G95" s="386"/>
      <c r="J95" s="304"/>
      <c r="K95" s="304"/>
      <c r="L95" s="304"/>
    </row>
    <row r="96" spans="2:23">
      <c r="D96" s="304"/>
      <c r="E96" s="304"/>
      <c r="F96" s="304"/>
      <c r="G96" s="304"/>
    </row>
    <row r="97" spans="3:26" s="5" customFormat="1">
      <c r="C97" s="47" t="s">
        <v>74</v>
      </c>
      <c r="D97" s="49"/>
      <c r="E97" s="50"/>
      <c r="F97" s="50"/>
      <c r="G97" s="51"/>
      <c r="H97" s="372" t="s">
        <v>168</v>
      </c>
      <c r="I97" s="373">
        <f>D30/D51</f>
        <v>1.0993792108232718</v>
      </c>
      <c r="J97" s="373">
        <f t="shared" ref="J97:L97" si="40">E30/E51</f>
        <v>1.1986389959400696</v>
      </c>
      <c r="K97" s="373">
        <f t="shared" si="40"/>
        <v>1.2169748789589205</v>
      </c>
      <c r="L97" s="373">
        <f t="shared" si="40"/>
        <v>1.3849240513846552</v>
      </c>
    </row>
    <row r="98" spans="3:26" s="5" customFormat="1">
      <c r="C98" s="48" t="s">
        <v>100</v>
      </c>
      <c r="D98" s="377">
        <v>0</v>
      </c>
      <c r="E98" s="374">
        <f>+E77-D28+E28</f>
        <v>5776699</v>
      </c>
      <c r="F98" s="374">
        <f>+F77-E28+F28</f>
        <v>8777586</v>
      </c>
      <c r="G98" s="374">
        <f>+G77-F28+G28</f>
        <v>8844840</v>
      </c>
      <c r="H98" s="372" t="s">
        <v>167</v>
      </c>
      <c r="I98" s="373">
        <f>(D30-D28)/D51</f>
        <v>0.76810710731000431</v>
      </c>
      <c r="J98" s="373">
        <f t="shared" ref="J98:L98" si="41">(E30-E28)/E51</f>
        <v>0.70849947447602168</v>
      </c>
      <c r="K98" s="373">
        <f t="shared" si="41"/>
        <v>0.51801682992782261</v>
      </c>
      <c r="L98" s="373">
        <f t="shared" si="41"/>
        <v>0.94941864240960128</v>
      </c>
      <c r="W98" s="83"/>
      <c r="X98" s="83"/>
      <c r="Y98" s="83"/>
      <c r="Z98" s="83"/>
    </row>
    <row r="99" spans="3:26" s="5" customFormat="1">
      <c r="C99" s="48" t="s">
        <v>113</v>
      </c>
      <c r="D99" s="376">
        <v>2.5000000000000001E-3</v>
      </c>
      <c r="E99" s="376">
        <f t="shared" ref="E99:G102" si="42">+D99</f>
        <v>2.5000000000000001E-3</v>
      </c>
      <c r="F99" s="376">
        <f t="shared" si="42"/>
        <v>2.5000000000000001E-3</v>
      </c>
      <c r="G99" s="376">
        <f t="shared" si="42"/>
        <v>2.5000000000000001E-3</v>
      </c>
    </row>
    <row r="100" spans="3:26" s="5" customFormat="1">
      <c r="C100" s="48" t="s">
        <v>152</v>
      </c>
      <c r="D100" s="376">
        <v>5.4600000000000003E-2</v>
      </c>
      <c r="E100" s="376">
        <f t="shared" si="42"/>
        <v>5.4600000000000003E-2</v>
      </c>
      <c r="F100" s="376">
        <f t="shared" si="42"/>
        <v>5.4600000000000003E-2</v>
      </c>
      <c r="G100" s="376">
        <f t="shared" si="42"/>
        <v>5.4600000000000003E-2</v>
      </c>
      <c r="W100" s="83"/>
      <c r="X100" s="83"/>
      <c r="Y100" s="83"/>
      <c r="Z100" s="83"/>
    </row>
    <row r="101" spans="3:26" s="5" customFormat="1">
      <c r="C101" s="48" t="s">
        <v>166</v>
      </c>
      <c r="D101" s="376">
        <v>0.1</v>
      </c>
      <c r="E101" s="376">
        <f t="shared" si="42"/>
        <v>0.1</v>
      </c>
      <c r="F101" s="376">
        <f t="shared" si="42"/>
        <v>0.1</v>
      </c>
      <c r="G101" s="376">
        <f t="shared" si="42"/>
        <v>0.1</v>
      </c>
      <c r="W101" s="83"/>
      <c r="X101" s="83"/>
      <c r="Y101" s="83"/>
      <c r="Z101" s="83"/>
    </row>
    <row r="102" spans="3:26" s="5" customFormat="1">
      <c r="C102" s="48" t="s">
        <v>165</v>
      </c>
      <c r="D102" s="376">
        <f>+(1+D100)*(1+D101)-1</f>
        <v>0.16006000000000009</v>
      </c>
      <c r="E102" s="376">
        <f t="shared" si="42"/>
        <v>0.16006000000000009</v>
      </c>
      <c r="F102" s="376">
        <f t="shared" si="42"/>
        <v>0.16006000000000009</v>
      </c>
      <c r="G102" s="376">
        <f t="shared" si="42"/>
        <v>0.16006000000000009</v>
      </c>
      <c r="W102" s="83"/>
      <c r="X102" s="83"/>
      <c r="Y102" s="83"/>
      <c r="Z102" s="83"/>
    </row>
    <row r="103" spans="3:26" s="5" customFormat="1">
      <c r="C103" s="48" t="s">
        <v>164</v>
      </c>
      <c r="D103" s="377">
        <v>0</v>
      </c>
      <c r="E103" s="375">
        <f>+(D42+E42+D52+E52+D60+E60)/2</f>
        <v>480694</v>
      </c>
      <c r="F103" s="375">
        <f>+(E42+F42+E52+F52+E60+F60)/2</f>
        <v>959487</v>
      </c>
      <c r="G103" s="375">
        <f>+(F42+G42+F52+G52+F60+G60)/2</f>
        <v>1445563</v>
      </c>
      <c r="W103" s="83"/>
      <c r="X103" s="83"/>
      <c r="Y103" s="83"/>
      <c r="Z103" s="83"/>
    </row>
    <row r="104" spans="3:26" s="5" customFormat="1">
      <c r="W104" s="83"/>
      <c r="X104" s="83"/>
      <c r="Y104" s="83"/>
      <c r="Z104" s="83"/>
    </row>
    <row r="105" spans="3:26" s="5" customFormat="1">
      <c r="D105" s="148"/>
      <c r="E105" s="148"/>
      <c r="F105" s="148"/>
      <c r="G105" s="148"/>
    </row>
    <row r="106" spans="3:26" s="5" customFormat="1">
      <c r="E106" s="149"/>
      <c r="F106" s="149"/>
      <c r="G106" s="149"/>
    </row>
    <row r="107" spans="3:26" s="5" customFormat="1">
      <c r="E107" s="93"/>
      <c r="F107" s="93"/>
      <c r="G107" s="93"/>
    </row>
    <row r="108" spans="3:26" s="5" customFormat="1">
      <c r="E108" s="162"/>
      <c r="F108" s="162"/>
      <c r="G108" s="162"/>
    </row>
  </sheetData>
  <mergeCells count="20">
    <mergeCell ref="P19:U19"/>
    <mergeCell ref="W19:Z19"/>
    <mergeCell ref="P20:Q20"/>
    <mergeCell ref="R20:S20"/>
    <mergeCell ref="T20:U20"/>
    <mergeCell ref="D5:K5"/>
    <mergeCell ref="B13:N14"/>
    <mergeCell ref="B15:N16"/>
    <mergeCell ref="C19:G19"/>
    <mergeCell ref="H19:L19"/>
    <mergeCell ref="W49:W50"/>
    <mergeCell ref="J57:L57"/>
    <mergeCell ref="C94:G95"/>
    <mergeCell ref="H21:L21"/>
    <mergeCell ref="J23:L23"/>
    <mergeCell ref="J33:L33"/>
    <mergeCell ref="H34:H35"/>
    <mergeCell ref="J45:L45"/>
    <mergeCell ref="V49:V50"/>
    <mergeCell ref="V67:V68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C108"/>
  <sheetViews>
    <sheetView topLeftCell="A94" zoomScaleNormal="100" workbookViewId="0">
      <selection activeCell="C94" sqref="C94:J95"/>
    </sheetView>
  </sheetViews>
  <sheetFormatPr baseColWidth="10" defaultColWidth="11.42578125" defaultRowHeight="12.75" outlineLevelCol="1"/>
  <cols>
    <col min="1" max="1" width="2.42578125" style="5" customWidth="1"/>
    <col min="2" max="2" width="4.42578125" style="6" bestFit="1" customWidth="1"/>
    <col min="3" max="3" width="34.7109375" style="5" customWidth="1"/>
    <col min="4" max="4" width="14.85546875" style="169" hidden="1" customWidth="1" outlineLevel="1"/>
    <col min="5" max="5" width="14.85546875" style="5" hidden="1" customWidth="1" outlineLevel="1"/>
    <col min="6" max="6" width="16.42578125" style="169" hidden="1" customWidth="1" outlineLevel="1"/>
    <col min="7" max="7" width="16.42578125" style="5" hidden="1" customWidth="1" outlineLevel="1"/>
    <col min="8" max="8" width="16.140625" style="169" hidden="1" customWidth="1" outlineLevel="1"/>
    <col min="9" max="9" width="16.140625" style="5" hidden="1" customWidth="1" outlineLevel="1"/>
    <col min="10" max="10" width="16.140625" style="169" hidden="1" customWidth="1" outlineLevel="1"/>
    <col min="11" max="11" width="16.140625" style="5" hidden="1" customWidth="1" outlineLevel="1"/>
    <col min="12" max="12" width="4.140625" style="5" customWidth="1" collapsed="1"/>
    <col min="13" max="19" width="14.140625" style="225" customWidth="1"/>
    <col min="20" max="16384" width="11.42578125" style="5"/>
  </cols>
  <sheetData>
    <row r="1" spans="1:133" s="213" customForma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M1" s="223"/>
      <c r="N1" s="223"/>
      <c r="O1" s="223"/>
      <c r="P1" s="223"/>
      <c r="Q1" s="223"/>
      <c r="R1" s="223"/>
      <c r="S1" s="223"/>
    </row>
    <row r="2" spans="1:133" s="213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M2" s="223"/>
      <c r="N2" s="223"/>
      <c r="O2" s="223"/>
      <c r="P2" s="223"/>
      <c r="Q2" s="223"/>
      <c r="R2" s="223"/>
      <c r="S2" s="223"/>
    </row>
    <row r="3" spans="1:133" s="213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M3" s="223"/>
      <c r="N3" s="223"/>
      <c r="O3" s="223"/>
      <c r="P3" s="223"/>
      <c r="Q3" s="223"/>
      <c r="R3" s="223"/>
      <c r="S3" s="223"/>
    </row>
    <row r="4" spans="1:133" s="213" customFormat="1" ht="18">
      <c r="A4" s="5"/>
      <c r="B4" s="5"/>
      <c r="C4" s="214"/>
      <c r="D4" s="214" t="s">
        <v>0</v>
      </c>
      <c r="E4" s="214" t="s">
        <v>0</v>
      </c>
      <c r="F4" s="214"/>
      <c r="G4" s="214"/>
      <c r="H4" s="214"/>
      <c r="I4" s="214"/>
      <c r="J4" s="214"/>
      <c r="K4" s="214"/>
      <c r="M4" s="223"/>
      <c r="N4" s="223"/>
      <c r="O4" s="223"/>
      <c r="P4" s="223"/>
      <c r="Q4" s="223"/>
      <c r="R4" s="223"/>
      <c r="S4" s="223"/>
    </row>
    <row r="5" spans="1:133" s="213" customFormat="1" ht="18" customHeight="1">
      <c r="A5" s="5"/>
      <c r="B5" s="5"/>
      <c r="C5" s="215"/>
      <c r="D5" s="415" t="s">
        <v>50</v>
      </c>
      <c r="E5" s="415"/>
      <c r="F5" s="415"/>
      <c r="G5" s="415"/>
      <c r="H5" s="415"/>
      <c r="I5" s="415"/>
      <c r="J5" s="415"/>
      <c r="K5" s="216"/>
      <c r="M5" s="223"/>
      <c r="N5" s="223"/>
      <c r="O5" s="223"/>
      <c r="P5" s="223"/>
      <c r="Q5" s="223"/>
      <c r="R5" s="223"/>
      <c r="S5" s="223"/>
    </row>
    <row r="6" spans="1:133" s="213" customFormat="1" ht="18" customHeight="1">
      <c r="A6" s="5"/>
      <c r="B6" s="217"/>
      <c r="C6" s="215"/>
      <c r="D6" s="218" t="s">
        <v>48</v>
      </c>
      <c r="E6" s="218" t="s">
        <v>48</v>
      </c>
      <c r="F6" s="218"/>
      <c r="G6" s="218"/>
      <c r="H6" s="218"/>
      <c r="I6" s="218"/>
      <c r="J6" s="218"/>
      <c r="K6" s="218"/>
      <c r="M6" s="223"/>
      <c r="N6" s="223"/>
      <c r="O6" s="223"/>
      <c r="P6" s="223"/>
      <c r="Q6" s="223"/>
      <c r="R6" s="223"/>
      <c r="S6" s="223"/>
    </row>
    <row r="7" spans="1:133" s="213" customFormat="1" ht="15.75">
      <c r="A7" s="5"/>
      <c r="B7" s="217"/>
      <c r="C7" s="217" t="s">
        <v>1</v>
      </c>
      <c r="D7" s="5"/>
      <c r="E7" s="5"/>
      <c r="F7" s="5"/>
      <c r="G7" s="5"/>
      <c r="H7" s="219"/>
      <c r="I7" s="219"/>
      <c r="J7" s="5"/>
      <c r="K7" s="5"/>
      <c r="M7" s="223"/>
      <c r="N7" s="223"/>
      <c r="O7" s="223"/>
      <c r="P7" s="223"/>
      <c r="Q7" s="223"/>
      <c r="R7" s="223"/>
      <c r="S7" s="223"/>
    </row>
    <row r="8" spans="1:133" s="213" customFormat="1">
      <c r="A8" s="5"/>
      <c r="C8" s="217"/>
      <c r="D8" s="5"/>
      <c r="E8" s="5"/>
      <c r="F8" s="5"/>
      <c r="G8" s="5"/>
      <c r="H8" s="5"/>
      <c r="I8" s="5"/>
      <c r="J8" s="5"/>
      <c r="K8" s="5"/>
      <c r="M8" s="223"/>
      <c r="N8" s="223"/>
      <c r="O8" s="223"/>
      <c r="P8" s="223"/>
      <c r="Q8" s="223"/>
      <c r="R8" s="223"/>
      <c r="S8" s="223"/>
    </row>
    <row r="9" spans="1:133" s="213" customFormat="1">
      <c r="A9" s="5"/>
      <c r="B9" s="217"/>
      <c r="C9" s="217"/>
      <c r="D9" s="220"/>
      <c r="E9" s="220"/>
      <c r="F9" s="220"/>
      <c r="G9" s="220"/>
      <c r="H9" s="220"/>
      <c r="I9" s="220"/>
      <c r="J9" s="220"/>
      <c r="K9" s="220"/>
      <c r="M9" s="223"/>
      <c r="N9" s="223"/>
      <c r="O9" s="223"/>
      <c r="P9" s="223"/>
      <c r="Q9" s="223"/>
      <c r="R9" s="223"/>
      <c r="S9" s="223"/>
    </row>
    <row r="10" spans="1:133" s="213" customFormat="1">
      <c r="A10" s="5"/>
      <c r="B10" s="5"/>
      <c r="C10" s="5"/>
      <c r="D10" s="86"/>
      <c r="E10" s="86"/>
      <c r="F10" s="86"/>
      <c r="G10" s="86"/>
      <c r="H10" s="86"/>
      <c r="I10" s="86"/>
      <c r="J10" s="86"/>
      <c r="K10" s="86"/>
      <c r="M10" s="223"/>
      <c r="N10" s="223"/>
      <c r="O10" s="223"/>
      <c r="P10" s="223"/>
      <c r="Q10" s="223"/>
      <c r="R10" s="223"/>
      <c r="S10" s="223"/>
    </row>
    <row r="11" spans="1:133" s="213" customForma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M11" s="223"/>
      <c r="N11" s="223"/>
      <c r="O11" s="223"/>
      <c r="P11" s="223"/>
      <c r="Q11" s="223"/>
      <c r="R11" s="223"/>
      <c r="S11" s="223"/>
    </row>
    <row r="12" spans="1:133" s="213" customForma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M12" s="223"/>
      <c r="N12" s="223"/>
      <c r="O12" s="223"/>
      <c r="P12" s="223"/>
      <c r="Q12" s="223"/>
      <c r="R12" s="223"/>
      <c r="S12" s="223"/>
    </row>
    <row r="13" spans="1:133" s="30" customFormat="1" ht="12.75" customHeight="1">
      <c r="A13" s="28"/>
      <c r="B13" s="416" t="s">
        <v>49</v>
      </c>
      <c r="C13" s="416"/>
      <c r="D13" s="416"/>
      <c r="E13" s="416"/>
      <c r="F13" s="416"/>
      <c r="G13" s="416"/>
      <c r="H13" s="416"/>
      <c r="I13" s="416"/>
      <c r="J13" s="416"/>
      <c r="K13" s="166"/>
      <c r="L13" s="29"/>
      <c r="M13" s="224"/>
      <c r="N13" s="224"/>
      <c r="O13" s="224"/>
      <c r="P13" s="224"/>
      <c r="Q13" s="224"/>
      <c r="R13" s="224"/>
      <c r="S13" s="224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</row>
    <row r="14" spans="1:133" s="30" customFormat="1" ht="12.75" customHeight="1">
      <c r="A14" s="28"/>
      <c r="B14" s="416"/>
      <c r="C14" s="416"/>
      <c r="D14" s="416"/>
      <c r="E14" s="416"/>
      <c r="F14" s="416"/>
      <c r="G14" s="416"/>
      <c r="H14" s="416"/>
      <c r="I14" s="416"/>
      <c r="J14" s="416"/>
      <c r="K14" s="166"/>
      <c r="L14" s="29"/>
      <c r="M14" s="224"/>
      <c r="N14" s="224"/>
      <c r="O14" s="224"/>
      <c r="P14" s="224"/>
      <c r="Q14" s="224"/>
      <c r="R14" s="224"/>
      <c r="S14" s="224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</row>
    <row r="15" spans="1:133" s="30" customFormat="1" ht="6.75" customHeight="1">
      <c r="A15" s="28"/>
      <c r="B15" s="417" t="s">
        <v>51</v>
      </c>
      <c r="C15" s="417"/>
      <c r="D15" s="417"/>
      <c r="E15" s="417"/>
      <c r="F15" s="417"/>
      <c r="G15" s="417"/>
      <c r="H15" s="417"/>
      <c r="I15" s="417"/>
      <c r="J15" s="417"/>
      <c r="K15" s="167"/>
      <c r="L15" s="29"/>
      <c r="M15" s="224"/>
      <c r="N15" s="224"/>
      <c r="O15" s="224"/>
      <c r="P15" s="224"/>
      <c r="Q15" s="224"/>
      <c r="R15" s="224"/>
      <c r="S15" s="22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</row>
    <row r="16" spans="1:133" s="30" customFormat="1" ht="12.75" customHeight="1">
      <c r="A16" s="29"/>
      <c r="B16" s="417"/>
      <c r="C16" s="417"/>
      <c r="D16" s="417"/>
      <c r="E16" s="417"/>
      <c r="F16" s="417"/>
      <c r="G16" s="417"/>
      <c r="H16" s="417"/>
      <c r="I16" s="417"/>
      <c r="J16" s="417"/>
      <c r="K16" s="167"/>
      <c r="L16" s="29"/>
      <c r="M16" s="224"/>
      <c r="N16" s="224"/>
      <c r="O16" s="224"/>
      <c r="P16" s="224"/>
      <c r="Q16" s="224"/>
      <c r="R16" s="224"/>
      <c r="S16" s="224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</row>
    <row r="17" spans="2:20">
      <c r="B17" s="5"/>
      <c r="D17" s="86"/>
      <c r="E17" s="86"/>
      <c r="F17" s="86"/>
      <c r="G17" s="86"/>
      <c r="H17" s="86"/>
      <c r="I17" s="86"/>
      <c r="J17" s="86"/>
      <c r="K17" s="86"/>
    </row>
    <row r="18" spans="2:20" ht="13.5" thickBot="1">
      <c r="D18" s="86"/>
      <c r="E18" s="86"/>
      <c r="F18" s="86">
        <f>+F24-D24</f>
        <v>-67509151</v>
      </c>
      <c r="G18" s="86">
        <f>+G24-F24</f>
        <v>-3397196</v>
      </c>
      <c r="H18" s="86">
        <f>+H24-F24</f>
        <v>78112812</v>
      </c>
      <c r="I18" s="86">
        <f>+I24-H24</f>
        <v>-110204008</v>
      </c>
      <c r="J18" s="86">
        <f>+J24-H24</f>
        <v>-22493260</v>
      </c>
      <c r="K18" s="86">
        <f>+K24-J24</f>
        <v>252</v>
      </c>
    </row>
    <row r="19" spans="2:20">
      <c r="B19" s="285"/>
      <c r="C19" s="418" t="s">
        <v>169</v>
      </c>
      <c r="D19" s="418"/>
      <c r="E19" s="418"/>
      <c r="F19" s="418"/>
      <c r="G19" s="418"/>
      <c r="H19" s="418"/>
      <c r="I19" s="418"/>
      <c r="J19" s="419"/>
      <c r="K19" s="292"/>
      <c r="L19" s="293"/>
      <c r="M19" s="294"/>
      <c r="N19" s="294"/>
      <c r="O19" s="294"/>
      <c r="P19" s="294"/>
      <c r="Q19" s="294"/>
      <c r="R19" s="294"/>
      <c r="S19" s="294"/>
      <c r="T19" s="295"/>
    </row>
    <row r="20" spans="2:20">
      <c r="B20" s="286"/>
      <c r="C20" s="99" t="s">
        <v>102</v>
      </c>
      <c r="D20" s="170">
        <v>2007</v>
      </c>
      <c r="E20" s="8">
        <v>2007</v>
      </c>
      <c r="F20" s="170">
        <v>2008</v>
      </c>
      <c r="G20" s="8">
        <v>2008</v>
      </c>
      <c r="H20" s="170">
        <v>2009</v>
      </c>
      <c r="I20" s="8">
        <v>2009</v>
      </c>
      <c r="J20" s="199">
        <v>2010</v>
      </c>
      <c r="K20" s="9">
        <v>2010</v>
      </c>
      <c r="L20" s="14"/>
      <c r="M20" s="407">
        <v>2007</v>
      </c>
      <c r="N20" s="408"/>
      <c r="O20" s="407">
        <v>2008</v>
      </c>
      <c r="P20" s="408"/>
      <c r="Q20" s="407">
        <v>2009</v>
      </c>
      <c r="R20" s="408"/>
      <c r="S20" s="409">
        <v>2010</v>
      </c>
      <c r="T20" s="410"/>
    </row>
    <row r="21" spans="2:20" s="6" customFormat="1" ht="13.5" thickBot="1">
      <c r="B21" s="288"/>
      <c r="C21" s="289" t="s">
        <v>3</v>
      </c>
      <c r="D21" s="296" t="s">
        <v>154</v>
      </c>
      <c r="E21" s="297" t="s">
        <v>155</v>
      </c>
      <c r="F21" s="296" t="s">
        <v>154</v>
      </c>
      <c r="G21" s="297" t="s">
        <v>155</v>
      </c>
      <c r="H21" s="296" t="s">
        <v>154</v>
      </c>
      <c r="I21" s="297" t="s">
        <v>155</v>
      </c>
      <c r="J21" s="296" t="s">
        <v>154</v>
      </c>
      <c r="K21" s="297" t="s">
        <v>155</v>
      </c>
      <c r="L21" s="298"/>
      <c r="M21" s="299" t="s">
        <v>170</v>
      </c>
      <c r="N21" s="299" t="s">
        <v>155</v>
      </c>
      <c r="O21" s="299" t="str">
        <f>M21</f>
        <v>TREFIACEROS</v>
      </c>
      <c r="P21" s="299" t="s">
        <v>155</v>
      </c>
      <c r="Q21" s="299" t="str">
        <f>O21</f>
        <v>TREFIACEROS</v>
      </c>
      <c r="R21" s="299" t="s">
        <v>155</v>
      </c>
      <c r="S21" s="299" t="str">
        <f>Q21</f>
        <v>TREFIACEROS</v>
      </c>
      <c r="T21" s="300" t="s">
        <v>155</v>
      </c>
    </row>
    <row r="22" spans="2:20">
      <c r="B22" s="13"/>
      <c r="C22" s="14"/>
      <c r="D22" s="171"/>
      <c r="E22" s="14"/>
      <c r="F22" s="171"/>
      <c r="G22" s="14"/>
      <c r="H22" s="171"/>
      <c r="I22" s="14"/>
      <c r="J22" s="171"/>
      <c r="K22" s="14"/>
    </row>
    <row r="23" spans="2:20" ht="13.5" customHeight="1" thickBot="1">
      <c r="B23" s="15">
        <v>10</v>
      </c>
      <c r="C23" s="205" t="s">
        <v>67</v>
      </c>
      <c r="D23" s="206">
        <f t="shared" ref="D23:K23" si="0">+D30+D38</f>
        <v>958778212</v>
      </c>
      <c r="E23" s="206">
        <f t="shared" si="0"/>
        <v>962313000</v>
      </c>
      <c r="F23" s="207">
        <f t="shared" si="0"/>
        <v>1744709886</v>
      </c>
      <c r="G23" s="207">
        <f t="shared" si="0"/>
        <v>1745541000</v>
      </c>
      <c r="H23" s="207">
        <f t="shared" si="0"/>
        <v>4025870717</v>
      </c>
      <c r="I23" s="207">
        <f t="shared" si="0"/>
        <v>3795323000</v>
      </c>
      <c r="J23" s="208">
        <f t="shared" si="0"/>
        <v>4548887943</v>
      </c>
      <c r="K23" s="208">
        <f t="shared" si="0"/>
        <v>4557497000</v>
      </c>
      <c r="M23" s="57">
        <f t="shared" ref="M23:Q23" si="1">+M30+M38</f>
        <v>958778.21199999994</v>
      </c>
      <c r="N23" s="57">
        <f t="shared" si="1"/>
        <v>962313</v>
      </c>
      <c r="O23" s="58">
        <f t="shared" si="1"/>
        <v>1744709.8859999999</v>
      </c>
      <c r="P23" s="58">
        <f t="shared" si="1"/>
        <v>1745541</v>
      </c>
      <c r="Q23" s="58">
        <f t="shared" si="1"/>
        <v>4025870.7170000002</v>
      </c>
      <c r="R23" s="58">
        <f>+R30+R38</f>
        <v>3493342</v>
      </c>
      <c r="S23" s="59">
        <f>+S30+S38</f>
        <v>4548887.943</v>
      </c>
      <c r="T23" s="59">
        <f>+T30+T38</f>
        <v>4557497</v>
      </c>
    </row>
    <row r="24" spans="2:20" ht="13.5" thickTop="1">
      <c r="B24" s="17">
        <v>11</v>
      </c>
      <c r="C24" s="18" t="s">
        <v>5</v>
      </c>
      <c r="D24" s="172">
        <v>99600347</v>
      </c>
      <c r="E24" s="60">
        <v>99601000</v>
      </c>
      <c r="F24" s="172">
        <v>32091196</v>
      </c>
      <c r="G24" s="60">
        <v>28694000</v>
      </c>
      <c r="H24" s="211">
        <v>110204008</v>
      </c>
      <c r="I24" s="211">
        <v>0</v>
      </c>
      <c r="J24" s="172">
        <v>87710748</v>
      </c>
      <c r="K24" s="60">
        <v>87711000</v>
      </c>
      <c r="M24" s="60">
        <v>99600.346999999994</v>
      </c>
      <c r="N24" s="60">
        <v>99601</v>
      </c>
      <c r="O24" s="60">
        <v>32091.196</v>
      </c>
      <c r="P24" s="60">
        <v>28694</v>
      </c>
      <c r="Q24" s="60">
        <v>110204.008</v>
      </c>
      <c r="R24" s="60">
        <v>0</v>
      </c>
      <c r="S24" s="60">
        <v>87710.748000000007</v>
      </c>
      <c r="T24" s="60">
        <v>87711</v>
      </c>
    </row>
    <row r="25" spans="2:20">
      <c r="B25" s="17">
        <v>12</v>
      </c>
      <c r="C25" s="20" t="s">
        <v>56</v>
      </c>
      <c r="D25" s="172"/>
      <c r="E25" s="60">
        <v>0</v>
      </c>
      <c r="F25" s="172"/>
      <c r="G25" s="60">
        <v>0</v>
      </c>
      <c r="H25" s="172"/>
      <c r="I25" s="60">
        <v>0</v>
      </c>
      <c r="J25" s="172"/>
      <c r="K25" s="60">
        <v>0</v>
      </c>
      <c r="M25" s="60"/>
      <c r="N25" s="60">
        <v>0</v>
      </c>
      <c r="O25" s="60"/>
      <c r="P25" s="60">
        <v>0</v>
      </c>
      <c r="Q25" s="60"/>
      <c r="R25" s="60">
        <v>0</v>
      </c>
      <c r="S25" s="60"/>
      <c r="T25" s="60">
        <v>0</v>
      </c>
    </row>
    <row r="26" spans="2:20" ht="13.5" thickBot="1">
      <c r="B26" s="17">
        <v>13</v>
      </c>
      <c r="C26" s="20" t="s">
        <v>57</v>
      </c>
      <c r="D26" s="228">
        <v>408190403</v>
      </c>
      <c r="E26" s="60">
        <v>408190000</v>
      </c>
      <c r="F26" s="172">
        <v>677605415</v>
      </c>
      <c r="G26" s="60">
        <v>675614000</v>
      </c>
      <c r="H26" s="172">
        <v>1348780106</v>
      </c>
      <c r="I26" s="60">
        <v>1348456000</v>
      </c>
      <c r="J26" s="172">
        <v>2550385607</v>
      </c>
      <c r="K26" s="60">
        <v>2550385000</v>
      </c>
      <c r="M26" s="60">
        <v>408190.40299999999</v>
      </c>
      <c r="N26" s="60">
        <v>408190</v>
      </c>
      <c r="O26" s="60">
        <v>677605.41500000004</v>
      </c>
      <c r="P26" s="60">
        <v>675614</v>
      </c>
      <c r="Q26" s="60">
        <v>1348780.1059999999</v>
      </c>
      <c r="R26" s="60">
        <v>1348456</v>
      </c>
      <c r="S26" s="60">
        <v>2550385.6069999998</v>
      </c>
      <c r="T26" s="60">
        <v>2550385</v>
      </c>
    </row>
    <row r="27" spans="2:20" ht="14.25" thickTop="1" thickBot="1">
      <c r="B27" s="17">
        <v>1305</v>
      </c>
      <c r="C27" s="227" t="s">
        <v>58</v>
      </c>
      <c r="D27" s="230">
        <f>+E27</f>
        <v>239733000</v>
      </c>
      <c r="E27" s="60">
        <v>239733000</v>
      </c>
      <c r="F27" s="229">
        <f>+G27</f>
        <v>389070000</v>
      </c>
      <c r="G27" s="60">
        <v>389070000</v>
      </c>
      <c r="H27" s="172">
        <v>895194447</v>
      </c>
      <c r="I27" s="60">
        <v>894615000</v>
      </c>
      <c r="J27" s="172">
        <v>1439579110</v>
      </c>
      <c r="K27" s="60">
        <v>1439579000</v>
      </c>
      <c r="M27" s="60"/>
      <c r="N27" s="60">
        <v>239733</v>
      </c>
      <c r="O27" s="60"/>
      <c r="P27" s="60">
        <v>389070</v>
      </c>
      <c r="Q27" s="60">
        <v>895194.44700000004</v>
      </c>
      <c r="R27" s="60">
        <v>894615</v>
      </c>
      <c r="S27" s="60">
        <v>1439579.11</v>
      </c>
      <c r="T27" s="60">
        <v>1439579</v>
      </c>
    </row>
    <row r="28" spans="2:20" ht="13.5" thickTop="1">
      <c r="B28" s="17">
        <v>14</v>
      </c>
      <c r="C28" s="20" t="s">
        <v>59</v>
      </c>
      <c r="D28" s="172">
        <v>219002431</v>
      </c>
      <c r="E28" s="60">
        <v>219002000</v>
      </c>
      <c r="F28" s="172">
        <v>588355669</v>
      </c>
      <c r="G28" s="60">
        <v>594576000</v>
      </c>
      <c r="H28" s="172">
        <v>1828512306</v>
      </c>
      <c r="I28" s="60">
        <v>1828512000</v>
      </c>
      <c r="J28" s="172">
        <v>1245376054</v>
      </c>
      <c r="K28" s="60">
        <v>1253986000</v>
      </c>
      <c r="M28" s="60">
        <v>219002.43100000001</v>
      </c>
      <c r="N28" s="60">
        <v>219002</v>
      </c>
      <c r="O28" s="60">
        <v>588355.66899999999</v>
      </c>
      <c r="P28" s="60">
        <v>594576</v>
      </c>
      <c r="Q28" s="60">
        <v>1828512.3060000001</v>
      </c>
      <c r="R28" s="60">
        <v>1828512</v>
      </c>
      <c r="S28" s="60">
        <v>1245376.054</v>
      </c>
      <c r="T28" s="60">
        <v>1253986</v>
      </c>
    </row>
    <row r="29" spans="2:20">
      <c r="B29" s="17">
        <v>17</v>
      </c>
      <c r="C29" s="21" t="s">
        <v>60</v>
      </c>
      <c r="D29" s="172"/>
      <c r="E29" s="60">
        <v>0</v>
      </c>
      <c r="F29" s="211"/>
      <c r="G29" s="211">
        <v>155155000</v>
      </c>
      <c r="H29" s="211"/>
      <c r="I29" s="211">
        <v>6704000</v>
      </c>
      <c r="J29" s="211"/>
      <c r="K29" s="211">
        <v>95642000</v>
      </c>
      <c r="M29" s="60"/>
      <c r="N29" s="60">
        <v>0</v>
      </c>
      <c r="O29" s="60"/>
      <c r="P29" s="60">
        <v>155155</v>
      </c>
      <c r="Q29" s="60"/>
      <c r="R29" s="60">
        <v>6704</v>
      </c>
      <c r="S29" s="60"/>
      <c r="T29" s="60">
        <v>95642</v>
      </c>
    </row>
    <row r="30" spans="2:20" ht="13.5" thickBot="1">
      <c r="B30" s="17"/>
      <c r="C30" s="35" t="s">
        <v>7</v>
      </c>
      <c r="D30" s="173">
        <f t="shared" ref="D30:K30" si="2">+D24+D25+D26+D28+D29</f>
        <v>726793181</v>
      </c>
      <c r="E30" s="62">
        <f t="shared" si="2"/>
        <v>726793000</v>
      </c>
      <c r="F30" s="189">
        <f t="shared" si="2"/>
        <v>1298052280</v>
      </c>
      <c r="G30" s="63">
        <f t="shared" si="2"/>
        <v>1454039000</v>
      </c>
      <c r="H30" s="189">
        <f t="shared" si="2"/>
        <v>3287496420</v>
      </c>
      <c r="I30" s="63">
        <f t="shared" si="2"/>
        <v>3183672000</v>
      </c>
      <c r="J30" s="200">
        <f t="shared" si="2"/>
        <v>3883472409</v>
      </c>
      <c r="K30" s="64">
        <f t="shared" si="2"/>
        <v>3987724000</v>
      </c>
      <c r="M30" s="62">
        <f t="shared" ref="M30:Q30" si="3">+M24+M25+M26+M28+M29</f>
        <v>726793.18099999998</v>
      </c>
      <c r="N30" s="62">
        <f t="shared" si="3"/>
        <v>726793</v>
      </c>
      <c r="O30" s="63">
        <f t="shared" si="3"/>
        <v>1298052.28</v>
      </c>
      <c r="P30" s="63">
        <f t="shared" si="3"/>
        <v>1454039</v>
      </c>
      <c r="Q30" s="63">
        <f t="shared" si="3"/>
        <v>3287496.42</v>
      </c>
      <c r="R30" s="63">
        <f>+R24+R25+R26+R28+R29</f>
        <v>3183672</v>
      </c>
      <c r="S30" s="64">
        <f>+S24+S25+S26+S28+S29</f>
        <v>3883472.409</v>
      </c>
      <c r="T30" s="64">
        <f>+T24+T25+T26+T28+T29</f>
        <v>3987724</v>
      </c>
    </row>
    <row r="31" spans="2:20" ht="13.5" thickTop="1">
      <c r="B31" s="17">
        <v>12</v>
      </c>
      <c r="C31" s="18" t="s">
        <v>56</v>
      </c>
      <c r="D31" s="172"/>
      <c r="E31" s="60">
        <v>0</v>
      </c>
      <c r="F31" s="172"/>
      <c r="G31" s="60">
        <v>0</v>
      </c>
      <c r="H31" s="172"/>
      <c r="I31" s="60">
        <v>0</v>
      </c>
      <c r="J31" s="172"/>
      <c r="K31" s="60">
        <v>0</v>
      </c>
      <c r="M31" s="60"/>
      <c r="N31" s="60">
        <v>0</v>
      </c>
      <c r="O31" s="60"/>
      <c r="P31" s="60">
        <v>0</v>
      </c>
      <c r="Q31" s="60"/>
      <c r="R31" s="60">
        <v>0</v>
      </c>
      <c r="S31" s="60"/>
      <c r="T31" s="60">
        <v>0</v>
      </c>
    </row>
    <row r="32" spans="2:20">
      <c r="B32" s="17">
        <v>13</v>
      </c>
      <c r="C32" s="20" t="s">
        <v>61</v>
      </c>
      <c r="D32" s="172"/>
      <c r="E32" s="60">
        <v>0</v>
      </c>
      <c r="F32" s="172"/>
      <c r="G32" s="60">
        <v>0</v>
      </c>
      <c r="H32" s="172"/>
      <c r="I32" s="60">
        <v>0</v>
      </c>
      <c r="J32" s="172"/>
      <c r="K32" s="60">
        <v>0</v>
      </c>
      <c r="M32" s="60"/>
      <c r="N32" s="60">
        <v>0</v>
      </c>
      <c r="O32" s="60"/>
      <c r="P32" s="60">
        <v>0</v>
      </c>
      <c r="Q32" s="60"/>
      <c r="R32" s="60">
        <v>0</v>
      </c>
      <c r="S32" s="60"/>
      <c r="T32" s="60">
        <v>0</v>
      </c>
    </row>
    <row r="33" spans="2:20" ht="14.25" customHeight="1">
      <c r="B33" s="17">
        <v>15</v>
      </c>
      <c r="C33" s="20" t="s">
        <v>8</v>
      </c>
      <c r="D33" s="172">
        <v>231985031</v>
      </c>
      <c r="E33" s="60">
        <v>235520000</v>
      </c>
      <c r="F33" s="172">
        <v>291502208</v>
      </c>
      <c r="G33" s="60">
        <v>291502000</v>
      </c>
      <c r="H33" s="172">
        <v>611651899</v>
      </c>
      <c r="I33" s="60">
        <v>611651000</v>
      </c>
      <c r="J33" s="172">
        <v>569773136</v>
      </c>
      <c r="K33" s="60">
        <v>569773000</v>
      </c>
      <c r="M33" s="60">
        <v>231985.03099999999</v>
      </c>
      <c r="N33" s="60">
        <v>235520</v>
      </c>
      <c r="O33" s="60">
        <v>291502.20799999998</v>
      </c>
      <c r="P33" s="60">
        <v>291502</v>
      </c>
      <c r="Q33" s="60">
        <v>611651.89899999998</v>
      </c>
      <c r="R33" s="60">
        <v>309670</v>
      </c>
      <c r="S33" s="60">
        <v>569773.13600000006</v>
      </c>
      <c r="T33" s="60">
        <v>569773</v>
      </c>
    </row>
    <row r="34" spans="2:20">
      <c r="B34" s="17"/>
      <c r="C34" s="20" t="s">
        <v>52</v>
      </c>
      <c r="D34" s="172">
        <v>58036853</v>
      </c>
      <c r="E34" s="60">
        <v>0</v>
      </c>
      <c r="F34" s="211">
        <v>80905500</v>
      </c>
      <c r="G34" s="211">
        <v>0</v>
      </c>
      <c r="H34" s="211">
        <v>132378708</v>
      </c>
      <c r="I34" s="211">
        <v>0</v>
      </c>
      <c r="J34" s="211">
        <v>180186388</v>
      </c>
      <c r="K34" s="211">
        <v>0</v>
      </c>
      <c r="M34" s="60">
        <v>58036.853000000003</v>
      </c>
      <c r="N34" s="60">
        <v>0</v>
      </c>
      <c r="O34" s="60">
        <v>80905.5</v>
      </c>
      <c r="P34" s="60">
        <v>0</v>
      </c>
      <c r="Q34" s="60">
        <v>132378.70800000001</v>
      </c>
      <c r="R34" s="60">
        <v>0</v>
      </c>
      <c r="S34" s="60">
        <v>180186.38800000001</v>
      </c>
      <c r="T34" s="60">
        <v>0</v>
      </c>
    </row>
    <row r="35" spans="2:20">
      <c r="B35" s="17">
        <v>16</v>
      </c>
      <c r="C35" s="20" t="s">
        <v>9</v>
      </c>
      <c r="D35" s="172"/>
      <c r="E35" s="60">
        <v>0</v>
      </c>
      <c r="F35" s="172"/>
      <c r="G35" s="60">
        <v>0</v>
      </c>
      <c r="H35" s="172"/>
      <c r="I35" s="60">
        <v>0</v>
      </c>
      <c r="J35" s="172"/>
      <c r="K35" s="60">
        <v>0</v>
      </c>
      <c r="M35" s="60"/>
      <c r="N35" s="60">
        <v>0</v>
      </c>
      <c r="O35" s="60"/>
      <c r="P35" s="60">
        <v>0</v>
      </c>
      <c r="Q35" s="60"/>
      <c r="R35" s="60">
        <v>0</v>
      </c>
      <c r="S35" s="60"/>
      <c r="T35" s="60">
        <v>0</v>
      </c>
    </row>
    <row r="36" spans="2:20">
      <c r="B36" s="17">
        <v>17</v>
      </c>
      <c r="C36" s="20" t="s">
        <v>62</v>
      </c>
      <c r="D36" s="172"/>
      <c r="E36" s="60">
        <v>0</v>
      </c>
      <c r="F36" s="172"/>
      <c r="G36" s="60">
        <v>0</v>
      </c>
      <c r="H36" s="172">
        <v>126722398</v>
      </c>
      <c r="I36" s="60">
        <v>0</v>
      </c>
      <c r="J36" s="172">
        <v>95642398</v>
      </c>
      <c r="K36" s="60">
        <v>0</v>
      </c>
      <c r="M36" s="60"/>
      <c r="N36" s="60">
        <v>0</v>
      </c>
      <c r="O36" s="60"/>
      <c r="P36" s="60">
        <v>0</v>
      </c>
      <c r="Q36" s="60">
        <v>126722.398</v>
      </c>
      <c r="R36" s="60">
        <v>0</v>
      </c>
      <c r="S36" s="60">
        <v>95642.398000000001</v>
      </c>
      <c r="T36" s="60">
        <v>0</v>
      </c>
    </row>
    <row r="37" spans="2:20">
      <c r="B37" s="17">
        <v>18</v>
      </c>
      <c r="C37" s="21" t="s">
        <v>10</v>
      </c>
      <c r="D37" s="172">
        <v>0</v>
      </c>
      <c r="E37" s="60">
        <v>0</v>
      </c>
      <c r="F37" s="211">
        <v>155155398</v>
      </c>
      <c r="G37" s="211">
        <v>0</v>
      </c>
      <c r="H37" s="172"/>
      <c r="I37" s="60">
        <v>0</v>
      </c>
      <c r="J37" s="172"/>
      <c r="K37" s="60">
        <v>0</v>
      </c>
      <c r="M37" s="60">
        <v>0</v>
      </c>
      <c r="N37" s="60">
        <v>0</v>
      </c>
      <c r="O37" s="60">
        <v>155155.39799999999</v>
      </c>
      <c r="P37" s="60">
        <v>0</v>
      </c>
      <c r="Q37" s="60"/>
      <c r="R37" s="60">
        <v>0</v>
      </c>
      <c r="S37" s="60"/>
      <c r="T37" s="60">
        <v>0</v>
      </c>
    </row>
    <row r="38" spans="2:20" ht="13.5" thickBot="1">
      <c r="B38" s="17"/>
      <c r="C38" s="35" t="s">
        <v>12</v>
      </c>
      <c r="D38" s="173">
        <f t="shared" ref="D38:K38" si="4">+D31+D32+D33+D35+D36+D37</f>
        <v>231985031</v>
      </c>
      <c r="E38" s="62">
        <f t="shared" si="4"/>
        <v>235520000</v>
      </c>
      <c r="F38" s="173">
        <f t="shared" si="4"/>
        <v>446657606</v>
      </c>
      <c r="G38" s="62">
        <f t="shared" si="4"/>
        <v>291502000</v>
      </c>
      <c r="H38" s="173">
        <f t="shared" si="4"/>
        <v>738374297</v>
      </c>
      <c r="I38" s="62">
        <f t="shared" si="4"/>
        <v>611651000</v>
      </c>
      <c r="J38" s="173">
        <f t="shared" si="4"/>
        <v>665415534</v>
      </c>
      <c r="K38" s="62">
        <f t="shared" si="4"/>
        <v>569773000</v>
      </c>
      <c r="M38" s="62">
        <f t="shared" ref="M38:Q38" si="5">+M31+M32+M33+M35+M36+M37</f>
        <v>231985.03099999999</v>
      </c>
      <c r="N38" s="62">
        <f t="shared" si="5"/>
        <v>235520</v>
      </c>
      <c r="O38" s="62">
        <f t="shared" si="5"/>
        <v>446657.60599999997</v>
      </c>
      <c r="P38" s="62">
        <f t="shared" si="5"/>
        <v>291502</v>
      </c>
      <c r="Q38" s="62">
        <f t="shared" si="5"/>
        <v>738374.29700000002</v>
      </c>
      <c r="R38" s="62">
        <f>+R31+R32+R33+R35+R36+R37</f>
        <v>309670</v>
      </c>
      <c r="S38" s="62">
        <f>+S31+S32+S33+S35+S36+S37</f>
        <v>665415.5340000001</v>
      </c>
      <c r="T38" s="62">
        <f>+T31+T32+T33+T35+T36+T37</f>
        <v>569773</v>
      </c>
    </row>
    <row r="39" spans="2:20" ht="13.5" thickTop="1">
      <c r="B39" s="22">
        <v>19</v>
      </c>
      <c r="C39" s="39" t="s">
        <v>11</v>
      </c>
      <c r="D39" s="174"/>
      <c r="E39" s="65">
        <v>0</v>
      </c>
      <c r="F39" s="174"/>
      <c r="G39" s="65"/>
      <c r="H39" s="174"/>
      <c r="I39" s="65"/>
      <c r="J39" s="174"/>
      <c r="K39" s="65"/>
      <c r="M39" s="65"/>
      <c r="N39" s="65">
        <v>0</v>
      </c>
      <c r="O39" s="65"/>
      <c r="P39" s="65"/>
      <c r="Q39" s="65"/>
      <c r="R39" s="65">
        <v>0</v>
      </c>
      <c r="S39" s="65"/>
      <c r="T39" s="65"/>
    </row>
    <row r="40" spans="2:20">
      <c r="B40" s="13"/>
      <c r="C40" s="34"/>
      <c r="D40" s="171"/>
      <c r="E40" s="14"/>
      <c r="F40" s="171"/>
      <c r="G40" s="14"/>
      <c r="H40" s="171"/>
      <c r="I40" s="14"/>
      <c r="J40" s="171"/>
      <c r="K40" s="14"/>
      <c r="M40" s="14"/>
      <c r="N40" s="14"/>
      <c r="O40" s="14"/>
      <c r="P40" s="14"/>
      <c r="Q40" s="14"/>
      <c r="R40" s="72"/>
      <c r="S40" s="14"/>
      <c r="T40" s="14"/>
    </row>
    <row r="41" spans="2:20" ht="13.5" thickBot="1">
      <c r="B41" s="15">
        <v>20</v>
      </c>
      <c r="C41" s="35" t="s">
        <v>68</v>
      </c>
      <c r="D41" s="173">
        <f t="shared" ref="D41:K41" si="6">+D51+D61</f>
        <v>655413079</v>
      </c>
      <c r="E41" s="62">
        <f t="shared" si="6"/>
        <v>661094000</v>
      </c>
      <c r="F41" s="173">
        <f t="shared" si="6"/>
        <v>1274945179</v>
      </c>
      <c r="G41" s="62">
        <f t="shared" si="6"/>
        <v>1213075000</v>
      </c>
      <c r="H41" s="173">
        <f t="shared" si="6"/>
        <v>2814296201</v>
      </c>
      <c r="I41" s="62">
        <f t="shared" si="6"/>
        <v>2616054000</v>
      </c>
      <c r="J41" s="173">
        <f t="shared" si="6"/>
        <v>2870771396</v>
      </c>
      <c r="K41" s="62">
        <f t="shared" si="6"/>
        <v>2879381000</v>
      </c>
      <c r="L41" s="83"/>
      <c r="M41" s="62">
        <f t="shared" ref="M41:Q41" si="7">+M51+M61</f>
        <v>655413.07899999991</v>
      </c>
      <c r="N41" s="62">
        <f t="shared" si="7"/>
        <v>661094</v>
      </c>
      <c r="O41" s="62">
        <f t="shared" si="7"/>
        <v>1274945.1789999998</v>
      </c>
      <c r="P41" s="62">
        <f t="shared" si="7"/>
        <v>1213075</v>
      </c>
      <c r="Q41" s="62">
        <f t="shared" si="7"/>
        <v>2814296.2009999994</v>
      </c>
      <c r="R41" s="62">
        <f>+R51+R61</f>
        <v>2616054</v>
      </c>
      <c r="S41" s="62">
        <f>+S51+S61</f>
        <v>2870771.3959999997</v>
      </c>
      <c r="T41" s="62">
        <f>+T51+T61</f>
        <v>2879381</v>
      </c>
    </row>
    <row r="42" spans="2:20" ht="13.5" thickTop="1">
      <c r="B42" s="17">
        <v>21</v>
      </c>
      <c r="C42" s="18" t="s">
        <v>63</v>
      </c>
      <c r="D42" s="175">
        <v>234934171</v>
      </c>
      <c r="E42" s="61">
        <v>238470000</v>
      </c>
      <c r="F42" s="175">
        <v>722721124</v>
      </c>
      <c r="G42" s="61">
        <v>722918000</v>
      </c>
      <c r="H42" s="175">
        <v>1426280522</v>
      </c>
      <c r="I42" s="61">
        <v>1196056000</v>
      </c>
      <c r="J42" s="175">
        <v>1695070110</v>
      </c>
      <c r="K42" s="61">
        <v>1695070000</v>
      </c>
      <c r="M42" s="61">
        <v>234934.171</v>
      </c>
      <c r="N42" s="61">
        <v>238470</v>
      </c>
      <c r="O42" s="61">
        <v>722721.12399999995</v>
      </c>
      <c r="P42" s="61">
        <v>722918</v>
      </c>
      <c r="Q42" s="61">
        <v>1426280.5220000001</v>
      </c>
      <c r="R42" s="61">
        <v>1196056</v>
      </c>
      <c r="S42" s="61">
        <v>1695070.11</v>
      </c>
      <c r="T42" s="61">
        <v>1695070</v>
      </c>
    </row>
    <row r="43" spans="2:20">
      <c r="B43" s="17">
        <v>22</v>
      </c>
      <c r="C43" s="20" t="s">
        <v>54</v>
      </c>
      <c r="D43" s="175">
        <v>264896306</v>
      </c>
      <c r="E43" s="61">
        <v>264896000</v>
      </c>
      <c r="F43" s="175">
        <v>399920708</v>
      </c>
      <c r="G43" s="61">
        <v>422337000</v>
      </c>
      <c r="H43" s="175">
        <v>1342430693</v>
      </c>
      <c r="I43" s="61">
        <v>1342431000</v>
      </c>
      <c r="J43" s="175">
        <v>627072554</v>
      </c>
      <c r="K43" s="61">
        <v>627073000</v>
      </c>
      <c r="M43" s="61">
        <v>264896.30599999998</v>
      </c>
      <c r="N43" s="61">
        <v>264896</v>
      </c>
      <c r="O43" s="61">
        <v>399920.70799999998</v>
      </c>
      <c r="P43" s="61">
        <v>422337</v>
      </c>
      <c r="Q43" s="61">
        <v>1342430.693</v>
      </c>
      <c r="R43" s="61">
        <v>1342431</v>
      </c>
      <c r="S43" s="61">
        <v>627072.554</v>
      </c>
      <c r="T43" s="61">
        <v>627073</v>
      </c>
    </row>
    <row r="44" spans="2:20">
      <c r="B44" s="17">
        <v>23</v>
      </c>
      <c r="C44" s="20" t="s">
        <v>20</v>
      </c>
      <c r="D44" s="175">
        <v>23985289</v>
      </c>
      <c r="E44" s="61">
        <v>23984000</v>
      </c>
      <c r="F44" s="175">
        <v>63383319</v>
      </c>
      <c r="G44" s="61">
        <v>64636000</v>
      </c>
      <c r="H44" s="175">
        <v>39148647</v>
      </c>
      <c r="I44" s="61">
        <v>39149000</v>
      </c>
      <c r="J44" s="175">
        <v>522977130</v>
      </c>
      <c r="K44" s="61">
        <v>522977000</v>
      </c>
      <c r="M44" s="61">
        <v>23985.289000000001</v>
      </c>
      <c r="N44" s="61">
        <v>23984</v>
      </c>
      <c r="O44" s="61">
        <v>63383.319000000003</v>
      </c>
      <c r="P44" s="61">
        <v>64636</v>
      </c>
      <c r="Q44" s="61">
        <v>39148.646999999997</v>
      </c>
      <c r="R44" s="61">
        <v>39149</v>
      </c>
      <c r="S44" s="61">
        <v>522977.13</v>
      </c>
      <c r="T44" s="61">
        <v>522977</v>
      </c>
    </row>
    <row r="45" spans="2:20" ht="13.5" customHeight="1">
      <c r="B45" s="17">
        <v>24</v>
      </c>
      <c r="C45" s="20" t="s">
        <v>55</v>
      </c>
      <c r="D45" s="175">
        <v>107011259</v>
      </c>
      <c r="E45" s="61">
        <v>109156000</v>
      </c>
      <c r="F45" s="210">
        <v>87581922</v>
      </c>
      <c r="G45" s="210">
        <v>2879000</v>
      </c>
      <c r="H45" s="210">
        <v>-28747813</v>
      </c>
      <c r="I45" s="210">
        <v>0</v>
      </c>
      <c r="J45" s="175">
        <v>4559347</v>
      </c>
      <c r="K45" s="61">
        <v>4559000</v>
      </c>
      <c r="M45" s="61">
        <v>107011.25900000001</v>
      </c>
      <c r="N45" s="61">
        <v>109156</v>
      </c>
      <c r="O45" s="61">
        <v>87581.922000000006</v>
      </c>
      <c r="P45" s="61">
        <v>2879</v>
      </c>
      <c r="Q45" s="61">
        <v>-28747.812999999998</v>
      </c>
      <c r="R45" s="61">
        <v>0</v>
      </c>
      <c r="S45" s="61">
        <v>4559.3469999999998</v>
      </c>
      <c r="T45" s="61">
        <v>4559</v>
      </c>
    </row>
    <row r="46" spans="2:20">
      <c r="B46" s="17">
        <v>25</v>
      </c>
      <c r="C46" s="20" t="s">
        <v>21</v>
      </c>
      <c r="D46" s="175">
        <v>7097375</v>
      </c>
      <c r="E46" s="61">
        <v>7099000</v>
      </c>
      <c r="F46" s="175">
        <v>516000</v>
      </c>
      <c r="G46" s="61">
        <v>0</v>
      </c>
      <c r="H46" s="175">
        <v>0</v>
      </c>
      <c r="I46" s="61">
        <v>3220000</v>
      </c>
      <c r="J46" s="175">
        <v>2018347</v>
      </c>
      <c r="K46" s="61">
        <v>2018000</v>
      </c>
      <c r="M46" s="61">
        <v>7097.375</v>
      </c>
      <c r="N46" s="61">
        <v>7099</v>
      </c>
      <c r="O46" s="61">
        <v>516</v>
      </c>
      <c r="P46" s="61">
        <v>0</v>
      </c>
      <c r="Q46" s="61">
        <v>0</v>
      </c>
      <c r="R46" s="61">
        <v>3220</v>
      </c>
      <c r="S46" s="61">
        <v>2018.347</v>
      </c>
      <c r="T46" s="61">
        <v>2018</v>
      </c>
    </row>
    <row r="47" spans="2:20">
      <c r="B47" s="17">
        <v>26</v>
      </c>
      <c r="C47" s="20" t="s">
        <v>22</v>
      </c>
      <c r="D47" s="175"/>
      <c r="E47" s="61">
        <v>0</v>
      </c>
      <c r="F47" s="175"/>
      <c r="G47" s="61">
        <v>0</v>
      </c>
      <c r="H47" s="175"/>
      <c r="I47" s="61">
        <v>35198000</v>
      </c>
      <c r="J47" s="175"/>
      <c r="K47" s="61">
        <v>0</v>
      </c>
      <c r="M47" s="61"/>
      <c r="N47" s="61">
        <v>0</v>
      </c>
      <c r="O47" s="61"/>
      <c r="P47" s="61">
        <v>0</v>
      </c>
      <c r="Q47" s="61"/>
      <c r="R47" s="61">
        <v>35198</v>
      </c>
      <c r="S47" s="61"/>
      <c r="T47" s="61">
        <v>0</v>
      </c>
    </row>
    <row r="48" spans="2:20">
      <c r="B48" s="17">
        <v>27</v>
      </c>
      <c r="C48" s="20" t="s">
        <v>64</v>
      </c>
      <c r="D48" s="175">
        <v>17488679</v>
      </c>
      <c r="E48" s="61">
        <v>0</v>
      </c>
      <c r="F48" s="175">
        <v>822106</v>
      </c>
      <c r="G48" s="61">
        <v>0</v>
      </c>
      <c r="H48" s="175"/>
      <c r="I48" s="61">
        <v>0</v>
      </c>
      <c r="J48" s="175"/>
      <c r="K48" s="61">
        <v>0</v>
      </c>
      <c r="M48" s="61">
        <v>17488.679</v>
      </c>
      <c r="N48" s="61">
        <v>0</v>
      </c>
      <c r="O48" s="61">
        <v>822.10599999999999</v>
      </c>
      <c r="P48" s="61">
        <v>0</v>
      </c>
      <c r="Q48" s="61"/>
      <c r="R48" s="61">
        <v>0</v>
      </c>
      <c r="S48" s="61"/>
      <c r="T48" s="61">
        <v>0</v>
      </c>
    </row>
    <row r="49" spans="2:20" ht="15" customHeight="1">
      <c r="B49" s="17">
        <v>28</v>
      </c>
      <c r="C49" s="20" t="s">
        <v>24</v>
      </c>
      <c r="D49" s="175"/>
      <c r="E49" s="61">
        <v>17489000</v>
      </c>
      <c r="F49" s="175"/>
      <c r="G49" s="61">
        <v>305000</v>
      </c>
      <c r="H49" s="175">
        <v>35184152</v>
      </c>
      <c r="I49" s="61">
        <v>0</v>
      </c>
      <c r="J49" s="175">
        <v>19073908</v>
      </c>
      <c r="K49" s="61">
        <v>27684000</v>
      </c>
      <c r="M49" s="61"/>
      <c r="N49" s="61">
        <v>17489</v>
      </c>
      <c r="O49" s="61"/>
      <c r="P49" s="61">
        <v>305</v>
      </c>
      <c r="Q49" s="61">
        <v>35184.152000000002</v>
      </c>
      <c r="R49" s="61">
        <v>0</v>
      </c>
      <c r="S49" s="61">
        <v>19073.907999999999</v>
      </c>
      <c r="T49" s="61">
        <v>27684</v>
      </c>
    </row>
    <row r="50" spans="2:20" ht="15.75" customHeight="1">
      <c r="B50" s="17">
        <v>29</v>
      </c>
      <c r="C50" s="21" t="s">
        <v>65</v>
      </c>
      <c r="D50" s="175"/>
      <c r="E50" s="61">
        <v>0</v>
      </c>
      <c r="F50" s="175"/>
      <c r="G50" s="61">
        <v>0</v>
      </c>
      <c r="H50" s="175"/>
      <c r="I50" s="61">
        <v>0</v>
      </c>
      <c r="J50" s="175"/>
      <c r="K50" s="61">
        <v>0</v>
      </c>
      <c r="M50" s="61"/>
      <c r="N50" s="61">
        <v>0</v>
      </c>
      <c r="O50" s="61"/>
      <c r="P50" s="61">
        <v>0</v>
      </c>
      <c r="Q50" s="61"/>
      <c r="R50" s="61">
        <v>0</v>
      </c>
      <c r="S50" s="61"/>
      <c r="T50" s="61">
        <v>0</v>
      </c>
    </row>
    <row r="51" spans="2:20" ht="13.5" thickBot="1">
      <c r="B51" s="17">
        <v>0</v>
      </c>
      <c r="C51" s="35" t="s">
        <v>19</v>
      </c>
      <c r="D51" s="173">
        <f t="shared" ref="D51:K51" si="8">SUM(D42:D50)</f>
        <v>655413079</v>
      </c>
      <c r="E51" s="62">
        <f t="shared" si="8"/>
        <v>661094000</v>
      </c>
      <c r="F51" s="173">
        <f t="shared" si="8"/>
        <v>1274945179</v>
      </c>
      <c r="G51" s="62">
        <f t="shared" si="8"/>
        <v>1213075000</v>
      </c>
      <c r="H51" s="173">
        <f t="shared" si="8"/>
        <v>2814296201</v>
      </c>
      <c r="I51" s="62">
        <f t="shared" si="8"/>
        <v>2616054000</v>
      </c>
      <c r="J51" s="173">
        <f t="shared" si="8"/>
        <v>2870771396</v>
      </c>
      <c r="K51" s="62">
        <f t="shared" si="8"/>
        <v>2879381000</v>
      </c>
      <c r="M51" s="62">
        <f t="shared" ref="M51:Q51" si="9">SUM(M42:M50)</f>
        <v>655413.07899999991</v>
      </c>
      <c r="N51" s="62">
        <f t="shared" si="9"/>
        <v>661094</v>
      </c>
      <c r="O51" s="62">
        <f t="shared" si="9"/>
        <v>1274945.1789999998</v>
      </c>
      <c r="P51" s="62">
        <f t="shared" si="9"/>
        <v>1213075</v>
      </c>
      <c r="Q51" s="62">
        <f t="shared" si="9"/>
        <v>2814296.2009999994</v>
      </c>
      <c r="R51" s="62">
        <f>SUM(R42:R50)</f>
        <v>2616054</v>
      </c>
      <c r="S51" s="62">
        <f>SUM(S42:S50)</f>
        <v>2870771.3959999997</v>
      </c>
      <c r="T51" s="62">
        <f>SUM(T42:T50)</f>
        <v>2879381</v>
      </c>
    </row>
    <row r="52" spans="2:20" ht="13.5" thickTop="1">
      <c r="B52" s="17">
        <v>21</v>
      </c>
      <c r="C52" s="18" t="s">
        <v>53</v>
      </c>
      <c r="D52" s="175"/>
      <c r="E52" s="61">
        <v>0</v>
      </c>
      <c r="F52" s="175"/>
      <c r="G52" s="61">
        <v>0</v>
      </c>
      <c r="H52" s="175"/>
      <c r="I52" s="61">
        <v>0</v>
      </c>
      <c r="J52" s="175"/>
      <c r="K52" s="61">
        <v>0</v>
      </c>
      <c r="M52" s="61"/>
      <c r="N52" s="61">
        <v>0</v>
      </c>
      <c r="O52" s="61"/>
      <c r="P52" s="61">
        <v>0</v>
      </c>
      <c r="Q52" s="61"/>
      <c r="R52" s="61">
        <v>0</v>
      </c>
      <c r="S52" s="61"/>
      <c r="T52" s="61">
        <v>0</v>
      </c>
    </row>
    <row r="53" spans="2:20">
      <c r="B53" s="17">
        <v>22</v>
      </c>
      <c r="C53" s="20" t="s">
        <v>54</v>
      </c>
      <c r="D53" s="175"/>
      <c r="E53" s="61">
        <v>0</v>
      </c>
      <c r="F53" s="175"/>
      <c r="G53" s="61">
        <v>0</v>
      </c>
      <c r="H53" s="175"/>
      <c r="I53" s="61">
        <v>0</v>
      </c>
      <c r="J53" s="175"/>
      <c r="K53" s="61">
        <v>0</v>
      </c>
      <c r="M53" s="61"/>
      <c r="N53" s="61">
        <v>0</v>
      </c>
      <c r="O53" s="61"/>
      <c r="P53" s="61">
        <v>0</v>
      </c>
      <c r="Q53" s="61"/>
      <c r="R53" s="61">
        <v>0</v>
      </c>
      <c r="S53" s="61"/>
      <c r="T53" s="61">
        <v>0</v>
      </c>
    </row>
    <row r="54" spans="2:20">
      <c r="B54" s="17">
        <v>23</v>
      </c>
      <c r="C54" s="20" t="s">
        <v>20</v>
      </c>
      <c r="D54" s="175"/>
      <c r="E54" s="61">
        <v>0</v>
      </c>
      <c r="F54" s="175"/>
      <c r="G54" s="61">
        <v>0</v>
      </c>
      <c r="H54" s="175"/>
      <c r="I54" s="61">
        <v>0</v>
      </c>
      <c r="J54" s="175"/>
      <c r="K54" s="61">
        <v>0</v>
      </c>
      <c r="M54" s="61"/>
      <c r="N54" s="61">
        <v>0</v>
      </c>
      <c r="O54" s="61"/>
      <c r="P54" s="61">
        <v>0</v>
      </c>
      <c r="Q54" s="61"/>
      <c r="R54" s="61">
        <v>0</v>
      </c>
      <c r="S54" s="61"/>
      <c r="T54" s="61">
        <v>0</v>
      </c>
    </row>
    <row r="55" spans="2:20">
      <c r="B55" s="22">
        <v>24</v>
      </c>
      <c r="C55" s="20" t="s">
        <v>55</v>
      </c>
      <c r="D55" s="175"/>
      <c r="E55" s="61">
        <v>0</v>
      </c>
      <c r="F55" s="175"/>
      <c r="G55" s="61">
        <v>0</v>
      </c>
      <c r="H55" s="175"/>
      <c r="I55" s="61">
        <v>0</v>
      </c>
      <c r="J55" s="175"/>
      <c r="K55" s="61">
        <v>0</v>
      </c>
      <c r="M55" s="61"/>
      <c r="N55" s="61">
        <v>0</v>
      </c>
      <c r="O55" s="61"/>
      <c r="P55" s="61">
        <v>0</v>
      </c>
      <c r="Q55" s="61"/>
      <c r="R55" s="61">
        <v>0</v>
      </c>
      <c r="S55" s="61"/>
      <c r="T55" s="61">
        <v>0</v>
      </c>
    </row>
    <row r="56" spans="2:20">
      <c r="B56" s="15">
        <v>25</v>
      </c>
      <c r="C56" s="20" t="s">
        <v>21</v>
      </c>
      <c r="D56" s="175"/>
      <c r="E56" s="61">
        <v>0</v>
      </c>
      <c r="F56" s="175"/>
      <c r="G56" s="61">
        <v>0</v>
      </c>
      <c r="H56" s="175"/>
      <c r="I56" s="61">
        <v>0</v>
      </c>
      <c r="J56" s="175"/>
      <c r="K56" s="61">
        <v>0</v>
      </c>
      <c r="M56" s="61"/>
      <c r="N56" s="61">
        <v>0</v>
      </c>
      <c r="O56" s="61"/>
      <c r="P56" s="61">
        <v>0</v>
      </c>
      <c r="Q56" s="61"/>
      <c r="R56" s="61">
        <v>0</v>
      </c>
      <c r="S56" s="61"/>
      <c r="T56" s="61">
        <v>0</v>
      </c>
    </row>
    <row r="57" spans="2:20" ht="13.5" customHeight="1">
      <c r="B57" s="17">
        <v>26</v>
      </c>
      <c r="C57" s="20" t="s">
        <v>22</v>
      </c>
      <c r="D57" s="175"/>
      <c r="E57" s="61">
        <v>0</v>
      </c>
      <c r="F57" s="175"/>
      <c r="G57" s="61">
        <v>0</v>
      </c>
      <c r="H57" s="175"/>
      <c r="I57" s="61">
        <v>0</v>
      </c>
      <c r="J57" s="175"/>
      <c r="K57" s="61">
        <v>0</v>
      </c>
      <c r="M57" s="61"/>
      <c r="N57" s="61">
        <v>0</v>
      </c>
      <c r="O57" s="61"/>
      <c r="P57" s="61">
        <v>0</v>
      </c>
      <c r="Q57" s="61"/>
      <c r="R57" s="61">
        <v>0</v>
      </c>
      <c r="S57" s="61"/>
      <c r="T57" s="61">
        <v>0</v>
      </c>
    </row>
    <row r="58" spans="2:20">
      <c r="B58" s="17">
        <v>27</v>
      </c>
      <c r="C58" s="20" t="s">
        <v>23</v>
      </c>
      <c r="D58" s="175"/>
      <c r="E58" s="61">
        <v>0</v>
      </c>
      <c r="F58" s="175"/>
      <c r="G58" s="61">
        <v>0</v>
      </c>
      <c r="H58" s="175"/>
      <c r="I58" s="61">
        <v>0</v>
      </c>
      <c r="J58" s="175"/>
      <c r="K58" s="61">
        <v>0</v>
      </c>
      <c r="M58" s="61"/>
      <c r="N58" s="61">
        <v>0</v>
      </c>
      <c r="O58" s="61"/>
      <c r="P58" s="61">
        <v>0</v>
      </c>
      <c r="Q58" s="61"/>
      <c r="R58" s="61">
        <v>0</v>
      </c>
      <c r="S58" s="61"/>
      <c r="T58" s="61">
        <v>0</v>
      </c>
    </row>
    <row r="59" spans="2:20">
      <c r="B59" s="17">
        <v>28</v>
      </c>
      <c r="C59" s="20" t="s">
        <v>24</v>
      </c>
      <c r="D59" s="175"/>
      <c r="E59" s="61">
        <v>0</v>
      </c>
      <c r="F59" s="175"/>
      <c r="G59" s="61">
        <v>0</v>
      </c>
      <c r="H59" s="175"/>
      <c r="I59" s="61">
        <v>0</v>
      </c>
      <c r="J59" s="175"/>
      <c r="K59" s="61">
        <v>0</v>
      </c>
      <c r="M59" s="61"/>
      <c r="N59" s="61">
        <v>0</v>
      </c>
      <c r="O59" s="61"/>
      <c r="P59" s="61">
        <v>0</v>
      </c>
      <c r="Q59" s="61"/>
      <c r="R59" s="61">
        <v>0</v>
      </c>
      <c r="S59" s="61"/>
      <c r="T59" s="61">
        <v>0</v>
      </c>
    </row>
    <row r="60" spans="2:20">
      <c r="B60" s="17">
        <v>29</v>
      </c>
      <c r="C60" s="21" t="s">
        <v>26</v>
      </c>
      <c r="D60" s="175"/>
      <c r="E60" s="61">
        <v>0</v>
      </c>
      <c r="F60" s="175"/>
      <c r="G60" s="61">
        <v>0</v>
      </c>
      <c r="H60" s="175"/>
      <c r="I60" s="61">
        <v>0</v>
      </c>
      <c r="J60" s="175"/>
      <c r="K60" s="61">
        <v>0</v>
      </c>
      <c r="M60" s="61"/>
      <c r="N60" s="61">
        <v>0</v>
      </c>
      <c r="O60" s="61"/>
      <c r="P60" s="61">
        <v>0</v>
      </c>
      <c r="Q60" s="61"/>
      <c r="R60" s="61">
        <v>0</v>
      </c>
      <c r="S60" s="61"/>
      <c r="T60" s="61">
        <v>0</v>
      </c>
    </row>
    <row r="61" spans="2:20" ht="13.5" thickBot="1">
      <c r="B61" s="22">
        <v>0</v>
      </c>
      <c r="C61" s="35" t="s">
        <v>27</v>
      </c>
      <c r="D61" s="173">
        <f t="shared" ref="D61:K61" si="10">SUM(D52:D60)</f>
        <v>0</v>
      </c>
      <c r="E61" s="62">
        <f t="shared" si="10"/>
        <v>0</v>
      </c>
      <c r="F61" s="173">
        <f t="shared" si="10"/>
        <v>0</v>
      </c>
      <c r="G61" s="62">
        <f t="shared" si="10"/>
        <v>0</v>
      </c>
      <c r="H61" s="173">
        <f t="shared" si="10"/>
        <v>0</v>
      </c>
      <c r="I61" s="62">
        <f t="shared" si="10"/>
        <v>0</v>
      </c>
      <c r="J61" s="173">
        <f t="shared" si="10"/>
        <v>0</v>
      </c>
      <c r="K61" s="62">
        <f t="shared" si="10"/>
        <v>0</v>
      </c>
      <c r="M61" s="62">
        <f t="shared" ref="M61:Q61" si="11">SUM(M52:M60)</f>
        <v>0</v>
      </c>
      <c r="N61" s="62">
        <f t="shared" si="11"/>
        <v>0</v>
      </c>
      <c r="O61" s="62">
        <f t="shared" si="11"/>
        <v>0</v>
      </c>
      <c r="P61" s="62">
        <f t="shared" si="11"/>
        <v>0</v>
      </c>
      <c r="Q61" s="62">
        <f t="shared" si="11"/>
        <v>0</v>
      </c>
      <c r="R61" s="62">
        <f>SUM(R52:R60)</f>
        <v>0</v>
      </c>
      <c r="S61" s="62">
        <f>SUM(S52:S60)</f>
        <v>0</v>
      </c>
      <c r="T61" s="62">
        <f>SUM(T52:T60)</f>
        <v>0</v>
      </c>
    </row>
    <row r="62" spans="2:20" ht="13.5" thickTop="1">
      <c r="B62" s="13"/>
      <c r="C62" s="14"/>
      <c r="D62" s="176">
        <f t="shared" ref="D62:K62" si="12">+D23-D71</f>
        <v>0</v>
      </c>
      <c r="E62" s="72">
        <f t="shared" si="12"/>
        <v>0</v>
      </c>
      <c r="F62" s="176">
        <f t="shared" si="12"/>
        <v>-1032000</v>
      </c>
      <c r="G62" s="72">
        <f t="shared" si="12"/>
        <v>0</v>
      </c>
      <c r="H62" s="176">
        <f t="shared" si="12"/>
        <v>0</v>
      </c>
      <c r="I62" s="72">
        <f t="shared" si="12"/>
        <v>301981000</v>
      </c>
      <c r="J62" s="176">
        <f t="shared" si="12"/>
        <v>0</v>
      </c>
      <c r="K62" s="72">
        <f t="shared" si="12"/>
        <v>0</v>
      </c>
      <c r="M62" s="72">
        <f t="shared" ref="M62:Q62" si="13">+M23-M71</f>
        <v>0</v>
      </c>
      <c r="N62" s="72">
        <f t="shared" si="13"/>
        <v>0</v>
      </c>
      <c r="O62" s="72">
        <f t="shared" si="13"/>
        <v>-1031.9999999997672</v>
      </c>
      <c r="P62" s="72">
        <f t="shared" si="13"/>
        <v>0</v>
      </c>
      <c r="Q62" s="72">
        <f t="shared" si="13"/>
        <v>0</v>
      </c>
      <c r="R62" s="72">
        <f>+R23-R71</f>
        <v>0</v>
      </c>
      <c r="S62" s="72">
        <f>+S23-S71</f>
        <v>0</v>
      </c>
      <c r="T62" s="72">
        <f>+T23-T71</f>
        <v>0</v>
      </c>
    </row>
    <row r="63" spans="2:20" ht="13.5" thickBot="1">
      <c r="B63" s="15">
        <v>30</v>
      </c>
      <c r="C63" s="35" t="s">
        <v>28</v>
      </c>
      <c r="D63" s="173">
        <f t="shared" ref="D63:K63" si="14">SUM(D64:D70)</f>
        <v>303365133</v>
      </c>
      <c r="E63" s="62">
        <f t="shared" si="14"/>
        <v>301219000</v>
      </c>
      <c r="F63" s="173">
        <f t="shared" si="14"/>
        <v>470796707</v>
      </c>
      <c r="G63" s="62">
        <f t="shared" si="14"/>
        <v>532466000</v>
      </c>
      <c r="H63" s="173">
        <f t="shared" si="14"/>
        <v>1211574516</v>
      </c>
      <c r="I63" s="62">
        <f t="shared" si="14"/>
        <v>877288000</v>
      </c>
      <c r="J63" s="201">
        <f t="shared" si="14"/>
        <v>1678116547</v>
      </c>
      <c r="K63" s="69">
        <f t="shared" si="14"/>
        <v>1678116000</v>
      </c>
      <c r="M63" s="62">
        <f t="shared" ref="M63:Q63" si="15">SUM(M64:M70)</f>
        <v>303365.13300000003</v>
      </c>
      <c r="N63" s="62">
        <f t="shared" si="15"/>
        <v>301219</v>
      </c>
      <c r="O63" s="62">
        <f t="shared" si="15"/>
        <v>470796.70699999999</v>
      </c>
      <c r="P63" s="62">
        <f t="shared" si="15"/>
        <v>532466</v>
      </c>
      <c r="Q63" s="62">
        <f t="shared" si="15"/>
        <v>1211574.5160000001</v>
      </c>
      <c r="R63" s="62">
        <f>SUM(R64:R70)</f>
        <v>877288</v>
      </c>
      <c r="S63" s="69">
        <f>SUM(S64:S70)</f>
        <v>1678116.5469999998</v>
      </c>
      <c r="T63" s="69">
        <f>SUM(T64:T70)</f>
        <v>1678116</v>
      </c>
    </row>
    <row r="64" spans="2:20" ht="13.5" thickTop="1">
      <c r="B64" s="17">
        <v>31</v>
      </c>
      <c r="C64" s="36" t="s">
        <v>29</v>
      </c>
      <c r="D64" s="177">
        <v>101299761</v>
      </c>
      <c r="E64" s="66">
        <v>100000000</v>
      </c>
      <c r="F64" s="177">
        <v>101299761</v>
      </c>
      <c r="G64" s="66">
        <v>100000000</v>
      </c>
      <c r="H64" s="177">
        <v>100000000</v>
      </c>
      <c r="I64" s="66">
        <v>100000000</v>
      </c>
      <c r="J64" s="177">
        <v>300000000</v>
      </c>
      <c r="K64" s="66">
        <v>300000000</v>
      </c>
      <c r="M64" s="66">
        <v>101299.761</v>
      </c>
      <c r="N64" s="66">
        <v>100000</v>
      </c>
      <c r="O64" s="66">
        <v>101299.761</v>
      </c>
      <c r="P64" s="66">
        <v>100000</v>
      </c>
      <c r="Q64" s="66">
        <v>100000</v>
      </c>
      <c r="R64" s="66">
        <v>100000</v>
      </c>
      <c r="S64" s="66">
        <v>300000</v>
      </c>
      <c r="T64" s="66">
        <v>300000</v>
      </c>
    </row>
    <row r="65" spans="2:20">
      <c r="B65" s="17">
        <v>32</v>
      </c>
      <c r="C65" s="37" t="s">
        <v>30</v>
      </c>
      <c r="D65" s="177"/>
      <c r="E65" s="66">
        <v>0</v>
      </c>
      <c r="F65" s="177"/>
      <c r="G65" s="66">
        <v>0</v>
      </c>
      <c r="H65" s="177"/>
      <c r="I65" s="66">
        <v>0</v>
      </c>
      <c r="J65" s="177"/>
      <c r="K65" s="66">
        <v>0</v>
      </c>
      <c r="M65" s="66"/>
      <c r="N65" s="66">
        <v>0</v>
      </c>
      <c r="O65" s="66"/>
      <c r="P65" s="66">
        <v>0</v>
      </c>
      <c r="Q65" s="66"/>
      <c r="R65" s="66">
        <v>0</v>
      </c>
      <c r="S65" s="66"/>
      <c r="T65" s="66">
        <v>0</v>
      </c>
    </row>
    <row r="66" spans="2:20">
      <c r="B66" s="17">
        <v>33</v>
      </c>
      <c r="C66" s="37" t="s">
        <v>66</v>
      </c>
      <c r="D66" s="177">
        <v>6351312</v>
      </c>
      <c r="E66" s="66">
        <v>6351000</v>
      </c>
      <c r="F66" s="177">
        <v>6351312</v>
      </c>
      <c r="G66" s="66">
        <v>6351000</v>
      </c>
      <c r="H66" s="177">
        <v>19987797</v>
      </c>
      <c r="I66" s="66">
        <v>19988000</v>
      </c>
      <c r="J66" s="177">
        <v>19987797</v>
      </c>
      <c r="K66" s="66">
        <v>19988000</v>
      </c>
      <c r="M66" s="66">
        <v>6351.3119999999999</v>
      </c>
      <c r="N66" s="66">
        <v>6351</v>
      </c>
      <c r="O66" s="66">
        <v>6351.3119999999999</v>
      </c>
      <c r="P66" s="66">
        <v>6351</v>
      </c>
      <c r="Q66" s="66">
        <v>19987.796999999999</v>
      </c>
      <c r="R66" s="66">
        <v>19988</v>
      </c>
      <c r="S66" s="66">
        <v>19987.796999999999</v>
      </c>
      <c r="T66" s="66">
        <v>19988</v>
      </c>
    </row>
    <row r="67" spans="2:20">
      <c r="B67" s="17">
        <v>34</v>
      </c>
      <c r="C67" s="37" t="s">
        <v>31</v>
      </c>
      <c r="D67" s="177"/>
      <c r="E67" s="66">
        <v>0</v>
      </c>
      <c r="F67" s="177"/>
      <c r="G67" s="66">
        <v>0</v>
      </c>
      <c r="H67" s="177">
        <v>301980761</v>
      </c>
      <c r="I67" s="66">
        <v>0</v>
      </c>
      <c r="J67" s="177">
        <v>301980761</v>
      </c>
      <c r="K67" s="66">
        <v>301981000</v>
      </c>
      <c r="M67" s="66"/>
      <c r="N67" s="66">
        <v>0</v>
      </c>
      <c r="O67" s="66"/>
      <c r="P67" s="66">
        <v>0</v>
      </c>
      <c r="Q67" s="66">
        <v>301980.761</v>
      </c>
      <c r="R67" s="66">
        <v>0</v>
      </c>
      <c r="S67" s="66">
        <v>301980.761</v>
      </c>
      <c r="T67" s="66">
        <v>301981</v>
      </c>
    </row>
    <row r="68" spans="2:20">
      <c r="B68" s="17">
        <v>35</v>
      </c>
      <c r="C68" s="37" t="s">
        <v>32</v>
      </c>
      <c r="D68" s="177"/>
      <c r="E68" s="66">
        <v>0</v>
      </c>
      <c r="F68" s="177"/>
      <c r="G68" s="66">
        <v>0</v>
      </c>
      <c r="H68" s="177"/>
      <c r="I68" s="66">
        <v>0</v>
      </c>
      <c r="J68" s="177"/>
      <c r="K68" s="66">
        <v>0</v>
      </c>
      <c r="M68" s="66"/>
      <c r="N68" s="66">
        <v>0</v>
      </c>
      <c r="O68" s="66"/>
      <c r="P68" s="66">
        <v>0</v>
      </c>
      <c r="Q68" s="66"/>
      <c r="R68" s="66">
        <v>0</v>
      </c>
      <c r="S68" s="66"/>
      <c r="T68" s="66">
        <v>0</v>
      </c>
    </row>
    <row r="69" spans="2:20">
      <c r="B69" s="17">
        <v>36</v>
      </c>
      <c r="C69" s="37" t="s">
        <v>33</v>
      </c>
      <c r="D69" s="177">
        <v>121225217</v>
      </c>
      <c r="E69" s="66">
        <v>120379000</v>
      </c>
      <c r="F69" s="177">
        <v>170546160</v>
      </c>
      <c r="G69" s="66">
        <v>231247000</v>
      </c>
      <c r="H69" s="177">
        <v>354268841</v>
      </c>
      <c r="I69" s="66">
        <v>321962000</v>
      </c>
      <c r="J69" s="177">
        <v>491207612</v>
      </c>
      <c r="K69" s="66">
        <v>491207000</v>
      </c>
      <c r="M69" s="66">
        <v>121225.217</v>
      </c>
      <c r="N69" s="66">
        <v>120379</v>
      </c>
      <c r="O69" s="66">
        <v>170546.16</v>
      </c>
      <c r="P69" s="66">
        <v>231247</v>
      </c>
      <c r="Q69" s="66">
        <v>354268.84100000001</v>
      </c>
      <c r="R69" s="66">
        <v>321962</v>
      </c>
      <c r="S69" s="66">
        <v>491207.61200000002</v>
      </c>
      <c r="T69" s="66">
        <v>491207</v>
      </c>
    </row>
    <row r="70" spans="2:20">
      <c r="B70" s="17">
        <v>37</v>
      </c>
      <c r="C70" s="38" t="s">
        <v>34</v>
      </c>
      <c r="D70" s="177">
        <v>74488843</v>
      </c>
      <c r="E70" s="66">
        <v>74489000</v>
      </c>
      <c r="F70" s="177">
        <v>192599474</v>
      </c>
      <c r="G70" s="66">
        <v>194868000</v>
      </c>
      <c r="H70" s="177">
        <v>435337117</v>
      </c>
      <c r="I70" s="66">
        <v>435338000</v>
      </c>
      <c r="J70" s="177">
        <v>564940377</v>
      </c>
      <c r="K70" s="66">
        <v>564940000</v>
      </c>
      <c r="M70" s="66">
        <v>74488.842999999993</v>
      </c>
      <c r="N70" s="66">
        <v>74489</v>
      </c>
      <c r="O70" s="66">
        <v>192599.47399999999</v>
      </c>
      <c r="P70" s="66">
        <v>194868</v>
      </c>
      <c r="Q70" s="66">
        <v>435337.11700000003</v>
      </c>
      <c r="R70" s="66">
        <v>435338</v>
      </c>
      <c r="S70" s="66">
        <v>564940.37699999998</v>
      </c>
      <c r="T70" s="66">
        <v>564940</v>
      </c>
    </row>
    <row r="71" spans="2:20" ht="13.5" thickBot="1">
      <c r="B71" s="17"/>
      <c r="C71" s="205" t="s">
        <v>36</v>
      </c>
      <c r="D71" s="206">
        <f t="shared" ref="D71:K71" si="16">+D63+D41</f>
        <v>958778212</v>
      </c>
      <c r="E71" s="206">
        <f t="shared" si="16"/>
        <v>962313000</v>
      </c>
      <c r="F71" s="206">
        <f t="shared" si="16"/>
        <v>1745741886</v>
      </c>
      <c r="G71" s="206">
        <f t="shared" si="16"/>
        <v>1745541000</v>
      </c>
      <c r="H71" s="206">
        <f t="shared" si="16"/>
        <v>4025870717</v>
      </c>
      <c r="I71" s="206">
        <f t="shared" si="16"/>
        <v>3493342000</v>
      </c>
      <c r="J71" s="209">
        <f t="shared" si="16"/>
        <v>4548887943</v>
      </c>
      <c r="K71" s="209">
        <f t="shared" si="16"/>
        <v>4557497000</v>
      </c>
      <c r="M71" s="57">
        <f t="shared" ref="M71:Q71" si="17">+M63+M41</f>
        <v>958778.21199999994</v>
      </c>
      <c r="N71" s="57">
        <f t="shared" si="17"/>
        <v>962313</v>
      </c>
      <c r="O71" s="57">
        <f t="shared" si="17"/>
        <v>1745741.8859999997</v>
      </c>
      <c r="P71" s="57">
        <f t="shared" si="17"/>
        <v>1745541</v>
      </c>
      <c r="Q71" s="57">
        <f t="shared" si="17"/>
        <v>4025870.7169999992</v>
      </c>
      <c r="R71" s="57">
        <f>+R63+R41</f>
        <v>3493342</v>
      </c>
      <c r="S71" s="70">
        <f>+S63+S41</f>
        <v>4548887.943</v>
      </c>
      <c r="T71" s="70">
        <f>+T63+T41</f>
        <v>4557497</v>
      </c>
    </row>
    <row r="72" spans="2:20" ht="13.5" thickTop="1">
      <c r="B72" s="22">
        <v>38</v>
      </c>
      <c r="C72" s="39" t="s">
        <v>35</v>
      </c>
      <c r="D72" s="178">
        <f>+D39</f>
        <v>0</v>
      </c>
      <c r="E72" s="40">
        <v>0</v>
      </c>
      <c r="F72" s="190">
        <f>+F39</f>
        <v>0</v>
      </c>
      <c r="G72" s="79">
        <f>+G39</f>
        <v>0</v>
      </c>
      <c r="H72" s="178">
        <f>+H39</f>
        <v>0</v>
      </c>
      <c r="I72" s="40">
        <f>+I39</f>
        <v>0</v>
      </c>
      <c r="J72" s="190">
        <f>+J39</f>
        <v>0</v>
      </c>
      <c r="K72" s="79">
        <v>0</v>
      </c>
      <c r="M72" s="40">
        <f>+M39</f>
        <v>0</v>
      </c>
      <c r="N72" s="40">
        <v>0</v>
      </c>
      <c r="O72" s="79">
        <f>+O39</f>
        <v>0</v>
      </c>
      <c r="P72" s="79">
        <f>+P39</f>
        <v>0</v>
      </c>
      <c r="Q72" s="40">
        <f>+Q39</f>
        <v>0</v>
      </c>
      <c r="R72" s="40">
        <v>301981</v>
      </c>
      <c r="S72" s="222">
        <f t="shared" ref="S72" si="18">+K72-J72</f>
        <v>0</v>
      </c>
      <c r="T72" s="79">
        <v>0</v>
      </c>
    </row>
    <row r="73" spans="2:20" s="77" customFormat="1">
      <c r="B73" s="75"/>
      <c r="C73" s="76" t="s">
        <v>69</v>
      </c>
      <c r="D73" s="179" t="str">
        <f t="shared" ref="D73:K73" si="19">+IF(D71=D23,"OK","ERROR")</f>
        <v>OK</v>
      </c>
      <c r="E73" s="78" t="str">
        <f t="shared" si="19"/>
        <v>OK</v>
      </c>
      <c r="F73" s="179" t="str">
        <f t="shared" si="19"/>
        <v>ERROR</v>
      </c>
      <c r="G73" s="78" t="str">
        <f t="shared" si="19"/>
        <v>OK</v>
      </c>
      <c r="H73" s="179" t="str">
        <f t="shared" si="19"/>
        <v>OK</v>
      </c>
      <c r="I73" s="78" t="str">
        <f t="shared" si="19"/>
        <v>ERROR</v>
      </c>
      <c r="J73" s="179" t="str">
        <f t="shared" si="19"/>
        <v>OK</v>
      </c>
      <c r="K73" s="78" t="str">
        <f t="shared" si="19"/>
        <v>OK</v>
      </c>
      <c r="M73" s="78" t="str">
        <f t="shared" ref="M73:Q73" si="20">+IF(M71=M23,"OK","ERROR")</f>
        <v>OK</v>
      </c>
      <c r="N73" s="78" t="str">
        <f t="shared" si="20"/>
        <v>OK</v>
      </c>
      <c r="O73" s="78" t="str">
        <f t="shared" si="20"/>
        <v>ERROR</v>
      </c>
      <c r="P73" s="78" t="str">
        <f t="shared" si="20"/>
        <v>OK</v>
      </c>
      <c r="Q73" s="78" t="str">
        <f t="shared" si="20"/>
        <v>OK</v>
      </c>
      <c r="R73" s="78" t="str">
        <f>+IF(R71=R23,"OK","ERROR")</f>
        <v>OK</v>
      </c>
      <c r="S73" s="78" t="str">
        <f>+IF(S71=S23,"OK","ERROR")</f>
        <v>OK</v>
      </c>
      <c r="T73" s="78" t="str">
        <f>+IF(T71=T23,"OK","ERROR")</f>
        <v>OK</v>
      </c>
    </row>
    <row r="74" spans="2:20">
      <c r="B74" s="23"/>
      <c r="C74" s="41"/>
      <c r="D74" s="180">
        <f t="shared" ref="D74:K74" si="21">+D71-D23</f>
        <v>0</v>
      </c>
      <c r="E74" s="100">
        <f t="shared" si="21"/>
        <v>0</v>
      </c>
      <c r="F74" s="180">
        <f t="shared" si="21"/>
        <v>1032000</v>
      </c>
      <c r="G74" s="100">
        <f t="shared" si="21"/>
        <v>0</v>
      </c>
      <c r="H74" s="180">
        <f t="shared" si="21"/>
        <v>0</v>
      </c>
      <c r="I74" s="100">
        <f t="shared" si="21"/>
        <v>-301981000</v>
      </c>
      <c r="J74" s="180">
        <f t="shared" si="21"/>
        <v>0</v>
      </c>
      <c r="K74" s="100">
        <f t="shared" si="21"/>
        <v>0</v>
      </c>
      <c r="M74" s="100">
        <f t="shared" ref="M74:Q74" si="22">+M71-M23</f>
        <v>0</v>
      </c>
      <c r="N74" s="100">
        <f t="shared" si="22"/>
        <v>0</v>
      </c>
      <c r="O74" s="100">
        <f t="shared" si="22"/>
        <v>1031.9999999997672</v>
      </c>
      <c r="P74" s="100">
        <f t="shared" si="22"/>
        <v>0</v>
      </c>
      <c r="Q74" s="100">
        <f t="shared" si="22"/>
        <v>0</v>
      </c>
      <c r="R74" s="100">
        <f>+R71-R23</f>
        <v>0</v>
      </c>
      <c r="S74" s="226"/>
      <c r="T74" s="100">
        <f>+T71-T23</f>
        <v>0</v>
      </c>
    </row>
    <row r="75" spans="2:20" ht="13.5" thickBot="1">
      <c r="B75" s="15">
        <v>41</v>
      </c>
      <c r="C75" s="24" t="s">
        <v>37</v>
      </c>
      <c r="D75" s="181">
        <v>3516621835</v>
      </c>
      <c r="E75" s="44">
        <v>3516622000</v>
      </c>
      <c r="F75" s="181">
        <v>6228000677</v>
      </c>
      <c r="G75" s="44">
        <v>6222536000</v>
      </c>
      <c r="H75" s="181">
        <v>8787700031</v>
      </c>
      <c r="I75" s="44">
        <v>8650756000</v>
      </c>
      <c r="J75" s="181">
        <v>10931437056</v>
      </c>
      <c r="K75" s="44">
        <v>10591546000</v>
      </c>
      <c r="M75" s="44">
        <v>3516621.835</v>
      </c>
      <c r="N75" s="44">
        <v>3516622</v>
      </c>
      <c r="O75" s="44">
        <v>6228000.6770000001</v>
      </c>
      <c r="P75" s="44">
        <v>6222536</v>
      </c>
      <c r="Q75" s="44">
        <v>8787700.0309999995</v>
      </c>
      <c r="R75" s="44">
        <v>8650756</v>
      </c>
      <c r="S75" s="44">
        <v>10931437.056</v>
      </c>
      <c r="T75" s="44">
        <v>10591546</v>
      </c>
    </row>
    <row r="76" spans="2:20" ht="13.5" thickTop="1">
      <c r="B76" s="17"/>
      <c r="C76" s="25" t="s">
        <v>80</v>
      </c>
      <c r="D76" s="182"/>
      <c r="E76" s="54"/>
      <c r="F76" s="182"/>
      <c r="G76" s="54"/>
      <c r="H76" s="182">
        <v>136944421</v>
      </c>
      <c r="I76" s="54"/>
      <c r="J76" s="182">
        <v>339891468</v>
      </c>
      <c r="K76" s="54"/>
      <c r="M76" s="54"/>
      <c r="N76" s="54"/>
      <c r="O76" s="54"/>
      <c r="P76" s="54"/>
      <c r="Q76" s="54">
        <v>136944.421</v>
      </c>
      <c r="R76" s="54"/>
      <c r="S76" s="54">
        <v>339891.46799999999</v>
      </c>
      <c r="T76" s="54"/>
    </row>
    <row r="77" spans="2:20">
      <c r="B77" s="17">
        <v>61</v>
      </c>
      <c r="C77" s="25" t="s">
        <v>38</v>
      </c>
      <c r="D77" s="182">
        <v>3020392724</v>
      </c>
      <c r="E77" s="54">
        <v>3021260000</v>
      </c>
      <c r="F77" s="182">
        <v>5407345446</v>
      </c>
      <c r="G77" s="54">
        <v>5401125000</v>
      </c>
      <c r="H77" s="182">
        <v>7546523020</v>
      </c>
      <c r="I77" s="54">
        <v>7543650000</v>
      </c>
      <c r="J77" s="182">
        <v>9419365000</v>
      </c>
      <c r="K77" s="54">
        <v>9419366000</v>
      </c>
      <c r="M77" s="54">
        <v>3020392.7239999999</v>
      </c>
      <c r="N77" s="54">
        <v>3021260</v>
      </c>
      <c r="O77" s="54">
        <v>5407345.4460000005</v>
      </c>
      <c r="P77" s="54">
        <v>5401125</v>
      </c>
      <c r="Q77" s="54">
        <v>7546523.0199999996</v>
      </c>
      <c r="R77" s="54">
        <v>7543650</v>
      </c>
      <c r="S77" s="54">
        <v>9419365</v>
      </c>
      <c r="T77" s="54">
        <v>9419366</v>
      </c>
    </row>
    <row r="78" spans="2:20" ht="13.5" thickBot="1">
      <c r="B78" s="17"/>
      <c r="C78" s="45" t="s">
        <v>39</v>
      </c>
      <c r="D78" s="181">
        <f t="shared" ref="D78:K78" si="23">+D75-D77</f>
        <v>496229111</v>
      </c>
      <c r="E78" s="46">
        <f t="shared" si="23"/>
        <v>495362000</v>
      </c>
      <c r="F78" s="181">
        <f t="shared" si="23"/>
        <v>820655231</v>
      </c>
      <c r="G78" s="46">
        <f t="shared" si="23"/>
        <v>821411000</v>
      </c>
      <c r="H78" s="181">
        <f t="shared" si="23"/>
        <v>1241177011</v>
      </c>
      <c r="I78" s="46">
        <f t="shared" si="23"/>
        <v>1107106000</v>
      </c>
      <c r="J78" s="202">
        <f t="shared" si="23"/>
        <v>1512072056</v>
      </c>
      <c r="K78" s="71">
        <f t="shared" si="23"/>
        <v>1172180000</v>
      </c>
      <c r="M78" s="46">
        <f t="shared" ref="M78:Q78" si="24">+M75-M77</f>
        <v>496229.11100000003</v>
      </c>
      <c r="N78" s="46">
        <f t="shared" si="24"/>
        <v>495362</v>
      </c>
      <c r="O78" s="46">
        <f t="shared" si="24"/>
        <v>820655.23099999968</v>
      </c>
      <c r="P78" s="46">
        <f t="shared" si="24"/>
        <v>821411</v>
      </c>
      <c r="Q78" s="46">
        <f t="shared" si="24"/>
        <v>1241177.0109999999</v>
      </c>
      <c r="R78" s="46">
        <f>+R75-R77</f>
        <v>1107106</v>
      </c>
      <c r="S78" s="71">
        <f>+S75-S77</f>
        <v>1512072.0559999999</v>
      </c>
      <c r="T78" s="71">
        <f>+T75-T77</f>
        <v>1172180</v>
      </c>
    </row>
    <row r="79" spans="2:20" ht="13.5" thickTop="1">
      <c r="B79" s="17">
        <v>51</v>
      </c>
      <c r="C79" s="26" t="s">
        <v>40</v>
      </c>
      <c r="D79" s="183">
        <v>209213884</v>
      </c>
      <c r="E79" s="55">
        <v>209214000</v>
      </c>
      <c r="F79" s="183">
        <v>314010840</v>
      </c>
      <c r="G79" s="55">
        <v>312940000</v>
      </c>
      <c r="H79" s="183">
        <v>464534591</v>
      </c>
      <c r="I79" s="55">
        <v>464515000</v>
      </c>
      <c r="J79" s="183">
        <v>483867604</v>
      </c>
      <c r="K79" s="55">
        <v>483867000</v>
      </c>
      <c r="M79" s="55">
        <v>209213.88399999999</v>
      </c>
      <c r="N79" s="55">
        <v>209214</v>
      </c>
      <c r="O79" s="55">
        <v>314010.84000000003</v>
      </c>
      <c r="P79" s="55">
        <v>312940</v>
      </c>
      <c r="Q79" s="55">
        <v>464534.59100000001</v>
      </c>
      <c r="R79" s="55">
        <v>464515</v>
      </c>
      <c r="S79" s="55">
        <v>483867.60399999999</v>
      </c>
      <c r="T79" s="55">
        <v>483867</v>
      </c>
    </row>
    <row r="80" spans="2:20">
      <c r="B80" s="17">
        <v>5105</v>
      </c>
      <c r="C80" s="25" t="s">
        <v>70</v>
      </c>
      <c r="D80" s="182">
        <v>23725896</v>
      </c>
      <c r="E80" s="54"/>
      <c r="F80" s="182">
        <v>17383815</v>
      </c>
      <c r="G80" s="54"/>
      <c r="H80" s="182">
        <v>31467047</v>
      </c>
      <c r="I80" s="54"/>
      <c r="J80" s="182">
        <v>44353720</v>
      </c>
      <c r="K80" s="54"/>
      <c r="M80" s="54">
        <v>23725.896000000001</v>
      </c>
      <c r="N80" s="54"/>
      <c r="O80" s="54">
        <v>17383.814999999999</v>
      </c>
      <c r="P80" s="54"/>
      <c r="Q80" s="54">
        <v>31467.046999999999</v>
      </c>
      <c r="R80" s="54"/>
      <c r="S80" s="54">
        <v>44353.72</v>
      </c>
      <c r="T80" s="54"/>
    </row>
    <row r="81" spans="2:21">
      <c r="B81" s="17">
        <v>5160</v>
      </c>
      <c r="C81" s="25" t="s">
        <v>71</v>
      </c>
      <c r="D81" s="182">
        <v>29024218</v>
      </c>
      <c r="E81" s="54"/>
      <c r="F81" s="182">
        <v>26736000</v>
      </c>
      <c r="G81" s="54"/>
      <c r="H81" s="182">
        <v>51473208</v>
      </c>
      <c r="I81" s="54"/>
      <c r="J81" s="182">
        <v>48107280</v>
      </c>
      <c r="K81" s="54"/>
      <c r="M81" s="54">
        <v>29024.218000000001</v>
      </c>
      <c r="N81" s="54"/>
      <c r="O81" s="54">
        <v>26736</v>
      </c>
      <c r="P81" s="54"/>
      <c r="Q81" s="54">
        <v>51473.207999999999</v>
      </c>
      <c r="R81" s="54"/>
      <c r="S81" s="54">
        <v>48107.28</v>
      </c>
      <c r="T81" s="54"/>
    </row>
    <row r="82" spans="2:21">
      <c r="B82" s="17">
        <v>5165</v>
      </c>
      <c r="C82" s="25" t="s">
        <v>72</v>
      </c>
      <c r="D82" s="182">
        <v>30856707</v>
      </c>
      <c r="E82" s="54"/>
      <c r="F82" s="182">
        <v>33171601</v>
      </c>
      <c r="G82" s="54"/>
      <c r="H82" s="182">
        <v>28490000</v>
      </c>
      <c r="I82" s="54"/>
      <c r="J82" s="182">
        <v>31080000</v>
      </c>
      <c r="K82" s="54"/>
      <c r="M82" s="54">
        <v>30856.706999999999</v>
      </c>
      <c r="N82" s="54"/>
      <c r="O82" s="54">
        <v>33171.601000000002</v>
      </c>
      <c r="P82" s="54"/>
      <c r="Q82" s="54">
        <v>28490</v>
      </c>
      <c r="R82" s="54"/>
      <c r="S82" s="54">
        <v>31080</v>
      </c>
      <c r="T82" s="54"/>
    </row>
    <row r="83" spans="2:21">
      <c r="B83" s="17">
        <v>52</v>
      </c>
      <c r="C83" s="27" t="s">
        <v>41</v>
      </c>
      <c r="D83" s="184">
        <v>23934904</v>
      </c>
      <c r="E83" s="56">
        <v>23934000</v>
      </c>
      <c r="F83" s="184">
        <v>24588372</v>
      </c>
      <c r="G83" s="56">
        <v>24588000</v>
      </c>
      <c r="H83" s="184">
        <v>90667110</v>
      </c>
      <c r="I83" s="56">
        <v>90667000</v>
      </c>
      <c r="J83" s="184">
        <v>22700743</v>
      </c>
      <c r="K83" s="56">
        <v>22701000</v>
      </c>
      <c r="M83" s="56">
        <v>23934.903999999999</v>
      </c>
      <c r="N83" s="56">
        <v>23934</v>
      </c>
      <c r="O83" s="56">
        <v>24588.371999999999</v>
      </c>
      <c r="P83" s="56">
        <v>24588</v>
      </c>
      <c r="Q83" s="56">
        <v>90667.11</v>
      </c>
      <c r="R83" s="56">
        <v>90667</v>
      </c>
      <c r="S83" s="56">
        <v>22700.742999999999</v>
      </c>
      <c r="T83" s="56">
        <v>22701</v>
      </c>
    </row>
    <row r="84" spans="2:21">
      <c r="B84" s="17">
        <v>5205</v>
      </c>
      <c r="C84" s="25" t="s">
        <v>70</v>
      </c>
      <c r="D84" s="182">
        <v>16798794</v>
      </c>
      <c r="E84" s="54"/>
      <c r="F84" s="182">
        <v>5963025</v>
      </c>
      <c r="G84" s="54"/>
      <c r="H84" s="182"/>
      <c r="I84" s="54"/>
      <c r="J84" s="182"/>
      <c r="K84" s="54"/>
      <c r="M84" s="54">
        <v>16798.794000000002</v>
      </c>
      <c r="N84" s="54"/>
      <c r="O84" s="54">
        <v>5963.0249999999996</v>
      </c>
      <c r="P84" s="54"/>
      <c r="Q84" s="54"/>
      <c r="R84" s="54"/>
      <c r="S84" s="54"/>
      <c r="T84" s="54"/>
    </row>
    <row r="85" spans="2:21" ht="20.25">
      <c r="B85" s="17">
        <v>5260</v>
      </c>
      <c r="C85" s="25" t="s">
        <v>71</v>
      </c>
      <c r="D85" s="182"/>
      <c r="E85" s="54"/>
      <c r="F85" s="182"/>
      <c r="G85" s="54"/>
      <c r="H85" s="182"/>
      <c r="I85" s="54"/>
      <c r="J85" s="182"/>
      <c r="K85" s="54"/>
      <c r="M85" s="54"/>
      <c r="N85" s="54"/>
      <c r="O85" s="54"/>
      <c r="P85" s="54"/>
      <c r="Q85" s="54"/>
      <c r="R85" s="54"/>
      <c r="S85" s="54"/>
      <c r="T85" s="54"/>
      <c r="U85" s="221"/>
    </row>
    <row r="86" spans="2:21">
      <c r="B86" s="17">
        <v>5265</v>
      </c>
      <c r="C86" s="25" t="s">
        <v>72</v>
      </c>
      <c r="D86" s="182">
        <v>1510461</v>
      </c>
      <c r="E86" s="54"/>
      <c r="F86" s="182">
        <v>16067847</v>
      </c>
      <c r="G86" s="54"/>
      <c r="H86" s="182"/>
      <c r="I86" s="54"/>
      <c r="J86" s="182"/>
      <c r="K86" s="54"/>
      <c r="M86" s="54">
        <v>1510.461</v>
      </c>
      <c r="N86" s="54"/>
      <c r="O86" s="54">
        <v>16067.847</v>
      </c>
      <c r="P86" s="54"/>
      <c r="Q86" s="54"/>
      <c r="R86" s="54"/>
      <c r="S86" s="54"/>
      <c r="T86" s="54"/>
    </row>
    <row r="87" spans="2:21" ht="13.5" thickBot="1">
      <c r="B87" s="17"/>
      <c r="C87" s="45" t="s">
        <v>42</v>
      </c>
      <c r="D87" s="181">
        <f t="shared" ref="D87:K87" si="25">+D78-D79-D83</f>
        <v>263080323</v>
      </c>
      <c r="E87" s="46">
        <f t="shared" si="25"/>
        <v>262214000</v>
      </c>
      <c r="F87" s="181">
        <f t="shared" si="25"/>
        <v>482056019</v>
      </c>
      <c r="G87" s="46">
        <f t="shared" si="25"/>
        <v>483883000</v>
      </c>
      <c r="H87" s="181">
        <f t="shared" si="25"/>
        <v>685975310</v>
      </c>
      <c r="I87" s="46">
        <f t="shared" si="25"/>
        <v>551924000</v>
      </c>
      <c r="J87" s="181">
        <f t="shared" si="25"/>
        <v>1005503709</v>
      </c>
      <c r="K87" s="46">
        <f t="shared" si="25"/>
        <v>665612000</v>
      </c>
      <c r="M87" s="46">
        <f t="shared" ref="M87:Q87" si="26">+M78-M79-M83</f>
        <v>263080.32300000009</v>
      </c>
      <c r="N87" s="46">
        <f t="shared" si="26"/>
        <v>262214</v>
      </c>
      <c r="O87" s="46">
        <f t="shared" si="26"/>
        <v>482056.01899999968</v>
      </c>
      <c r="P87" s="46">
        <f t="shared" si="26"/>
        <v>483883</v>
      </c>
      <c r="Q87" s="46">
        <f t="shared" si="26"/>
        <v>685975.30999999994</v>
      </c>
      <c r="R87" s="46">
        <f>+R78-R79-R83</f>
        <v>551924</v>
      </c>
      <c r="S87" s="46">
        <f>+S78-S79-S83</f>
        <v>1005503.7089999998</v>
      </c>
      <c r="T87" s="46">
        <f>+T78-T79-T83</f>
        <v>665612</v>
      </c>
    </row>
    <row r="88" spans="2:21" ht="13.5" thickTop="1">
      <c r="B88" s="17">
        <v>42</v>
      </c>
      <c r="C88" s="26" t="s">
        <v>43</v>
      </c>
      <c r="D88" s="183">
        <v>6962121</v>
      </c>
      <c r="E88" s="55">
        <v>6962000</v>
      </c>
      <c r="F88" s="183">
        <v>13727849</v>
      </c>
      <c r="G88" s="55">
        <v>13728000</v>
      </c>
      <c r="H88" s="183">
        <v>62574472</v>
      </c>
      <c r="I88" s="55">
        <v>62575000</v>
      </c>
      <c r="J88" s="183">
        <v>63954354</v>
      </c>
      <c r="K88" s="55">
        <v>63954000</v>
      </c>
      <c r="M88" s="55">
        <v>6962.1210000000001</v>
      </c>
      <c r="N88" s="55">
        <v>6962</v>
      </c>
      <c r="O88" s="55">
        <v>13727.849</v>
      </c>
      <c r="P88" s="55">
        <v>13728</v>
      </c>
      <c r="Q88" s="55">
        <v>62574.472000000002</v>
      </c>
      <c r="R88" s="55">
        <v>62575</v>
      </c>
      <c r="S88" s="55">
        <v>63954.353999999999</v>
      </c>
      <c r="T88" s="55">
        <v>63954</v>
      </c>
    </row>
    <row r="89" spans="2:21">
      <c r="B89" s="17"/>
      <c r="C89" s="25" t="s">
        <v>73</v>
      </c>
      <c r="D89" s="182">
        <v>53939610</v>
      </c>
      <c r="E89" s="54"/>
      <c r="F89" s="191">
        <v>235274272</v>
      </c>
      <c r="G89" s="168"/>
      <c r="H89" s="198"/>
      <c r="I89" s="91"/>
      <c r="J89" s="198"/>
      <c r="K89" s="91"/>
      <c r="M89" s="54">
        <v>53939.61</v>
      </c>
      <c r="N89" s="54"/>
      <c r="O89" s="212">
        <v>235274.272</v>
      </c>
      <c r="P89" s="168"/>
      <c r="Q89" s="91"/>
      <c r="R89" s="91"/>
      <c r="S89" s="91"/>
      <c r="T89" s="91"/>
    </row>
    <row r="90" spans="2:21">
      <c r="B90" s="17">
        <v>53</v>
      </c>
      <c r="C90" s="27" t="s">
        <v>44</v>
      </c>
      <c r="D90" s="184">
        <v>59297227</v>
      </c>
      <c r="E90" s="56">
        <v>59297000</v>
      </c>
      <c r="F90" s="184">
        <v>241028208</v>
      </c>
      <c r="G90" s="56">
        <v>241028000</v>
      </c>
      <c r="H90" s="184">
        <v>257336520</v>
      </c>
      <c r="I90" s="56">
        <v>257337000</v>
      </c>
      <c r="J90" s="184">
        <v>238358982</v>
      </c>
      <c r="K90" s="56">
        <v>238359000</v>
      </c>
      <c r="M90" s="56">
        <v>59297.226999999999</v>
      </c>
      <c r="N90" s="56">
        <v>59297</v>
      </c>
      <c r="O90" s="56">
        <v>241028.20800000001</v>
      </c>
      <c r="P90" s="56">
        <v>241028</v>
      </c>
      <c r="Q90" s="56">
        <v>257336.52</v>
      </c>
      <c r="R90" s="56">
        <v>257337</v>
      </c>
      <c r="S90" s="56">
        <v>238358.98199999999</v>
      </c>
      <c r="T90" s="56">
        <v>238359</v>
      </c>
    </row>
    <row r="91" spans="2:21" ht="13.5" thickBot="1">
      <c r="B91" s="17"/>
      <c r="C91" s="45" t="s">
        <v>45</v>
      </c>
      <c r="D91" s="181">
        <f t="shared" ref="D91:K91" si="27">+D87+D88-D90</f>
        <v>210745217</v>
      </c>
      <c r="E91" s="46">
        <f t="shared" si="27"/>
        <v>209879000</v>
      </c>
      <c r="F91" s="181">
        <f t="shared" si="27"/>
        <v>254755660</v>
      </c>
      <c r="G91" s="46">
        <f t="shared" si="27"/>
        <v>256583000</v>
      </c>
      <c r="H91" s="181">
        <f t="shared" si="27"/>
        <v>491213262</v>
      </c>
      <c r="I91" s="46">
        <f t="shared" si="27"/>
        <v>357162000</v>
      </c>
      <c r="J91" s="181">
        <f t="shared" si="27"/>
        <v>831099081</v>
      </c>
      <c r="K91" s="46">
        <f t="shared" si="27"/>
        <v>491207000</v>
      </c>
      <c r="M91" s="46">
        <f t="shared" ref="M91:Q91" si="28">+M87+M88-M90</f>
        <v>210745.21700000006</v>
      </c>
      <c r="N91" s="46">
        <f t="shared" si="28"/>
        <v>209879</v>
      </c>
      <c r="O91" s="46">
        <f t="shared" si="28"/>
        <v>254755.65999999965</v>
      </c>
      <c r="P91" s="46">
        <f t="shared" si="28"/>
        <v>256583</v>
      </c>
      <c r="Q91" s="46">
        <f t="shared" si="28"/>
        <v>491213.26199999987</v>
      </c>
      <c r="R91" s="46">
        <f>+R87+R88-R90</f>
        <v>357162</v>
      </c>
      <c r="S91" s="46">
        <f>+S87+S88-S90</f>
        <v>831099.08099999989</v>
      </c>
      <c r="T91" s="46">
        <f>+T87+T88-T90</f>
        <v>491207</v>
      </c>
    </row>
    <row r="92" spans="2:21" ht="13.5" thickTop="1">
      <c r="B92" s="17">
        <v>54</v>
      </c>
      <c r="C92" s="25" t="s">
        <v>46</v>
      </c>
      <c r="D92" s="182">
        <v>2634222</v>
      </c>
      <c r="E92" s="54">
        <v>89500000</v>
      </c>
      <c r="F92" s="182">
        <v>0</v>
      </c>
      <c r="G92" s="54">
        <v>25336000</v>
      </c>
      <c r="H92" s="182">
        <v>0</v>
      </c>
      <c r="I92" s="54">
        <v>35200000</v>
      </c>
      <c r="J92" s="182">
        <v>0</v>
      </c>
      <c r="K92" s="54">
        <v>0</v>
      </c>
      <c r="M92" s="54">
        <v>2634.2220000000002</v>
      </c>
      <c r="N92" s="54">
        <v>89500</v>
      </c>
      <c r="O92" s="54">
        <v>0</v>
      </c>
      <c r="P92" s="54">
        <v>25336</v>
      </c>
      <c r="Q92" s="54">
        <v>0</v>
      </c>
      <c r="R92" s="54">
        <v>35200</v>
      </c>
      <c r="S92" s="54">
        <v>0</v>
      </c>
      <c r="T92" s="54">
        <v>0</v>
      </c>
    </row>
    <row r="93" spans="2:21" ht="13.5" thickBot="1">
      <c r="B93" s="22">
        <v>59</v>
      </c>
      <c r="C93" s="45" t="s">
        <v>47</v>
      </c>
      <c r="D93" s="181">
        <f t="shared" ref="D93:K93" si="29">+D91-D92</f>
        <v>208110995</v>
      </c>
      <c r="E93" s="46">
        <f t="shared" si="29"/>
        <v>120379000</v>
      </c>
      <c r="F93" s="181">
        <f t="shared" si="29"/>
        <v>254755660</v>
      </c>
      <c r="G93" s="46">
        <f t="shared" si="29"/>
        <v>231247000</v>
      </c>
      <c r="H93" s="181">
        <f t="shared" si="29"/>
        <v>491213262</v>
      </c>
      <c r="I93" s="46">
        <f t="shared" si="29"/>
        <v>321962000</v>
      </c>
      <c r="J93" s="181">
        <f t="shared" si="29"/>
        <v>831099081</v>
      </c>
      <c r="K93" s="46">
        <f t="shared" si="29"/>
        <v>491207000</v>
      </c>
      <c r="M93" s="46">
        <f t="shared" ref="M93:Q93" si="30">+M91-M92</f>
        <v>208110.99500000005</v>
      </c>
      <c r="N93" s="46">
        <f t="shared" si="30"/>
        <v>120379</v>
      </c>
      <c r="O93" s="46">
        <f t="shared" si="30"/>
        <v>254755.65999999965</v>
      </c>
      <c r="P93" s="46">
        <f t="shared" si="30"/>
        <v>231247</v>
      </c>
      <c r="Q93" s="46">
        <f t="shared" si="30"/>
        <v>491213.26199999987</v>
      </c>
      <c r="R93" s="46">
        <f>+R91-R92</f>
        <v>321962</v>
      </c>
      <c r="S93" s="46">
        <f>+S91-S92</f>
        <v>831099.08099999989</v>
      </c>
      <c r="T93" s="46">
        <f>+T91-T92</f>
        <v>491207</v>
      </c>
    </row>
    <row r="94" spans="2:21" ht="13.5" thickTop="1">
      <c r="B94" s="43"/>
      <c r="C94" s="411" t="s">
        <v>25</v>
      </c>
      <c r="D94" s="412"/>
      <c r="E94" s="412"/>
      <c r="F94" s="412"/>
      <c r="G94" s="412"/>
      <c r="H94" s="412"/>
      <c r="I94" s="412"/>
      <c r="J94" s="412"/>
      <c r="K94" s="165"/>
    </row>
    <row r="95" spans="2:21">
      <c r="B95" s="43"/>
      <c r="C95" s="413"/>
      <c r="D95" s="414"/>
      <c r="E95" s="414"/>
      <c r="F95" s="414"/>
      <c r="G95" s="414"/>
      <c r="H95" s="414"/>
      <c r="I95" s="414"/>
      <c r="J95" s="414"/>
      <c r="K95" s="165"/>
    </row>
    <row r="97" spans="3:11">
      <c r="C97" s="47" t="s">
        <v>74</v>
      </c>
      <c r="D97" s="185"/>
      <c r="E97" s="49"/>
      <c r="F97" s="192"/>
      <c r="G97" s="50"/>
      <c r="H97" s="192"/>
      <c r="I97" s="50"/>
      <c r="J97" s="203"/>
      <c r="K97" s="51"/>
    </row>
    <row r="98" spans="3:11">
      <c r="C98" s="48" t="s">
        <v>100</v>
      </c>
      <c r="D98" s="186"/>
      <c r="E98" s="52"/>
      <c r="F98" s="193">
        <f>+F77-D28+F28</f>
        <v>5776698684</v>
      </c>
      <c r="G98" s="67">
        <f>+G77-F28+G28</f>
        <v>5407345331</v>
      </c>
      <c r="H98" s="193">
        <f>+H77-F28+H28</f>
        <v>8786679657</v>
      </c>
      <c r="I98" s="67">
        <f>+I77-H28+I28</f>
        <v>7543649694</v>
      </c>
      <c r="J98" s="193">
        <f>+J77-H28+J28</f>
        <v>8836228748</v>
      </c>
      <c r="K98" s="67">
        <f>+K77-J28+K28</f>
        <v>9427975946</v>
      </c>
    </row>
    <row r="99" spans="3:11">
      <c r="C99" s="48" t="s">
        <v>113</v>
      </c>
      <c r="D99" s="187"/>
      <c r="E99" s="94"/>
      <c r="F99" s="194"/>
      <c r="G99" s="95"/>
      <c r="H99" s="194"/>
      <c r="I99" s="95"/>
      <c r="J99" s="194"/>
      <c r="K99" s="95"/>
    </row>
    <row r="100" spans="3:11">
      <c r="C100" s="48" t="s">
        <v>152</v>
      </c>
      <c r="D100" s="186"/>
      <c r="E100" s="52"/>
      <c r="F100" s="186"/>
      <c r="G100" s="52"/>
      <c r="H100" s="186"/>
      <c r="I100" s="52"/>
      <c r="J100" s="204"/>
      <c r="K100" s="53"/>
    </row>
    <row r="101" spans="3:11">
      <c r="C101" s="48"/>
      <c r="D101" s="186"/>
      <c r="E101" s="52"/>
      <c r="F101" s="186"/>
      <c r="G101" s="52"/>
      <c r="H101" s="186"/>
      <c r="I101" s="52"/>
      <c r="J101" s="204"/>
      <c r="K101" s="53"/>
    </row>
    <row r="102" spans="3:11">
      <c r="C102" s="48"/>
      <c r="D102" s="186"/>
      <c r="E102" s="52"/>
      <c r="F102" s="186"/>
      <c r="G102" s="52"/>
      <c r="H102" s="186"/>
      <c r="I102" s="52"/>
      <c r="J102" s="204"/>
      <c r="K102" s="53"/>
    </row>
    <row r="103" spans="3:11">
      <c r="C103" s="48"/>
      <c r="D103" s="186"/>
      <c r="E103" s="52"/>
      <c r="F103" s="186"/>
      <c r="G103" s="52"/>
      <c r="H103" s="186"/>
      <c r="I103" s="52"/>
      <c r="J103" s="204"/>
      <c r="K103" s="53"/>
    </row>
    <row r="105" spans="3:11">
      <c r="D105" s="188"/>
      <c r="E105" s="148"/>
      <c r="F105" s="188"/>
      <c r="G105" s="148"/>
      <c r="H105" s="188"/>
      <c r="I105" s="148"/>
      <c r="J105" s="188"/>
      <c r="K105" s="148"/>
    </row>
    <row r="106" spans="3:11">
      <c r="F106" s="195"/>
      <c r="G106" s="149"/>
      <c r="H106" s="195"/>
      <c r="I106" s="149"/>
      <c r="J106" s="195"/>
      <c r="K106" s="149"/>
    </row>
    <row r="107" spans="3:11">
      <c r="F107" s="196"/>
      <c r="G107" s="93"/>
      <c r="H107" s="196"/>
      <c r="I107" s="93"/>
      <c r="J107" s="196"/>
      <c r="K107" s="93"/>
    </row>
    <row r="108" spans="3:11">
      <c r="F108" s="197"/>
      <c r="G108" s="162"/>
      <c r="H108" s="197"/>
      <c r="I108" s="162"/>
      <c r="J108" s="197"/>
      <c r="K108" s="162"/>
    </row>
  </sheetData>
  <mergeCells count="9">
    <mergeCell ref="O20:P20"/>
    <mergeCell ref="Q20:R20"/>
    <mergeCell ref="S20:T20"/>
    <mergeCell ref="C94:J95"/>
    <mergeCell ref="D5:J5"/>
    <mergeCell ref="B13:J14"/>
    <mergeCell ref="B15:J16"/>
    <mergeCell ref="C19:J19"/>
    <mergeCell ref="M20:N2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R108"/>
  <sheetViews>
    <sheetView topLeftCell="A5" workbookViewId="0">
      <selection activeCell="H122" sqref="H122"/>
    </sheetView>
  </sheetViews>
  <sheetFormatPr baseColWidth="10" defaultColWidth="11.42578125" defaultRowHeight="12.75" outlineLevelCol="1"/>
  <cols>
    <col min="1" max="1" width="2.42578125" style="5" customWidth="1"/>
    <col min="2" max="2" width="4.42578125" style="6" bestFit="1" customWidth="1"/>
    <col min="3" max="3" width="34.7109375" style="5" customWidth="1"/>
    <col min="4" max="4" width="14.85546875" style="5" customWidth="1"/>
    <col min="5" max="5" width="16.42578125" style="5" customWidth="1"/>
    <col min="6" max="7" width="16.140625" style="5" bestFit="1" customWidth="1"/>
    <col min="8" max="8" width="32" style="5" customWidth="1" outlineLevel="1"/>
    <col min="9" max="9" width="13.42578125" style="5" customWidth="1" outlineLevel="1"/>
    <col min="10" max="10" width="14.42578125" style="5" customWidth="1" outlineLevel="1"/>
    <col min="11" max="11" width="17.5703125" style="5" customWidth="1" outlineLevel="1"/>
    <col min="12" max="12" width="15.42578125" style="5" customWidth="1" outlineLevel="1"/>
    <col min="13" max="13" width="1.7109375" style="5" customWidth="1"/>
    <col min="14" max="14" width="41.42578125" style="5" customWidth="1" outlineLevel="1"/>
    <col min="15" max="15" width="9.5703125" style="5" customWidth="1" outlineLevel="1"/>
    <col min="16" max="16" width="13.42578125" style="5" customWidth="1" outlineLevel="1"/>
    <col min="17" max="19" width="14.85546875" style="5" customWidth="1" outlineLevel="1"/>
    <col min="20" max="21" width="15" style="5" customWidth="1" outlineLevel="1"/>
    <col min="22" max="22" width="34.28515625" style="5" customWidth="1"/>
    <col min="23" max="23" width="14" style="5" customWidth="1"/>
    <col min="24" max="24" width="14.85546875" style="5" bestFit="1" customWidth="1"/>
    <col min="25" max="26" width="15.42578125" style="5" bestFit="1" customWidth="1"/>
    <col min="27" max="27" width="12.42578125" style="5" bestFit="1" customWidth="1"/>
    <col min="28" max="28" width="13" style="5" customWidth="1"/>
    <col min="29" max="16384" width="11.42578125" style="5"/>
  </cols>
  <sheetData>
    <row r="1" spans="1:148" s="233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232"/>
      <c r="EL1" s="232"/>
      <c r="EM1" s="232"/>
      <c r="EN1" s="232"/>
      <c r="EO1" s="232"/>
      <c r="EP1" s="232"/>
      <c r="EQ1" s="232"/>
      <c r="ER1" s="232"/>
    </row>
    <row r="2" spans="1:148" s="233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  <c r="DM2" s="232"/>
      <c r="DN2" s="232"/>
      <c r="DO2" s="232"/>
      <c r="DP2" s="232"/>
      <c r="DQ2" s="232"/>
      <c r="DR2" s="232"/>
      <c r="DS2" s="232"/>
      <c r="DT2" s="232"/>
      <c r="DU2" s="232"/>
      <c r="DV2" s="232"/>
      <c r="DW2" s="232"/>
      <c r="DX2" s="232"/>
      <c r="DY2" s="232"/>
      <c r="DZ2" s="232"/>
      <c r="EA2" s="232"/>
      <c r="EB2" s="232"/>
      <c r="EC2" s="232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32"/>
    </row>
    <row r="3" spans="1:148" s="233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32"/>
      <c r="DD3" s="232"/>
      <c r="DE3" s="232"/>
      <c r="DF3" s="232"/>
      <c r="DG3" s="232"/>
      <c r="DH3" s="232"/>
      <c r="DI3" s="232"/>
      <c r="DJ3" s="232"/>
      <c r="DK3" s="232"/>
      <c r="DL3" s="232"/>
      <c r="DM3" s="232"/>
      <c r="DN3" s="232"/>
      <c r="DO3" s="232"/>
      <c r="DP3" s="232"/>
      <c r="DQ3" s="232"/>
      <c r="DR3" s="232"/>
      <c r="DS3" s="232"/>
      <c r="DT3" s="232"/>
      <c r="DU3" s="232"/>
      <c r="DV3" s="232"/>
      <c r="DW3" s="232"/>
      <c r="DX3" s="232"/>
      <c r="DY3" s="232"/>
      <c r="DZ3" s="232"/>
      <c r="EA3" s="232"/>
      <c r="EB3" s="232"/>
      <c r="EC3" s="232"/>
      <c r="ED3" s="232"/>
      <c r="EE3" s="232"/>
      <c r="EF3" s="232"/>
      <c r="EG3" s="232"/>
      <c r="EH3" s="232"/>
      <c r="EI3" s="232"/>
      <c r="EJ3" s="232"/>
      <c r="EK3" s="232"/>
      <c r="EL3" s="232"/>
      <c r="EM3" s="232"/>
      <c r="EN3" s="232"/>
      <c r="EO3" s="232"/>
      <c r="EP3" s="232"/>
      <c r="EQ3" s="232"/>
      <c r="ER3" s="232"/>
    </row>
    <row r="4" spans="1:148" s="233" customFormat="1" ht="18">
      <c r="A4" s="1"/>
      <c r="B4" s="1"/>
      <c r="C4" s="32"/>
      <c r="D4" s="32" t="s">
        <v>0</v>
      </c>
      <c r="E4" s="32"/>
      <c r="F4" s="32"/>
      <c r="G4" s="32"/>
      <c r="H4" s="32"/>
      <c r="I4" s="32"/>
      <c r="J4" s="32"/>
      <c r="K4" s="32"/>
      <c r="L4" s="3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32"/>
      <c r="BT4" s="232"/>
      <c r="BU4" s="232"/>
      <c r="BV4" s="232"/>
      <c r="BW4" s="232"/>
      <c r="BX4" s="232"/>
      <c r="BY4" s="232"/>
      <c r="BZ4" s="232"/>
      <c r="CA4" s="232"/>
      <c r="CB4" s="232"/>
      <c r="CC4" s="232"/>
      <c r="CD4" s="232"/>
      <c r="CE4" s="232"/>
      <c r="CF4" s="232"/>
      <c r="CG4" s="232"/>
      <c r="CH4" s="232"/>
      <c r="CI4" s="232"/>
      <c r="CJ4" s="232"/>
      <c r="CK4" s="232"/>
      <c r="CL4" s="232"/>
      <c r="CM4" s="232"/>
      <c r="CN4" s="232"/>
      <c r="CO4" s="232"/>
      <c r="CP4" s="232"/>
      <c r="CQ4" s="232"/>
      <c r="CR4" s="232"/>
      <c r="CS4" s="232"/>
      <c r="CT4" s="232"/>
      <c r="CU4" s="232"/>
      <c r="CV4" s="232"/>
      <c r="CW4" s="232"/>
      <c r="CX4" s="232"/>
      <c r="CY4" s="232"/>
      <c r="CZ4" s="232"/>
      <c r="DA4" s="232"/>
      <c r="DB4" s="232"/>
      <c r="DC4" s="232"/>
      <c r="DD4" s="232"/>
      <c r="DE4" s="232"/>
      <c r="DF4" s="232"/>
      <c r="DG4" s="232"/>
      <c r="DH4" s="232"/>
      <c r="DI4" s="232"/>
      <c r="DJ4" s="232"/>
      <c r="DK4" s="232"/>
      <c r="DL4" s="232"/>
      <c r="DM4" s="232"/>
      <c r="DN4" s="232"/>
      <c r="DO4" s="232"/>
      <c r="DP4" s="232"/>
      <c r="DQ4" s="232"/>
      <c r="DR4" s="232"/>
      <c r="DS4" s="232"/>
      <c r="DT4" s="232"/>
      <c r="DU4" s="232"/>
      <c r="DV4" s="232"/>
      <c r="DW4" s="232"/>
      <c r="DX4" s="232"/>
      <c r="DY4" s="232"/>
      <c r="DZ4" s="232"/>
      <c r="EA4" s="232"/>
      <c r="EB4" s="232"/>
      <c r="EC4" s="232"/>
      <c r="ED4" s="232"/>
      <c r="EE4" s="232"/>
      <c r="EF4" s="232"/>
      <c r="EG4" s="232"/>
      <c r="EH4" s="232"/>
      <c r="EI4" s="232"/>
      <c r="EJ4" s="232"/>
      <c r="EK4" s="232"/>
      <c r="EL4" s="232"/>
      <c r="EM4" s="232"/>
      <c r="EN4" s="232"/>
      <c r="EO4" s="232"/>
      <c r="EP4" s="232"/>
      <c r="EQ4" s="232"/>
      <c r="ER4" s="232"/>
    </row>
    <row r="5" spans="1:148" s="233" customFormat="1" ht="18" customHeight="1">
      <c r="A5" s="1"/>
      <c r="B5" s="1"/>
      <c r="C5" s="31"/>
      <c r="D5" s="393" t="s">
        <v>50</v>
      </c>
      <c r="E5" s="393"/>
      <c r="F5" s="393"/>
      <c r="G5" s="393"/>
      <c r="H5" s="393"/>
      <c r="I5" s="393"/>
      <c r="J5" s="393"/>
      <c r="K5" s="393"/>
      <c r="L5" s="31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2"/>
      <c r="CN5" s="232"/>
      <c r="CO5" s="232"/>
      <c r="CP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</row>
    <row r="6" spans="1:148" s="233" customFormat="1" ht="18" customHeight="1">
      <c r="A6" s="1"/>
      <c r="B6" s="4"/>
      <c r="C6" s="31"/>
      <c r="D6" s="33" t="s">
        <v>48</v>
      </c>
      <c r="E6" s="33"/>
      <c r="F6" s="33"/>
      <c r="G6" s="33"/>
      <c r="H6" s="33"/>
      <c r="I6" s="33"/>
      <c r="J6" s="33"/>
      <c r="K6" s="33"/>
      <c r="L6" s="31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</row>
    <row r="7" spans="1:148" s="233" customFormat="1" ht="15.75">
      <c r="A7" s="1"/>
      <c r="B7" s="4"/>
      <c r="C7" s="4" t="s">
        <v>1</v>
      </c>
      <c r="D7" s="1"/>
      <c r="E7" s="1"/>
      <c r="F7" s="2"/>
      <c r="G7" s="1"/>
      <c r="H7" s="1"/>
      <c r="I7" s="1"/>
      <c r="J7" s="1"/>
      <c r="K7" s="1"/>
      <c r="L7" s="367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</row>
    <row r="8" spans="1:148" s="233" customFormat="1">
      <c r="A8" s="1"/>
      <c r="C8" s="4"/>
      <c r="D8" s="1"/>
      <c r="E8" s="1"/>
      <c r="F8" s="1"/>
      <c r="G8" s="1"/>
      <c r="H8" s="1"/>
      <c r="I8" s="1"/>
      <c r="J8" s="1"/>
      <c r="K8" s="1"/>
      <c r="L8" s="1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</row>
    <row r="9" spans="1:148" s="233" customFormat="1">
      <c r="A9" s="1"/>
      <c r="B9" s="4"/>
      <c r="C9" s="4"/>
      <c r="D9" s="141"/>
      <c r="E9" s="141"/>
      <c r="F9" s="141"/>
      <c r="G9" s="141"/>
      <c r="H9" s="1"/>
      <c r="I9" s="1"/>
      <c r="J9" s="1"/>
      <c r="K9" s="1"/>
      <c r="L9" s="1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</row>
    <row r="10" spans="1:148" s="233" customFormat="1">
      <c r="A10" s="1"/>
      <c r="B10" s="1"/>
      <c r="C10" s="1"/>
      <c r="D10" s="85"/>
      <c r="E10" s="85"/>
      <c r="F10" s="85"/>
      <c r="G10" s="85"/>
      <c r="H10" s="1"/>
      <c r="I10" s="1"/>
      <c r="J10" s="1"/>
      <c r="K10" s="1"/>
      <c r="L10" s="1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</row>
    <row r="11" spans="1:148" s="233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</row>
    <row r="12" spans="1:148" s="233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</row>
    <row r="13" spans="1:148" s="233" customFormat="1" ht="12.75" customHeight="1">
      <c r="A13" s="234"/>
      <c r="B13" s="394" t="s">
        <v>49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05"/>
      <c r="P13" s="368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</row>
    <row r="14" spans="1:148" s="233" customFormat="1" ht="12.75" customHeight="1">
      <c r="A14" s="234"/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05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</row>
    <row r="15" spans="1:148" s="233" customFormat="1" ht="6.75" customHeight="1">
      <c r="A15" s="234"/>
      <c r="B15" s="395" t="s">
        <v>51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06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</row>
    <row r="16" spans="1:148" s="233" customFormat="1" ht="12.75" customHeight="1">
      <c r="A16" s="232"/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06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</row>
    <row r="17" spans="1:26">
      <c r="A17" s="1"/>
      <c r="B17" s="1"/>
      <c r="C17" s="1"/>
      <c r="D17" s="85"/>
      <c r="E17" s="85"/>
      <c r="F17" s="85"/>
      <c r="G17" s="85"/>
      <c r="H17" s="81"/>
      <c r="I17" s="82"/>
      <c r="J17" s="88"/>
      <c r="K17" s="3"/>
      <c r="L17" s="82"/>
    </row>
    <row r="18" spans="1:26" ht="13.5" thickBot="1">
      <c r="D18" s="86"/>
      <c r="E18" s="86">
        <f>+E24-D24</f>
        <v>-212906</v>
      </c>
      <c r="F18" s="86">
        <f>+F24-E24</f>
        <v>38739</v>
      </c>
      <c r="G18" s="86">
        <f>+G24-F24</f>
        <v>-78809</v>
      </c>
      <c r="H18" s="83"/>
      <c r="I18" s="83"/>
      <c r="J18" s="83"/>
      <c r="K18" s="235"/>
      <c r="L18" s="236"/>
      <c r="V18" s="237"/>
    </row>
    <row r="19" spans="1:26" ht="13.5" thickTop="1">
      <c r="B19" s="285"/>
      <c r="C19" s="418" t="s">
        <v>158</v>
      </c>
      <c r="D19" s="418"/>
      <c r="E19" s="418"/>
      <c r="F19" s="418"/>
      <c r="G19" s="420"/>
      <c r="H19" s="398" t="s">
        <v>2</v>
      </c>
      <c r="I19" s="399"/>
      <c r="J19" s="399"/>
      <c r="K19" s="399"/>
      <c r="L19" s="400"/>
      <c r="N19" s="107" t="s">
        <v>151</v>
      </c>
      <c r="O19" s="97"/>
      <c r="P19" s="401" t="s">
        <v>101</v>
      </c>
      <c r="Q19" s="401"/>
      <c r="R19" s="401"/>
      <c r="S19" s="401"/>
      <c r="T19" s="401"/>
      <c r="U19" s="401"/>
      <c r="V19" s="364" t="str">
        <f>+C19</f>
        <v>EMPRESA: DISHIERROS EU</v>
      </c>
      <c r="W19" s="402" t="s">
        <v>136</v>
      </c>
      <c r="X19" s="401"/>
      <c r="Y19" s="401"/>
      <c r="Z19" s="403"/>
    </row>
    <row r="20" spans="1:26">
      <c r="B20" s="286"/>
      <c r="C20" s="99" t="s">
        <v>102</v>
      </c>
      <c r="D20" s="238">
        <v>2007</v>
      </c>
      <c r="E20" s="238">
        <v>2008</v>
      </c>
      <c r="F20" s="238">
        <v>2009</v>
      </c>
      <c r="G20" s="301">
        <v>2010</v>
      </c>
      <c r="H20" s="98" t="s">
        <v>3</v>
      </c>
      <c r="I20" s="239">
        <v>2007</v>
      </c>
      <c r="J20" s="239">
        <v>2008</v>
      </c>
      <c r="K20" s="239">
        <v>2009</v>
      </c>
      <c r="L20" s="239">
        <v>2010</v>
      </c>
      <c r="N20" s="108" t="s">
        <v>3</v>
      </c>
      <c r="O20" s="7"/>
      <c r="P20" s="404">
        <v>2008</v>
      </c>
      <c r="Q20" s="405"/>
      <c r="R20" s="404">
        <v>2009</v>
      </c>
      <c r="S20" s="405"/>
      <c r="T20" s="404">
        <v>2010</v>
      </c>
      <c r="U20" s="406"/>
      <c r="V20" s="99" t="s">
        <v>102</v>
      </c>
      <c r="W20" s="240">
        <f>+D20</f>
        <v>2007</v>
      </c>
      <c r="X20" s="240">
        <f>+E20</f>
        <v>2008</v>
      </c>
      <c r="Y20" s="240">
        <f>+F20</f>
        <v>2009</v>
      </c>
      <c r="Z20" s="362">
        <f>+G20</f>
        <v>2010</v>
      </c>
    </row>
    <row r="21" spans="1:26" ht="13.5" thickBot="1">
      <c r="B21" s="288"/>
      <c r="C21" s="289" t="s">
        <v>3</v>
      </c>
      <c r="D21" s="290"/>
      <c r="E21" s="290"/>
      <c r="F21" s="290"/>
      <c r="G21" s="291"/>
      <c r="H21" s="387" t="s">
        <v>4</v>
      </c>
      <c r="I21" s="381"/>
      <c r="J21" s="381"/>
      <c r="K21" s="381"/>
      <c r="L21" s="381"/>
      <c r="N21" s="109" t="s">
        <v>3</v>
      </c>
      <c r="O21" s="10"/>
      <c r="P21" s="101" t="s">
        <v>105</v>
      </c>
      <c r="Q21" s="102" t="s">
        <v>106</v>
      </c>
      <c r="R21" s="101" t="s">
        <v>105</v>
      </c>
      <c r="S21" s="102" t="s">
        <v>106</v>
      </c>
      <c r="T21" s="101" t="s">
        <v>105</v>
      </c>
      <c r="U21" s="151" t="s">
        <v>106</v>
      </c>
      <c r="V21" s="99" t="s">
        <v>3</v>
      </c>
      <c r="W21" s="150"/>
      <c r="X21" s="11"/>
      <c r="Y21" s="11"/>
      <c r="Z21" s="12"/>
    </row>
    <row r="22" spans="1:26">
      <c r="B22" s="13"/>
      <c r="C22" s="14"/>
      <c r="D22" s="14"/>
      <c r="E22" s="14"/>
      <c r="F22" s="14"/>
      <c r="G22" s="14"/>
      <c r="H22" s="241"/>
      <c r="I22" s="242"/>
      <c r="J22" s="242"/>
      <c r="K22" s="242"/>
      <c r="L22" s="242"/>
      <c r="P22" s="103"/>
      <c r="Q22" s="104"/>
      <c r="R22" s="103"/>
      <c r="S22" s="104"/>
      <c r="T22" s="103"/>
      <c r="U22" s="152"/>
      <c r="V22" s="154"/>
      <c r="W22" s="14"/>
      <c r="X22" s="14"/>
      <c r="Y22" s="14"/>
      <c r="Z22" s="155"/>
    </row>
    <row r="23" spans="1:26" ht="13.5" customHeight="1" thickBot="1">
      <c r="B23" s="15">
        <v>10</v>
      </c>
      <c r="C23" s="243" t="s">
        <v>67</v>
      </c>
      <c r="D23" s="57">
        <f>+D30+D38</f>
        <v>6804097</v>
      </c>
      <c r="E23" s="58">
        <f>+E30+E38</f>
        <v>7866636</v>
      </c>
      <c r="F23" s="58">
        <f>+F30+F38</f>
        <v>7033899</v>
      </c>
      <c r="G23" s="59">
        <f>+G30+G38</f>
        <v>8304468</v>
      </c>
      <c r="H23" s="244"/>
      <c r="I23" s="16"/>
      <c r="J23" s="380" t="s">
        <v>114</v>
      </c>
      <c r="K23" s="381"/>
      <c r="L23" s="382"/>
      <c r="N23" s="243" t="s">
        <v>67</v>
      </c>
      <c r="O23" s="245" t="s">
        <v>103</v>
      </c>
      <c r="P23" s="103"/>
      <c r="Q23" s="104"/>
      <c r="R23" s="103"/>
      <c r="S23" s="104"/>
      <c r="T23" s="103"/>
      <c r="U23" s="152"/>
      <c r="V23" s="347" t="s">
        <v>161</v>
      </c>
      <c r="W23" s="143">
        <f>+W24+W25</f>
        <v>3343451</v>
      </c>
      <c r="X23" s="144">
        <f>+X24+X25</f>
        <v>4196787</v>
      </c>
      <c r="Y23" s="144">
        <f>+Y24+Y25</f>
        <v>4358974</v>
      </c>
      <c r="Z23" s="145">
        <f>+Z24+Z25</f>
        <v>5098090</v>
      </c>
    </row>
    <row r="24" spans="1:26" ht="13.5" thickTop="1">
      <c r="B24" s="17">
        <v>11</v>
      </c>
      <c r="C24" s="246" t="s">
        <v>5</v>
      </c>
      <c r="D24" s="60">
        <v>283629</v>
      </c>
      <c r="E24" s="60">
        <v>70723</v>
      </c>
      <c r="F24" s="60">
        <v>109462</v>
      </c>
      <c r="G24" s="60">
        <v>30653</v>
      </c>
      <c r="H24" s="247" t="s">
        <v>81</v>
      </c>
      <c r="I24" s="19">
        <f>+D23</f>
        <v>6804097</v>
      </c>
      <c r="J24" s="350">
        <f>+E23/D23-1</f>
        <v>0.15616164790125708</v>
      </c>
      <c r="K24" s="350">
        <f>+F23/E23-1</f>
        <v>-0.10585681096722921</v>
      </c>
      <c r="L24" s="350">
        <f>+G23/F23-1</f>
        <v>0.18063509299749692</v>
      </c>
      <c r="N24" s="248"/>
      <c r="O24" s="249"/>
      <c r="P24" s="250"/>
      <c r="Q24" s="104"/>
      <c r="R24" s="103"/>
      <c r="S24" s="104"/>
      <c r="T24" s="103"/>
      <c r="U24" s="152"/>
      <c r="V24" s="360" t="s">
        <v>132</v>
      </c>
      <c r="W24" s="359">
        <f>+D30-D51+D42+D50</f>
        <v>1890183</v>
      </c>
      <c r="X24" s="359">
        <f>+E30-E51+E42+E50</f>
        <v>2595547</v>
      </c>
      <c r="Y24" s="359">
        <f>+F30-F51+F42+F50</f>
        <v>2747075</v>
      </c>
      <c r="Z24" s="358">
        <f>+G30-G51+G42+G50</f>
        <v>3664991</v>
      </c>
    </row>
    <row r="25" spans="1:26">
      <c r="B25" s="17">
        <v>12</v>
      </c>
      <c r="C25" s="251" t="s">
        <v>56</v>
      </c>
      <c r="D25" s="60"/>
      <c r="E25" s="60"/>
      <c r="F25" s="60">
        <v>6300</v>
      </c>
      <c r="G25" s="60"/>
      <c r="H25" s="252" t="s">
        <v>112</v>
      </c>
      <c r="I25" s="19">
        <f>+D27+D28+D33</f>
        <v>5714257</v>
      </c>
      <c r="J25" s="350">
        <f>(E27+E28+E33)/(+D27+D28+D33)-1</f>
        <v>5.5355753162659616E-2</v>
      </c>
      <c r="K25" s="350">
        <f>(F27+F28+F33)/(+E27+E28+E33)-1</f>
        <v>1.6325974940362142E-2</v>
      </c>
      <c r="L25" s="350">
        <f>(G27+G28+G33)/(+F27+F28+F33)-1</f>
        <v>0.1896528797628465</v>
      </c>
      <c r="N25" s="251" t="s">
        <v>56</v>
      </c>
      <c r="O25" s="253" t="str">
        <f>IF(E25-D25&lt;0,"F","U")</f>
        <v>U</v>
      </c>
      <c r="P25" s="254">
        <f>IF(E25-D25&lt;0,0,ABS(E25-D25))</f>
        <v>0</v>
      </c>
      <c r="Q25" s="255">
        <f>IF(E25-D25&gt;0,0,ABS(E25-D25))</f>
        <v>0</v>
      </c>
      <c r="R25" s="254">
        <f>IF(F25-E25&lt;0,0,ABS(F25-E25))</f>
        <v>6300</v>
      </c>
      <c r="S25" s="255">
        <f>IF(F25-E25&gt;0,0,ABS(F25-E25))</f>
        <v>0</v>
      </c>
      <c r="T25" s="254">
        <f>IF(G25-F25&lt;0,0,ABS(G25-F25))</f>
        <v>0</v>
      </c>
      <c r="U25" s="256">
        <f>IF(G25-F25&gt;0,0,ABS(G25-F25))</f>
        <v>6300</v>
      </c>
      <c r="V25" s="328" t="s">
        <v>133</v>
      </c>
      <c r="W25" s="341">
        <f>+D33+D34</f>
        <v>1453268</v>
      </c>
      <c r="X25" s="341">
        <f>+E33+E34</f>
        <v>1601240</v>
      </c>
      <c r="Y25" s="341">
        <f>+F33+F34</f>
        <v>1611899</v>
      </c>
      <c r="Z25" s="340">
        <f>+G33+G34</f>
        <v>1433099</v>
      </c>
    </row>
    <row r="26" spans="1:26">
      <c r="B26" s="17">
        <v>13</v>
      </c>
      <c r="C26" s="251" t="s">
        <v>57</v>
      </c>
      <c r="D26" s="60">
        <v>2955752</v>
      </c>
      <c r="E26" s="60">
        <v>4177571</v>
      </c>
      <c r="F26" s="60">
        <v>2264298</v>
      </c>
      <c r="G26" s="60">
        <v>2396360</v>
      </c>
      <c r="H26" s="252" t="s">
        <v>68</v>
      </c>
      <c r="I26" s="19">
        <f>+D41</f>
        <v>5033187</v>
      </c>
      <c r="J26" s="84">
        <f>+E41/D41-1</f>
        <v>4.3767497611354456E-2</v>
      </c>
      <c r="K26" s="84">
        <f>+F41/E41-1</f>
        <v>-0.33130001330547365</v>
      </c>
      <c r="L26" s="84">
        <f>+G41/F41-1</f>
        <v>0.51045374323939652</v>
      </c>
      <c r="N26" s="251" t="s">
        <v>57</v>
      </c>
      <c r="O26" s="253" t="str">
        <f>IF(E26-D26&lt;0,"F","U")</f>
        <v>U</v>
      </c>
      <c r="P26" s="254">
        <f>IF(E26-D26&lt;0,0,ABS(E26-D26))</f>
        <v>1221819</v>
      </c>
      <c r="Q26" s="255">
        <f>IF(E26-D26&gt;0,0,ABS(E26-D26))</f>
        <v>0</v>
      </c>
      <c r="R26" s="254">
        <f>IF(F26-E26&lt;0,0,ABS(F26-E26))</f>
        <v>0</v>
      </c>
      <c r="S26" s="255">
        <f>IF(F26-E26&gt;0,0,ABS(F26-E26))</f>
        <v>1913273</v>
      </c>
      <c r="T26" s="254">
        <f>IF(G26-F26&lt;0,0,ABS(G26-F26))</f>
        <v>132062</v>
      </c>
      <c r="U26" s="256">
        <f>IF(G26-F26&gt;0,0,ABS(G26-F26))</f>
        <v>0</v>
      </c>
      <c r="V26" s="357" t="s">
        <v>134</v>
      </c>
      <c r="W26" s="356">
        <f>SUM(D35:D37)+D31</f>
        <v>0</v>
      </c>
      <c r="X26" s="356">
        <f>SUM(E35:E37)+E31</f>
        <v>0</v>
      </c>
      <c r="Y26" s="356">
        <f>SUM(F35:F37)+F31</f>
        <v>0</v>
      </c>
      <c r="Z26" s="355">
        <f>SUM(G35:G37)+G31</f>
        <v>261486</v>
      </c>
    </row>
    <row r="27" spans="1:26">
      <c r="B27" s="17">
        <v>1305</v>
      </c>
      <c r="C27" s="251" t="s">
        <v>58</v>
      </c>
      <c r="D27" s="60">
        <v>2149541</v>
      </c>
      <c r="E27" s="60">
        <v>2412232</v>
      </c>
      <c r="F27" s="60">
        <v>1475190</v>
      </c>
      <c r="G27" s="60">
        <v>1675448</v>
      </c>
      <c r="H27" s="252" t="s">
        <v>82</v>
      </c>
      <c r="I27" s="19">
        <f>+D63</f>
        <v>1770910</v>
      </c>
      <c r="J27" s="84">
        <f>+E63/D63-1</f>
        <v>0.47560237392075266</v>
      </c>
      <c r="K27" s="84">
        <f>+F63/E63-1</f>
        <v>0.3473726627426803</v>
      </c>
      <c r="L27" s="84">
        <f>+G63/F63-1</f>
        <v>-0.1484436219272407</v>
      </c>
      <c r="N27" s="251" t="s">
        <v>58</v>
      </c>
      <c r="O27" s="257" t="str">
        <f>IF(E27-D27&lt;0,"F","U")</f>
        <v>U</v>
      </c>
      <c r="P27" s="116">
        <f>IF(E27-D27&lt;0,0,ABS(E27-D27))</f>
        <v>262691</v>
      </c>
      <c r="Q27" s="116">
        <f>IF(E27-D27&gt;0,0,ABS(E27-D27))</f>
        <v>0</v>
      </c>
      <c r="R27" s="116">
        <f>IF(F27-E27&lt;0,0,ABS(F27-E27))</f>
        <v>0</v>
      </c>
      <c r="S27" s="116">
        <f>IF(F27-E27&gt;0,0,ABS(F27-E27))</f>
        <v>937042</v>
      </c>
      <c r="T27" s="116">
        <f>IF(G27-F27&lt;0,0,ABS(G27-F27))</f>
        <v>200258</v>
      </c>
      <c r="U27" s="153">
        <f>IF(G27-F27&gt;0,0,ABS(G27-F27))</f>
        <v>0</v>
      </c>
      <c r="V27" s="354"/>
      <c r="W27" s="353"/>
      <c r="X27" s="353"/>
      <c r="Y27" s="353"/>
      <c r="Z27" s="352"/>
    </row>
    <row r="28" spans="1:26">
      <c r="B28" s="17">
        <v>14</v>
      </c>
      <c r="C28" s="251" t="s">
        <v>59</v>
      </c>
      <c r="D28" s="60">
        <v>2174889</v>
      </c>
      <c r="E28" s="60">
        <v>2160543</v>
      </c>
      <c r="F28" s="60">
        <v>3228779</v>
      </c>
      <c r="G28" s="60">
        <v>4363604</v>
      </c>
      <c r="H28" s="252" t="s">
        <v>17</v>
      </c>
      <c r="I28" s="19">
        <f>+D75</f>
        <v>16862203</v>
      </c>
      <c r="J28" s="84">
        <f>+E75/D75-1</f>
        <v>0.233357586787444</v>
      </c>
      <c r="K28" s="84">
        <f>+F75/E75-1</f>
        <v>-0.15032125111902483</v>
      </c>
      <c r="L28" s="84">
        <f>+G75/F75-1</f>
        <v>-0.24582075048231899</v>
      </c>
      <c r="N28" s="251" t="s">
        <v>59</v>
      </c>
      <c r="O28" s="253" t="str">
        <f>IF(E28-D28&lt;0,"F","U")</f>
        <v>F</v>
      </c>
      <c r="P28" s="254">
        <f>IF(E28-D28&lt;0,0,ABS(E28-D28))</f>
        <v>0</v>
      </c>
      <c r="Q28" s="255">
        <f>IF(E28-D28&gt;0,0,ABS(E28-D28))</f>
        <v>14346</v>
      </c>
      <c r="R28" s="254">
        <f>IF(F28-E28&lt;0,0,ABS(F28-E28))</f>
        <v>1068236</v>
      </c>
      <c r="S28" s="255">
        <f>IF(F28-E28&gt;0,0,ABS(F28-E28))</f>
        <v>0</v>
      </c>
      <c r="T28" s="254">
        <f>IF(G28-F28&lt;0,0,ABS(G28-F28))</f>
        <v>1134825</v>
      </c>
      <c r="U28" s="256">
        <f>IF(G28-F28&gt;0,0,ABS(G28-F28))</f>
        <v>0</v>
      </c>
      <c r="V28" s="351"/>
      <c r="W28" s="341">
        <f>SUM(W58:W61)</f>
        <v>0</v>
      </c>
      <c r="X28" s="341">
        <f>SUM(X58:X61)</f>
        <v>0</v>
      </c>
      <c r="Y28" s="341">
        <f>SUM(Y58:Y61)</f>
        <v>0</v>
      </c>
      <c r="Z28" s="340">
        <f>SUM(Z58:Z61)</f>
        <v>0</v>
      </c>
    </row>
    <row r="29" spans="1:26">
      <c r="B29" s="17">
        <v>17</v>
      </c>
      <c r="C29" s="258" t="s">
        <v>60</v>
      </c>
      <c r="D29" s="60"/>
      <c r="E29" s="60"/>
      <c r="F29" s="60"/>
      <c r="G29" s="60"/>
      <c r="H29" s="252" t="s">
        <v>88</v>
      </c>
      <c r="I29" s="19">
        <f>+D77+D79+D83</f>
        <v>15687658</v>
      </c>
      <c r="J29" s="84">
        <f>+(E77+E79+E83)/(D77+D79+D83)-1</f>
        <v>0.22634398327653504</v>
      </c>
      <c r="K29" s="84">
        <f>+(F77+F79+F83)/(E77+E79+E83)-1</f>
        <v>-0.15910146677502601</v>
      </c>
      <c r="L29" s="84">
        <f>+(G77+G79+G83)/(F77+F79+F83)-1</f>
        <v>-0.2450649500046268</v>
      </c>
      <c r="N29" s="258" t="s">
        <v>60</v>
      </c>
      <c r="O29" s="253" t="str">
        <f>IF(E29-D29&lt;0,"F","U")</f>
        <v>U</v>
      </c>
      <c r="P29" s="254">
        <f>IF(E29-D29&lt;0,0,ABS(E29-D29))</f>
        <v>0</v>
      </c>
      <c r="Q29" s="255">
        <f>IF(E29-D29&gt;0,0,ABS(E29-D29))</f>
        <v>0</v>
      </c>
      <c r="R29" s="254">
        <f>IF(F29-E29&lt;0,0,ABS(F29-E29))</f>
        <v>0</v>
      </c>
      <c r="S29" s="255">
        <f>IF(F29-E29&gt;0,0,ABS(F29-E29))</f>
        <v>0</v>
      </c>
      <c r="T29" s="254">
        <f>IF(G29-F29&lt;0,0,ABS(G29-F29))</f>
        <v>0</v>
      </c>
      <c r="U29" s="256">
        <f>IF(G29-F29&gt;0,0,ABS(G29-F29))</f>
        <v>0</v>
      </c>
      <c r="V29" s="328" t="s">
        <v>162</v>
      </c>
      <c r="W29" s="344">
        <f>+D42+D52</f>
        <v>1509100</v>
      </c>
      <c r="X29" s="344">
        <f>+E42+E52</f>
        <v>1440187</v>
      </c>
      <c r="Y29" s="344">
        <f>+F42+F52</f>
        <v>651236</v>
      </c>
      <c r="Z29" s="343">
        <f>+G42+G52</f>
        <v>2180598</v>
      </c>
    </row>
    <row r="30" spans="1:26" ht="13.5" thickBot="1">
      <c r="B30" s="17"/>
      <c r="C30" s="259" t="s">
        <v>7</v>
      </c>
      <c r="D30" s="62">
        <f>+D24+D25+D26+D28+D29</f>
        <v>5414270</v>
      </c>
      <c r="E30" s="63">
        <f>+E24+E25+E26+E28+E29</f>
        <v>6408837</v>
      </c>
      <c r="F30" s="63">
        <f>+F24+F25+F26+F28+F29</f>
        <v>5608839</v>
      </c>
      <c r="G30" s="64">
        <f>+G24+G25+G26+G28+G29</f>
        <v>6790617</v>
      </c>
      <c r="H30" s="252" t="s">
        <v>42</v>
      </c>
      <c r="I30" s="19">
        <f>+D87</f>
        <v>1174545</v>
      </c>
      <c r="J30" s="350">
        <f>+E87/D87-1</f>
        <v>0.32703387269112727</v>
      </c>
      <c r="K30" s="350">
        <f>+F87/E87-1</f>
        <v>-4.1947543436321344E-2</v>
      </c>
      <c r="L30" s="350">
        <f>+G87/F87-1</f>
        <v>-0.25400879540929722</v>
      </c>
      <c r="N30" s="259" t="s">
        <v>7</v>
      </c>
      <c r="O30" s="260"/>
      <c r="P30" s="261">
        <f t="shared" ref="P30:U30" si="0">SUM(P25:P29)</f>
        <v>1484510</v>
      </c>
      <c r="Q30" s="261">
        <f t="shared" si="0"/>
        <v>14346</v>
      </c>
      <c r="R30" s="261">
        <f t="shared" si="0"/>
        <v>1074536</v>
      </c>
      <c r="S30" s="261">
        <f t="shared" si="0"/>
        <v>2850315</v>
      </c>
      <c r="T30" s="261">
        <f t="shared" si="0"/>
        <v>1467145</v>
      </c>
      <c r="U30" s="261">
        <f t="shared" si="0"/>
        <v>6300</v>
      </c>
      <c r="V30" s="328"/>
      <c r="W30" s="341"/>
      <c r="X30" s="341"/>
      <c r="Y30" s="341"/>
      <c r="Z30" s="340"/>
    </row>
    <row r="31" spans="1:26" ht="13.5" thickTop="1">
      <c r="B31" s="17">
        <v>12</v>
      </c>
      <c r="C31" s="246" t="s">
        <v>56</v>
      </c>
      <c r="D31" s="60"/>
      <c r="E31" s="60"/>
      <c r="F31" s="60"/>
      <c r="G31" s="60"/>
      <c r="H31" s="252" t="s">
        <v>18</v>
      </c>
      <c r="I31" s="92">
        <f>+(D87+D81+D82+D85+D86)</f>
        <v>1174545</v>
      </c>
      <c r="J31" s="350">
        <f>+(E87+E81+E82+E85+E86)/(D87+D81+D82+D85+D86)-1</f>
        <v>0.32703387269112727</v>
      </c>
      <c r="K31" s="350">
        <f>+(F87+F81+F82+F85+F86)/(E87+E81+E82+E85+E86)-1</f>
        <v>-4.1947543436321344E-2</v>
      </c>
      <c r="L31" s="350">
        <f>+(G87+G81+G82+G85+G86)/(F87+F81+F82+F85+F86)-1</f>
        <v>-0.25400879540929722</v>
      </c>
      <c r="N31" s="246" t="s">
        <v>56</v>
      </c>
      <c r="O31" s="253" t="str">
        <f t="shared" ref="O31:O37" si="1">IF(E31-D31&lt;0,"F","U")</f>
        <v>U</v>
      </c>
      <c r="P31" s="254">
        <f t="shared" ref="P31:P37" si="2">IF(E31-D31&lt;0,0,ABS(E31-D31))</f>
        <v>0</v>
      </c>
      <c r="Q31" s="255">
        <f t="shared" ref="Q31:Q37" si="3">IF(E31-D31&gt;0,0,ABS(E31-D31))</f>
        <v>0</v>
      </c>
      <c r="R31" s="254">
        <f t="shared" ref="R31:R37" si="4">IF(F31-E31&lt;0,0,ABS(F31-E31))</f>
        <v>0</v>
      </c>
      <c r="S31" s="255">
        <f t="shared" ref="S31:S37" si="5">IF(F31-E31&gt;0,0,ABS(F31-E31))</f>
        <v>0</v>
      </c>
      <c r="T31" s="254">
        <f t="shared" ref="T31:T37" si="6">IF(G31-F31&lt;0,0,ABS(G31-F31))</f>
        <v>0</v>
      </c>
      <c r="U31" s="256">
        <f t="shared" ref="U31:U37" si="7">IF(G31-F31&gt;0,0,ABS(G31-F31))</f>
        <v>0</v>
      </c>
      <c r="V31" s="338" t="s">
        <v>135</v>
      </c>
      <c r="W31" s="349">
        <f>+D63-W26</f>
        <v>1770910</v>
      </c>
      <c r="X31" s="349">
        <f>+E63-X26</f>
        <v>2613159</v>
      </c>
      <c r="Y31" s="349">
        <f>+F63-Y26</f>
        <v>3520899</v>
      </c>
      <c r="Z31" s="348">
        <f>+G63-Z26</f>
        <v>2736758</v>
      </c>
    </row>
    <row r="32" spans="1:26" ht="13.5" thickBot="1">
      <c r="B32" s="17">
        <v>13</v>
      </c>
      <c r="C32" s="251" t="s">
        <v>61</v>
      </c>
      <c r="D32" s="60"/>
      <c r="E32" s="60"/>
      <c r="F32" s="60"/>
      <c r="G32" s="60"/>
      <c r="H32" s="252"/>
      <c r="I32" s="19"/>
      <c r="J32" s="19"/>
      <c r="K32" s="19"/>
      <c r="L32" s="19"/>
      <c r="N32" s="251" t="s">
        <v>61</v>
      </c>
      <c r="O32" s="253" t="str">
        <f t="shared" si="1"/>
        <v>U</v>
      </c>
      <c r="P32" s="254">
        <f t="shared" si="2"/>
        <v>0</v>
      </c>
      <c r="Q32" s="255">
        <f t="shared" si="3"/>
        <v>0</v>
      </c>
      <c r="R32" s="254">
        <f t="shared" si="4"/>
        <v>0</v>
      </c>
      <c r="S32" s="255">
        <f t="shared" si="5"/>
        <v>0</v>
      </c>
      <c r="T32" s="254">
        <f t="shared" si="6"/>
        <v>0</v>
      </c>
      <c r="U32" s="256">
        <f t="shared" si="7"/>
        <v>0</v>
      </c>
      <c r="V32" s="347" t="s">
        <v>163</v>
      </c>
      <c r="W32" s="143">
        <f>+W31+W30+W29</f>
        <v>3280010</v>
      </c>
      <c r="X32" s="144">
        <f>+X31+X30+X29</f>
        <v>4053346</v>
      </c>
      <c r="Y32" s="144">
        <f>+Y31+Y30+Y29</f>
        <v>4172135</v>
      </c>
      <c r="Z32" s="145">
        <f>+Z31+Z30+Z29</f>
        <v>4917356</v>
      </c>
    </row>
    <row r="33" spans="2:29" ht="14.25" customHeight="1" thickTop="1" thickBot="1">
      <c r="B33" s="17">
        <v>15</v>
      </c>
      <c r="C33" s="251" t="s">
        <v>8</v>
      </c>
      <c r="D33" s="60">
        <v>1389827</v>
      </c>
      <c r="E33" s="60">
        <v>1457799</v>
      </c>
      <c r="F33" s="60">
        <v>1425060</v>
      </c>
      <c r="G33" s="60">
        <v>1252365</v>
      </c>
      <c r="H33" s="89"/>
      <c r="J33" s="380" t="s">
        <v>90</v>
      </c>
      <c r="K33" s="381"/>
      <c r="L33" s="382"/>
      <c r="N33" s="251" t="s">
        <v>8</v>
      </c>
      <c r="O33" s="253" t="str">
        <f t="shared" si="1"/>
        <v>U</v>
      </c>
      <c r="P33" s="254">
        <f t="shared" si="2"/>
        <v>67972</v>
      </c>
      <c r="Q33" s="255">
        <f t="shared" si="3"/>
        <v>0</v>
      </c>
      <c r="R33" s="254">
        <f t="shared" si="4"/>
        <v>0</v>
      </c>
      <c r="S33" s="255">
        <f t="shared" si="5"/>
        <v>32739</v>
      </c>
      <c r="T33" s="254">
        <f t="shared" si="6"/>
        <v>0</v>
      </c>
      <c r="U33" s="256">
        <f t="shared" si="7"/>
        <v>172695</v>
      </c>
      <c r="V33" s="156"/>
      <c r="W33" s="157">
        <f>+W32-W23</f>
        <v>-63441</v>
      </c>
      <c r="X33" s="157">
        <f>+X32-X23</f>
        <v>-143441</v>
      </c>
      <c r="Y33" s="157">
        <f>+Y32-Y23</f>
        <v>-186839</v>
      </c>
      <c r="Z33" s="158">
        <f>+Z32-Z23</f>
        <v>-180734</v>
      </c>
    </row>
    <row r="34" spans="2:29" ht="13.5" thickTop="1">
      <c r="B34" s="17"/>
      <c r="C34" s="251" t="s">
        <v>52</v>
      </c>
      <c r="D34" s="60">
        <v>63441</v>
      </c>
      <c r="E34" s="60">
        <v>143441</v>
      </c>
      <c r="F34" s="60">
        <v>186839</v>
      </c>
      <c r="G34" s="60">
        <v>180734</v>
      </c>
      <c r="H34" s="388" t="s">
        <v>6</v>
      </c>
      <c r="I34" s="19">
        <f>+D30-D51</f>
        <v>1384085</v>
      </c>
      <c r="J34" s="342">
        <f>+E30-E51</f>
        <v>1155360</v>
      </c>
      <c r="K34" s="342">
        <f>+F30-F51</f>
        <v>2095839</v>
      </c>
      <c r="L34" s="342">
        <f>+G30-G51</f>
        <v>1484393</v>
      </c>
      <c r="N34" s="251" t="s">
        <v>52</v>
      </c>
      <c r="O34" s="257" t="str">
        <f t="shared" si="1"/>
        <v>U</v>
      </c>
      <c r="P34" s="105">
        <f t="shared" si="2"/>
        <v>80000</v>
      </c>
      <c r="Q34" s="106">
        <f t="shared" si="3"/>
        <v>0</v>
      </c>
      <c r="R34" s="254">
        <f t="shared" si="4"/>
        <v>43398</v>
      </c>
      <c r="S34" s="255">
        <f t="shared" si="5"/>
        <v>0</v>
      </c>
      <c r="T34" s="254">
        <f t="shared" si="6"/>
        <v>0</v>
      </c>
      <c r="U34" s="256">
        <f t="shared" si="7"/>
        <v>6105</v>
      </c>
      <c r="V34" s="159"/>
      <c r="W34" s="160"/>
      <c r="X34" s="160"/>
      <c r="Y34" s="160"/>
      <c r="Z34" s="161"/>
    </row>
    <row r="35" spans="2:29">
      <c r="B35" s="17">
        <v>16</v>
      </c>
      <c r="C35" s="251" t="s">
        <v>9</v>
      </c>
      <c r="D35" s="60"/>
      <c r="E35" s="60"/>
      <c r="F35" s="60"/>
      <c r="G35" s="60"/>
      <c r="H35" s="389"/>
      <c r="I35" s="87">
        <f>+D30/D51</f>
        <v>1.3434296440485982</v>
      </c>
      <c r="J35" s="87">
        <f>+E30/E51</f>
        <v>1.2199229196206627</v>
      </c>
      <c r="K35" s="87">
        <f>+F30/F51</f>
        <v>1.5965952177625962</v>
      </c>
      <c r="L35" s="87">
        <f>+G30/G51</f>
        <v>1.279745634560471</v>
      </c>
      <c r="N35" s="251" t="s">
        <v>9</v>
      </c>
      <c r="O35" s="253" t="str">
        <f t="shared" si="1"/>
        <v>U</v>
      </c>
      <c r="P35" s="254">
        <f t="shared" si="2"/>
        <v>0</v>
      </c>
      <c r="Q35" s="255">
        <f t="shared" si="3"/>
        <v>0</v>
      </c>
      <c r="R35" s="254">
        <f t="shared" si="4"/>
        <v>0</v>
      </c>
      <c r="S35" s="255">
        <f t="shared" si="5"/>
        <v>0</v>
      </c>
      <c r="T35" s="254">
        <f t="shared" si="6"/>
        <v>0</v>
      </c>
      <c r="U35" s="256">
        <f t="shared" si="7"/>
        <v>0</v>
      </c>
      <c r="V35" s="163"/>
    </row>
    <row r="36" spans="2:29">
      <c r="B36" s="17">
        <v>17</v>
      </c>
      <c r="C36" s="251" t="s">
        <v>62</v>
      </c>
      <c r="D36" s="60"/>
      <c r="E36" s="60"/>
      <c r="F36" s="60"/>
      <c r="G36" s="60"/>
      <c r="H36" s="252" t="s">
        <v>83</v>
      </c>
      <c r="I36" s="19">
        <f>(D27+D28)-(D43+D44+D46)</f>
        <v>3013396</v>
      </c>
      <c r="J36" s="19">
        <f>(E27+E28)-(E43+E44+E46)</f>
        <v>3259206</v>
      </c>
      <c r="K36" s="19">
        <f>(F27+F28)-(F43+F44+F46)</f>
        <v>2983993</v>
      </c>
      <c r="L36" s="19">
        <f>(G27+G28)-(G43+G44+G46)</f>
        <v>4152017</v>
      </c>
      <c r="N36" s="251" t="s">
        <v>62</v>
      </c>
      <c r="O36" s="253" t="str">
        <f t="shared" si="1"/>
        <v>U</v>
      </c>
      <c r="P36" s="254">
        <f t="shared" si="2"/>
        <v>0</v>
      </c>
      <c r="Q36" s="255">
        <f t="shared" si="3"/>
        <v>0</v>
      </c>
      <c r="R36" s="254">
        <f t="shared" si="4"/>
        <v>0</v>
      </c>
      <c r="S36" s="255">
        <f t="shared" si="5"/>
        <v>0</v>
      </c>
      <c r="T36" s="254">
        <f t="shared" si="6"/>
        <v>0</v>
      </c>
      <c r="U36" s="256">
        <f t="shared" si="7"/>
        <v>0</v>
      </c>
      <c r="V36" s="334" t="s">
        <v>137</v>
      </c>
      <c r="W36" s="346">
        <f>+D87</f>
        <v>1174545</v>
      </c>
      <c r="X36" s="346">
        <f>+E87</f>
        <v>1558661</v>
      </c>
      <c r="Y36" s="346">
        <f>+F87</f>
        <v>1493279</v>
      </c>
      <c r="Z36" s="345">
        <f>+G87</f>
        <v>1113973</v>
      </c>
    </row>
    <row r="37" spans="2:29">
      <c r="B37" s="17">
        <v>18</v>
      </c>
      <c r="C37" s="258" t="s">
        <v>10</v>
      </c>
      <c r="D37" s="60"/>
      <c r="E37" s="60"/>
      <c r="F37" s="60"/>
      <c r="G37" s="60">
        <v>261486</v>
      </c>
      <c r="H37" s="252" t="s">
        <v>84</v>
      </c>
      <c r="I37" s="19">
        <f>+I34-I36</f>
        <v>-1629311</v>
      </c>
      <c r="J37" s="19">
        <f>+J34-J36</f>
        <v>-2103846</v>
      </c>
      <c r="K37" s="19">
        <f>+K34-K36</f>
        <v>-888154</v>
      </c>
      <c r="L37" s="19">
        <f>+L34-L36</f>
        <v>-2667624</v>
      </c>
      <c r="N37" s="258" t="s">
        <v>10</v>
      </c>
      <c r="O37" s="253" t="str">
        <f t="shared" si="1"/>
        <v>U</v>
      </c>
      <c r="P37" s="254">
        <f t="shared" si="2"/>
        <v>0</v>
      </c>
      <c r="Q37" s="255">
        <f t="shared" si="3"/>
        <v>0</v>
      </c>
      <c r="R37" s="254">
        <f t="shared" si="4"/>
        <v>0</v>
      </c>
      <c r="S37" s="255">
        <f t="shared" si="5"/>
        <v>0</v>
      </c>
      <c r="T37" s="254">
        <f t="shared" si="6"/>
        <v>261486</v>
      </c>
      <c r="U37" s="256">
        <f t="shared" si="7"/>
        <v>0</v>
      </c>
      <c r="V37" s="328" t="s">
        <v>142</v>
      </c>
      <c r="W37" s="341">
        <f>+D92</f>
        <v>335652</v>
      </c>
      <c r="X37" s="341">
        <f>+E92</f>
        <v>464598</v>
      </c>
      <c r="Y37" s="341">
        <f>+F92</f>
        <v>511619</v>
      </c>
      <c r="Z37" s="340">
        <f>+G92</f>
        <v>358926</v>
      </c>
    </row>
    <row r="38" spans="2:29" ht="13.5" thickBot="1">
      <c r="B38" s="17"/>
      <c r="C38" s="259" t="s">
        <v>12</v>
      </c>
      <c r="D38" s="62">
        <f>+D31+D32+D33+D35+D36+D37</f>
        <v>1389827</v>
      </c>
      <c r="E38" s="62">
        <f>+E31+E32+E33+E35+E36+E37</f>
        <v>1457799</v>
      </c>
      <c r="F38" s="62">
        <f>+F31+F32+F33+F35+F36+F37</f>
        <v>1425060</v>
      </c>
      <c r="G38" s="62">
        <f>+G31+G32+G33+G35+G36+G37</f>
        <v>1513851</v>
      </c>
      <c r="H38" s="262" t="s">
        <v>115</v>
      </c>
      <c r="I38" s="320">
        <f>D51/(D27+D28)</f>
        <v>0.93195750653843401</v>
      </c>
      <c r="J38" s="320">
        <f>E51/(E27+E28)</f>
        <v>1.1488597186609881</v>
      </c>
      <c r="K38" s="320">
        <f>F51/(F27+F28)</f>
        <v>0.7468161461098064</v>
      </c>
      <c r="L38" s="320">
        <f>G51/(G27+G28)</f>
        <v>0.87865181488750221</v>
      </c>
      <c r="N38" s="259" t="s">
        <v>12</v>
      </c>
      <c r="O38" s="260"/>
      <c r="P38" s="263">
        <f t="shared" ref="P38:U38" si="8">SUM(P31:P37)</f>
        <v>147972</v>
      </c>
      <c r="Q38" s="263">
        <f t="shared" si="8"/>
        <v>0</v>
      </c>
      <c r="R38" s="263">
        <f t="shared" si="8"/>
        <v>43398</v>
      </c>
      <c r="S38" s="263">
        <f t="shared" si="8"/>
        <v>32739</v>
      </c>
      <c r="T38" s="263">
        <f t="shared" si="8"/>
        <v>261486</v>
      </c>
      <c r="U38" s="263">
        <f t="shared" si="8"/>
        <v>178800</v>
      </c>
      <c r="V38" s="328" t="s">
        <v>138</v>
      </c>
      <c r="W38" s="341">
        <f>+W36-W37</f>
        <v>838893</v>
      </c>
      <c r="X38" s="341">
        <f>+X36-X37</f>
        <v>1094063</v>
      </c>
      <c r="Y38" s="341">
        <f>+Y36-Y37</f>
        <v>981660</v>
      </c>
      <c r="Z38" s="340">
        <f>+Z36-Z37</f>
        <v>755047</v>
      </c>
    </row>
    <row r="39" spans="2:29" ht="13.5" thickTop="1">
      <c r="B39" s="22">
        <v>19</v>
      </c>
      <c r="C39" s="264" t="s">
        <v>11</v>
      </c>
      <c r="D39" s="65"/>
      <c r="E39" s="65"/>
      <c r="F39" s="65"/>
      <c r="G39" s="65"/>
      <c r="H39" s="252" t="s">
        <v>86</v>
      </c>
      <c r="I39" s="19"/>
      <c r="J39" s="342">
        <f>360/(E77/(AVERAGE(D28:E28)))</f>
        <v>41.139310933805682</v>
      </c>
      <c r="K39" s="342">
        <f>360/(F77/(AVERAGE(E28:F28)))</f>
        <v>60.847298913799918</v>
      </c>
      <c r="L39" s="342">
        <f>360/(G77/(AVERAGE(F28:G28)))</f>
        <v>114.34512654589814</v>
      </c>
      <c r="N39" s="265"/>
      <c r="O39" s="266"/>
      <c r="P39" s="103"/>
      <c r="Q39" s="115"/>
      <c r="R39" s="254"/>
      <c r="S39" s="104"/>
      <c r="T39" s="103"/>
      <c r="U39" s="152"/>
      <c r="V39" s="328" t="s">
        <v>143</v>
      </c>
      <c r="W39" s="344">
        <f>+D89</f>
        <v>0</v>
      </c>
      <c r="X39" s="344">
        <f>+E89</f>
        <v>0</v>
      </c>
      <c r="Y39" s="344">
        <f>+F89</f>
        <v>0</v>
      </c>
      <c r="Z39" s="343">
        <f>+G89</f>
        <v>0</v>
      </c>
    </row>
    <row r="40" spans="2:29">
      <c r="B40" s="13"/>
      <c r="C40" s="267"/>
      <c r="D40" s="14"/>
      <c r="E40" s="14"/>
      <c r="F40" s="14"/>
      <c r="G40" s="14"/>
      <c r="H40" s="252" t="s">
        <v>85</v>
      </c>
      <c r="I40" s="19"/>
      <c r="J40" s="342">
        <f>360/(E98/(AVERAGE(D43:E43)))</f>
        <v>23.608865594178656</v>
      </c>
      <c r="K40" s="342">
        <f>360/(F98/(AVERAGE(E43:F43)))</f>
        <v>30.973514118429872</v>
      </c>
      <c r="L40" s="342">
        <f>360/(G98/(AVERAGE(F43:G43)))</f>
        <v>37.259679451103288</v>
      </c>
      <c r="N40" s="267"/>
      <c r="O40" s="266"/>
      <c r="P40" s="115"/>
      <c r="Q40" s="117"/>
      <c r="R40" s="254"/>
      <c r="S40" s="104"/>
      <c r="T40" s="103"/>
      <c r="U40" s="152"/>
      <c r="V40" s="328" t="s">
        <v>144</v>
      </c>
      <c r="W40" s="344"/>
      <c r="X40" s="344">
        <f>+X36-X39</f>
        <v>1558661</v>
      </c>
      <c r="Y40" s="344">
        <f>+Y36-Y39</f>
        <v>1493279</v>
      </c>
      <c r="Z40" s="343">
        <f>+Z36-Z39</f>
        <v>1113973</v>
      </c>
    </row>
    <row r="41" spans="2:29" ht="13.5" thickBot="1">
      <c r="B41" s="15">
        <v>20</v>
      </c>
      <c r="C41" s="259" t="s">
        <v>68</v>
      </c>
      <c r="D41" s="62">
        <f>+D51+D61</f>
        <v>5033187</v>
      </c>
      <c r="E41" s="62">
        <f>+E51+E61</f>
        <v>5253477</v>
      </c>
      <c r="F41" s="62">
        <f>+F51+F61</f>
        <v>3513000</v>
      </c>
      <c r="G41" s="62">
        <f>+G51+G61</f>
        <v>5306224</v>
      </c>
      <c r="H41" s="252" t="s">
        <v>87</v>
      </c>
      <c r="I41" s="19"/>
      <c r="J41" s="342">
        <f>360/(E75/(AVERAGE(D27:E27)))</f>
        <v>39.482337126774155</v>
      </c>
      <c r="K41" s="342">
        <f>360/(F75/(AVERAGE(E27:F27)))</f>
        <v>39.598261003019886</v>
      </c>
      <c r="L41" s="342">
        <f>360/(G75/(AVERAGE(F27:G27)))</f>
        <v>42.553800522968096</v>
      </c>
      <c r="N41" s="259" t="s">
        <v>68</v>
      </c>
      <c r="O41" s="260"/>
      <c r="P41" s="260"/>
      <c r="Q41" s="260"/>
      <c r="R41" s="260"/>
      <c r="S41" s="260"/>
      <c r="T41" s="260"/>
      <c r="U41" s="260"/>
      <c r="V41" s="328" t="s">
        <v>146</v>
      </c>
      <c r="W41" s="341"/>
      <c r="X41" s="341">
        <f>+X38-X39</f>
        <v>1094063</v>
      </c>
      <c r="Y41" s="341">
        <f>+Y38-Y39</f>
        <v>981660</v>
      </c>
      <c r="Z41" s="340">
        <f>+Z38-Z39</f>
        <v>755047</v>
      </c>
      <c r="AA41" s="83"/>
      <c r="AB41" s="83"/>
      <c r="AC41" s="83"/>
    </row>
    <row r="42" spans="2:29" ht="13.5" thickTop="1">
      <c r="B42" s="17">
        <v>21</v>
      </c>
      <c r="C42" s="246" t="s">
        <v>63</v>
      </c>
      <c r="D42" s="61">
        <v>506098</v>
      </c>
      <c r="E42" s="61">
        <v>1440187</v>
      </c>
      <c r="F42" s="61">
        <v>651236</v>
      </c>
      <c r="G42" s="61">
        <v>2180598</v>
      </c>
      <c r="H42" s="252" t="s">
        <v>89</v>
      </c>
      <c r="I42" s="68"/>
      <c r="J42" s="339">
        <f>360/(E$75/(AVERAGE(D$27:E$27)+AVERAGE(D$28:E$28)))</f>
        <v>77.005683381444157</v>
      </c>
      <c r="K42" s="339">
        <f>360/(F75/(AVERAGE(E27:F27)+AVERAGE(E28:F28)))</f>
        <v>94.495254225087649</v>
      </c>
      <c r="L42" s="339">
        <f>360/(G75/(AVERAGE(F27:G27)+AVERAGE(F28:G28)))</f>
        <v>145.09961875913933</v>
      </c>
      <c r="N42" s="246" t="s">
        <v>63</v>
      </c>
      <c r="O42" s="253" t="str">
        <f t="shared" ref="O42:O50" si="9">IF(E42-D42&gt;0,"F","U")</f>
        <v>F</v>
      </c>
      <c r="P42" s="254">
        <f t="shared" ref="P42:P50" si="10">IF(E42-D42&gt;0,0,ABS(E42-D42))</f>
        <v>0</v>
      </c>
      <c r="Q42" s="255">
        <f t="shared" ref="Q42:Q50" si="11">IF(E42-D42&lt;0,0,ABS(E42-D42))</f>
        <v>934089</v>
      </c>
      <c r="R42" s="254">
        <f t="shared" ref="R42:R50" si="12">IF(F42-E42&gt;0,0,ABS(F42-E42))</f>
        <v>788951</v>
      </c>
      <c r="S42" s="255">
        <f t="shared" ref="S42:S50" si="13">IF(F42-E42&lt;0,0,ABS(F42-E42))</f>
        <v>0</v>
      </c>
      <c r="T42" s="254">
        <f t="shared" ref="T42:T50" si="14">IF(G42-F42&gt;0,0,ABS(G42-F42))</f>
        <v>0</v>
      </c>
      <c r="U42" s="256">
        <f t="shared" ref="U42:U50" si="15">IF(G42-F42&lt;0,0,ABS(G42-F42))</f>
        <v>1529362</v>
      </c>
      <c r="V42" s="338" t="s">
        <v>145</v>
      </c>
      <c r="W42" s="337"/>
      <c r="X42" s="337">
        <f>+X40-X37</f>
        <v>1094063</v>
      </c>
      <c r="Y42" s="337">
        <f>+Y40-Y37</f>
        <v>981660</v>
      </c>
      <c r="Z42" s="336">
        <f>+Z40-Z37</f>
        <v>755047</v>
      </c>
    </row>
    <row r="43" spans="2:29">
      <c r="B43" s="17">
        <v>22</v>
      </c>
      <c r="C43" s="251" t="s">
        <v>54</v>
      </c>
      <c r="D43" s="61">
        <v>1230111</v>
      </c>
      <c r="E43" s="61">
        <v>1256008</v>
      </c>
      <c r="F43" s="61">
        <v>1671172</v>
      </c>
      <c r="G43" s="61">
        <v>1037734</v>
      </c>
      <c r="H43" s="252" t="s">
        <v>91</v>
      </c>
      <c r="I43" s="68">
        <f>(D30/D23)</f>
        <v>0.79573674508167658</v>
      </c>
      <c r="J43" s="68">
        <f>+E30/E23</f>
        <v>0.81468584538549893</v>
      </c>
      <c r="K43" s="68">
        <f>+F30/F23</f>
        <v>0.79740112844952704</v>
      </c>
      <c r="L43" s="68">
        <f>+G30/G23</f>
        <v>0.8177064442899894</v>
      </c>
      <c r="N43" s="251" t="s">
        <v>54</v>
      </c>
      <c r="O43" s="253" t="str">
        <f t="shared" si="9"/>
        <v>F</v>
      </c>
      <c r="P43" s="254">
        <f t="shared" si="10"/>
        <v>0</v>
      </c>
      <c r="Q43" s="255">
        <f t="shared" si="11"/>
        <v>25897</v>
      </c>
      <c r="R43" s="254">
        <f t="shared" si="12"/>
        <v>0</v>
      </c>
      <c r="S43" s="255">
        <f t="shared" si="13"/>
        <v>415164</v>
      </c>
      <c r="T43" s="254">
        <f t="shared" si="14"/>
        <v>633438</v>
      </c>
      <c r="U43" s="256">
        <f t="shared" si="15"/>
        <v>0</v>
      </c>
      <c r="V43" s="335"/>
    </row>
    <row r="44" spans="2:29">
      <c r="B44" s="17">
        <v>23</v>
      </c>
      <c r="C44" s="251" t="s">
        <v>20</v>
      </c>
      <c r="D44" s="61">
        <v>65054</v>
      </c>
      <c r="E44" s="61">
        <v>35632</v>
      </c>
      <c r="F44" s="61">
        <v>24838</v>
      </c>
      <c r="G44" s="61">
        <v>824467</v>
      </c>
      <c r="H44" s="268"/>
      <c r="I44" s="68"/>
      <c r="J44" s="19"/>
      <c r="K44" s="19"/>
      <c r="L44" s="19"/>
      <c r="N44" s="251" t="s">
        <v>20</v>
      </c>
      <c r="O44" s="253" t="str">
        <f t="shared" si="9"/>
        <v>U</v>
      </c>
      <c r="P44" s="254">
        <f t="shared" si="10"/>
        <v>29422</v>
      </c>
      <c r="Q44" s="255">
        <f t="shared" si="11"/>
        <v>0</v>
      </c>
      <c r="R44" s="254">
        <f t="shared" si="12"/>
        <v>10794</v>
      </c>
      <c r="S44" s="255">
        <f t="shared" si="13"/>
        <v>0</v>
      </c>
      <c r="T44" s="254">
        <f t="shared" si="14"/>
        <v>0</v>
      </c>
      <c r="U44" s="256">
        <f t="shared" si="15"/>
        <v>799629</v>
      </c>
      <c r="V44" s="334" t="s">
        <v>141</v>
      </c>
      <c r="W44" s="333"/>
      <c r="X44" s="333">
        <f>(E89/((E42+D42+E52+D52)/2))*(1-0.33)</f>
        <v>0</v>
      </c>
      <c r="Y44" s="333">
        <f>(F89/((F42+E42+F52+E52)/2))*(1-0.33)</f>
        <v>0</v>
      </c>
      <c r="Z44" s="332">
        <f>(G89/((G42+F42+G52+F52)/2))*(1-0.33)</f>
        <v>0</v>
      </c>
    </row>
    <row r="45" spans="2:29" ht="13.5" customHeight="1" thickBot="1">
      <c r="B45" s="17">
        <v>24</v>
      </c>
      <c r="C45" s="251" t="s">
        <v>55</v>
      </c>
      <c r="D45" s="61">
        <v>18378</v>
      </c>
      <c r="E45" s="61">
        <v>499076</v>
      </c>
      <c r="F45" s="61">
        <v>523433</v>
      </c>
      <c r="G45" s="61">
        <v>376588</v>
      </c>
      <c r="H45" s="83"/>
      <c r="I45" s="83"/>
      <c r="J45" s="380" t="s">
        <v>93</v>
      </c>
      <c r="K45" s="381"/>
      <c r="L45" s="382"/>
      <c r="N45" s="251" t="s">
        <v>55</v>
      </c>
      <c r="O45" s="253" t="str">
        <f t="shared" si="9"/>
        <v>F</v>
      </c>
      <c r="P45" s="254">
        <f t="shared" si="10"/>
        <v>0</v>
      </c>
      <c r="Q45" s="255">
        <f t="shared" si="11"/>
        <v>480698</v>
      </c>
      <c r="R45" s="254">
        <f t="shared" si="12"/>
        <v>0</v>
      </c>
      <c r="S45" s="255">
        <f t="shared" si="13"/>
        <v>24357</v>
      </c>
      <c r="T45" s="254">
        <f t="shared" si="14"/>
        <v>146845</v>
      </c>
      <c r="U45" s="256">
        <f t="shared" si="15"/>
        <v>0</v>
      </c>
      <c r="V45" s="328" t="s">
        <v>140</v>
      </c>
      <c r="W45" s="331"/>
      <c r="X45" s="331">
        <f>+E99</f>
        <v>0</v>
      </c>
      <c r="Y45" s="331">
        <f>+F99</f>
        <v>0</v>
      </c>
      <c r="Z45" s="330">
        <f>+G99</f>
        <v>0</v>
      </c>
    </row>
    <row r="46" spans="2:29" ht="13.5" thickTop="1">
      <c r="B46" s="17">
        <v>25</v>
      </c>
      <c r="C46" s="251" t="s">
        <v>21</v>
      </c>
      <c r="D46" s="61">
        <v>15869</v>
      </c>
      <c r="E46" s="61">
        <v>21929</v>
      </c>
      <c r="F46" s="61">
        <v>23966</v>
      </c>
      <c r="G46" s="61">
        <v>24834</v>
      </c>
      <c r="H46" s="252" t="s">
        <v>15</v>
      </c>
      <c r="I46" s="68">
        <f>+D41/D23</f>
        <v>0.73972887217804217</v>
      </c>
      <c r="J46" s="68">
        <f>+E41/E23</f>
        <v>0.66781747623761922</v>
      </c>
      <c r="K46" s="68">
        <f>+F41/F23</f>
        <v>0.49943850487475011</v>
      </c>
      <c r="L46" s="68">
        <f>+G41/G23</f>
        <v>0.63896013567636123</v>
      </c>
      <c r="N46" s="251" t="s">
        <v>21</v>
      </c>
      <c r="O46" s="253" t="str">
        <f t="shared" si="9"/>
        <v>F</v>
      </c>
      <c r="P46" s="254">
        <f t="shared" si="10"/>
        <v>0</v>
      </c>
      <c r="Q46" s="255">
        <f t="shared" si="11"/>
        <v>6060</v>
      </c>
      <c r="R46" s="254">
        <f t="shared" si="12"/>
        <v>0</v>
      </c>
      <c r="S46" s="255">
        <f t="shared" si="13"/>
        <v>2037</v>
      </c>
      <c r="T46" s="254">
        <f t="shared" si="14"/>
        <v>0</v>
      </c>
      <c r="U46" s="256">
        <f t="shared" si="15"/>
        <v>868</v>
      </c>
      <c r="V46" s="328" t="s">
        <v>139</v>
      </c>
      <c r="W46" s="331"/>
      <c r="X46" s="331">
        <f>(J46*X44)+(1-J46)*X45</f>
        <v>0</v>
      </c>
      <c r="Y46" s="331">
        <f>(K46*Y44)+(1-K46)*Y45</f>
        <v>0</v>
      </c>
      <c r="Z46" s="330">
        <f>(L46*Z44)+(1-L46)*Z45</f>
        <v>0</v>
      </c>
    </row>
    <row r="47" spans="2:29">
      <c r="B47" s="17">
        <v>26</v>
      </c>
      <c r="C47" s="251" t="s">
        <v>22</v>
      </c>
      <c r="D47" s="61"/>
      <c r="E47" s="61"/>
      <c r="F47" s="61"/>
      <c r="G47" s="61"/>
      <c r="H47" s="252" t="s">
        <v>92</v>
      </c>
      <c r="I47" s="68">
        <f>1-I46</f>
        <v>0.26027112782195783</v>
      </c>
      <c r="J47" s="68">
        <f>1-J46</f>
        <v>0.33218252376238078</v>
      </c>
      <c r="K47" s="329">
        <f>1-K46</f>
        <v>0.50056149512524994</v>
      </c>
      <c r="L47" s="68">
        <f>1-L46</f>
        <v>0.36103986432363877</v>
      </c>
      <c r="N47" s="251" t="s">
        <v>22</v>
      </c>
      <c r="O47" s="253" t="str">
        <f t="shared" si="9"/>
        <v>U</v>
      </c>
      <c r="P47" s="254">
        <f t="shared" si="10"/>
        <v>0</v>
      </c>
      <c r="Q47" s="255">
        <f t="shared" si="11"/>
        <v>0</v>
      </c>
      <c r="R47" s="254">
        <f t="shared" si="12"/>
        <v>0</v>
      </c>
      <c r="S47" s="255">
        <f t="shared" si="13"/>
        <v>0</v>
      </c>
      <c r="T47" s="254">
        <f t="shared" si="14"/>
        <v>0</v>
      </c>
      <c r="U47" s="256">
        <f t="shared" si="15"/>
        <v>0</v>
      </c>
      <c r="V47" s="328" t="s">
        <v>147</v>
      </c>
      <c r="W47" s="327"/>
      <c r="X47" s="327">
        <f>+X38/X23</f>
        <v>0.26069061879957217</v>
      </c>
      <c r="Y47" s="327">
        <f>+Y38/Y23</f>
        <v>0.22520437148741884</v>
      </c>
      <c r="Z47" s="326">
        <f>+Z38/Z23</f>
        <v>0.14810389773424951</v>
      </c>
    </row>
    <row r="48" spans="2:29">
      <c r="B48" s="17">
        <v>27</v>
      </c>
      <c r="C48" s="251" t="s">
        <v>64</v>
      </c>
      <c r="D48" s="61"/>
      <c r="E48" s="61"/>
      <c r="F48" s="61"/>
      <c r="G48" s="61"/>
      <c r="H48" s="252" t="s">
        <v>16</v>
      </c>
      <c r="I48" s="90">
        <f>+D41/D63</f>
        <v>2.8421472576246112</v>
      </c>
      <c r="J48" s="90">
        <f>+E41/E63</f>
        <v>2.0103931678095361</v>
      </c>
      <c r="K48" s="90">
        <f>+F41/F63</f>
        <v>0.99775653888396121</v>
      </c>
      <c r="L48" s="90">
        <f>+G41/G63</f>
        <v>1.7697772429462044</v>
      </c>
      <c r="N48" s="251" t="s">
        <v>64</v>
      </c>
      <c r="O48" s="253" t="str">
        <f t="shared" si="9"/>
        <v>U</v>
      </c>
      <c r="P48" s="254">
        <f t="shared" si="10"/>
        <v>0</v>
      </c>
      <c r="Q48" s="255">
        <f t="shared" si="11"/>
        <v>0</v>
      </c>
      <c r="R48" s="254">
        <f t="shared" si="12"/>
        <v>0</v>
      </c>
      <c r="S48" s="255">
        <f t="shared" si="13"/>
        <v>0</v>
      </c>
      <c r="T48" s="254">
        <f t="shared" si="14"/>
        <v>0</v>
      </c>
      <c r="U48" s="256">
        <f t="shared" si="15"/>
        <v>0</v>
      </c>
      <c r="V48" s="328" t="s">
        <v>148</v>
      </c>
      <c r="W48" s="327"/>
      <c r="X48" s="327">
        <f>+E87/E23</f>
        <v>0.19813564527454938</v>
      </c>
      <c r="Y48" s="327">
        <f>+F87/F23</f>
        <v>0.21229747541157473</v>
      </c>
      <c r="Z48" s="326">
        <f>+G87/G23</f>
        <v>0.13414140436208558</v>
      </c>
    </row>
    <row r="49" spans="2:26" ht="15" customHeight="1">
      <c r="B49" s="17">
        <v>28</v>
      </c>
      <c r="C49" s="251" t="s">
        <v>24</v>
      </c>
      <c r="D49" s="61">
        <v>2194675</v>
      </c>
      <c r="E49" s="61">
        <v>2000645</v>
      </c>
      <c r="F49" s="61">
        <v>618355</v>
      </c>
      <c r="G49" s="61">
        <v>862003</v>
      </c>
      <c r="H49" s="252" t="s">
        <v>116</v>
      </c>
      <c r="I49" s="68">
        <f>+D52/(D63+D52)</f>
        <v>0.36158392912248116</v>
      </c>
      <c r="J49" s="320">
        <f>+E52/(E63+E52)</f>
        <v>0</v>
      </c>
      <c r="K49" s="320">
        <f>+F52/(F63+F52)</f>
        <v>0</v>
      </c>
      <c r="L49" s="320">
        <f>+G52/(G63+G52)</f>
        <v>0</v>
      </c>
      <c r="N49" s="251" t="s">
        <v>24</v>
      </c>
      <c r="O49" s="253" t="str">
        <f t="shared" si="9"/>
        <v>U</v>
      </c>
      <c r="P49" s="254">
        <f t="shared" si="10"/>
        <v>194030</v>
      </c>
      <c r="Q49" s="255">
        <f t="shared" si="11"/>
        <v>0</v>
      </c>
      <c r="R49" s="254">
        <f t="shared" si="12"/>
        <v>1382290</v>
      </c>
      <c r="S49" s="255">
        <f t="shared" si="13"/>
        <v>0</v>
      </c>
      <c r="T49" s="254">
        <f t="shared" si="14"/>
        <v>0</v>
      </c>
      <c r="U49" s="256">
        <f t="shared" si="15"/>
        <v>243648</v>
      </c>
      <c r="V49" s="390" t="s">
        <v>149</v>
      </c>
      <c r="W49" s="378"/>
      <c r="X49" s="325">
        <f>+X47-X46</f>
        <v>0.26069061879957217</v>
      </c>
      <c r="Y49" s="325">
        <f>+Y47-Y46</f>
        <v>0.22520437148741884</v>
      </c>
      <c r="Z49" s="324">
        <f>+Z47-Z46</f>
        <v>0.14810389773424951</v>
      </c>
    </row>
    <row r="50" spans="2:26" ht="15.75" customHeight="1">
      <c r="B50" s="17">
        <v>29</v>
      </c>
      <c r="C50" s="258" t="s">
        <v>65</v>
      </c>
      <c r="D50" s="61"/>
      <c r="E50" s="61"/>
      <c r="F50" s="61"/>
      <c r="G50" s="61"/>
      <c r="H50" s="252" t="s">
        <v>99</v>
      </c>
      <c r="I50" s="90">
        <f>+D63/D33</f>
        <v>1.2741945580277259</v>
      </c>
      <c r="J50" s="90">
        <f>+E63/E33</f>
        <v>1.7925372427886148</v>
      </c>
      <c r="K50" s="90">
        <f>+F63/F33</f>
        <v>2.4707022862195278</v>
      </c>
      <c r="L50" s="90">
        <f>+G63/G33</f>
        <v>2.3940656278321417</v>
      </c>
      <c r="N50" s="258" t="s">
        <v>65</v>
      </c>
      <c r="O50" s="253" t="str">
        <f t="shared" si="9"/>
        <v>U</v>
      </c>
      <c r="P50" s="254">
        <f t="shared" si="10"/>
        <v>0</v>
      </c>
      <c r="Q50" s="255">
        <f t="shared" si="11"/>
        <v>0</v>
      </c>
      <c r="R50" s="254">
        <f t="shared" si="12"/>
        <v>0</v>
      </c>
      <c r="S50" s="255">
        <f t="shared" si="13"/>
        <v>0</v>
      </c>
      <c r="T50" s="254">
        <f t="shared" si="14"/>
        <v>0</v>
      </c>
      <c r="U50" s="256">
        <f t="shared" si="15"/>
        <v>0</v>
      </c>
      <c r="V50" s="391"/>
      <c r="W50" s="379"/>
      <c r="X50" s="323"/>
      <c r="Y50" s="323">
        <f>+Y49-X49</f>
        <v>-3.548624731215333E-2</v>
      </c>
      <c r="Z50" s="322">
        <f>+Z49-Y49</f>
        <v>-7.7100473753169335E-2</v>
      </c>
    </row>
    <row r="51" spans="2:26" ht="13.5" thickBot="1">
      <c r="B51" s="17">
        <v>0</v>
      </c>
      <c r="C51" s="259" t="s">
        <v>19</v>
      </c>
      <c r="D51" s="62">
        <f>SUM(D42:D50)</f>
        <v>4030185</v>
      </c>
      <c r="E51" s="62">
        <f>SUM(E42:E50)</f>
        <v>5253477</v>
      </c>
      <c r="F51" s="62">
        <f>SUM(F42:F50)</f>
        <v>3513000</v>
      </c>
      <c r="G51" s="62">
        <f>SUM(G42:G50)</f>
        <v>5306224</v>
      </c>
      <c r="H51" s="252" t="s">
        <v>117</v>
      </c>
      <c r="I51" s="68">
        <f>+D63/(D27+D28+D33)</f>
        <v>0.3099108073018067</v>
      </c>
      <c r="J51" s="68">
        <f>+E63/(E27+E28+E33)</f>
        <v>0.43331845359993926</v>
      </c>
      <c r="K51" s="68">
        <f>+F63/(F27+F28+F33)</f>
        <v>0.57446277379336919</v>
      </c>
      <c r="L51" s="68">
        <f>+G63/(G27+G28+G33)</f>
        <v>0.41120182812202349</v>
      </c>
      <c r="N51" s="259" t="s">
        <v>19</v>
      </c>
      <c r="O51" s="260"/>
      <c r="P51" s="261">
        <f t="shared" ref="P51:U51" si="16">SUM(P42:P50)</f>
        <v>223452</v>
      </c>
      <c r="Q51" s="261">
        <f t="shared" si="16"/>
        <v>1446744</v>
      </c>
      <c r="R51" s="261">
        <f t="shared" si="16"/>
        <v>2182035</v>
      </c>
      <c r="S51" s="261">
        <f t="shared" si="16"/>
        <v>441558</v>
      </c>
      <c r="T51" s="261">
        <f t="shared" si="16"/>
        <v>780283</v>
      </c>
      <c r="U51" s="261">
        <f t="shared" si="16"/>
        <v>2573507</v>
      </c>
      <c r="V51" s="321"/>
      <c r="W51" s="269"/>
    </row>
    <row r="52" spans="2:26" ht="13.5" thickTop="1">
      <c r="B52" s="17">
        <v>21</v>
      </c>
      <c r="C52" s="246" t="s">
        <v>53</v>
      </c>
      <c r="D52" s="61">
        <v>1003002</v>
      </c>
      <c r="E52" s="61"/>
      <c r="F52" s="61"/>
      <c r="G52" s="61"/>
      <c r="H52" s="252" t="s">
        <v>118</v>
      </c>
      <c r="I52" s="68">
        <f>+D51/D41</f>
        <v>0.80072228589957017</v>
      </c>
      <c r="J52" s="68">
        <f>+E51/E41</f>
        <v>1</v>
      </c>
      <c r="K52" s="68">
        <f>+F51/F41</f>
        <v>1</v>
      </c>
      <c r="L52" s="68">
        <f>+G51/G41</f>
        <v>1</v>
      </c>
      <c r="N52" s="246" t="s">
        <v>53</v>
      </c>
      <c r="O52" s="253" t="str">
        <f t="shared" ref="O52:O60" si="17">IF(E52-D52&gt;0,"F","U")</f>
        <v>U</v>
      </c>
      <c r="P52" s="254">
        <f t="shared" ref="P52:P60" si="18">IF(E52-D52&gt;0,0,ABS(E52-D52))</f>
        <v>1003002</v>
      </c>
      <c r="Q52" s="255">
        <f t="shared" ref="Q52:Q60" si="19">IF(E52-D52&lt;0,0,ABS(E52-D52))</f>
        <v>0</v>
      </c>
      <c r="R52" s="254">
        <f t="shared" ref="R52:R60" si="20">IF(F52-E52&gt;0,0,ABS(F52-E52))</f>
        <v>0</v>
      </c>
      <c r="S52" s="255">
        <f t="shared" ref="S52:S60" si="21">IF(F52-E52&lt;0,0,ABS(F52-E52))</f>
        <v>0</v>
      </c>
      <c r="T52" s="254">
        <f t="shared" ref="T52:T60" si="22">IF(G52-F52&gt;0,0,ABS(G52-F52))</f>
        <v>0</v>
      </c>
      <c r="U52" s="256">
        <f t="shared" ref="U52:U60" si="23">IF(G52-F52&lt;0,0,ABS(G52-F52))</f>
        <v>0</v>
      </c>
      <c r="V52" s="14"/>
    </row>
    <row r="53" spans="2:26">
      <c r="B53" s="17">
        <v>22</v>
      </c>
      <c r="C53" s="251" t="s">
        <v>54</v>
      </c>
      <c r="D53" s="61"/>
      <c r="E53" s="61"/>
      <c r="F53" s="61"/>
      <c r="G53" s="61"/>
      <c r="H53" s="252" t="s">
        <v>119</v>
      </c>
      <c r="I53" s="68">
        <f>+(D42+D52)/D41</f>
        <v>0.29982990896225392</v>
      </c>
      <c r="J53" s="320">
        <f>+(E42+E52)/E41</f>
        <v>0.27413977447697974</v>
      </c>
      <c r="K53" s="320">
        <f>+(F42+F52)/F41</f>
        <v>0.18537887845146597</v>
      </c>
      <c r="L53" s="320">
        <f>+(G42+G52)/G41</f>
        <v>0.41095098887645903</v>
      </c>
      <c r="N53" s="251" t="s">
        <v>54</v>
      </c>
      <c r="O53" s="253" t="str">
        <f t="shared" si="17"/>
        <v>U</v>
      </c>
      <c r="P53" s="254">
        <f t="shared" si="18"/>
        <v>0</v>
      </c>
      <c r="Q53" s="255">
        <f t="shared" si="19"/>
        <v>0</v>
      </c>
      <c r="R53" s="254">
        <f t="shared" si="20"/>
        <v>0</v>
      </c>
      <c r="S53" s="255">
        <f t="shared" si="21"/>
        <v>0</v>
      </c>
      <c r="T53" s="254">
        <f t="shared" si="22"/>
        <v>0</v>
      </c>
      <c r="U53" s="256">
        <f t="shared" si="23"/>
        <v>0</v>
      </c>
      <c r="V53" s="14"/>
    </row>
    <row r="54" spans="2:26">
      <c r="B54" s="17">
        <v>23</v>
      </c>
      <c r="C54" s="251" t="s">
        <v>20</v>
      </c>
      <c r="D54" s="61"/>
      <c r="E54" s="61"/>
      <c r="F54" s="61"/>
      <c r="G54" s="61"/>
      <c r="H54" s="252" t="s">
        <v>94</v>
      </c>
      <c r="I54" s="90"/>
      <c r="J54" s="371" t="e">
        <f>+(E87+E81+E82+E85+E86)/E89</f>
        <v>#DIV/0!</v>
      </c>
      <c r="K54" s="90" t="e">
        <f>+(F87+F81+F82+F85+F86)/F89</f>
        <v>#DIV/0!</v>
      </c>
      <c r="L54" s="90" t="e">
        <f>+(G87+G81+G82+G85+G86)/G89</f>
        <v>#DIV/0!</v>
      </c>
      <c r="N54" s="251" t="s">
        <v>20</v>
      </c>
      <c r="O54" s="253" t="str">
        <f t="shared" si="17"/>
        <v>U</v>
      </c>
      <c r="P54" s="254">
        <f t="shared" si="18"/>
        <v>0</v>
      </c>
      <c r="Q54" s="255">
        <f t="shared" si="19"/>
        <v>0</v>
      </c>
      <c r="R54" s="254">
        <f t="shared" si="20"/>
        <v>0</v>
      </c>
      <c r="S54" s="255">
        <f t="shared" si="21"/>
        <v>0</v>
      </c>
      <c r="T54" s="254">
        <f t="shared" si="22"/>
        <v>0</v>
      </c>
      <c r="U54" s="256">
        <f t="shared" si="23"/>
        <v>0</v>
      </c>
      <c r="V54" s="318"/>
    </row>
    <row r="55" spans="2:26">
      <c r="B55" s="22">
        <v>24</v>
      </c>
      <c r="C55" s="251" t="s">
        <v>55</v>
      </c>
      <c r="D55" s="61"/>
      <c r="E55" s="61"/>
      <c r="F55" s="61"/>
      <c r="G55" s="61"/>
      <c r="H55" s="252"/>
      <c r="I55" s="68"/>
      <c r="J55" s="68"/>
      <c r="K55" s="68"/>
      <c r="L55" s="68"/>
      <c r="N55" s="251" t="s">
        <v>55</v>
      </c>
      <c r="O55" s="253" t="str">
        <f t="shared" si="17"/>
        <v>U</v>
      </c>
      <c r="P55" s="254">
        <f t="shared" si="18"/>
        <v>0</v>
      </c>
      <c r="Q55" s="255">
        <f t="shared" si="19"/>
        <v>0</v>
      </c>
      <c r="R55" s="254">
        <f t="shared" si="20"/>
        <v>0</v>
      </c>
      <c r="S55" s="255">
        <f t="shared" si="21"/>
        <v>0</v>
      </c>
      <c r="T55" s="254">
        <f t="shared" si="22"/>
        <v>0</v>
      </c>
      <c r="U55" s="256">
        <f t="shared" si="23"/>
        <v>0</v>
      </c>
      <c r="V55" s="318"/>
    </row>
    <row r="56" spans="2:26">
      <c r="B56" s="15">
        <v>25</v>
      </c>
      <c r="C56" s="251" t="s">
        <v>21</v>
      </c>
      <c r="D56" s="61"/>
      <c r="E56" s="61"/>
      <c r="F56" s="61"/>
      <c r="G56" s="61"/>
      <c r="I56" s="80"/>
      <c r="J56" s="80"/>
      <c r="K56" s="80"/>
      <c r="L56" s="80"/>
      <c r="M56" s="80"/>
      <c r="N56" s="251" t="s">
        <v>21</v>
      </c>
      <c r="O56" s="253" t="str">
        <f t="shared" si="17"/>
        <v>U</v>
      </c>
      <c r="P56" s="254">
        <f t="shared" si="18"/>
        <v>0</v>
      </c>
      <c r="Q56" s="255">
        <f t="shared" si="19"/>
        <v>0</v>
      </c>
      <c r="R56" s="254">
        <f t="shared" si="20"/>
        <v>0</v>
      </c>
      <c r="S56" s="255">
        <f t="shared" si="21"/>
        <v>0</v>
      </c>
      <c r="T56" s="254">
        <f t="shared" si="22"/>
        <v>0</v>
      </c>
      <c r="U56" s="256">
        <f t="shared" si="23"/>
        <v>0</v>
      </c>
      <c r="V56" s="318"/>
    </row>
    <row r="57" spans="2:26" ht="13.5" customHeight="1" thickBot="1">
      <c r="B57" s="17">
        <v>26</v>
      </c>
      <c r="C57" s="251" t="s">
        <v>22</v>
      </c>
      <c r="D57" s="61"/>
      <c r="E57" s="61"/>
      <c r="F57" s="61"/>
      <c r="G57" s="61"/>
      <c r="J57" s="380" t="s">
        <v>95</v>
      </c>
      <c r="K57" s="381"/>
      <c r="L57" s="382"/>
      <c r="N57" s="251" t="s">
        <v>22</v>
      </c>
      <c r="O57" s="253" t="str">
        <f t="shared" si="17"/>
        <v>U</v>
      </c>
      <c r="P57" s="254">
        <f t="shared" si="18"/>
        <v>0</v>
      </c>
      <c r="Q57" s="255">
        <f t="shared" si="19"/>
        <v>0</v>
      </c>
      <c r="R57" s="254">
        <f t="shared" si="20"/>
        <v>0</v>
      </c>
      <c r="S57" s="255">
        <f t="shared" si="21"/>
        <v>0</v>
      </c>
      <c r="T57" s="254">
        <f t="shared" si="22"/>
        <v>0</v>
      </c>
      <c r="U57" s="256">
        <f t="shared" si="23"/>
        <v>0</v>
      </c>
      <c r="V57" s="318"/>
    </row>
    <row r="58" spans="2:26" ht="13.5" thickTop="1">
      <c r="B58" s="17">
        <v>27</v>
      </c>
      <c r="C58" s="251" t="s">
        <v>23</v>
      </c>
      <c r="D58" s="61"/>
      <c r="E58" s="61"/>
      <c r="F58" s="61"/>
      <c r="G58" s="61"/>
      <c r="N58" s="251" t="s">
        <v>23</v>
      </c>
      <c r="O58" s="253" t="str">
        <f t="shared" si="17"/>
        <v>U</v>
      </c>
      <c r="P58" s="254">
        <f t="shared" si="18"/>
        <v>0</v>
      </c>
      <c r="Q58" s="255">
        <f t="shared" si="19"/>
        <v>0</v>
      </c>
      <c r="R58" s="254">
        <f t="shared" si="20"/>
        <v>0</v>
      </c>
      <c r="S58" s="255">
        <f t="shared" si="21"/>
        <v>0</v>
      </c>
      <c r="T58" s="254">
        <f t="shared" si="22"/>
        <v>0</v>
      </c>
      <c r="U58" s="256">
        <f t="shared" si="23"/>
        <v>0</v>
      </c>
      <c r="V58" s="318"/>
      <c r="W58" s="83"/>
      <c r="X58" s="83"/>
      <c r="Y58" s="83"/>
      <c r="Z58" s="83"/>
    </row>
    <row r="59" spans="2:26">
      <c r="B59" s="17">
        <v>28</v>
      </c>
      <c r="C59" s="251" t="s">
        <v>24</v>
      </c>
      <c r="D59" s="61"/>
      <c r="E59" s="61"/>
      <c r="F59" s="61"/>
      <c r="G59" s="61"/>
      <c r="H59" s="252" t="s">
        <v>96</v>
      </c>
      <c r="I59" s="68">
        <f>+(D87+D81+D82+D85+D86)/D75</f>
        <v>6.9655489261990264E-2</v>
      </c>
      <c r="J59" s="320">
        <f>+(E87+E81+E82+E85+E86)/E75</f>
        <v>7.4945980516731014E-2</v>
      </c>
      <c r="K59" s="320">
        <f>+(F87+F81+F82+F85+F86)/F75</f>
        <v>8.4505091881126884E-2</v>
      </c>
      <c r="L59" s="320">
        <f>+(G87+G81+G82+G85+G86)/G75</f>
        <v>8.3587628971183936E-2</v>
      </c>
      <c r="N59" s="251" t="s">
        <v>24</v>
      </c>
      <c r="O59" s="253" t="str">
        <f t="shared" si="17"/>
        <v>U</v>
      </c>
      <c r="P59" s="254">
        <f t="shared" si="18"/>
        <v>0</v>
      </c>
      <c r="Q59" s="255">
        <f t="shared" si="19"/>
        <v>0</v>
      </c>
      <c r="R59" s="254">
        <f t="shared" si="20"/>
        <v>0</v>
      </c>
      <c r="S59" s="255">
        <f t="shared" si="21"/>
        <v>0</v>
      </c>
      <c r="T59" s="254">
        <f t="shared" si="22"/>
        <v>0</v>
      </c>
      <c r="U59" s="256">
        <f t="shared" si="23"/>
        <v>0</v>
      </c>
      <c r="V59" s="318"/>
      <c r="W59" s="93"/>
      <c r="X59" s="93"/>
      <c r="Y59" s="93"/>
      <c r="Z59" s="93"/>
    </row>
    <row r="60" spans="2:26">
      <c r="B60" s="17">
        <v>29</v>
      </c>
      <c r="C60" s="258" t="s">
        <v>26</v>
      </c>
      <c r="D60" s="61"/>
      <c r="E60" s="61"/>
      <c r="F60" s="61"/>
      <c r="G60" s="61"/>
      <c r="H60" s="252" t="s">
        <v>97</v>
      </c>
      <c r="I60" s="68">
        <f>+D87/D75</f>
        <v>6.9655489261990264E-2</v>
      </c>
      <c r="J60" s="320">
        <f>+E87/E75</f>
        <v>7.4945980516731014E-2</v>
      </c>
      <c r="K60" s="320">
        <f>+F87/F75</f>
        <v>8.4505091881126884E-2</v>
      </c>
      <c r="L60" s="320">
        <f>+G87/G75</f>
        <v>8.3587628971183936E-2</v>
      </c>
      <c r="N60" s="258" t="s">
        <v>26</v>
      </c>
      <c r="O60" s="253" t="str">
        <f t="shared" si="17"/>
        <v>U</v>
      </c>
      <c r="P60" s="254">
        <f t="shared" si="18"/>
        <v>0</v>
      </c>
      <c r="Q60" s="255">
        <f t="shared" si="19"/>
        <v>0</v>
      </c>
      <c r="R60" s="254">
        <f t="shared" si="20"/>
        <v>0</v>
      </c>
      <c r="S60" s="255">
        <f t="shared" si="21"/>
        <v>0</v>
      </c>
      <c r="T60" s="254">
        <f t="shared" si="22"/>
        <v>0</v>
      </c>
      <c r="U60" s="256">
        <f t="shared" si="23"/>
        <v>0</v>
      </c>
      <c r="V60" s="318"/>
    </row>
    <row r="61" spans="2:26" ht="13.5" thickBot="1">
      <c r="B61" s="22">
        <v>0</v>
      </c>
      <c r="C61" s="259" t="s">
        <v>27</v>
      </c>
      <c r="D61" s="62">
        <f>SUM(D52:D60)</f>
        <v>1003002</v>
      </c>
      <c r="E61" s="62">
        <f>SUM(E52:E60)</f>
        <v>0</v>
      </c>
      <c r="F61" s="62">
        <f>SUM(F52:F60)</f>
        <v>0</v>
      </c>
      <c r="G61" s="62">
        <f>SUM(G52:G60)</f>
        <v>0</v>
      </c>
      <c r="H61" s="252" t="s">
        <v>98</v>
      </c>
      <c r="I61" s="68">
        <f>+D93/D75</f>
        <v>4.0705653940947099E-2</v>
      </c>
      <c r="J61" s="320">
        <f>+E93/E75</f>
        <v>4.0498239997199613E-2</v>
      </c>
      <c r="K61" s="320">
        <f>+F93/F75</f>
        <v>5.136932656875641E-2</v>
      </c>
      <c r="L61" s="320">
        <f>+G93/G75</f>
        <v>4.6072231666702684E-2</v>
      </c>
      <c r="N61" s="259" t="s">
        <v>27</v>
      </c>
      <c r="O61" s="260"/>
      <c r="P61" s="263">
        <f t="shared" ref="P61:U61" si="24">SUM(P52:P60)</f>
        <v>1003002</v>
      </c>
      <c r="Q61" s="263">
        <f t="shared" si="24"/>
        <v>0</v>
      </c>
      <c r="R61" s="263">
        <f t="shared" si="24"/>
        <v>0</v>
      </c>
      <c r="S61" s="263">
        <f t="shared" si="24"/>
        <v>0</v>
      </c>
      <c r="T61" s="263">
        <f t="shared" si="24"/>
        <v>0</v>
      </c>
      <c r="U61" s="263">
        <f t="shared" si="24"/>
        <v>0</v>
      </c>
      <c r="V61" s="14"/>
    </row>
    <row r="62" spans="2:26" ht="13.5" thickTop="1">
      <c r="B62" s="13"/>
      <c r="C62" s="14"/>
      <c r="D62" s="72">
        <f>+D23-D71</f>
        <v>0</v>
      </c>
      <c r="E62" s="72">
        <f>+E23-E71</f>
        <v>0</v>
      </c>
      <c r="F62" s="72">
        <f>+F23-F71</f>
        <v>0</v>
      </c>
      <c r="G62" s="72">
        <f>+G23-G71</f>
        <v>0</v>
      </c>
      <c r="H62" s="252" t="s">
        <v>13</v>
      </c>
      <c r="I62" s="68"/>
      <c r="J62" s="68">
        <f>+J31/AVERAGE(D23:E23)</f>
        <v>4.4583167411079906E-8</v>
      </c>
      <c r="K62" s="68">
        <f>+K31/AVERAGE(E23:F23)</f>
        <v>-5.6303405798947945E-9</v>
      </c>
      <c r="L62" s="68">
        <f>+L31/AVERAGE(F23:G23)</f>
        <v>-3.3120709057137209E-8</v>
      </c>
      <c r="N62" s="14"/>
      <c r="O62" s="14"/>
      <c r="P62" s="14"/>
      <c r="Q62" s="14"/>
      <c r="R62" s="14"/>
      <c r="S62" s="14"/>
      <c r="T62" s="14"/>
      <c r="U62" s="14"/>
      <c r="V62" s="318"/>
    </row>
    <row r="63" spans="2:26" ht="13.5" thickBot="1">
      <c r="B63" s="15">
        <v>30</v>
      </c>
      <c r="C63" s="259" t="s">
        <v>28</v>
      </c>
      <c r="D63" s="62">
        <f>SUM(D64:D70)</f>
        <v>1770910</v>
      </c>
      <c r="E63" s="62">
        <f>SUM(E64:E70)</f>
        <v>2613159</v>
      </c>
      <c r="F63" s="62">
        <f>SUM(F64:F70)</f>
        <v>3520899</v>
      </c>
      <c r="G63" s="69">
        <f>SUM(G64:G70)</f>
        <v>2998244</v>
      </c>
      <c r="H63" s="252" t="s">
        <v>14</v>
      </c>
      <c r="I63" s="68">
        <f>+D93/D63</f>
        <v>0.3875899961036981</v>
      </c>
      <c r="J63" s="68">
        <f>+E93/E63</f>
        <v>0.32230989388705394</v>
      </c>
      <c r="K63" s="68">
        <f>+F93/F63</f>
        <v>0.25781512051325528</v>
      </c>
      <c r="L63" s="68">
        <f>+G93/G63</f>
        <v>0.20478820269464393</v>
      </c>
      <c r="N63" s="259" t="s">
        <v>28</v>
      </c>
      <c r="O63" s="260"/>
      <c r="P63" s="263">
        <f t="shared" ref="P63:U63" si="25">SUM(P64:P70)</f>
        <v>0</v>
      </c>
      <c r="Q63" s="263">
        <f t="shared" si="25"/>
        <v>842249</v>
      </c>
      <c r="R63" s="263">
        <f t="shared" si="25"/>
        <v>0</v>
      </c>
      <c r="S63" s="263">
        <f t="shared" si="25"/>
        <v>907740</v>
      </c>
      <c r="T63" s="263">
        <f t="shared" si="25"/>
        <v>648951</v>
      </c>
      <c r="U63" s="263">
        <f t="shared" si="25"/>
        <v>126296</v>
      </c>
      <c r="V63" s="318"/>
    </row>
    <row r="64" spans="2:26" ht="13.5" thickTop="1">
      <c r="B64" s="17">
        <v>31</v>
      </c>
      <c r="C64" s="36" t="s">
        <v>29</v>
      </c>
      <c r="D64" s="66">
        <v>400000</v>
      </c>
      <c r="E64" s="66">
        <v>400000</v>
      </c>
      <c r="F64" s="66">
        <v>400000</v>
      </c>
      <c r="G64" s="66">
        <v>400000</v>
      </c>
      <c r="H64" s="270"/>
      <c r="N64" s="36" t="s">
        <v>29</v>
      </c>
      <c r="O64" s="253" t="str">
        <f t="shared" ref="O64:O70" si="26">IF(E64-D64&gt;0,"F","U")</f>
        <v>U</v>
      </c>
      <c r="P64" s="254">
        <f t="shared" ref="P64:P70" si="27">IF(E64-D64&gt;0,0,ABS(E64-D64))</f>
        <v>0</v>
      </c>
      <c r="Q64" s="255">
        <f t="shared" ref="Q64:Q70" si="28">IF(E64-D64&lt;0,0,ABS(E64-D64))</f>
        <v>0</v>
      </c>
      <c r="R64" s="254">
        <f t="shared" ref="R64:R70" si="29">IF(F64-E64&gt;0,0,ABS(F64-E64))</f>
        <v>0</v>
      </c>
      <c r="S64" s="255">
        <f t="shared" ref="S64:S70" si="30">IF(F64-E64&lt;0,0,ABS(F64-E64))</f>
        <v>0</v>
      </c>
      <c r="T64" s="254">
        <f t="shared" ref="T64:T70" si="31">IF(G64-F64&gt;0,0,ABS(G64-F64))</f>
        <v>0</v>
      </c>
      <c r="U64" s="256">
        <f t="shared" ref="U64:U70" si="32">IF(G64-F64&lt;0,0,ABS(G64-F64))</f>
        <v>0</v>
      </c>
      <c r="V64" s="318"/>
    </row>
    <row r="65" spans="2:26">
      <c r="B65" s="17">
        <v>32</v>
      </c>
      <c r="C65" s="37" t="s">
        <v>30</v>
      </c>
      <c r="D65" s="66"/>
      <c r="E65" s="66"/>
      <c r="F65" s="66"/>
      <c r="G65" s="66"/>
      <c r="H65" s="252"/>
      <c r="I65" s="90"/>
      <c r="J65" s="90"/>
      <c r="K65" s="90"/>
      <c r="L65" s="90"/>
      <c r="N65" s="37" t="s">
        <v>30</v>
      </c>
      <c r="O65" s="253" t="str">
        <f t="shared" si="26"/>
        <v>U</v>
      </c>
      <c r="P65" s="254">
        <f t="shared" si="27"/>
        <v>0</v>
      </c>
      <c r="Q65" s="255">
        <f t="shared" si="28"/>
        <v>0</v>
      </c>
      <c r="R65" s="254">
        <f t="shared" si="29"/>
        <v>0</v>
      </c>
      <c r="S65" s="255">
        <f t="shared" si="30"/>
        <v>0</v>
      </c>
      <c r="T65" s="254">
        <f t="shared" si="31"/>
        <v>0</v>
      </c>
      <c r="U65" s="256">
        <f t="shared" si="32"/>
        <v>0</v>
      </c>
      <c r="V65" s="318"/>
    </row>
    <row r="66" spans="2:26">
      <c r="B66" s="17">
        <v>33</v>
      </c>
      <c r="C66" s="37" t="s">
        <v>66</v>
      </c>
      <c r="D66" s="66">
        <v>40000</v>
      </c>
      <c r="E66" s="66">
        <v>40000</v>
      </c>
      <c r="F66" s="66">
        <v>40000</v>
      </c>
      <c r="G66" s="66">
        <v>166296</v>
      </c>
      <c r="H66" s="252"/>
      <c r="I66" s="90"/>
      <c r="J66" s="90"/>
      <c r="K66" s="90"/>
      <c r="L66" s="90"/>
      <c r="N66" s="37" t="s">
        <v>66</v>
      </c>
      <c r="O66" s="253" t="str">
        <f t="shared" si="26"/>
        <v>U</v>
      </c>
      <c r="P66" s="254">
        <f t="shared" si="27"/>
        <v>0</v>
      </c>
      <c r="Q66" s="255">
        <f t="shared" si="28"/>
        <v>0</v>
      </c>
      <c r="R66" s="254">
        <f t="shared" si="29"/>
        <v>0</v>
      </c>
      <c r="S66" s="255">
        <f t="shared" si="30"/>
        <v>0</v>
      </c>
      <c r="T66" s="254">
        <f t="shared" si="31"/>
        <v>0</v>
      </c>
      <c r="U66" s="256">
        <f t="shared" si="32"/>
        <v>126296</v>
      </c>
      <c r="V66" s="317"/>
    </row>
    <row r="67" spans="2:26">
      <c r="B67" s="17">
        <v>34</v>
      </c>
      <c r="C67" s="37" t="s">
        <v>31</v>
      </c>
      <c r="D67" s="66">
        <v>67954</v>
      </c>
      <c r="E67" s="66">
        <v>67954</v>
      </c>
      <c r="F67" s="66">
        <v>67954</v>
      </c>
      <c r="G67" s="66">
        <v>67954</v>
      </c>
      <c r="H67" s="252"/>
      <c r="I67" s="84"/>
      <c r="J67" s="68"/>
      <c r="K67" s="68"/>
      <c r="L67" s="68"/>
      <c r="N67" s="37" t="s">
        <v>31</v>
      </c>
      <c r="O67" s="253" t="str">
        <f t="shared" si="26"/>
        <v>U</v>
      </c>
      <c r="P67" s="254">
        <f t="shared" si="27"/>
        <v>0</v>
      </c>
      <c r="Q67" s="255">
        <f t="shared" si="28"/>
        <v>0</v>
      </c>
      <c r="R67" s="254">
        <f t="shared" si="29"/>
        <v>0</v>
      </c>
      <c r="S67" s="255">
        <f t="shared" si="30"/>
        <v>0</v>
      </c>
      <c r="T67" s="254">
        <f t="shared" si="31"/>
        <v>0</v>
      </c>
      <c r="U67" s="256">
        <f t="shared" si="32"/>
        <v>0</v>
      </c>
      <c r="V67" s="392"/>
    </row>
    <row r="68" spans="2:26">
      <c r="B68" s="17">
        <v>35</v>
      </c>
      <c r="C68" s="37" t="s">
        <v>32</v>
      </c>
      <c r="D68" s="66"/>
      <c r="E68" s="66">
        <v>0</v>
      </c>
      <c r="F68" s="66">
        <v>0</v>
      </c>
      <c r="G68" s="66">
        <v>0</v>
      </c>
      <c r="H68" s="252"/>
      <c r="I68" s="19"/>
      <c r="J68" s="19"/>
      <c r="K68" s="68"/>
      <c r="L68" s="68"/>
      <c r="N68" s="37" t="s">
        <v>32</v>
      </c>
      <c r="O68" s="253" t="str">
        <f t="shared" si="26"/>
        <v>U</v>
      </c>
      <c r="P68" s="254">
        <f t="shared" si="27"/>
        <v>0</v>
      </c>
      <c r="Q68" s="255">
        <f t="shared" si="28"/>
        <v>0</v>
      </c>
      <c r="R68" s="254">
        <f t="shared" si="29"/>
        <v>0</v>
      </c>
      <c r="S68" s="255">
        <f t="shared" si="30"/>
        <v>0</v>
      </c>
      <c r="T68" s="254">
        <f t="shared" si="31"/>
        <v>0</v>
      </c>
      <c r="U68" s="256">
        <f t="shared" si="32"/>
        <v>0</v>
      </c>
      <c r="V68" s="392"/>
    </row>
    <row r="69" spans="2:26">
      <c r="B69" s="17">
        <v>36</v>
      </c>
      <c r="C69" s="37" t="s">
        <v>33</v>
      </c>
      <c r="D69" s="66">
        <v>686387</v>
      </c>
      <c r="E69" s="66">
        <v>842247</v>
      </c>
      <c r="F69" s="66">
        <v>907741</v>
      </c>
      <c r="G69" s="66">
        <v>614005</v>
      </c>
      <c r="H69" s="252"/>
      <c r="I69" s="19"/>
      <c r="J69" s="68"/>
      <c r="K69" s="68"/>
      <c r="L69" s="68"/>
      <c r="N69" s="37" t="s">
        <v>33</v>
      </c>
      <c r="O69" s="253" t="str">
        <f t="shared" si="26"/>
        <v>F</v>
      </c>
      <c r="P69" s="254">
        <f t="shared" si="27"/>
        <v>0</v>
      </c>
      <c r="Q69" s="255">
        <f t="shared" si="28"/>
        <v>155860</v>
      </c>
      <c r="R69" s="254">
        <f t="shared" si="29"/>
        <v>0</v>
      </c>
      <c r="S69" s="255">
        <f t="shared" si="30"/>
        <v>65494</v>
      </c>
      <c r="T69" s="254">
        <f t="shared" si="31"/>
        <v>293736</v>
      </c>
      <c r="U69" s="256">
        <f t="shared" si="32"/>
        <v>0</v>
      </c>
      <c r="V69" s="14"/>
    </row>
    <row r="70" spans="2:26">
      <c r="B70" s="17">
        <v>37</v>
      </c>
      <c r="C70" s="38" t="s">
        <v>34</v>
      </c>
      <c r="D70" s="66">
        <v>576569</v>
      </c>
      <c r="E70" s="66">
        <v>1262958</v>
      </c>
      <c r="F70" s="66">
        <v>2105204</v>
      </c>
      <c r="G70" s="66">
        <v>1749989</v>
      </c>
      <c r="N70" s="38" t="s">
        <v>34</v>
      </c>
      <c r="O70" s="253" t="str">
        <f t="shared" si="26"/>
        <v>F</v>
      </c>
      <c r="P70" s="254">
        <f t="shared" si="27"/>
        <v>0</v>
      </c>
      <c r="Q70" s="255">
        <f t="shared" si="28"/>
        <v>686389</v>
      </c>
      <c r="R70" s="254">
        <f t="shared" si="29"/>
        <v>0</v>
      </c>
      <c r="S70" s="255">
        <f t="shared" si="30"/>
        <v>842246</v>
      </c>
      <c r="T70" s="254">
        <f t="shared" si="31"/>
        <v>355215</v>
      </c>
      <c r="U70" s="256">
        <f t="shared" si="32"/>
        <v>0</v>
      </c>
      <c r="V70" s="14"/>
    </row>
    <row r="71" spans="2:26" ht="13.5" thickBot="1">
      <c r="B71" s="17"/>
      <c r="C71" s="243" t="s">
        <v>36</v>
      </c>
      <c r="D71" s="57">
        <f>+D63+D41</f>
        <v>6804097</v>
      </c>
      <c r="E71" s="57">
        <f>+E63+E41</f>
        <v>7866636</v>
      </c>
      <c r="F71" s="57">
        <f>+F63+F41</f>
        <v>7033899</v>
      </c>
      <c r="G71" s="70">
        <f>+G63+G41</f>
        <v>8304468</v>
      </c>
      <c r="H71" s="244" t="s">
        <v>75</v>
      </c>
      <c r="I71" s="19"/>
      <c r="J71" s="19"/>
      <c r="K71" s="19"/>
      <c r="L71" s="19"/>
      <c r="N71" s="271" t="s">
        <v>109</v>
      </c>
      <c r="O71" s="272"/>
      <c r="P71" s="114">
        <f t="shared" ref="P71:U71" si="33">+SUM(P25:P29)-P27+SUM(P31:P37)+SUM(P42:P50)+SUM(P52:P60)+SUM(P64:P70)</f>
        <v>2596245</v>
      </c>
      <c r="Q71" s="114">
        <f t="shared" si="33"/>
        <v>2303339</v>
      </c>
      <c r="R71" s="114">
        <f t="shared" si="33"/>
        <v>3299969</v>
      </c>
      <c r="S71" s="114">
        <f t="shared" si="33"/>
        <v>3295310</v>
      </c>
      <c r="T71" s="114">
        <f t="shared" si="33"/>
        <v>2957607</v>
      </c>
      <c r="U71" s="114">
        <f t="shared" si="33"/>
        <v>2884903</v>
      </c>
      <c r="V71" s="14"/>
    </row>
    <row r="72" spans="2:26" ht="13.5" thickTop="1">
      <c r="B72" s="22">
        <v>38</v>
      </c>
      <c r="C72" s="264" t="s">
        <v>35</v>
      </c>
      <c r="D72" s="273">
        <f>+D39</f>
        <v>0</v>
      </c>
      <c r="E72" s="79">
        <f>+E39</f>
        <v>0</v>
      </c>
      <c r="F72" s="273">
        <f>+F39</f>
        <v>0</v>
      </c>
      <c r="G72" s="79">
        <f>+G39</f>
        <v>0</v>
      </c>
      <c r="H72" s="252" t="s">
        <v>120</v>
      </c>
      <c r="I72" s="19"/>
      <c r="J72" s="73">
        <f>+((E75-D75)/D75)/((E28-D28)/D28)</f>
        <v>-35.377585987073573</v>
      </c>
      <c r="K72" s="74">
        <f>+((F75-E75)/E75)/((F28-E28)/E28)</f>
        <v>-0.30402975265433035</v>
      </c>
      <c r="L72" s="74">
        <f>+((G75-F75)/F75)/((G28-F28)/F28)</f>
        <v>-0.69940376438794671</v>
      </c>
      <c r="N72" s="271" t="s">
        <v>108</v>
      </c>
      <c r="O72" s="272"/>
      <c r="P72" s="114">
        <f>IF($Q$71-$P$71&lt;0,ABS($Q$71-$P$71),"")</f>
        <v>292906</v>
      </c>
      <c r="Q72" s="114">
        <f>IF($Q$71-$P$71&gt;0,ABS($Q$71-$P$71),0)</f>
        <v>0</v>
      </c>
      <c r="R72" s="114">
        <f>IF($S$71-$R$71&lt;0,ABS($S$71-$R$71),0)</f>
        <v>4659</v>
      </c>
      <c r="S72" s="114">
        <f>IF($S$71-$R$71&gt;0,ABS($S$71-$R$71),0)</f>
        <v>0</v>
      </c>
      <c r="T72" s="114">
        <f>IF($U$71-$T$71&lt;0,ABS($U$71-$T$71),0)</f>
        <v>72704</v>
      </c>
      <c r="U72" s="114">
        <f>IF($U$71-$T$71&gt;0,ABS($U$71-$T$71),0)</f>
        <v>0</v>
      </c>
      <c r="V72" s="14"/>
    </row>
    <row r="73" spans="2:26" s="77" customFormat="1" ht="22.5">
      <c r="B73" s="75"/>
      <c r="C73" s="274" t="s">
        <v>69</v>
      </c>
      <c r="D73" s="78" t="str">
        <f>+IF(D71=D23,"OK","ERROR")</f>
        <v>OK</v>
      </c>
      <c r="E73" s="78" t="str">
        <f>+IF(E71=E23,"OK","ERROR")</f>
        <v>OK</v>
      </c>
      <c r="F73" s="78" t="str">
        <f>+IF(F71=F23,"OK","ERROR")</f>
        <v>OK</v>
      </c>
      <c r="G73" s="78" t="str">
        <f>+IF(G71=G23,"OK","ERROR")</f>
        <v>OK</v>
      </c>
      <c r="H73" s="252" t="s">
        <v>121</v>
      </c>
      <c r="I73" s="19"/>
      <c r="J73" s="73">
        <f>+((E27-D27)/D27)/((E28-D28)/D28)</f>
        <v>-18.527026845656732</v>
      </c>
      <c r="K73" s="74">
        <f>+((F27-E27)/E27)/((F28-E28)/E28)</f>
        <v>-0.78566188980975682</v>
      </c>
      <c r="L73" s="74">
        <f>+((G27-F27)/F27)/((G28-F28)/F28)</f>
        <v>0.38623474540139846</v>
      </c>
      <c r="N73" s="271" t="s">
        <v>104</v>
      </c>
      <c r="O73" s="272"/>
      <c r="P73" s="114">
        <f>IF($E$24-$D$24&lt;0,ABS($E$24-$D$24),"")</f>
        <v>212906</v>
      </c>
      <c r="Q73" s="114">
        <f>IF($E$24-$D$24&gt;0,ABS($E$24-$D$24),0)</f>
        <v>0</v>
      </c>
      <c r="R73" s="114">
        <f>IF($F$24-$E$24&lt;0,ABS($F$24-$E$24),0)</f>
        <v>0</v>
      </c>
      <c r="S73" s="114">
        <f>IF($F$24-$E$24&gt;0,ABS($F$24-$E$24),0)</f>
        <v>38739</v>
      </c>
      <c r="T73" s="114">
        <f>IF($G$24-$F$24&lt;0,ABS($G$24-$F$24),0)</f>
        <v>78809</v>
      </c>
      <c r="U73" s="114">
        <f>IF($G$24-$F$24&gt;0,ABS($G$24-$F$24),0)</f>
        <v>0</v>
      </c>
      <c r="V73" s="315"/>
      <c r="W73" s="142"/>
      <c r="X73" s="142"/>
      <c r="Y73" s="142"/>
      <c r="Z73" s="142"/>
    </row>
    <row r="74" spans="2:26">
      <c r="B74" s="23"/>
      <c r="C74" s="41"/>
      <c r="D74" s="100">
        <f>+D71-D23</f>
        <v>0</v>
      </c>
      <c r="E74" s="100">
        <f>+E71-E23</f>
        <v>0</v>
      </c>
      <c r="F74" s="100">
        <f>+F71-F23</f>
        <v>0</v>
      </c>
      <c r="G74" s="100">
        <f>+G71-G23</f>
        <v>0</v>
      </c>
      <c r="H74" s="252" t="s">
        <v>76</v>
      </c>
      <c r="I74" s="68">
        <f>+I75*I76*I77</f>
        <v>0.3875899961036981</v>
      </c>
      <c r="J74" s="68">
        <f>+J75*J76*J77</f>
        <v>0.32230989388705389</v>
      </c>
      <c r="K74" s="68">
        <f>+K75*K76*K77</f>
        <v>0.25781512051325522</v>
      </c>
      <c r="L74" s="68">
        <f>+L75*L76*L77</f>
        <v>0.2047882026946439</v>
      </c>
      <c r="N74" s="14"/>
      <c r="O74" s="14"/>
      <c r="P74" s="110"/>
      <c r="Q74" s="104"/>
      <c r="R74" s="103"/>
      <c r="S74" s="104"/>
      <c r="T74" s="103"/>
      <c r="U74" s="104"/>
      <c r="W74" s="83"/>
      <c r="X74" s="83"/>
      <c r="Y74" s="83"/>
      <c r="Z74" s="83"/>
    </row>
    <row r="75" spans="2:26" ht="13.5" thickBot="1">
      <c r="B75" s="15">
        <v>41</v>
      </c>
      <c r="C75" s="24" t="s">
        <v>37</v>
      </c>
      <c r="D75" s="44">
        <v>16862203</v>
      </c>
      <c r="E75" s="44">
        <v>20797126</v>
      </c>
      <c r="F75" s="44">
        <v>17670876</v>
      </c>
      <c r="G75" s="44">
        <v>13327008</v>
      </c>
      <c r="H75" s="252" t="s">
        <v>77</v>
      </c>
      <c r="I75" s="68">
        <f>+D93/D75</f>
        <v>4.0705653940947099E-2</v>
      </c>
      <c r="J75" s="68">
        <f>+E93/E75</f>
        <v>4.0498239997199613E-2</v>
      </c>
      <c r="K75" s="68">
        <f>+F93/F75</f>
        <v>5.136932656875641E-2</v>
      </c>
      <c r="L75" s="68">
        <f>+G93/G75</f>
        <v>4.6072231666702684E-2</v>
      </c>
      <c r="N75" s="275" t="s">
        <v>107</v>
      </c>
      <c r="O75" s="275"/>
      <c r="P75" s="111">
        <f t="shared" ref="P75:U75" si="34">+P72-P73</f>
        <v>80000</v>
      </c>
      <c r="Q75" s="112">
        <f t="shared" si="34"/>
        <v>0</v>
      </c>
      <c r="R75" s="113">
        <f t="shared" si="34"/>
        <v>4659</v>
      </c>
      <c r="S75" s="112">
        <f t="shared" si="34"/>
        <v>-38739</v>
      </c>
      <c r="T75" s="113">
        <f t="shared" si="34"/>
        <v>-6105</v>
      </c>
      <c r="U75" s="112">
        <f t="shared" si="34"/>
        <v>0</v>
      </c>
    </row>
    <row r="76" spans="2:26" ht="13.5" thickTop="1">
      <c r="B76" s="17"/>
      <c r="C76" s="25" t="s">
        <v>80</v>
      </c>
      <c r="D76" s="54"/>
      <c r="E76" s="54"/>
      <c r="F76" s="54"/>
      <c r="G76" s="54"/>
      <c r="H76" s="252" t="s">
        <v>78</v>
      </c>
      <c r="I76" s="313">
        <f>+D75/D23</f>
        <v>2.4782425941311534</v>
      </c>
      <c r="J76" s="313">
        <f>+E75/E23</f>
        <v>2.6437127636260276</v>
      </c>
      <c r="K76" s="313">
        <f>+F75/F23</f>
        <v>2.5122447734890705</v>
      </c>
      <c r="L76" s="313">
        <f>+G75/G23</f>
        <v>1.604799729495014</v>
      </c>
      <c r="N76" s="72"/>
      <c r="O76" s="14"/>
    </row>
    <row r="77" spans="2:26">
      <c r="B77" s="17">
        <v>61</v>
      </c>
      <c r="C77" s="25" t="s">
        <v>38</v>
      </c>
      <c r="D77" s="54">
        <v>15413746</v>
      </c>
      <c r="E77" s="54">
        <v>18969150</v>
      </c>
      <c r="F77" s="54">
        <v>15942827</v>
      </c>
      <c r="G77" s="54">
        <v>11951790</v>
      </c>
      <c r="H77" s="252" t="s">
        <v>79</v>
      </c>
      <c r="I77" s="313">
        <f>+D23/D63</f>
        <v>3.8421472576246112</v>
      </c>
      <c r="J77" s="313">
        <f>+E23/E63</f>
        <v>3.0103931678095361</v>
      </c>
      <c r="K77" s="313">
        <f>+F23/F63</f>
        <v>1.9977565388839611</v>
      </c>
      <c r="L77" s="313">
        <f>+G23/G63</f>
        <v>2.7697772429462044</v>
      </c>
      <c r="N77" s="276" t="s">
        <v>110</v>
      </c>
      <c r="O77" s="128"/>
      <c r="P77" s="129">
        <f t="shared" ref="P77:U77" si="35">+P30+P51</f>
        <v>1707962</v>
      </c>
      <c r="Q77" s="130">
        <f t="shared" si="35"/>
        <v>1461090</v>
      </c>
      <c r="R77" s="120">
        <f t="shared" si="35"/>
        <v>3256571</v>
      </c>
      <c r="S77" s="121">
        <f t="shared" si="35"/>
        <v>3291873</v>
      </c>
      <c r="T77" s="120">
        <f t="shared" si="35"/>
        <v>2247428</v>
      </c>
      <c r="U77" s="121">
        <f t="shared" si="35"/>
        <v>2579807</v>
      </c>
    </row>
    <row r="78" spans="2:26" ht="13.5" thickBot="1">
      <c r="B78" s="17"/>
      <c r="C78" s="45" t="s">
        <v>39</v>
      </c>
      <c r="D78" s="46">
        <f>+D75-D77</f>
        <v>1448457</v>
      </c>
      <c r="E78" s="46">
        <f>+E75-E77</f>
        <v>1827976</v>
      </c>
      <c r="F78" s="46">
        <f>+F75-F77</f>
        <v>1728049</v>
      </c>
      <c r="G78" s="71">
        <f>+G75-G77</f>
        <v>1375218</v>
      </c>
      <c r="H78" s="14"/>
      <c r="I78" s="96"/>
      <c r="J78" s="277"/>
      <c r="K78" s="14"/>
      <c r="L78" s="14"/>
      <c r="N78" s="131" t="str">
        <f>+IF(P78&gt;0,"Usos","Fuentes")</f>
        <v>Usos</v>
      </c>
      <c r="O78" s="132"/>
      <c r="P78" s="133">
        <f>IF(P77-Q77&lt;0,0,P77-Q77)</f>
        <v>246872</v>
      </c>
      <c r="Q78" s="134">
        <f>IF(Q77-P77&lt;0,0,Q77-P77)</f>
        <v>0</v>
      </c>
      <c r="R78" s="122">
        <f>IF(R77-S77&lt;0,0,R77-S77)</f>
        <v>0</v>
      </c>
      <c r="S78" s="123">
        <f>IF(S77-R77&lt;0,0,S77-R77)</f>
        <v>35302</v>
      </c>
      <c r="T78" s="122">
        <f>IF(T77-U77&lt;0,0,T77-U77)</f>
        <v>0</v>
      </c>
      <c r="U78" s="123">
        <f>IF(U77-T77&lt;0,0,U77-T77)</f>
        <v>332379</v>
      </c>
    </row>
    <row r="79" spans="2:26" ht="17.25" thickTop="1" thickBot="1">
      <c r="B79" s="17">
        <v>51</v>
      </c>
      <c r="C79" s="26" t="s">
        <v>40</v>
      </c>
      <c r="D79" s="55">
        <v>46367</v>
      </c>
      <c r="E79" s="55">
        <v>58441</v>
      </c>
      <c r="F79" s="55">
        <v>59235</v>
      </c>
      <c r="G79" s="55">
        <v>124086</v>
      </c>
      <c r="H79" s="278" t="s">
        <v>150</v>
      </c>
      <c r="I79" s="278">
        <v>2007</v>
      </c>
      <c r="J79" s="278">
        <v>2008</v>
      </c>
      <c r="K79" s="278">
        <v>2009</v>
      </c>
      <c r="L79" s="278">
        <v>2010</v>
      </c>
      <c r="N79" s="276" t="s">
        <v>111</v>
      </c>
      <c r="O79" s="128"/>
      <c r="P79" s="135">
        <f t="shared" ref="P79:U79" si="36">+P63+P61+P38</f>
        <v>1150974</v>
      </c>
      <c r="Q79" s="136">
        <f t="shared" si="36"/>
        <v>842249</v>
      </c>
      <c r="R79" s="124">
        <f t="shared" si="36"/>
        <v>43398</v>
      </c>
      <c r="S79" s="125">
        <f t="shared" si="36"/>
        <v>940479</v>
      </c>
      <c r="T79" s="124">
        <f t="shared" si="36"/>
        <v>910437</v>
      </c>
      <c r="U79" s="125">
        <f t="shared" si="36"/>
        <v>305096</v>
      </c>
    </row>
    <row r="80" spans="2:26" ht="13.5" thickTop="1">
      <c r="B80" s="17">
        <v>5105</v>
      </c>
      <c r="C80" s="25" t="s">
        <v>70</v>
      </c>
      <c r="D80" s="54"/>
      <c r="E80" s="54"/>
      <c r="F80" s="54"/>
      <c r="G80" s="231"/>
      <c r="H80" t="s">
        <v>122</v>
      </c>
      <c r="I80" s="147">
        <f>+D87</f>
        <v>1174545</v>
      </c>
      <c r="J80" s="147">
        <f>+E87</f>
        <v>1558661</v>
      </c>
      <c r="K80" s="147">
        <f>+F87</f>
        <v>1493279</v>
      </c>
      <c r="L80" s="147">
        <f>+G87</f>
        <v>1113973</v>
      </c>
      <c r="N80" s="137" t="str">
        <f>+IF(P80&gt;0,"Usos","Fuentes")</f>
        <v>Usos</v>
      </c>
      <c r="O80" s="138"/>
      <c r="P80" s="139">
        <f>IF(P79-Q79&lt;0,0,P79-Q79)</f>
        <v>308725</v>
      </c>
      <c r="Q80" s="140">
        <f>IF(Q79-P79&lt;0,0,Q79-P79)</f>
        <v>0</v>
      </c>
      <c r="R80" s="126">
        <f>IF(R79-S79&lt;0,0,R79-S79)</f>
        <v>0</v>
      </c>
      <c r="S80" s="127">
        <f>IF(S79-R79&lt;0,0,S79-R79)</f>
        <v>897081</v>
      </c>
      <c r="T80" s="126">
        <f>IF(T79-U79&lt;0,0,T79-U79)</f>
        <v>605341</v>
      </c>
      <c r="U80" s="127">
        <f>IF(U79-T79&lt;0,0,U79-T79)</f>
        <v>0</v>
      </c>
    </row>
    <row r="81" spans="2:23">
      <c r="B81" s="17">
        <v>5160</v>
      </c>
      <c r="C81" s="25" t="s">
        <v>71</v>
      </c>
      <c r="D81" s="231"/>
      <c r="E81" s="231"/>
      <c r="F81" s="231"/>
      <c r="G81" s="231"/>
      <c r="H81" t="s">
        <v>123</v>
      </c>
      <c r="I81" s="96">
        <f t="shared" ref="I81:L82" si="37">+D81+D85</f>
        <v>0</v>
      </c>
      <c r="J81" s="96">
        <f t="shared" si="37"/>
        <v>0</v>
      </c>
      <c r="K81" s="96">
        <f t="shared" si="37"/>
        <v>0</v>
      </c>
      <c r="L81" s="96">
        <f t="shared" si="37"/>
        <v>0</v>
      </c>
    </row>
    <row r="82" spans="2:23">
      <c r="B82" s="17">
        <v>5165</v>
      </c>
      <c r="C82" s="25" t="s">
        <v>72</v>
      </c>
      <c r="D82" s="54"/>
      <c r="E82" s="54"/>
      <c r="F82" s="54"/>
      <c r="G82" s="54"/>
      <c r="H82" t="s">
        <v>124</v>
      </c>
      <c r="I82" s="96">
        <f t="shared" si="37"/>
        <v>0</v>
      </c>
      <c r="J82" s="96">
        <f t="shared" si="37"/>
        <v>0</v>
      </c>
      <c r="K82" s="96">
        <f t="shared" si="37"/>
        <v>0</v>
      </c>
      <c r="L82" s="96">
        <f t="shared" si="37"/>
        <v>0</v>
      </c>
      <c r="N82" s="118" t="s">
        <v>109</v>
      </c>
      <c r="O82" s="119"/>
      <c r="P82" s="126">
        <f>+P77+P79</f>
        <v>2858936</v>
      </c>
      <c r="Q82" s="127">
        <f>+SUM(Q36:Q40)-Q38+SUM(Q42:Q48)+SUM(Q53:Q61)+SUM(Q63:Q71)+SUM(Q75:Q81)</f>
        <v>7737920</v>
      </c>
      <c r="R82" s="126">
        <f>+SUM(R36:R40)-R38+SUM(R42:R48)+SUM(R53:R61)+SUM(R63:R71)+SUM(R75:R81)</f>
        <v>7404342</v>
      </c>
      <c r="S82" s="127">
        <f>+SUM(S36:S40)-S38+SUM(S42:S48)+SUM(S53:S61)+SUM(S63:S71)+SUM(S75:S81)</f>
        <v>10678344</v>
      </c>
      <c r="T82" s="126">
        <f>+SUM(T36:T40)-T38+SUM(T42:T48)+SUM(T53:T61)+SUM(T63:T71)+SUM(T75:T81)</f>
        <v>9054379</v>
      </c>
      <c r="U82" s="127">
        <f>+SUM(U36:U40)-U38+SUM(U42:U48)+SUM(U53:U61)+SUM(U63:U71)+SUM(U75:U81)</f>
        <v>8684636</v>
      </c>
    </row>
    <row r="83" spans="2:23" ht="15">
      <c r="B83" s="17">
        <v>52</v>
      </c>
      <c r="C83" s="27" t="s">
        <v>41</v>
      </c>
      <c r="D83" s="56">
        <v>227545</v>
      </c>
      <c r="E83" s="56">
        <v>210874</v>
      </c>
      <c r="F83" s="56">
        <v>175535</v>
      </c>
      <c r="G83" s="56">
        <v>137159</v>
      </c>
      <c r="H83" s="146" t="s">
        <v>18</v>
      </c>
      <c r="I83" s="96">
        <f>+I80+I81+I82</f>
        <v>1174545</v>
      </c>
      <c r="J83" s="96">
        <f>+J80+J81+J82</f>
        <v>1558661</v>
      </c>
      <c r="K83" s="96">
        <f>+K80+K81+K82</f>
        <v>1493279</v>
      </c>
      <c r="L83" s="96">
        <f>+L80+L81+L82</f>
        <v>1113973</v>
      </c>
      <c r="P83" s="83"/>
    </row>
    <row r="84" spans="2:23">
      <c r="B84" s="17">
        <v>5205</v>
      </c>
      <c r="C84" s="25" t="s">
        <v>70</v>
      </c>
      <c r="D84" s="54"/>
      <c r="E84" s="54"/>
      <c r="F84" s="54"/>
      <c r="G84" s="54"/>
      <c r="H84" t="s">
        <v>125</v>
      </c>
      <c r="I84" s="96">
        <f>+D92</f>
        <v>335652</v>
      </c>
      <c r="J84" s="96">
        <f>+E92</f>
        <v>464598</v>
      </c>
      <c r="K84" s="96">
        <f>+F92</f>
        <v>511619</v>
      </c>
      <c r="L84" s="96">
        <f>+G92</f>
        <v>358926</v>
      </c>
    </row>
    <row r="85" spans="2:23" ht="15">
      <c r="B85" s="17">
        <v>5260</v>
      </c>
      <c r="C85" s="25" t="s">
        <v>71</v>
      </c>
      <c r="D85" s="54"/>
      <c r="E85" s="54"/>
      <c r="F85" s="54"/>
      <c r="G85" s="54"/>
      <c r="H85" s="146" t="s">
        <v>126</v>
      </c>
      <c r="I85" s="96">
        <f>+I83-I84</f>
        <v>838893</v>
      </c>
      <c r="J85" s="96">
        <f>+J83-J84</f>
        <v>1094063</v>
      </c>
      <c r="K85" s="96">
        <f>+K83-K84</f>
        <v>981660</v>
      </c>
      <c r="L85" s="96">
        <f>+L83-L84</f>
        <v>755047</v>
      </c>
    </row>
    <row r="86" spans="2:23">
      <c r="B86" s="17">
        <v>5265</v>
      </c>
      <c r="C86" s="25" t="s">
        <v>72</v>
      </c>
      <c r="D86" s="54"/>
      <c r="E86" s="54"/>
      <c r="F86" s="54"/>
      <c r="G86" s="54"/>
      <c r="H86" t="s">
        <v>127</v>
      </c>
      <c r="I86" s="14"/>
      <c r="J86" s="312">
        <f t="shared" ref="J86:L87" si="38">+X24-W24</f>
        <v>705364</v>
      </c>
      <c r="K86" s="312">
        <f t="shared" si="38"/>
        <v>151528</v>
      </c>
      <c r="L86" s="312">
        <f t="shared" si="38"/>
        <v>917916</v>
      </c>
    </row>
    <row r="87" spans="2:23" ht="13.5" thickBot="1">
      <c r="B87" s="17"/>
      <c r="C87" s="45" t="s">
        <v>42</v>
      </c>
      <c r="D87" s="46">
        <f>+D78-D79-D83</f>
        <v>1174545</v>
      </c>
      <c r="E87" s="46">
        <f>+E78-E79-E83</f>
        <v>1558661</v>
      </c>
      <c r="F87" s="46">
        <f>+F78-F79-F83</f>
        <v>1493279</v>
      </c>
      <c r="G87" s="46">
        <f>+G78-G79-G83</f>
        <v>1113973</v>
      </c>
      <c r="H87" t="s">
        <v>128</v>
      </c>
      <c r="I87" s="14"/>
      <c r="J87" s="96">
        <f t="shared" si="38"/>
        <v>147972</v>
      </c>
      <c r="K87" s="96">
        <f t="shared" si="38"/>
        <v>10659</v>
      </c>
      <c r="L87" s="96">
        <f t="shared" si="38"/>
        <v>-178800</v>
      </c>
    </row>
    <row r="88" spans="2:23" ht="18.75" thickTop="1">
      <c r="B88" s="17">
        <v>42</v>
      </c>
      <c r="C88" s="26" t="s">
        <v>43</v>
      </c>
      <c r="D88" s="55">
        <v>75014</v>
      </c>
      <c r="E88" s="55">
        <v>44585</v>
      </c>
      <c r="F88" s="55">
        <v>139415</v>
      </c>
      <c r="G88" s="55">
        <v>24113</v>
      </c>
      <c r="H88" s="146" t="s">
        <v>129</v>
      </c>
      <c r="I88" s="31"/>
      <c r="J88" s="96">
        <f>+J85-J86-J87</f>
        <v>240727</v>
      </c>
      <c r="K88" s="96">
        <f>+K85-K86-K87</f>
        <v>819473</v>
      </c>
      <c r="L88" s="96">
        <f>+L85-L86-L87</f>
        <v>15931</v>
      </c>
    </row>
    <row r="89" spans="2:23">
      <c r="B89" s="17"/>
      <c r="C89" s="25" t="s">
        <v>73</v>
      </c>
      <c r="D89" s="54"/>
      <c r="E89" s="212"/>
      <c r="F89" s="91"/>
      <c r="G89" s="91"/>
      <c r="H89" t="s">
        <v>130</v>
      </c>
      <c r="J89" s="96">
        <f>-E42-E52+D52+D42</f>
        <v>68913</v>
      </c>
      <c r="K89" s="96">
        <f>-F42-F52+E52+E42</f>
        <v>788951</v>
      </c>
      <c r="L89" s="96">
        <f>-G42-G52+F52+F42</f>
        <v>-1529362</v>
      </c>
    </row>
    <row r="90" spans="2:23">
      <c r="B90" s="17">
        <v>53</v>
      </c>
      <c r="C90" s="27" t="s">
        <v>44</v>
      </c>
      <c r="D90" s="56">
        <v>227520</v>
      </c>
      <c r="E90" s="56">
        <v>296401</v>
      </c>
      <c r="F90" s="56">
        <v>213334</v>
      </c>
      <c r="G90" s="56">
        <v>165155</v>
      </c>
      <c r="H90" t="s">
        <v>131</v>
      </c>
      <c r="J90" s="93">
        <f>+E89</f>
        <v>0</v>
      </c>
      <c r="K90" s="93">
        <f>+F89</f>
        <v>0</v>
      </c>
      <c r="L90" s="93">
        <f>+G89</f>
        <v>0</v>
      </c>
    </row>
    <row r="91" spans="2:23" ht="13.5" thickBot="1">
      <c r="B91" s="17"/>
      <c r="C91" s="45" t="s">
        <v>45</v>
      </c>
      <c r="D91" s="46">
        <f>+D87+D88-D90</f>
        <v>1022039</v>
      </c>
      <c r="E91" s="46">
        <f>+E87+E88-E90</f>
        <v>1306845</v>
      </c>
      <c r="F91" s="46">
        <f>+F87+F88-F90</f>
        <v>1419360</v>
      </c>
      <c r="G91" s="46">
        <f>+G87+G88-G90</f>
        <v>972931</v>
      </c>
      <c r="H91" s="164" t="s">
        <v>153</v>
      </c>
      <c r="J91" s="311">
        <f>+J88-J89-J90</f>
        <v>171814</v>
      </c>
      <c r="K91" s="311">
        <f>+K88-K89-K90</f>
        <v>30522</v>
      </c>
      <c r="L91" s="311">
        <f>+L88-L89-L90</f>
        <v>1545293</v>
      </c>
    </row>
    <row r="92" spans="2:23" ht="13.5" thickTop="1">
      <c r="B92" s="17">
        <v>54</v>
      </c>
      <c r="C92" s="25" t="s">
        <v>46</v>
      </c>
      <c r="D92" s="54">
        <v>335652</v>
      </c>
      <c r="E92" s="54">
        <v>464598</v>
      </c>
      <c r="F92" s="54">
        <v>511619</v>
      </c>
      <c r="G92" s="54">
        <v>358926</v>
      </c>
      <c r="W92" s="270"/>
    </row>
    <row r="93" spans="2:23" ht="13.5" thickBot="1">
      <c r="B93" s="22">
        <v>59</v>
      </c>
      <c r="C93" s="45" t="s">
        <v>47</v>
      </c>
      <c r="D93" s="46">
        <f>+D91-D92</f>
        <v>686387</v>
      </c>
      <c r="E93" s="46">
        <f>+E91-E92</f>
        <v>842247</v>
      </c>
      <c r="F93" s="46">
        <f>+F91-F92</f>
        <v>907741</v>
      </c>
      <c r="G93" s="46">
        <f>+G91-G92</f>
        <v>614005</v>
      </c>
      <c r="H93" s="279"/>
      <c r="I93" s="280"/>
      <c r="J93" s="280"/>
      <c r="K93" s="280"/>
      <c r="L93" s="280"/>
    </row>
    <row r="94" spans="2:23" ht="13.5" thickTop="1">
      <c r="B94" s="43"/>
      <c r="C94" s="383" t="s">
        <v>25</v>
      </c>
      <c r="D94" s="384"/>
      <c r="E94" s="384"/>
      <c r="F94" s="384"/>
      <c r="G94" s="384"/>
    </row>
    <row r="95" spans="2:23">
      <c r="B95" s="43"/>
      <c r="C95" s="385"/>
      <c r="D95" s="386"/>
      <c r="E95" s="386"/>
      <c r="F95" s="386"/>
      <c r="G95" s="386"/>
      <c r="J95" s="304"/>
      <c r="K95" s="304"/>
      <c r="L95" s="304"/>
    </row>
    <row r="97" spans="3:26">
      <c r="C97" s="47" t="s">
        <v>74</v>
      </c>
      <c r="D97" s="49"/>
      <c r="E97" s="50"/>
      <c r="F97" s="50"/>
      <c r="G97" s="51"/>
    </row>
    <row r="98" spans="3:26">
      <c r="C98" s="48" t="s">
        <v>100</v>
      </c>
      <c r="D98" s="52"/>
      <c r="E98" s="67">
        <f>+E77-D28+E28</f>
        <v>18954804</v>
      </c>
      <c r="F98" s="67">
        <f>+F77-E28+F28</f>
        <v>17011063</v>
      </c>
      <c r="G98" s="67">
        <f>+G77-F28+G28</f>
        <v>13086615</v>
      </c>
      <c r="W98" s="83"/>
      <c r="X98" s="83"/>
      <c r="Y98" s="83"/>
      <c r="Z98" s="83"/>
    </row>
    <row r="99" spans="3:26">
      <c r="C99" s="48" t="s">
        <v>113</v>
      </c>
      <c r="D99" s="94"/>
      <c r="E99" s="95"/>
      <c r="F99" s="95"/>
      <c r="G99" s="95"/>
    </row>
    <row r="100" spans="3:26">
      <c r="C100" s="48" t="s">
        <v>152</v>
      </c>
      <c r="D100" s="52"/>
      <c r="E100" s="52"/>
      <c r="F100" s="52"/>
      <c r="G100" s="53"/>
      <c r="W100" s="83"/>
      <c r="X100" s="83"/>
      <c r="Y100" s="83"/>
      <c r="Z100" s="83"/>
    </row>
    <row r="101" spans="3:26">
      <c r="C101" s="48"/>
      <c r="D101" s="52"/>
      <c r="E101" s="52"/>
      <c r="F101" s="52"/>
      <c r="G101" s="53"/>
      <c r="W101" s="83"/>
      <c r="X101" s="83"/>
      <c r="Y101" s="83"/>
      <c r="Z101" s="83"/>
    </row>
    <row r="102" spans="3:26">
      <c r="C102" s="48"/>
      <c r="D102" s="52"/>
      <c r="E102" s="52"/>
      <c r="F102" s="52"/>
      <c r="G102" s="53"/>
      <c r="W102" s="83"/>
      <c r="X102" s="83"/>
      <c r="Y102" s="83"/>
      <c r="Z102" s="83"/>
    </row>
    <row r="103" spans="3:26">
      <c r="C103" s="48"/>
      <c r="D103" s="52"/>
      <c r="E103" s="52"/>
      <c r="F103" s="52"/>
      <c r="G103" s="53"/>
      <c r="W103" s="83"/>
      <c r="X103" s="83"/>
      <c r="Y103" s="83"/>
      <c r="Z103" s="83"/>
    </row>
    <row r="104" spans="3:26">
      <c r="W104" s="83"/>
      <c r="X104" s="83"/>
      <c r="Y104" s="83"/>
      <c r="Z104" s="83"/>
    </row>
    <row r="105" spans="3:26">
      <c r="D105" s="148"/>
      <c r="E105" s="148"/>
      <c r="F105" s="148"/>
      <c r="G105" s="148"/>
    </row>
    <row r="106" spans="3:26">
      <c r="E106" s="149"/>
      <c r="F106" s="149"/>
      <c r="G106" s="149"/>
    </row>
    <row r="107" spans="3:26">
      <c r="E107" s="93"/>
      <c r="F107" s="93"/>
      <c r="G107" s="93"/>
    </row>
    <row r="108" spans="3:26">
      <c r="E108" s="162"/>
      <c r="F108" s="162"/>
      <c r="G108" s="162"/>
    </row>
  </sheetData>
  <mergeCells count="20">
    <mergeCell ref="D5:K5"/>
    <mergeCell ref="B13:N14"/>
    <mergeCell ref="B15:N16"/>
    <mergeCell ref="C19:G19"/>
    <mergeCell ref="H19:L19"/>
    <mergeCell ref="W49:W50"/>
    <mergeCell ref="J57:L57"/>
    <mergeCell ref="W19:Z19"/>
    <mergeCell ref="P20:Q20"/>
    <mergeCell ref="R20:S20"/>
    <mergeCell ref="T20:U20"/>
    <mergeCell ref="H21:L21"/>
    <mergeCell ref="J23:L23"/>
    <mergeCell ref="P19:U19"/>
    <mergeCell ref="C94:G95"/>
    <mergeCell ref="J33:L33"/>
    <mergeCell ref="H34:H35"/>
    <mergeCell ref="J45:L45"/>
    <mergeCell ref="V49:V50"/>
    <mergeCell ref="V67:V6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R108"/>
  <sheetViews>
    <sheetView topLeftCell="A91" workbookViewId="0">
      <selection activeCell="G107" sqref="G107"/>
    </sheetView>
  </sheetViews>
  <sheetFormatPr baseColWidth="10" defaultColWidth="11.42578125" defaultRowHeight="12.75" outlineLevelCol="1"/>
  <cols>
    <col min="1" max="1" width="2.42578125" style="5" customWidth="1"/>
    <col min="2" max="2" width="4.42578125" style="6" bestFit="1" customWidth="1"/>
    <col min="3" max="3" width="34.7109375" style="5" customWidth="1"/>
    <col min="4" max="4" width="14.85546875" style="5" customWidth="1"/>
    <col min="5" max="5" width="16.42578125" style="5" customWidth="1"/>
    <col min="6" max="7" width="16.140625" style="5" bestFit="1" customWidth="1"/>
    <col min="8" max="8" width="32" style="5" customWidth="1" outlineLevel="1"/>
    <col min="9" max="9" width="13.42578125" style="5" customWidth="1" outlineLevel="1"/>
    <col min="10" max="10" width="14.42578125" style="5" customWidth="1" outlineLevel="1"/>
    <col min="11" max="11" width="17.5703125" style="5" customWidth="1" outlineLevel="1"/>
    <col min="12" max="12" width="15.42578125" style="5" customWidth="1" outlineLevel="1"/>
    <col min="13" max="13" width="1.7109375" style="5" customWidth="1"/>
    <col min="14" max="14" width="41.42578125" style="5" customWidth="1" outlineLevel="1"/>
    <col min="15" max="15" width="9.5703125" style="5" customWidth="1" outlineLevel="1"/>
    <col min="16" max="16" width="13.42578125" style="5" customWidth="1" outlineLevel="1"/>
    <col min="17" max="19" width="14.85546875" style="5" customWidth="1" outlineLevel="1"/>
    <col min="20" max="21" width="15" style="5" customWidth="1" outlineLevel="1"/>
    <col min="22" max="22" width="34.28515625" style="5" customWidth="1"/>
    <col min="23" max="23" width="14" style="5" customWidth="1"/>
    <col min="24" max="24" width="14.85546875" style="5" bestFit="1" customWidth="1"/>
    <col min="25" max="26" width="15.42578125" style="5" bestFit="1" customWidth="1"/>
    <col min="27" max="27" width="12.42578125" style="5" bestFit="1" customWidth="1"/>
    <col min="28" max="28" width="13" style="5" customWidth="1"/>
    <col min="29" max="16384" width="11.42578125" style="5"/>
  </cols>
  <sheetData>
    <row r="1" spans="1:148" s="233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232"/>
      <c r="EL1" s="232"/>
      <c r="EM1" s="232"/>
      <c r="EN1" s="232"/>
      <c r="EO1" s="232"/>
      <c r="EP1" s="232"/>
      <c r="EQ1" s="232"/>
      <c r="ER1" s="232"/>
    </row>
    <row r="2" spans="1:148" s="233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  <c r="DM2" s="232"/>
      <c r="DN2" s="232"/>
      <c r="DO2" s="232"/>
      <c r="DP2" s="232"/>
      <c r="DQ2" s="232"/>
      <c r="DR2" s="232"/>
      <c r="DS2" s="232"/>
      <c r="DT2" s="232"/>
      <c r="DU2" s="232"/>
      <c r="DV2" s="232"/>
      <c r="DW2" s="232"/>
      <c r="DX2" s="232"/>
      <c r="DY2" s="232"/>
      <c r="DZ2" s="232"/>
      <c r="EA2" s="232"/>
      <c r="EB2" s="232"/>
      <c r="EC2" s="232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32"/>
    </row>
    <row r="3" spans="1:148" s="233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32"/>
      <c r="DD3" s="232"/>
      <c r="DE3" s="232"/>
      <c r="DF3" s="232"/>
      <c r="DG3" s="232"/>
      <c r="DH3" s="232"/>
      <c r="DI3" s="232"/>
      <c r="DJ3" s="232"/>
      <c r="DK3" s="232"/>
      <c r="DL3" s="232"/>
      <c r="DM3" s="232"/>
      <c r="DN3" s="232"/>
      <c r="DO3" s="232"/>
      <c r="DP3" s="232"/>
      <c r="DQ3" s="232"/>
      <c r="DR3" s="232"/>
      <c r="DS3" s="232"/>
      <c r="DT3" s="232"/>
      <c r="DU3" s="232"/>
      <c r="DV3" s="232"/>
      <c r="DW3" s="232"/>
      <c r="DX3" s="232"/>
      <c r="DY3" s="232"/>
      <c r="DZ3" s="232"/>
      <c r="EA3" s="232"/>
      <c r="EB3" s="232"/>
      <c r="EC3" s="232"/>
      <c r="ED3" s="232"/>
      <c r="EE3" s="232"/>
      <c r="EF3" s="232"/>
      <c r="EG3" s="232"/>
      <c r="EH3" s="232"/>
      <c r="EI3" s="232"/>
      <c r="EJ3" s="232"/>
      <c r="EK3" s="232"/>
      <c r="EL3" s="232"/>
      <c r="EM3" s="232"/>
      <c r="EN3" s="232"/>
      <c r="EO3" s="232"/>
      <c r="EP3" s="232"/>
      <c r="EQ3" s="232"/>
      <c r="ER3" s="232"/>
    </row>
    <row r="4" spans="1:148" s="233" customFormat="1" ht="18">
      <c r="A4" s="1"/>
      <c r="B4" s="1"/>
      <c r="C4" s="32"/>
      <c r="D4" s="32" t="s">
        <v>0</v>
      </c>
      <c r="E4" s="32"/>
      <c r="F4" s="32"/>
      <c r="G4" s="32"/>
      <c r="H4" s="32"/>
      <c r="I4" s="32"/>
      <c r="J4" s="32"/>
      <c r="K4" s="32"/>
      <c r="L4" s="3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32"/>
      <c r="BT4" s="232"/>
      <c r="BU4" s="232"/>
      <c r="BV4" s="232"/>
      <c r="BW4" s="232"/>
      <c r="BX4" s="232"/>
      <c r="BY4" s="232"/>
      <c r="BZ4" s="232"/>
      <c r="CA4" s="232"/>
      <c r="CB4" s="232"/>
      <c r="CC4" s="232"/>
      <c r="CD4" s="232"/>
      <c r="CE4" s="232"/>
      <c r="CF4" s="232"/>
      <c r="CG4" s="232"/>
      <c r="CH4" s="232"/>
      <c r="CI4" s="232"/>
      <c r="CJ4" s="232"/>
      <c r="CK4" s="232"/>
      <c r="CL4" s="232"/>
      <c r="CM4" s="232"/>
      <c r="CN4" s="232"/>
      <c r="CO4" s="232"/>
      <c r="CP4" s="232"/>
      <c r="CQ4" s="232"/>
      <c r="CR4" s="232"/>
      <c r="CS4" s="232"/>
      <c r="CT4" s="232"/>
      <c r="CU4" s="232"/>
      <c r="CV4" s="232"/>
      <c r="CW4" s="232"/>
      <c r="CX4" s="232"/>
      <c r="CY4" s="232"/>
      <c r="CZ4" s="232"/>
      <c r="DA4" s="232"/>
      <c r="DB4" s="232"/>
      <c r="DC4" s="232"/>
      <c r="DD4" s="232"/>
      <c r="DE4" s="232"/>
      <c r="DF4" s="232"/>
      <c r="DG4" s="232"/>
      <c r="DH4" s="232"/>
      <c r="DI4" s="232"/>
      <c r="DJ4" s="232"/>
      <c r="DK4" s="232"/>
      <c r="DL4" s="232"/>
      <c r="DM4" s="232"/>
      <c r="DN4" s="232"/>
      <c r="DO4" s="232"/>
      <c r="DP4" s="232"/>
      <c r="DQ4" s="232"/>
      <c r="DR4" s="232"/>
      <c r="DS4" s="232"/>
      <c r="DT4" s="232"/>
      <c r="DU4" s="232"/>
      <c r="DV4" s="232"/>
      <c r="DW4" s="232"/>
      <c r="DX4" s="232"/>
      <c r="DY4" s="232"/>
      <c r="DZ4" s="232"/>
      <c r="EA4" s="232"/>
      <c r="EB4" s="232"/>
      <c r="EC4" s="232"/>
      <c r="ED4" s="232"/>
      <c r="EE4" s="232"/>
      <c r="EF4" s="232"/>
      <c r="EG4" s="232"/>
      <c r="EH4" s="232"/>
      <c r="EI4" s="232"/>
      <c r="EJ4" s="232"/>
      <c r="EK4" s="232"/>
      <c r="EL4" s="232"/>
      <c r="EM4" s="232"/>
      <c r="EN4" s="232"/>
      <c r="EO4" s="232"/>
      <c r="EP4" s="232"/>
      <c r="EQ4" s="232"/>
      <c r="ER4" s="232"/>
    </row>
    <row r="5" spans="1:148" s="233" customFormat="1" ht="18" customHeight="1">
      <c r="A5" s="1"/>
      <c r="B5" s="1"/>
      <c r="C5" s="31"/>
      <c r="D5" s="393" t="s">
        <v>50</v>
      </c>
      <c r="E5" s="393"/>
      <c r="F5" s="393"/>
      <c r="G5" s="393"/>
      <c r="H5" s="393"/>
      <c r="I5" s="393"/>
      <c r="J5" s="393"/>
      <c r="K5" s="393"/>
      <c r="L5" s="31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2"/>
      <c r="CN5" s="232"/>
      <c r="CO5" s="232"/>
      <c r="CP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</row>
    <row r="6" spans="1:148" s="233" customFormat="1" ht="18" customHeight="1">
      <c r="A6" s="1"/>
      <c r="B6" s="4"/>
      <c r="C6" s="31"/>
      <c r="D6" s="33" t="s">
        <v>48</v>
      </c>
      <c r="E6" s="33"/>
      <c r="F6" s="33"/>
      <c r="G6" s="33"/>
      <c r="H6" s="33"/>
      <c r="I6" s="33"/>
      <c r="J6" s="33"/>
      <c r="K6" s="33"/>
      <c r="L6" s="31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</row>
    <row r="7" spans="1:148" s="233" customFormat="1" ht="15.75">
      <c r="A7" s="1"/>
      <c r="B7" s="4"/>
      <c r="C7" s="4" t="s">
        <v>1</v>
      </c>
      <c r="D7" s="1"/>
      <c r="E7" s="1"/>
      <c r="F7" s="2"/>
      <c r="G7" s="1"/>
      <c r="H7" s="1"/>
      <c r="I7" s="1"/>
      <c r="J7" s="1"/>
      <c r="K7" s="1"/>
      <c r="L7" s="367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</row>
    <row r="8" spans="1:148" s="233" customFormat="1">
      <c r="A8" s="1"/>
      <c r="C8" s="4"/>
      <c r="D8" s="1"/>
      <c r="E8" s="1"/>
      <c r="F8" s="1"/>
      <c r="G8" s="1"/>
      <c r="H8" s="1"/>
      <c r="I8" s="1"/>
      <c r="J8" s="1"/>
      <c r="K8" s="1"/>
      <c r="L8" s="1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</row>
    <row r="9" spans="1:148" s="233" customFormat="1">
      <c r="A9" s="1"/>
      <c r="B9" s="4"/>
      <c r="C9" s="4"/>
      <c r="D9" s="141"/>
      <c r="E9" s="141"/>
      <c r="F9" s="141"/>
      <c r="G9" s="141"/>
      <c r="H9" s="1"/>
      <c r="I9" s="1"/>
      <c r="J9" s="1"/>
      <c r="K9" s="1"/>
      <c r="L9" s="1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</row>
    <row r="10" spans="1:148" s="233" customFormat="1">
      <c r="A10" s="1"/>
      <c r="B10" s="1"/>
      <c r="C10" s="1"/>
      <c r="D10" s="85"/>
      <c r="E10" s="85"/>
      <c r="F10" s="85"/>
      <c r="G10" s="85"/>
      <c r="H10" s="1"/>
      <c r="I10" s="1"/>
      <c r="J10" s="1"/>
      <c r="K10" s="1"/>
      <c r="L10" s="1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</row>
    <row r="11" spans="1:148" s="233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</row>
    <row r="12" spans="1:148" s="233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</row>
    <row r="13" spans="1:148" s="233" customFormat="1" ht="12.75" customHeight="1">
      <c r="A13" s="234"/>
      <c r="B13" s="394" t="s">
        <v>49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05"/>
      <c r="P13" s="368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</row>
    <row r="14" spans="1:148" s="233" customFormat="1" ht="12.75" customHeight="1">
      <c r="A14" s="234"/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05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</row>
    <row r="15" spans="1:148" s="233" customFormat="1" ht="6.75" customHeight="1">
      <c r="A15" s="234"/>
      <c r="B15" s="395" t="s">
        <v>51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06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</row>
    <row r="16" spans="1:148" s="233" customFormat="1" ht="12.75" customHeight="1">
      <c r="A16" s="232"/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06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</row>
    <row r="17" spans="1:26">
      <c r="A17" s="1"/>
      <c r="B17" s="1"/>
      <c r="C17" s="1"/>
      <c r="D17" s="85"/>
      <c r="E17" s="85"/>
      <c r="F17" s="85"/>
      <c r="G17" s="85"/>
      <c r="H17" s="81"/>
      <c r="I17" s="82"/>
      <c r="J17" s="88"/>
      <c r="K17" s="3"/>
      <c r="L17" s="82"/>
    </row>
    <row r="18" spans="1:26" ht="13.5" thickBot="1">
      <c r="D18" s="86"/>
      <c r="E18" s="86">
        <f>+E24-D24</f>
        <v>0</v>
      </c>
      <c r="F18" s="86">
        <f>+F24-E24</f>
        <v>319674</v>
      </c>
      <c r="G18" s="86">
        <f>+G24-F24</f>
        <v>-281213</v>
      </c>
      <c r="H18" s="83"/>
      <c r="I18" s="83"/>
      <c r="J18" s="83"/>
      <c r="K18" s="235"/>
      <c r="L18" s="236"/>
      <c r="V18" s="237"/>
    </row>
    <row r="19" spans="1:26" ht="13.5" thickTop="1">
      <c r="B19" s="285"/>
      <c r="C19" s="418" t="s">
        <v>159</v>
      </c>
      <c r="D19" s="418"/>
      <c r="E19" s="418"/>
      <c r="F19" s="418"/>
      <c r="G19" s="420"/>
      <c r="H19" s="398" t="s">
        <v>2</v>
      </c>
      <c r="I19" s="399"/>
      <c r="J19" s="399"/>
      <c r="K19" s="399"/>
      <c r="L19" s="400"/>
      <c r="N19" s="107" t="s">
        <v>151</v>
      </c>
      <c r="O19" s="97"/>
      <c r="P19" s="401" t="s">
        <v>101</v>
      </c>
      <c r="Q19" s="401"/>
      <c r="R19" s="401"/>
      <c r="S19" s="401"/>
      <c r="T19" s="401"/>
      <c r="U19" s="401"/>
      <c r="V19" s="364" t="str">
        <f>+C19</f>
        <v>EMPRESA: DISTRIACERO FIGURADO LTDA</v>
      </c>
      <c r="W19" s="402" t="s">
        <v>136</v>
      </c>
      <c r="X19" s="401"/>
      <c r="Y19" s="401"/>
      <c r="Z19" s="403"/>
    </row>
    <row r="20" spans="1:26">
      <c r="B20" s="286"/>
      <c r="C20" s="99" t="s">
        <v>102</v>
      </c>
      <c r="D20" s="238">
        <v>2007</v>
      </c>
      <c r="E20" s="238">
        <v>2008</v>
      </c>
      <c r="F20" s="238">
        <v>2009</v>
      </c>
      <c r="G20" s="301">
        <v>2010</v>
      </c>
      <c r="H20" s="98" t="s">
        <v>3</v>
      </c>
      <c r="I20" s="239">
        <v>2007</v>
      </c>
      <c r="J20" s="239">
        <v>2008</v>
      </c>
      <c r="K20" s="239">
        <v>2009</v>
      </c>
      <c r="L20" s="239">
        <v>2010</v>
      </c>
      <c r="N20" s="108" t="s">
        <v>3</v>
      </c>
      <c r="O20" s="7"/>
      <c r="P20" s="404">
        <v>2008</v>
      </c>
      <c r="Q20" s="405"/>
      <c r="R20" s="404">
        <v>2009</v>
      </c>
      <c r="S20" s="405"/>
      <c r="T20" s="404">
        <v>2010</v>
      </c>
      <c r="U20" s="406"/>
      <c r="V20" s="99" t="s">
        <v>102</v>
      </c>
      <c r="W20" s="240">
        <f>+D20</f>
        <v>2007</v>
      </c>
      <c r="X20" s="240">
        <f>+E20</f>
        <v>2008</v>
      </c>
      <c r="Y20" s="240">
        <f>+F20</f>
        <v>2009</v>
      </c>
      <c r="Z20" s="362">
        <f>+G20</f>
        <v>2010</v>
      </c>
    </row>
    <row r="21" spans="1:26" ht="13.5" thickBot="1">
      <c r="B21" s="288"/>
      <c r="C21" s="289" t="s">
        <v>3</v>
      </c>
      <c r="D21" s="290"/>
      <c r="E21" s="290"/>
      <c r="F21" s="290"/>
      <c r="G21" s="291"/>
      <c r="H21" s="387" t="s">
        <v>4</v>
      </c>
      <c r="I21" s="381"/>
      <c r="J21" s="381"/>
      <c r="K21" s="381"/>
      <c r="L21" s="381"/>
      <c r="N21" s="109" t="s">
        <v>3</v>
      </c>
      <c r="O21" s="10"/>
      <c r="P21" s="101" t="s">
        <v>105</v>
      </c>
      <c r="Q21" s="102" t="s">
        <v>106</v>
      </c>
      <c r="R21" s="101" t="s">
        <v>105</v>
      </c>
      <c r="S21" s="102" t="s">
        <v>106</v>
      </c>
      <c r="T21" s="101" t="s">
        <v>105</v>
      </c>
      <c r="U21" s="151" t="s">
        <v>106</v>
      </c>
      <c r="V21" s="99" t="s">
        <v>3</v>
      </c>
      <c r="W21" s="150"/>
      <c r="X21" s="11"/>
      <c r="Y21" s="11"/>
      <c r="Z21" s="12"/>
    </row>
    <row r="22" spans="1:26">
      <c r="B22" s="13"/>
      <c r="C22" s="14"/>
      <c r="D22" s="14"/>
      <c r="E22" s="14"/>
      <c r="F22" s="14"/>
      <c r="G22" s="14"/>
      <c r="H22" s="241"/>
      <c r="I22" s="242"/>
      <c r="J22" s="242"/>
      <c r="K22" s="242"/>
      <c r="L22" s="242"/>
      <c r="P22" s="103"/>
      <c r="Q22" s="104"/>
      <c r="R22" s="103"/>
      <c r="S22" s="104"/>
      <c r="T22" s="103"/>
      <c r="U22" s="152"/>
      <c r="V22" s="154"/>
      <c r="W22" s="14"/>
      <c r="X22" s="14"/>
      <c r="Y22" s="14"/>
      <c r="Z22" s="155"/>
    </row>
    <row r="23" spans="1:26" ht="13.5" customHeight="1" thickBot="1">
      <c r="B23" s="15">
        <v>10</v>
      </c>
      <c r="C23" s="243" t="s">
        <v>67</v>
      </c>
      <c r="D23" s="57">
        <f>+D30+D38</f>
        <v>0</v>
      </c>
      <c r="E23" s="58">
        <f>+E30+E38</f>
        <v>0</v>
      </c>
      <c r="F23" s="58">
        <f>+F30+F38</f>
        <v>5979165</v>
      </c>
      <c r="G23" s="59">
        <f>+G30+G38</f>
        <v>8459913</v>
      </c>
      <c r="H23" s="244"/>
      <c r="I23" s="16"/>
      <c r="J23" s="380" t="s">
        <v>114</v>
      </c>
      <c r="K23" s="381"/>
      <c r="L23" s="382"/>
      <c r="N23" s="243" t="s">
        <v>67</v>
      </c>
      <c r="O23" s="245" t="s">
        <v>103</v>
      </c>
      <c r="P23" s="103"/>
      <c r="Q23" s="104"/>
      <c r="R23" s="103"/>
      <c r="S23" s="104"/>
      <c r="T23" s="103"/>
      <c r="U23" s="152"/>
      <c r="V23" s="347" t="s">
        <v>161</v>
      </c>
      <c r="W23" s="143">
        <f>+W24+W25</f>
        <v>0</v>
      </c>
      <c r="X23" s="144">
        <f>+X24+X25</f>
        <v>0</v>
      </c>
      <c r="Y23" s="144">
        <f>+Y24+Y25</f>
        <v>2349739</v>
      </c>
      <c r="Z23" s="145">
        <f>+Z24+Z25</f>
        <v>5322683</v>
      </c>
    </row>
    <row r="24" spans="1:26" ht="13.5" thickTop="1">
      <c r="B24" s="17">
        <v>11</v>
      </c>
      <c r="C24" s="246" t="s">
        <v>5</v>
      </c>
      <c r="D24" s="60"/>
      <c r="E24" s="60"/>
      <c r="F24" s="60">
        <v>319674</v>
      </c>
      <c r="G24" s="60">
        <v>38461</v>
      </c>
      <c r="H24" s="247" t="s">
        <v>81</v>
      </c>
      <c r="I24" s="19">
        <f>+D23</f>
        <v>0</v>
      </c>
      <c r="J24" s="350" t="e">
        <f>+E23/D23-1</f>
        <v>#DIV/0!</v>
      </c>
      <c r="K24" s="350" t="e">
        <f>+F23/E23-1</f>
        <v>#DIV/0!</v>
      </c>
      <c r="L24" s="350">
        <f>+G23/F23-1</f>
        <v>0.4148987358602747</v>
      </c>
      <c r="N24" s="248"/>
      <c r="O24" s="249"/>
      <c r="P24" s="250"/>
      <c r="Q24" s="104"/>
      <c r="R24" s="103"/>
      <c r="S24" s="104"/>
      <c r="T24" s="103"/>
      <c r="U24" s="152"/>
      <c r="V24" s="360" t="s">
        <v>132</v>
      </c>
      <c r="W24" s="359">
        <f>+D30-D51+D42+D50</f>
        <v>0</v>
      </c>
      <c r="X24" s="359">
        <f>+E30-E51+E42+E50</f>
        <v>0</v>
      </c>
      <c r="Y24" s="359">
        <f>+F30-F51+F42+F50</f>
        <v>-657769</v>
      </c>
      <c r="Z24" s="358">
        <f>+G30-G51+G42+G50</f>
        <v>1440829</v>
      </c>
    </row>
    <row r="25" spans="1:26">
      <c r="B25" s="17">
        <v>12</v>
      </c>
      <c r="C25" s="251" t="s">
        <v>56</v>
      </c>
      <c r="D25" s="60"/>
      <c r="E25" s="60"/>
      <c r="F25" s="60">
        <v>0</v>
      </c>
      <c r="G25" s="60">
        <v>0</v>
      </c>
      <c r="H25" s="252" t="s">
        <v>112</v>
      </c>
      <c r="I25" s="19">
        <f>+D27+D28+D33</f>
        <v>0</v>
      </c>
      <c r="J25" s="350" t="e">
        <f>(E27+E28+E33)/(+D27+D28+D33)-1</f>
        <v>#DIV/0!</v>
      </c>
      <c r="K25" s="350" t="e">
        <f>(F27+F28+F33)/(+E27+E28+E33)-1</f>
        <v>#DIV/0!</v>
      </c>
      <c r="L25" s="350">
        <f>(G27+G28+G33)/(+F27+F28+F33)-1</f>
        <v>0.39801575556004032</v>
      </c>
      <c r="N25" s="251" t="s">
        <v>56</v>
      </c>
      <c r="O25" s="253" t="str">
        <f>IF(E25-D25&lt;0,"F","U")</f>
        <v>U</v>
      </c>
      <c r="P25" s="254">
        <f>IF(E25-D25&lt;0,0,ABS(E25-D25))</f>
        <v>0</v>
      </c>
      <c r="Q25" s="255">
        <f>IF(E25-D25&gt;0,0,ABS(E25-D25))</f>
        <v>0</v>
      </c>
      <c r="R25" s="254">
        <f>IF(F25-E25&lt;0,0,ABS(F25-E25))</f>
        <v>0</v>
      </c>
      <c r="S25" s="255">
        <f>IF(F25-E25&gt;0,0,ABS(F25-E25))</f>
        <v>0</v>
      </c>
      <c r="T25" s="254">
        <f>IF(G25-F25&lt;0,0,ABS(G25-F25))</f>
        <v>0</v>
      </c>
      <c r="U25" s="256">
        <f>IF(G25-F25&gt;0,0,ABS(G25-F25))</f>
        <v>0</v>
      </c>
      <c r="V25" s="328" t="s">
        <v>133</v>
      </c>
      <c r="W25" s="341">
        <f>+D33+D34</f>
        <v>0</v>
      </c>
      <c r="X25" s="341">
        <f>+E33+E34</f>
        <v>0</v>
      </c>
      <c r="Y25" s="341">
        <f>+F33+F34</f>
        <v>3007508</v>
      </c>
      <c r="Z25" s="340">
        <f>+G33+G34</f>
        <v>3881854</v>
      </c>
    </row>
    <row r="26" spans="1:26">
      <c r="B26" s="17">
        <v>13</v>
      </c>
      <c r="C26" s="251" t="s">
        <v>57</v>
      </c>
      <c r="D26" s="60"/>
      <c r="E26" s="60"/>
      <c r="F26" s="60">
        <v>788297</v>
      </c>
      <c r="G26" s="60">
        <v>1615417</v>
      </c>
      <c r="H26" s="252" t="s">
        <v>68</v>
      </c>
      <c r="I26" s="19">
        <f>+D41</f>
        <v>0</v>
      </c>
      <c r="J26" s="84" t="e">
        <f>+E41/D41-1</f>
        <v>#DIV/0!</v>
      </c>
      <c r="K26" s="84" t="e">
        <f>+F41/E41-1</f>
        <v>#DIV/0!</v>
      </c>
      <c r="L26" s="84">
        <f>+G41/F41-1</f>
        <v>0.46204300978647628</v>
      </c>
      <c r="N26" s="251" t="s">
        <v>57</v>
      </c>
      <c r="O26" s="253" t="str">
        <f>IF(E26-D26&lt;0,"F","U")</f>
        <v>U</v>
      </c>
      <c r="P26" s="254">
        <f>IF(E26-D26&lt;0,0,ABS(E26-D26))</f>
        <v>0</v>
      </c>
      <c r="Q26" s="255">
        <f>IF(E26-D26&gt;0,0,ABS(E26-D26))</f>
        <v>0</v>
      </c>
      <c r="R26" s="254">
        <f>IF(F26-E26&lt;0,0,ABS(F26-E26))</f>
        <v>788297</v>
      </c>
      <c r="S26" s="255">
        <f>IF(F26-E26&gt;0,0,ABS(F26-E26))</f>
        <v>0</v>
      </c>
      <c r="T26" s="254">
        <f>IF(G26-F26&lt;0,0,ABS(G26-F26))</f>
        <v>827120</v>
      </c>
      <c r="U26" s="256">
        <f>IF(G26-F26&gt;0,0,ABS(G26-F26))</f>
        <v>0</v>
      </c>
      <c r="V26" s="357" t="s">
        <v>134</v>
      </c>
      <c r="W26" s="356">
        <f>SUM(D35:D37)+D31</f>
        <v>0</v>
      </c>
      <c r="X26" s="356">
        <f>SUM(E35:E37)+E31</f>
        <v>0</v>
      </c>
      <c r="Y26" s="356">
        <f>SUM(F35:F37)+F31</f>
        <v>0</v>
      </c>
      <c r="Z26" s="355">
        <f>SUM(G35:G37)+G31</f>
        <v>0</v>
      </c>
    </row>
    <row r="27" spans="1:26">
      <c r="B27" s="17">
        <v>1305</v>
      </c>
      <c r="C27" s="251" t="s">
        <v>58</v>
      </c>
      <c r="D27" s="60"/>
      <c r="E27" s="60"/>
      <c r="F27" s="60">
        <v>395899</v>
      </c>
      <c r="G27" s="60">
        <v>557444</v>
      </c>
      <c r="H27" s="252" t="s">
        <v>82</v>
      </c>
      <c r="I27" s="19">
        <f>+D63</f>
        <v>0</v>
      </c>
      <c r="J27" s="84" t="e">
        <f>+E63/D63-1</f>
        <v>#DIV/0!</v>
      </c>
      <c r="K27" s="84" t="e">
        <f>+F63/E63-1</f>
        <v>#DIV/0!</v>
      </c>
      <c r="L27" s="84">
        <f>+G63/F63-1</f>
        <v>0.3106184973333963</v>
      </c>
      <c r="N27" s="251" t="s">
        <v>58</v>
      </c>
      <c r="O27" s="257" t="str">
        <f>IF(E27-D27&lt;0,"F","U")</f>
        <v>U</v>
      </c>
      <c r="P27" s="116">
        <f>IF(E27-D27&lt;0,0,ABS(E27-D27))</f>
        <v>0</v>
      </c>
      <c r="Q27" s="116">
        <f>IF(E27-D27&gt;0,0,ABS(E27-D27))</f>
        <v>0</v>
      </c>
      <c r="R27" s="116">
        <f>IF(F27-E27&lt;0,0,ABS(F27-E27))</f>
        <v>395899</v>
      </c>
      <c r="S27" s="116">
        <f>IF(F27-E27&gt;0,0,ABS(F27-E27))</f>
        <v>0</v>
      </c>
      <c r="T27" s="116">
        <f>IF(G27-F27&lt;0,0,ABS(G27-F27))</f>
        <v>161545</v>
      </c>
      <c r="U27" s="153">
        <f>IF(G27-F27&gt;0,0,ABS(G27-F27))</f>
        <v>0</v>
      </c>
      <c r="V27" s="354"/>
      <c r="W27" s="353"/>
      <c r="X27" s="353"/>
      <c r="Y27" s="353"/>
      <c r="Z27" s="352"/>
    </row>
    <row r="28" spans="1:26">
      <c r="B28" s="17">
        <v>14</v>
      </c>
      <c r="C28" s="251" t="s">
        <v>59</v>
      </c>
      <c r="D28" s="60"/>
      <c r="E28" s="60"/>
      <c r="F28" s="60">
        <v>1863686</v>
      </c>
      <c r="G28" s="60">
        <v>2924181</v>
      </c>
      <c r="H28" s="252" t="s">
        <v>17</v>
      </c>
      <c r="I28" s="19">
        <f>+D75</f>
        <v>0</v>
      </c>
      <c r="J28" s="84" t="e">
        <f>+E75/D75-1</f>
        <v>#DIV/0!</v>
      </c>
      <c r="K28" s="84" t="e">
        <f>+F75/E75-1</f>
        <v>#DIV/0!</v>
      </c>
      <c r="L28" s="84">
        <f>+G75/F75-1</f>
        <v>0.1193420239325611</v>
      </c>
      <c r="N28" s="251" t="s">
        <v>59</v>
      </c>
      <c r="O28" s="253" t="str">
        <f>IF(E28-D28&lt;0,"F","U")</f>
        <v>U</v>
      </c>
      <c r="P28" s="254">
        <f>IF(E28-D28&lt;0,0,ABS(E28-D28))</f>
        <v>0</v>
      </c>
      <c r="Q28" s="255">
        <f>IF(E28-D28&gt;0,0,ABS(E28-D28))</f>
        <v>0</v>
      </c>
      <c r="R28" s="254">
        <f>IF(F28-E28&lt;0,0,ABS(F28-E28))</f>
        <v>1863686</v>
      </c>
      <c r="S28" s="255">
        <f>IF(F28-E28&gt;0,0,ABS(F28-E28))</f>
        <v>0</v>
      </c>
      <c r="T28" s="254">
        <f>IF(G28-F28&lt;0,0,ABS(G28-F28))</f>
        <v>1060495</v>
      </c>
      <c r="U28" s="256">
        <f>IF(G28-F28&gt;0,0,ABS(G28-F28))</f>
        <v>0</v>
      </c>
      <c r="V28" s="351"/>
      <c r="W28" s="341">
        <f>SUM(W58:W61)</f>
        <v>0</v>
      </c>
      <c r="X28" s="341">
        <f>SUM(X58:X61)</f>
        <v>0</v>
      </c>
      <c r="Y28" s="341">
        <f>SUM(Y58:Y61)</f>
        <v>0</v>
      </c>
      <c r="Z28" s="340">
        <f>SUM(Z58:Z61)</f>
        <v>0</v>
      </c>
    </row>
    <row r="29" spans="1:26">
      <c r="B29" s="17">
        <v>17</v>
      </c>
      <c r="C29" s="258" t="s">
        <v>60</v>
      </c>
      <c r="D29" s="60"/>
      <c r="E29" s="60"/>
      <c r="F29" s="60">
        <v>0</v>
      </c>
      <c r="G29" s="60">
        <v>0</v>
      </c>
      <c r="H29" s="252" t="s">
        <v>88</v>
      </c>
      <c r="I29" s="19">
        <f>+D77+D79+D83</f>
        <v>0</v>
      </c>
      <c r="J29" s="84" t="e">
        <f>+(E77+E79+E83)/(D77+D79+D83)-1</f>
        <v>#DIV/0!</v>
      </c>
      <c r="K29" s="84" t="e">
        <f>+(F77+F79+F83)/(E77+E79+E83)-1</f>
        <v>#DIV/0!</v>
      </c>
      <c r="L29" s="84">
        <f>+(G77+G79+G83)/(F77+F79+F83)-1</f>
        <v>0.11964586794808341</v>
      </c>
      <c r="N29" s="258" t="s">
        <v>60</v>
      </c>
      <c r="O29" s="253" t="str">
        <f>IF(E29-D29&lt;0,"F","U")</f>
        <v>U</v>
      </c>
      <c r="P29" s="254">
        <f>IF(E29-D29&lt;0,0,ABS(E29-D29))</f>
        <v>0</v>
      </c>
      <c r="Q29" s="255">
        <f>IF(E29-D29&gt;0,0,ABS(E29-D29))</f>
        <v>0</v>
      </c>
      <c r="R29" s="254">
        <f>IF(F29-E29&lt;0,0,ABS(F29-E29))</f>
        <v>0</v>
      </c>
      <c r="S29" s="255">
        <f>IF(F29-E29&gt;0,0,ABS(F29-E29))</f>
        <v>0</v>
      </c>
      <c r="T29" s="254">
        <f>IF(G29-F29&lt;0,0,ABS(G29-F29))</f>
        <v>0</v>
      </c>
      <c r="U29" s="256">
        <f>IF(G29-F29&gt;0,0,ABS(G29-F29))</f>
        <v>0</v>
      </c>
      <c r="V29" s="328" t="s">
        <v>162</v>
      </c>
      <c r="W29" s="344">
        <f>+D42+D52</f>
        <v>0</v>
      </c>
      <c r="X29" s="344">
        <f>+E42+E52</f>
        <v>0</v>
      </c>
      <c r="Y29" s="344">
        <f>+F42+F52</f>
        <v>488195</v>
      </c>
      <c r="Z29" s="343">
        <f>+G42+G52</f>
        <v>424299</v>
      </c>
    </row>
    <row r="30" spans="1:26" ht="13.5" thickBot="1">
      <c r="B30" s="17"/>
      <c r="C30" s="259" t="s">
        <v>7</v>
      </c>
      <c r="D30" s="62">
        <f>+D24+D25+D26+D28+D29</f>
        <v>0</v>
      </c>
      <c r="E30" s="63">
        <f>+E24+E25+E26+E28+E29</f>
        <v>0</v>
      </c>
      <c r="F30" s="63">
        <f>+F24+F25+F26+F28+F29</f>
        <v>2971657</v>
      </c>
      <c r="G30" s="64">
        <f>+G24+G25+G26+G28+G29</f>
        <v>4578059</v>
      </c>
      <c r="H30" s="252" t="s">
        <v>42</v>
      </c>
      <c r="I30" s="19">
        <f>+D87</f>
        <v>0</v>
      </c>
      <c r="J30" s="350" t="e">
        <f>+E87/D87-1</f>
        <v>#DIV/0!</v>
      </c>
      <c r="K30" s="350" t="e">
        <f>+F87/E87-1</f>
        <v>#DIV/0!</v>
      </c>
      <c r="L30" s="350">
        <f>+G87/F87-1</f>
        <v>0.11502559470039153</v>
      </c>
      <c r="N30" s="259" t="s">
        <v>7</v>
      </c>
      <c r="O30" s="260"/>
      <c r="P30" s="261">
        <f t="shared" ref="P30:U30" si="0">SUM(P25:P29)</f>
        <v>0</v>
      </c>
      <c r="Q30" s="261">
        <f t="shared" si="0"/>
        <v>0</v>
      </c>
      <c r="R30" s="261">
        <f t="shared" si="0"/>
        <v>3047882</v>
      </c>
      <c r="S30" s="261">
        <f t="shared" si="0"/>
        <v>0</v>
      </c>
      <c r="T30" s="261">
        <f t="shared" si="0"/>
        <v>2049160</v>
      </c>
      <c r="U30" s="261">
        <f t="shared" si="0"/>
        <v>0</v>
      </c>
      <c r="V30" s="328"/>
      <c r="W30" s="341"/>
      <c r="X30" s="341"/>
      <c r="Y30" s="341"/>
      <c r="Z30" s="340"/>
    </row>
    <row r="31" spans="1:26" ht="13.5" thickTop="1">
      <c r="B31" s="17">
        <v>12</v>
      </c>
      <c r="C31" s="246" t="s">
        <v>56</v>
      </c>
      <c r="D31" s="60"/>
      <c r="E31" s="60"/>
      <c r="F31" s="60"/>
      <c r="G31" s="60"/>
      <c r="H31" s="252" t="s">
        <v>18</v>
      </c>
      <c r="I31" s="92">
        <f>+(D87+D81+D82+D85+D86)</f>
        <v>0</v>
      </c>
      <c r="J31" s="350" t="e">
        <f>+(E87+E81+E82+E85+E86)/(D87+D81+D82+D85+D86)-1</f>
        <v>#DIV/0!</v>
      </c>
      <c r="K31" s="350" t="e">
        <f>+(F87+F81+F82+F85+F86)/(E87+E81+E82+E85+E86)-1</f>
        <v>#DIV/0!</v>
      </c>
      <c r="L31" s="350">
        <f>+(G87+G81+G82+G85+G86)/(F87+F81+F82+F85+F86)-1</f>
        <v>0.11502559470039153</v>
      </c>
      <c r="N31" s="246" t="s">
        <v>56</v>
      </c>
      <c r="O31" s="253" t="str">
        <f t="shared" ref="O31:O37" si="1">IF(E31-D31&lt;0,"F","U")</f>
        <v>U</v>
      </c>
      <c r="P31" s="254">
        <f t="shared" ref="P31:P37" si="2">IF(E31-D31&lt;0,0,ABS(E31-D31))</f>
        <v>0</v>
      </c>
      <c r="Q31" s="255">
        <f t="shared" ref="Q31:Q37" si="3">IF(E31-D31&gt;0,0,ABS(E31-D31))</f>
        <v>0</v>
      </c>
      <c r="R31" s="254">
        <f t="shared" ref="R31:R37" si="4">IF(F31-E31&lt;0,0,ABS(F31-E31))</f>
        <v>0</v>
      </c>
      <c r="S31" s="255">
        <f t="shared" ref="S31:S37" si="5">IF(F31-E31&gt;0,0,ABS(F31-E31))</f>
        <v>0</v>
      </c>
      <c r="T31" s="254">
        <f t="shared" ref="T31:T37" si="6">IF(G31-F31&lt;0,0,ABS(G31-F31))</f>
        <v>0</v>
      </c>
      <c r="U31" s="256">
        <f t="shared" ref="U31:U37" si="7">IF(G31-F31&gt;0,0,ABS(G31-F31))</f>
        <v>0</v>
      </c>
      <c r="V31" s="338" t="s">
        <v>135</v>
      </c>
      <c r="W31" s="349">
        <f>+D63-W26</f>
        <v>0</v>
      </c>
      <c r="X31" s="349">
        <f>+E63-X26</f>
        <v>0</v>
      </c>
      <c r="Y31" s="349">
        <f>+F63-Y26</f>
        <v>1861544</v>
      </c>
      <c r="Z31" s="348">
        <f>+G63-Z26</f>
        <v>2439774</v>
      </c>
    </row>
    <row r="32" spans="1:26" ht="13.5" thickBot="1">
      <c r="B32" s="17">
        <v>13</v>
      </c>
      <c r="C32" s="251" t="s">
        <v>61</v>
      </c>
      <c r="D32" s="60"/>
      <c r="E32" s="60"/>
      <c r="F32" s="60"/>
      <c r="G32" s="60"/>
      <c r="H32" s="252"/>
      <c r="I32" s="19"/>
      <c r="J32" s="19"/>
      <c r="K32" s="19"/>
      <c r="L32" s="19"/>
      <c r="N32" s="251" t="s">
        <v>61</v>
      </c>
      <c r="O32" s="253" t="str">
        <f t="shared" si="1"/>
        <v>U</v>
      </c>
      <c r="P32" s="254">
        <f t="shared" si="2"/>
        <v>0</v>
      </c>
      <c r="Q32" s="255">
        <f t="shared" si="3"/>
        <v>0</v>
      </c>
      <c r="R32" s="254">
        <f t="shared" si="4"/>
        <v>0</v>
      </c>
      <c r="S32" s="255">
        <f t="shared" si="5"/>
        <v>0</v>
      </c>
      <c r="T32" s="254">
        <f t="shared" si="6"/>
        <v>0</v>
      </c>
      <c r="U32" s="256">
        <f t="shared" si="7"/>
        <v>0</v>
      </c>
      <c r="V32" s="347" t="s">
        <v>163</v>
      </c>
      <c r="W32" s="143">
        <f>+W31+W30+W29</f>
        <v>0</v>
      </c>
      <c r="X32" s="144">
        <f>+X31+X30+X29</f>
        <v>0</v>
      </c>
      <c r="Y32" s="144">
        <f>+Y31+Y30+Y29</f>
        <v>2349739</v>
      </c>
      <c r="Z32" s="145">
        <f>+Z31+Z30+Z29</f>
        <v>2864073</v>
      </c>
    </row>
    <row r="33" spans="2:29" ht="14.25" customHeight="1" thickTop="1" thickBot="1">
      <c r="B33" s="17">
        <v>15</v>
      </c>
      <c r="C33" s="251" t="s">
        <v>8</v>
      </c>
      <c r="D33" s="60"/>
      <c r="E33" s="60"/>
      <c r="F33" s="60">
        <v>3007508</v>
      </c>
      <c r="G33" s="60">
        <v>3881854</v>
      </c>
      <c r="H33" s="89"/>
      <c r="J33" s="380" t="s">
        <v>90</v>
      </c>
      <c r="K33" s="381"/>
      <c r="L33" s="382"/>
      <c r="N33" s="251" t="s">
        <v>8</v>
      </c>
      <c r="O33" s="253" t="str">
        <f t="shared" si="1"/>
        <v>U</v>
      </c>
      <c r="P33" s="254">
        <f t="shared" si="2"/>
        <v>0</v>
      </c>
      <c r="Q33" s="255">
        <f t="shared" si="3"/>
        <v>0</v>
      </c>
      <c r="R33" s="254">
        <f t="shared" si="4"/>
        <v>3007508</v>
      </c>
      <c r="S33" s="255">
        <f t="shared" si="5"/>
        <v>0</v>
      </c>
      <c r="T33" s="254">
        <f t="shared" si="6"/>
        <v>874346</v>
      </c>
      <c r="U33" s="256">
        <f t="shared" si="7"/>
        <v>0</v>
      </c>
      <c r="V33" s="156"/>
      <c r="W33" s="157">
        <f>+W32-W23</f>
        <v>0</v>
      </c>
      <c r="X33" s="157">
        <f>+X32-X23</f>
        <v>0</v>
      </c>
      <c r="Y33" s="157">
        <f>+Y32-Y23</f>
        <v>0</v>
      </c>
      <c r="Z33" s="158">
        <f>+Z32-Z23</f>
        <v>-2458610</v>
      </c>
    </row>
    <row r="34" spans="2:29" ht="13.5" thickTop="1">
      <c r="B34" s="17"/>
      <c r="C34" s="251" t="s">
        <v>52</v>
      </c>
      <c r="D34" s="60"/>
      <c r="E34" s="60"/>
      <c r="F34" s="60"/>
      <c r="G34" s="60"/>
      <c r="H34" s="388" t="s">
        <v>6</v>
      </c>
      <c r="I34" s="19">
        <f>+D30-D51</f>
        <v>0</v>
      </c>
      <c r="J34" s="342">
        <f>+E30-E51</f>
        <v>0</v>
      </c>
      <c r="K34" s="342">
        <f>+F30-F51</f>
        <v>-1145964</v>
      </c>
      <c r="L34" s="342">
        <f>+G30-G51</f>
        <v>1016530</v>
      </c>
      <c r="N34" s="251" t="s">
        <v>52</v>
      </c>
      <c r="O34" s="257" t="str">
        <f t="shared" si="1"/>
        <v>U</v>
      </c>
      <c r="P34" s="105">
        <f t="shared" si="2"/>
        <v>0</v>
      </c>
      <c r="Q34" s="106">
        <f t="shared" si="3"/>
        <v>0</v>
      </c>
      <c r="R34" s="254">
        <f t="shared" si="4"/>
        <v>0</v>
      </c>
      <c r="S34" s="255">
        <f t="shared" si="5"/>
        <v>0</v>
      </c>
      <c r="T34" s="254">
        <f t="shared" si="6"/>
        <v>0</v>
      </c>
      <c r="U34" s="256">
        <f t="shared" si="7"/>
        <v>0</v>
      </c>
      <c r="V34" s="159"/>
      <c r="W34" s="160"/>
      <c r="X34" s="160"/>
      <c r="Y34" s="160"/>
      <c r="Z34" s="161"/>
    </row>
    <row r="35" spans="2:29">
      <c r="B35" s="17">
        <v>16</v>
      </c>
      <c r="C35" s="251" t="s">
        <v>9</v>
      </c>
      <c r="D35" s="60"/>
      <c r="E35" s="60"/>
      <c r="F35" s="60"/>
      <c r="G35" s="60"/>
      <c r="H35" s="389"/>
      <c r="I35" s="87" t="e">
        <f>+D30/D51</f>
        <v>#DIV/0!</v>
      </c>
      <c r="J35" s="87" t="e">
        <f>+E30/E51</f>
        <v>#DIV/0!</v>
      </c>
      <c r="K35" s="87">
        <f>+F30/F51</f>
        <v>0.72169269585520379</v>
      </c>
      <c r="L35" s="87">
        <f>+G30/G51</f>
        <v>1.2854195487387581</v>
      </c>
      <c r="N35" s="251" t="s">
        <v>9</v>
      </c>
      <c r="O35" s="253" t="str">
        <f t="shared" si="1"/>
        <v>U</v>
      </c>
      <c r="P35" s="254">
        <f t="shared" si="2"/>
        <v>0</v>
      </c>
      <c r="Q35" s="255">
        <f t="shared" si="3"/>
        <v>0</v>
      </c>
      <c r="R35" s="254">
        <f t="shared" si="4"/>
        <v>0</v>
      </c>
      <c r="S35" s="255">
        <f t="shared" si="5"/>
        <v>0</v>
      </c>
      <c r="T35" s="254">
        <f t="shared" si="6"/>
        <v>0</v>
      </c>
      <c r="U35" s="256">
        <f t="shared" si="7"/>
        <v>0</v>
      </c>
      <c r="V35" s="163"/>
    </row>
    <row r="36" spans="2:29">
      <c r="B36" s="17">
        <v>17</v>
      </c>
      <c r="C36" s="251" t="s">
        <v>62</v>
      </c>
      <c r="D36" s="60"/>
      <c r="E36" s="60"/>
      <c r="F36" s="60"/>
      <c r="G36" s="60"/>
      <c r="H36" s="252" t="s">
        <v>83</v>
      </c>
      <c r="I36" s="19">
        <f>(D27+D28)-(D43+D44+D46)</f>
        <v>0</v>
      </c>
      <c r="J36" s="19">
        <f>(E27+E28)-(E43+E44+E46)</f>
        <v>0</v>
      </c>
      <c r="K36" s="19">
        <f>(F27+F28)-(F43+F44+F46)</f>
        <v>-105243</v>
      </c>
      <c r="L36" s="19">
        <f>(G27+G28)-(G43+G44+G46)</f>
        <v>3308532</v>
      </c>
      <c r="N36" s="251" t="s">
        <v>62</v>
      </c>
      <c r="O36" s="253" t="str">
        <f t="shared" si="1"/>
        <v>U</v>
      </c>
      <c r="P36" s="254">
        <f t="shared" si="2"/>
        <v>0</v>
      </c>
      <c r="Q36" s="255">
        <f t="shared" si="3"/>
        <v>0</v>
      </c>
      <c r="R36" s="254">
        <f t="shared" si="4"/>
        <v>0</v>
      </c>
      <c r="S36" s="255">
        <f t="shared" si="5"/>
        <v>0</v>
      </c>
      <c r="T36" s="254">
        <f t="shared" si="6"/>
        <v>0</v>
      </c>
      <c r="U36" s="256">
        <f t="shared" si="7"/>
        <v>0</v>
      </c>
      <c r="V36" s="334" t="s">
        <v>137</v>
      </c>
      <c r="W36" s="346">
        <f>+D87</f>
        <v>0</v>
      </c>
      <c r="X36" s="346">
        <f>+E87</f>
        <v>0</v>
      </c>
      <c r="Y36" s="346">
        <f>+F87</f>
        <v>883386</v>
      </c>
      <c r="Z36" s="345">
        <f>+G87</f>
        <v>984998</v>
      </c>
    </row>
    <row r="37" spans="2:29">
      <c r="B37" s="17">
        <v>18</v>
      </c>
      <c r="C37" s="258" t="s">
        <v>10</v>
      </c>
      <c r="D37" s="60"/>
      <c r="E37" s="60"/>
      <c r="F37" s="60"/>
      <c r="G37" s="60"/>
      <c r="H37" s="252" t="s">
        <v>84</v>
      </c>
      <c r="I37" s="19">
        <f>+I34-I36</f>
        <v>0</v>
      </c>
      <c r="J37" s="19">
        <f>+J34-J36</f>
        <v>0</v>
      </c>
      <c r="K37" s="19">
        <f>+K34-K36</f>
        <v>-1040721</v>
      </c>
      <c r="L37" s="19">
        <f>+L34-L36</f>
        <v>-2292002</v>
      </c>
      <c r="N37" s="258" t="s">
        <v>10</v>
      </c>
      <c r="O37" s="253" t="str">
        <f t="shared" si="1"/>
        <v>U</v>
      </c>
      <c r="P37" s="254">
        <f t="shared" si="2"/>
        <v>0</v>
      </c>
      <c r="Q37" s="255">
        <f t="shared" si="3"/>
        <v>0</v>
      </c>
      <c r="R37" s="254">
        <f t="shared" si="4"/>
        <v>0</v>
      </c>
      <c r="S37" s="255">
        <f t="shared" si="5"/>
        <v>0</v>
      </c>
      <c r="T37" s="254">
        <f t="shared" si="6"/>
        <v>0</v>
      </c>
      <c r="U37" s="256">
        <f t="shared" si="7"/>
        <v>0</v>
      </c>
      <c r="V37" s="328" t="s">
        <v>142</v>
      </c>
      <c r="W37" s="341">
        <f>+D92</f>
        <v>0</v>
      </c>
      <c r="X37" s="341">
        <f>+E92</f>
        <v>0</v>
      </c>
      <c r="Y37" s="341">
        <f>+F92</f>
        <v>349396</v>
      </c>
      <c r="Z37" s="340">
        <f>+G92</f>
        <v>291340</v>
      </c>
    </row>
    <row r="38" spans="2:29" ht="13.5" thickBot="1">
      <c r="B38" s="17"/>
      <c r="C38" s="259" t="s">
        <v>12</v>
      </c>
      <c r="D38" s="62">
        <f>+D31+D32+D33+D35+D36+D37</f>
        <v>0</v>
      </c>
      <c r="E38" s="62">
        <f>+E31+E32+E33+E35+E36+E37</f>
        <v>0</v>
      </c>
      <c r="F38" s="62">
        <f>+F31+F32+F33+F35+F36+F37</f>
        <v>3007508</v>
      </c>
      <c r="G38" s="62">
        <f>+G31+G32+G33+G35+G36+G37</f>
        <v>3881854</v>
      </c>
      <c r="H38" s="262" t="s">
        <v>115</v>
      </c>
      <c r="I38" s="320" t="e">
        <f>D51/(D27+D28)</f>
        <v>#DIV/0!</v>
      </c>
      <c r="J38" s="320" t="e">
        <f>E51/(E27+E28)</f>
        <v>#DIV/0!</v>
      </c>
      <c r="K38" s="320">
        <f>F51/(F27+F28)</f>
        <v>1.8222908188893092</v>
      </c>
      <c r="L38" s="320">
        <f>G51/(G27+G28)</f>
        <v>1.0229502028506803</v>
      </c>
      <c r="N38" s="259" t="s">
        <v>12</v>
      </c>
      <c r="O38" s="260"/>
      <c r="P38" s="263">
        <f t="shared" ref="P38:U38" si="8">SUM(P31:P37)</f>
        <v>0</v>
      </c>
      <c r="Q38" s="263">
        <f t="shared" si="8"/>
        <v>0</v>
      </c>
      <c r="R38" s="263">
        <f t="shared" si="8"/>
        <v>3007508</v>
      </c>
      <c r="S38" s="263">
        <f t="shared" si="8"/>
        <v>0</v>
      </c>
      <c r="T38" s="263">
        <f t="shared" si="8"/>
        <v>874346</v>
      </c>
      <c r="U38" s="263">
        <f t="shared" si="8"/>
        <v>0</v>
      </c>
      <c r="V38" s="328" t="s">
        <v>138</v>
      </c>
      <c r="W38" s="341">
        <f>+W36-W37</f>
        <v>0</v>
      </c>
      <c r="X38" s="341">
        <f>+X36-X37</f>
        <v>0</v>
      </c>
      <c r="Y38" s="341">
        <f>+Y36-Y37</f>
        <v>533990</v>
      </c>
      <c r="Z38" s="340">
        <f>+Z36-Z37</f>
        <v>693658</v>
      </c>
    </row>
    <row r="39" spans="2:29" ht="13.5" thickTop="1">
      <c r="B39" s="22">
        <v>19</v>
      </c>
      <c r="C39" s="264" t="s">
        <v>11</v>
      </c>
      <c r="D39" s="65"/>
      <c r="E39" s="65"/>
      <c r="F39" s="65"/>
      <c r="G39" s="65"/>
      <c r="H39" s="252" t="s">
        <v>86</v>
      </c>
      <c r="I39" s="19"/>
      <c r="J39" s="342" t="e">
        <f>360/(E77/(AVERAGE(D28:E28)))</f>
        <v>#DIV/0!</v>
      </c>
      <c r="K39" s="342">
        <f>360/(F77/(AVERAGE(E28:F28)))</f>
        <v>59.514336754937538</v>
      </c>
      <c r="L39" s="342">
        <f>360/(G77/(AVERAGE(F28:G28)))</f>
        <v>65.808212571379357</v>
      </c>
      <c r="N39" s="265"/>
      <c r="O39" s="266"/>
      <c r="P39" s="103"/>
      <c r="Q39" s="115"/>
      <c r="R39" s="254"/>
      <c r="S39" s="104"/>
      <c r="T39" s="103"/>
      <c r="U39" s="152"/>
      <c r="V39" s="328" t="s">
        <v>143</v>
      </c>
      <c r="W39" s="344">
        <f>+D89</f>
        <v>0</v>
      </c>
      <c r="X39" s="344">
        <f>+E89</f>
        <v>0</v>
      </c>
      <c r="Y39" s="344">
        <f>+F89</f>
        <v>0</v>
      </c>
      <c r="Z39" s="343">
        <f>+G89</f>
        <v>0</v>
      </c>
    </row>
    <row r="40" spans="2:29">
      <c r="B40" s="13"/>
      <c r="C40" s="267"/>
      <c r="D40" s="14"/>
      <c r="E40" s="14"/>
      <c r="F40" s="14"/>
      <c r="G40" s="14"/>
      <c r="H40" s="252" t="s">
        <v>85</v>
      </c>
      <c r="I40" s="19"/>
      <c r="J40" s="342" t="e">
        <f>360/(E98/(AVERAGE(D43:E43)))</f>
        <v>#DIV/0!</v>
      </c>
      <c r="K40" s="342">
        <f>360/(F98/(AVERAGE(E43:F43)))</f>
        <v>26.270247977228987</v>
      </c>
      <c r="L40" s="342">
        <f>360/(G98/(AVERAGE(F43:G43)))</f>
        <v>14.296212538681353</v>
      </c>
      <c r="N40" s="267"/>
      <c r="O40" s="266"/>
      <c r="P40" s="115"/>
      <c r="Q40" s="117"/>
      <c r="R40" s="254"/>
      <c r="S40" s="104"/>
      <c r="T40" s="103"/>
      <c r="U40" s="152"/>
      <c r="V40" s="328" t="s">
        <v>144</v>
      </c>
      <c r="W40" s="344"/>
      <c r="X40" s="344">
        <f>+X36-X39</f>
        <v>0</v>
      </c>
      <c r="Y40" s="344">
        <f>+Y36-Y39</f>
        <v>883386</v>
      </c>
      <c r="Z40" s="343">
        <f>+Z36-Z39</f>
        <v>984998</v>
      </c>
    </row>
    <row r="41" spans="2:29" ht="13.5" thickBot="1">
      <c r="B41" s="15">
        <v>20</v>
      </c>
      <c r="C41" s="259" t="s">
        <v>68</v>
      </c>
      <c r="D41" s="62">
        <f>+D51+D61</f>
        <v>0</v>
      </c>
      <c r="E41" s="62">
        <f>+E51+E61</f>
        <v>0</v>
      </c>
      <c r="F41" s="62">
        <f>+F51+F61</f>
        <v>4117621</v>
      </c>
      <c r="G41" s="62">
        <f>+G51+G61</f>
        <v>6020139</v>
      </c>
      <c r="H41" s="252" t="s">
        <v>87</v>
      </c>
      <c r="I41" s="19"/>
      <c r="J41" s="342" t="e">
        <f>360/(E75/(AVERAGE(D27:E27)))</f>
        <v>#DIV/0!</v>
      </c>
      <c r="K41" s="342">
        <f>360/(F75/(AVERAGE(E27:F27)))</f>
        <v>10.610098587572283</v>
      </c>
      <c r="L41" s="342">
        <f>360/(G75/(AVERAGE(F27:G27)))</f>
        <v>11.412778591014989</v>
      </c>
      <c r="N41" s="259" t="s">
        <v>68</v>
      </c>
      <c r="O41" s="260"/>
      <c r="P41" s="260"/>
      <c r="Q41" s="260"/>
      <c r="R41" s="260"/>
      <c r="S41" s="260"/>
      <c r="T41" s="260"/>
      <c r="U41" s="260"/>
      <c r="V41" s="328" t="s">
        <v>146</v>
      </c>
      <c r="W41" s="341"/>
      <c r="X41" s="341">
        <f>+X38-X39</f>
        <v>0</v>
      </c>
      <c r="Y41" s="341">
        <f>+Y38-Y39</f>
        <v>533990</v>
      </c>
      <c r="Z41" s="340">
        <f>+Z38-Z39</f>
        <v>693658</v>
      </c>
      <c r="AA41" s="83"/>
      <c r="AB41" s="83"/>
      <c r="AC41" s="83"/>
    </row>
    <row r="42" spans="2:29" ht="13.5" thickTop="1">
      <c r="B42" s="17">
        <v>21</v>
      </c>
      <c r="C42" s="246" t="s">
        <v>63</v>
      </c>
      <c r="D42" s="61"/>
      <c r="E42" s="61"/>
      <c r="F42" s="61">
        <v>488195</v>
      </c>
      <c r="G42" s="61">
        <v>424299</v>
      </c>
      <c r="H42" s="252" t="s">
        <v>89</v>
      </c>
      <c r="I42" s="68"/>
      <c r="J42" s="339" t="e">
        <f>360/(E$75/(AVERAGE(D$27:E$27)+AVERAGE(D$28:E$28)))</f>
        <v>#DIV/0!</v>
      </c>
      <c r="K42" s="339">
        <f>360/(F75/(AVERAGE(E27:F27)+AVERAGE(E28:F28)))</f>
        <v>60.55690874945256</v>
      </c>
      <c r="L42" s="339">
        <f>360/(G75/(AVERAGE(F27:G27)+AVERAGE(F28:G28)))</f>
        <v>68.729889005867946</v>
      </c>
      <c r="N42" s="246" t="s">
        <v>63</v>
      </c>
      <c r="O42" s="253" t="str">
        <f t="shared" ref="O42:O50" si="9">IF(E42-D42&gt;0,"F","U")</f>
        <v>U</v>
      </c>
      <c r="P42" s="254">
        <f t="shared" ref="P42:P50" si="10">IF(E42-D42&gt;0,0,ABS(E42-D42))</f>
        <v>0</v>
      </c>
      <c r="Q42" s="255">
        <f t="shared" ref="Q42:Q50" si="11">IF(E42-D42&lt;0,0,ABS(E42-D42))</f>
        <v>0</v>
      </c>
      <c r="R42" s="254">
        <f t="shared" ref="R42:R50" si="12">IF(F42-E42&gt;0,0,ABS(F42-E42))</f>
        <v>0</v>
      </c>
      <c r="S42" s="255">
        <f t="shared" ref="S42:S50" si="13">IF(F42-E42&lt;0,0,ABS(F42-E42))</f>
        <v>488195</v>
      </c>
      <c r="T42" s="254">
        <f t="shared" ref="T42:T50" si="14">IF(G42-F42&gt;0,0,ABS(G42-F42))</f>
        <v>63896</v>
      </c>
      <c r="U42" s="256">
        <f t="shared" ref="U42:U50" si="15">IF(G42-F42&lt;0,0,ABS(G42-F42))</f>
        <v>0</v>
      </c>
      <c r="V42" s="338" t="s">
        <v>145</v>
      </c>
      <c r="W42" s="337"/>
      <c r="X42" s="337">
        <f>+X40-X37</f>
        <v>0</v>
      </c>
      <c r="Y42" s="337">
        <f>+Y40-Y37</f>
        <v>533990</v>
      </c>
      <c r="Z42" s="336">
        <f>+Z40-Z37</f>
        <v>693658</v>
      </c>
    </row>
    <row r="43" spans="2:29">
      <c r="B43" s="17">
        <v>22</v>
      </c>
      <c r="C43" s="251" t="s">
        <v>54</v>
      </c>
      <c r="D43" s="61"/>
      <c r="E43" s="61"/>
      <c r="F43" s="61">
        <v>958649</v>
      </c>
      <c r="G43" s="61">
        <v>165698</v>
      </c>
      <c r="H43" s="252" t="s">
        <v>91</v>
      </c>
      <c r="I43" s="68" t="e">
        <f>(D30/D23)</f>
        <v>#DIV/0!</v>
      </c>
      <c r="J43" s="68" t="e">
        <f>+E30/E23</f>
        <v>#DIV/0!</v>
      </c>
      <c r="K43" s="68">
        <f>+F30/F23</f>
        <v>0.49700200613296336</v>
      </c>
      <c r="L43" s="68">
        <f>+G30/G23</f>
        <v>0.54114729075819101</v>
      </c>
      <c r="N43" s="251" t="s">
        <v>54</v>
      </c>
      <c r="O43" s="253" t="str">
        <f t="shared" si="9"/>
        <v>U</v>
      </c>
      <c r="P43" s="254">
        <f t="shared" si="10"/>
        <v>0</v>
      </c>
      <c r="Q43" s="255">
        <f t="shared" si="11"/>
        <v>0</v>
      </c>
      <c r="R43" s="254">
        <f t="shared" si="12"/>
        <v>0</v>
      </c>
      <c r="S43" s="255">
        <f t="shared" si="13"/>
        <v>958649</v>
      </c>
      <c r="T43" s="254">
        <f t="shared" si="14"/>
        <v>792951</v>
      </c>
      <c r="U43" s="256">
        <f t="shared" si="15"/>
        <v>0</v>
      </c>
      <c r="V43" s="335"/>
    </row>
    <row r="44" spans="2:29">
      <c r="B44" s="17">
        <v>23</v>
      </c>
      <c r="C44" s="251" t="s">
        <v>20</v>
      </c>
      <c r="D44" s="61"/>
      <c r="E44" s="61"/>
      <c r="F44" s="61">
        <v>1406179</v>
      </c>
      <c r="G44" s="61">
        <v>7395</v>
      </c>
      <c r="H44" s="268"/>
      <c r="I44" s="68"/>
      <c r="J44" s="19"/>
      <c r="K44" s="19"/>
      <c r="L44" s="19"/>
      <c r="N44" s="251" t="s">
        <v>20</v>
      </c>
      <c r="O44" s="253" t="str">
        <f t="shared" si="9"/>
        <v>U</v>
      </c>
      <c r="P44" s="254">
        <f t="shared" si="10"/>
        <v>0</v>
      </c>
      <c r="Q44" s="255">
        <f t="shared" si="11"/>
        <v>0</v>
      </c>
      <c r="R44" s="254">
        <f t="shared" si="12"/>
        <v>0</v>
      </c>
      <c r="S44" s="255">
        <f t="shared" si="13"/>
        <v>1406179</v>
      </c>
      <c r="T44" s="254">
        <f t="shared" si="14"/>
        <v>1398784</v>
      </c>
      <c r="U44" s="256">
        <f t="shared" si="15"/>
        <v>0</v>
      </c>
      <c r="V44" s="334" t="s">
        <v>141</v>
      </c>
      <c r="W44" s="333"/>
      <c r="X44" s="333" t="e">
        <f>(E89/((E42+D42+E52+D52)/2))*(1-0.33)</f>
        <v>#DIV/0!</v>
      </c>
      <c r="Y44" s="333">
        <f>(F89/((F42+E42+F52+E52)/2))*(1-0.33)</f>
        <v>0</v>
      </c>
      <c r="Z44" s="332">
        <f>(G89/((G42+F42+G52+F52)/2))*(1-0.33)</f>
        <v>0</v>
      </c>
    </row>
    <row r="45" spans="2:29" ht="13.5" customHeight="1" thickBot="1">
      <c r="B45" s="17">
        <v>24</v>
      </c>
      <c r="C45" s="251" t="s">
        <v>55</v>
      </c>
      <c r="D45" s="61"/>
      <c r="E45" s="61"/>
      <c r="F45" s="61">
        <v>306123</v>
      </c>
      <c r="G45" s="61">
        <v>17377</v>
      </c>
      <c r="H45" s="83"/>
      <c r="I45" s="83"/>
      <c r="J45" s="380" t="s">
        <v>93</v>
      </c>
      <c r="K45" s="381"/>
      <c r="L45" s="382"/>
      <c r="N45" s="251" t="s">
        <v>55</v>
      </c>
      <c r="O45" s="253" t="str">
        <f t="shared" si="9"/>
        <v>U</v>
      </c>
      <c r="P45" s="254">
        <f t="shared" si="10"/>
        <v>0</v>
      </c>
      <c r="Q45" s="255">
        <f t="shared" si="11"/>
        <v>0</v>
      </c>
      <c r="R45" s="254">
        <f t="shared" si="12"/>
        <v>0</v>
      </c>
      <c r="S45" s="255">
        <f t="shared" si="13"/>
        <v>306123</v>
      </c>
      <c r="T45" s="254">
        <f t="shared" si="14"/>
        <v>288746</v>
      </c>
      <c r="U45" s="256">
        <f t="shared" si="15"/>
        <v>0</v>
      </c>
      <c r="V45" s="328" t="s">
        <v>140</v>
      </c>
      <c r="W45" s="331"/>
      <c r="X45" s="331">
        <f>+E99</f>
        <v>0</v>
      </c>
      <c r="Y45" s="331">
        <f>+F99</f>
        <v>0</v>
      </c>
      <c r="Z45" s="330">
        <f>+G99</f>
        <v>0</v>
      </c>
    </row>
    <row r="46" spans="2:29" ht="13.5" thickTop="1">
      <c r="B46" s="17">
        <v>25</v>
      </c>
      <c r="C46" s="251" t="s">
        <v>21</v>
      </c>
      <c r="D46" s="61"/>
      <c r="E46" s="61"/>
      <c r="F46" s="61"/>
      <c r="G46" s="61"/>
      <c r="H46" s="252" t="s">
        <v>15</v>
      </c>
      <c r="I46" s="68" t="e">
        <f>+D41/D23</f>
        <v>#DIV/0!</v>
      </c>
      <c r="J46" s="68" t="e">
        <f>+E41/E23</f>
        <v>#DIV/0!</v>
      </c>
      <c r="K46" s="68">
        <f>+F41/F23</f>
        <v>0.68866154387778222</v>
      </c>
      <c r="L46" s="68">
        <f>+G41/G23</f>
        <v>0.71160767256117174</v>
      </c>
      <c r="N46" s="251" t="s">
        <v>21</v>
      </c>
      <c r="O46" s="253" t="str">
        <f t="shared" si="9"/>
        <v>U</v>
      </c>
      <c r="P46" s="254">
        <f t="shared" si="10"/>
        <v>0</v>
      </c>
      <c r="Q46" s="255">
        <f t="shared" si="11"/>
        <v>0</v>
      </c>
      <c r="R46" s="254">
        <f t="shared" si="12"/>
        <v>0</v>
      </c>
      <c r="S46" s="255">
        <f t="shared" si="13"/>
        <v>0</v>
      </c>
      <c r="T46" s="254">
        <f t="shared" si="14"/>
        <v>0</v>
      </c>
      <c r="U46" s="256">
        <f t="shared" si="15"/>
        <v>0</v>
      </c>
      <c r="V46" s="328" t="s">
        <v>139</v>
      </c>
      <c r="W46" s="331"/>
      <c r="X46" s="331" t="e">
        <f>(J46*X44)+(1-J46)*X45</f>
        <v>#DIV/0!</v>
      </c>
      <c r="Y46" s="331">
        <f>(K46*Y44)+(1-K46)*Y45</f>
        <v>0</v>
      </c>
      <c r="Z46" s="330">
        <f>(L46*Z44)+(1-L46)*Z45</f>
        <v>0</v>
      </c>
    </row>
    <row r="47" spans="2:29">
      <c r="B47" s="17">
        <v>26</v>
      </c>
      <c r="C47" s="251" t="s">
        <v>22</v>
      </c>
      <c r="D47" s="61"/>
      <c r="E47" s="61"/>
      <c r="F47" s="61"/>
      <c r="G47" s="61"/>
      <c r="H47" s="252" t="s">
        <v>92</v>
      </c>
      <c r="I47" s="68" t="e">
        <f>1-I46</f>
        <v>#DIV/0!</v>
      </c>
      <c r="J47" s="68" t="e">
        <f>1-J46</f>
        <v>#DIV/0!</v>
      </c>
      <c r="K47" s="329">
        <f>1-K46</f>
        <v>0.31133845612221778</v>
      </c>
      <c r="L47" s="68">
        <f>1-L46</f>
        <v>0.28839232743882826</v>
      </c>
      <c r="N47" s="251" t="s">
        <v>22</v>
      </c>
      <c r="O47" s="253" t="str">
        <f t="shared" si="9"/>
        <v>U</v>
      </c>
      <c r="P47" s="254">
        <f t="shared" si="10"/>
        <v>0</v>
      </c>
      <c r="Q47" s="255">
        <f t="shared" si="11"/>
        <v>0</v>
      </c>
      <c r="R47" s="254">
        <f t="shared" si="12"/>
        <v>0</v>
      </c>
      <c r="S47" s="255">
        <f t="shared" si="13"/>
        <v>0</v>
      </c>
      <c r="T47" s="254">
        <f t="shared" si="14"/>
        <v>0</v>
      </c>
      <c r="U47" s="256">
        <f t="shared" si="15"/>
        <v>0</v>
      </c>
      <c r="V47" s="328" t="s">
        <v>147</v>
      </c>
      <c r="W47" s="327"/>
      <c r="X47" s="327" t="e">
        <f>+X38/X23</f>
        <v>#DIV/0!</v>
      </c>
      <c r="Y47" s="327">
        <f>+Y38/Y23</f>
        <v>0.22725502704768488</v>
      </c>
      <c r="Z47" s="326">
        <f>+Z38/Z23</f>
        <v>0.1303211181278314</v>
      </c>
    </row>
    <row r="48" spans="2:29">
      <c r="B48" s="17">
        <v>27</v>
      </c>
      <c r="C48" s="251" t="s">
        <v>64</v>
      </c>
      <c r="D48" s="61"/>
      <c r="E48" s="61"/>
      <c r="F48" s="61"/>
      <c r="G48" s="61"/>
      <c r="H48" s="252" t="s">
        <v>16</v>
      </c>
      <c r="I48" s="90" t="e">
        <f>+D41/D63</f>
        <v>#DIV/0!</v>
      </c>
      <c r="J48" s="90" t="e">
        <f>+E41/E63</f>
        <v>#DIV/0!</v>
      </c>
      <c r="K48" s="90">
        <f>+F41/F63</f>
        <v>2.2119385843149559</v>
      </c>
      <c r="L48" s="90">
        <f>+G41/G63</f>
        <v>2.4674986289713718</v>
      </c>
      <c r="N48" s="251" t="s">
        <v>64</v>
      </c>
      <c r="O48" s="253" t="str">
        <f t="shared" si="9"/>
        <v>U</v>
      </c>
      <c r="P48" s="254">
        <f t="shared" si="10"/>
        <v>0</v>
      </c>
      <c r="Q48" s="255">
        <f t="shared" si="11"/>
        <v>0</v>
      </c>
      <c r="R48" s="254">
        <f t="shared" si="12"/>
        <v>0</v>
      </c>
      <c r="S48" s="255">
        <f t="shared" si="13"/>
        <v>0</v>
      </c>
      <c r="T48" s="254">
        <f t="shared" si="14"/>
        <v>0</v>
      </c>
      <c r="U48" s="256">
        <f t="shared" si="15"/>
        <v>0</v>
      </c>
      <c r="V48" s="328" t="s">
        <v>148</v>
      </c>
      <c r="W48" s="327"/>
      <c r="X48" s="327" t="e">
        <f>+E87/E23</f>
        <v>#DIV/0!</v>
      </c>
      <c r="Y48" s="327">
        <f>+F87/F23</f>
        <v>0.14774404118300799</v>
      </c>
      <c r="Z48" s="326">
        <f>+G87/G23</f>
        <v>0.11643122098300539</v>
      </c>
    </row>
    <row r="49" spans="2:26" ht="15" customHeight="1">
      <c r="B49" s="17">
        <v>28</v>
      </c>
      <c r="C49" s="251" t="s">
        <v>24</v>
      </c>
      <c r="D49" s="61"/>
      <c r="E49" s="61"/>
      <c r="F49" s="61">
        <v>958475</v>
      </c>
      <c r="G49" s="61">
        <v>2946760</v>
      </c>
      <c r="H49" s="252" t="s">
        <v>116</v>
      </c>
      <c r="I49" s="68" t="e">
        <f>+D52/(D63+D52)</f>
        <v>#DIV/0!</v>
      </c>
      <c r="J49" s="320" t="e">
        <f>+E52/(E63+E52)</f>
        <v>#DIV/0!</v>
      </c>
      <c r="K49" s="320">
        <f>+F52/(F63+F52)</f>
        <v>0</v>
      </c>
      <c r="L49" s="320">
        <f>+G52/(G63+G52)</f>
        <v>0</v>
      </c>
      <c r="N49" s="251" t="s">
        <v>24</v>
      </c>
      <c r="O49" s="253" t="str">
        <f t="shared" si="9"/>
        <v>U</v>
      </c>
      <c r="P49" s="254">
        <f t="shared" si="10"/>
        <v>0</v>
      </c>
      <c r="Q49" s="255">
        <f t="shared" si="11"/>
        <v>0</v>
      </c>
      <c r="R49" s="254">
        <f t="shared" si="12"/>
        <v>0</v>
      </c>
      <c r="S49" s="255">
        <f t="shared" si="13"/>
        <v>958475</v>
      </c>
      <c r="T49" s="254">
        <f t="shared" si="14"/>
        <v>0</v>
      </c>
      <c r="U49" s="256">
        <f t="shared" si="15"/>
        <v>1988285</v>
      </c>
      <c r="V49" s="390" t="s">
        <v>149</v>
      </c>
      <c r="W49" s="378"/>
      <c r="X49" s="325" t="e">
        <f>+X47-X46</f>
        <v>#DIV/0!</v>
      </c>
      <c r="Y49" s="325">
        <f>+Y47-Y46</f>
        <v>0.22725502704768488</v>
      </c>
      <c r="Z49" s="324">
        <f>+Z47-Z46</f>
        <v>0.1303211181278314</v>
      </c>
    </row>
    <row r="50" spans="2:26" ht="15.75" customHeight="1">
      <c r="B50" s="17">
        <v>29</v>
      </c>
      <c r="C50" s="258" t="s">
        <v>65</v>
      </c>
      <c r="D50" s="61"/>
      <c r="E50" s="61"/>
      <c r="F50" s="61"/>
      <c r="G50" s="61"/>
      <c r="H50" s="252" t="s">
        <v>99</v>
      </c>
      <c r="I50" s="90" t="e">
        <f>+D63/D33</f>
        <v>#DIV/0!</v>
      </c>
      <c r="J50" s="90" t="e">
        <f>+E63/E33</f>
        <v>#DIV/0!</v>
      </c>
      <c r="K50" s="90">
        <f>+F63/F33</f>
        <v>0.61896560208651152</v>
      </c>
      <c r="L50" s="90">
        <f>+G63/G33</f>
        <v>0.62850740908854374</v>
      </c>
      <c r="N50" s="258" t="s">
        <v>65</v>
      </c>
      <c r="O50" s="253" t="str">
        <f t="shared" si="9"/>
        <v>U</v>
      </c>
      <c r="P50" s="254">
        <f t="shared" si="10"/>
        <v>0</v>
      </c>
      <c r="Q50" s="255">
        <f t="shared" si="11"/>
        <v>0</v>
      </c>
      <c r="R50" s="254">
        <f t="shared" si="12"/>
        <v>0</v>
      </c>
      <c r="S50" s="255">
        <f t="shared" si="13"/>
        <v>0</v>
      </c>
      <c r="T50" s="254">
        <f t="shared" si="14"/>
        <v>0</v>
      </c>
      <c r="U50" s="256">
        <f t="shared" si="15"/>
        <v>0</v>
      </c>
      <c r="V50" s="391"/>
      <c r="W50" s="379"/>
      <c r="X50" s="323"/>
      <c r="Y50" s="323" t="e">
        <f>+Y49-X49</f>
        <v>#DIV/0!</v>
      </c>
      <c r="Z50" s="322">
        <f>+Z49-Y49</f>
        <v>-9.6933908919853484E-2</v>
      </c>
    </row>
    <row r="51" spans="2:26" ht="13.5" thickBot="1">
      <c r="B51" s="17">
        <v>0</v>
      </c>
      <c r="C51" s="259" t="s">
        <v>19</v>
      </c>
      <c r="D51" s="62">
        <f>SUM(D42:D50)</f>
        <v>0</v>
      </c>
      <c r="E51" s="62">
        <f>SUM(E42:E50)</f>
        <v>0</v>
      </c>
      <c r="F51" s="62">
        <f>SUM(F42:F50)</f>
        <v>4117621</v>
      </c>
      <c r="G51" s="62">
        <f>SUM(G42:G50)</f>
        <v>3561529</v>
      </c>
      <c r="H51" s="252" t="s">
        <v>117</v>
      </c>
      <c r="I51" s="68" t="e">
        <f>+D63/(D27+D28+D33)</f>
        <v>#DIV/0!</v>
      </c>
      <c r="J51" s="68" t="e">
        <f>+E63/(E27+E28+E33)</f>
        <v>#DIV/0!</v>
      </c>
      <c r="K51" s="68">
        <f>+F63/(F27+F28+F33)</f>
        <v>0.35342911165608809</v>
      </c>
      <c r="L51" s="68">
        <f>+G63/(G27+G28+G33)</f>
        <v>0.33133441407247849</v>
      </c>
      <c r="N51" s="259" t="s">
        <v>19</v>
      </c>
      <c r="O51" s="260"/>
      <c r="P51" s="261">
        <f t="shared" ref="P51:U51" si="16">SUM(P42:P50)</f>
        <v>0</v>
      </c>
      <c r="Q51" s="261">
        <f t="shared" si="16"/>
        <v>0</v>
      </c>
      <c r="R51" s="261">
        <f t="shared" si="16"/>
        <v>0</v>
      </c>
      <c r="S51" s="261">
        <f t="shared" si="16"/>
        <v>4117621</v>
      </c>
      <c r="T51" s="261">
        <f t="shared" si="16"/>
        <v>2544377</v>
      </c>
      <c r="U51" s="261">
        <f t="shared" si="16"/>
        <v>1988285</v>
      </c>
      <c r="V51" s="321"/>
      <c r="W51" s="269"/>
    </row>
    <row r="52" spans="2:26" ht="13.5" thickTop="1">
      <c r="B52" s="17">
        <v>21</v>
      </c>
      <c r="C52" s="246" t="s">
        <v>53</v>
      </c>
      <c r="D52" s="61"/>
      <c r="E52" s="66"/>
      <c r="F52" s="66"/>
      <c r="G52" s="66"/>
      <c r="H52" s="252" t="s">
        <v>118</v>
      </c>
      <c r="I52" s="68" t="e">
        <f>+D51/D41</f>
        <v>#DIV/0!</v>
      </c>
      <c r="J52" s="68" t="e">
        <f>+E51/E41</f>
        <v>#DIV/0!</v>
      </c>
      <c r="K52" s="68">
        <f>+F51/F41</f>
        <v>1</v>
      </c>
      <c r="L52" s="68">
        <f>+G51/G41</f>
        <v>0.59160245303306125</v>
      </c>
      <c r="N52" s="246" t="s">
        <v>53</v>
      </c>
      <c r="O52" s="253" t="str">
        <f t="shared" ref="O52:O60" si="17">IF(E52-D52&gt;0,"F","U")</f>
        <v>U</v>
      </c>
      <c r="P52" s="254">
        <f t="shared" ref="P52:P60" si="18">IF(E52-D52&gt;0,0,ABS(E52-D52))</f>
        <v>0</v>
      </c>
      <c r="Q52" s="255">
        <f t="shared" ref="Q52:Q60" si="19">IF(E52-D52&lt;0,0,ABS(E52-D52))</f>
        <v>0</v>
      </c>
      <c r="R52" s="254">
        <f t="shared" ref="R52:R60" si="20">IF(F52-E52&gt;0,0,ABS(F52-E52))</f>
        <v>0</v>
      </c>
      <c r="S52" s="255">
        <f t="shared" ref="S52:S60" si="21">IF(F52-E52&lt;0,0,ABS(F52-E52))</f>
        <v>0</v>
      </c>
      <c r="T52" s="254">
        <f t="shared" ref="T52:T60" si="22">IF(G52-F52&gt;0,0,ABS(G52-F52))</f>
        <v>0</v>
      </c>
      <c r="U52" s="256">
        <f t="shared" ref="U52:U60" si="23">IF(G52-F52&lt;0,0,ABS(G52-F52))</f>
        <v>0</v>
      </c>
      <c r="V52" s="14"/>
    </row>
    <row r="53" spans="2:26">
      <c r="B53" s="17">
        <v>22</v>
      </c>
      <c r="C53" s="251" t="s">
        <v>54</v>
      </c>
      <c r="D53" s="61"/>
      <c r="E53" s="66"/>
      <c r="F53" s="66"/>
      <c r="G53" s="66"/>
      <c r="H53" s="252" t="s">
        <v>119</v>
      </c>
      <c r="I53" s="68" t="e">
        <f>+(D42+D52)/D41</f>
        <v>#DIV/0!</v>
      </c>
      <c r="J53" s="320" t="e">
        <f>+(E42+E52)/E41</f>
        <v>#DIV/0!</v>
      </c>
      <c r="K53" s="320">
        <f>+(F42+F52)/F41</f>
        <v>0.11856239318771689</v>
      </c>
      <c r="L53" s="320">
        <f>+(G42+G52)/G41</f>
        <v>7.0479934101189357E-2</v>
      </c>
      <c r="N53" s="251" t="s">
        <v>54</v>
      </c>
      <c r="O53" s="253" t="str">
        <f t="shared" si="17"/>
        <v>U</v>
      </c>
      <c r="P53" s="254">
        <f t="shared" si="18"/>
        <v>0</v>
      </c>
      <c r="Q53" s="255">
        <f t="shared" si="19"/>
        <v>0</v>
      </c>
      <c r="R53" s="254">
        <f t="shared" si="20"/>
        <v>0</v>
      </c>
      <c r="S53" s="255">
        <f t="shared" si="21"/>
        <v>0</v>
      </c>
      <c r="T53" s="254">
        <f t="shared" si="22"/>
        <v>0</v>
      </c>
      <c r="U53" s="256">
        <f t="shared" si="23"/>
        <v>0</v>
      </c>
      <c r="V53" s="14"/>
    </row>
    <row r="54" spans="2:26">
      <c r="B54" s="17">
        <v>23</v>
      </c>
      <c r="C54" s="251" t="s">
        <v>20</v>
      </c>
      <c r="D54" s="61"/>
      <c r="E54" s="66"/>
      <c r="F54" s="66"/>
      <c r="G54" s="66">
        <v>2173809</v>
      </c>
      <c r="H54" s="252" t="s">
        <v>94</v>
      </c>
      <c r="I54" s="90"/>
      <c r="J54" s="371" t="e">
        <f>+(E87+E81+E82+E85+E86)/E89</f>
        <v>#DIV/0!</v>
      </c>
      <c r="K54" s="90" t="e">
        <f>+(F87+F81+F82+F85+F86)/F89</f>
        <v>#DIV/0!</v>
      </c>
      <c r="L54" s="90" t="e">
        <f>+(G87+G81+G82+G85+G86)/G89</f>
        <v>#DIV/0!</v>
      </c>
      <c r="N54" s="251" t="s">
        <v>20</v>
      </c>
      <c r="O54" s="253" t="str">
        <f t="shared" si="17"/>
        <v>U</v>
      </c>
      <c r="P54" s="254">
        <f t="shared" si="18"/>
        <v>0</v>
      </c>
      <c r="Q54" s="255">
        <f t="shared" si="19"/>
        <v>0</v>
      </c>
      <c r="R54" s="254">
        <f t="shared" si="20"/>
        <v>0</v>
      </c>
      <c r="S54" s="255">
        <f t="shared" si="21"/>
        <v>0</v>
      </c>
      <c r="T54" s="254">
        <f t="shared" si="22"/>
        <v>0</v>
      </c>
      <c r="U54" s="256">
        <f t="shared" si="23"/>
        <v>2173809</v>
      </c>
      <c r="V54" s="318"/>
    </row>
    <row r="55" spans="2:26">
      <c r="B55" s="22">
        <v>24</v>
      </c>
      <c r="C55" s="251" t="s">
        <v>55</v>
      </c>
      <c r="D55" s="61"/>
      <c r="E55" s="66"/>
      <c r="F55" s="66"/>
      <c r="G55" s="66">
        <v>284801</v>
      </c>
      <c r="H55" s="252"/>
      <c r="I55" s="68"/>
      <c r="J55" s="68"/>
      <c r="K55" s="68"/>
      <c r="L55" s="68"/>
      <c r="N55" s="251" t="s">
        <v>55</v>
      </c>
      <c r="O55" s="253" t="str">
        <f t="shared" si="17"/>
        <v>U</v>
      </c>
      <c r="P55" s="254">
        <f t="shared" si="18"/>
        <v>0</v>
      </c>
      <c r="Q55" s="255">
        <f t="shared" si="19"/>
        <v>0</v>
      </c>
      <c r="R55" s="254">
        <f t="shared" si="20"/>
        <v>0</v>
      </c>
      <c r="S55" s="255">
        <f t="shared" si="21"/>
        <v>0</v>
      </c>
      <c r="T55" s="254">
        <f t="shared" si="22"/>
        <v>0</v>
      </c>
      <c r="U55" s="256">
        <f t="shared" si="23"/>
        <v>284801</v>
      </c>
      <c r="V55" s="318"/>
    </row>
    <row r="56" spans="2:26">
      <c r="B56" s="15">
        <v>25</v>
      </c>
      <c r="C56" s="251" t="s">
        <v>21</v>
      </c>
      <c r="D56" s="61"/>
      <c r="E56" s="66"/>
      <c r="F56" s="66"/>
      <c r="G56" s="66"/>
      <c r="I56" s="80"/>
      <c r="J56" s="80"/>
      <c r="K56" s="80"/>
      <c r="L56" s="80"/>
      <c r="M56" s="80"/>
      <c r="N56" s="251" t="s">
        <v>21</v>
      </c>
      <c r="O56" s="253" t="str">
        <f t="shared" si="17"/>
        <v>U</v>
      </c>
      <c r="P56" s="254">
        <f t="shared" si="18"/>
        <v>0</v>
      </c>
      <c r="Q56" s="255">
        <f t="shared" si="19"/>
        <v>0</v>
      </c>
      <c r="R56" s="254">
        <f t="shared" si="20"/>
        <v>0</v>
      </c>
      <c r="S56" s="255">
        <f t="shared" si="21"/>
        <v>0</v>
      </c>
      <c r="T56" s="254">
        <f t="shared" si="22"/>
        <v>0</v>
      </c>
      <c r="U56" s="256">
        <f t="shared" si="23"/>
        <v>0</v>
      </c>
      <c r="V56" s="318"/>
    </row>
    <row r="57" spans="2:26" ht="13.5" customHeight="1" thickBot="1">
      <c r="B57" s="17">
        <v>26</v>
      </c>
      <c r="C57" s="251" t="s">
        <v>22</v>
      </c>
      <c r="D57" s="61"/>
      <c r="E57" s="66"/>
      <c r="F57" s="66"/>
      <c r="G57" s="66"/>
      <c r="J57" s="380" t="s">
        <v>95</v>
      </c>
      <c r="K57" s="381"/>
      <c r="L57" s="382"/>
      <c r="N57" s="251" t="s">
        <v>22</v>
      </c>
      <c r="O57" s="253" t="str">
        <f t="shared" si="17"/>
        <v>U</v>
      </c>
      <c r="P57" s="254">
        <f t="shared" si="18"/>
        <v>0</v>
      </c>
      <c r="Q57" s="255">
        <f t="shared" si="19"/>
        <v>0</v>
      </c>
      <c r="R57" s="254">
        <f t="shared" si="20"/>
        <v>0</v>
      </c>
      <c r="S57" s="255">
        <f t="shared" si="21"/>
        <v>0</v>
      </c>
      <c r="T57" s="254">
        <f t="shared" si="22"/>
        <v>0</v>
      </c>
      <c r="U57" s="256">
        <f t="shared" si="23"/>
        <v>0</v>
      </c>
      <c r="V57" s="318"/>
    </row>
    <row r="58" spans="2:26" ht="13.5" thickTop="1">
      <c r="B58" s="17">
        <v>27</v>
      </c>
      <c r="C58" s="251" t="s">
        <v>23</v>
      </c>
      <c r="D58" s="61"/>
      <c r="E58" s="66"/>
      <c r="F58" s="66"/>
      <c r="G58" s="66"/>
      <c r="N58" s="251" t="s">
        <v>23</v>
      </c>
      <c r="O58" s="253" t="str">
        <f t="shared" si="17"/>
        <v>U</v>
      </c>
      <c r="P58" s="254">
        <f t="shared" si="18"/>
        <v>0</v>
      </c>
      <c r="Q58" s="255">
        <f t="shared" si="19"/>
        <v>0</v>
      </c>
      <c r="R58" s="254">
        <f t="shared" si="20"/>
        <v>0</v>
      </c>
      <c r="S58" s="255">
        <f t="shared" si="21"/>
        <v>0</v>
      </c>
      <c r="T58" s="254">
        <f t="shared" si="22"/>
        <v>0</v>
      </c>
      <c r="U58" s="256">
        <f t="shared" si="23"/>
        <v>0</v>
      </c>
      <c r="V58" s="318"/>
      <c r="W58" s="83"/>
      <c r="X58" s="83"/>
      <c r="Y58" s="83"/>
      <c r="Z58" s="83"/>
    </row>
    <row r="59" spans="2:26">
      <c r="B59" s="17">
        <v>28</v>
      </c>
      <c r="C59" s="251" t="s">
        <v>24</v>
      </c>
      <c r="D59" s="61"/>
      <c r="E59" s="66"/>
      <c r="F59" s="66"/>
      <c r="G59" s="66"/>
      <c r="H59" s="252" t="s">
        <v>96</v>
      </c>
      <c r="I59" s="68" t="e">
        <f>+(D87+D81+D82+D85+D86)/D75</f>
        <v>#DIV/0!</v>
      </c>
      <c r="J59" s="320" t="e">
        <f>+(E87+E81+E82+E85+E86)/E75</f>
        <v>#DIV/0!</v>
      </c>
      <c r="K59" s="320">
        <f>+(F87+F81+F82+F85+F86)/F75</f>
        <v>6.576321339309836E-2</v>
      </c>
      <c r="L59" s="320">
        <f>+(G87+G81+G82+G85+G86)/G75</f>
        <v>6.5509615966554774E-2</v>
      </c>
      <c r="N59" s="251" t="s">
        <v>24</v>
      </c>
      <c r="O59" s="253" t="str">
        <f t="shared" si="17"/>
        <v>U</v>
      </c>
      <c r="P59" s="254">
        <f t="shared" si="18"/>
        <v>0</v>
      </c>
      <c r="Q59" s="255">
        <f t="shared" si="19"/>
        <v>0</v>
      </c>
      <c r="R59" s="254">
        <f t="shared" si="20"/>
        <v>0</v>
      </c>
      <c r="S59" s="255">
        <f t="shared" si="21"/>
        <v>0</v>
      </c>
      <c r="T59" s="254">
        <f t="shared" si="22"/>
        <v>0</v>
      </c>
      <c r="U59" s="256">
        <f t="shared" si="23"/>
        <v>0</v>
      </c>
      <c r="V59" s="318"/>
      <c r="W59" s="93"/>
      <c r="X59" s="93"/>
      <c r="Y59" s="93"/>
      <c r="Z59" s="93"/>
    </row>
    <row r="60" spans="2:26">
      <c r="B60" s="17">
        <v>29</v>
      </c>
      <c r="C60" s="258" t="s">
        <v>26</v>
      </c>
      <c r="D60" s="61"/>
      <c r="E60" s="66"/>
      <c r="F60" s="66"/>
      <c r="G60" s="66"/>
      <c r="H60" s="252" t="s">
        <v>97</v>
      </c>
      <c r="I60" s="68" t="e">
        <f>+D87/D75</f>
        <v>#DIV/0!</v>
      </c>
      <c r="J60" s="320" t="e">
        <f>+E87/E75</f>
        <v>#DIV/0!</v>
      </c>
      <c r="K60" s="320">
        <f>+F87/F75</f>
        <v>6.576321339309836E-2</v>
      </c>
      <c r="L60" s="320">
        <f>+G87/G75</f>
        <v>6.5509615966554774E-2</v>
      </c>
      <c r="N60" s="258" t="s">
        <v>26</v>
      </c>
      <c r="O60" s="253" t="str">
        <f t="shared" si="17"/>
        <v>U</v>
      </c>
      <c r="P60" s="254">
        <f t="shared" si="18"/>
        <v>0</v>
      </c>
      <c r="Q60" s="255">
        <f t="shared" si="19"/>
        <v>0</v>
      </c>
      <c r="R60" s="254">
        <f t="shared" si="20"/>
        <v>0</v>
      </c>
      <c r="S60" s="255">
        <f t="shared" si="21"/>
        <v>0</v>
      </c>
      <c r="T60" s="254">
        <f t="shared" si="22"/>
        <v>0</v>
      </c>
      <c r="U60" s="256">
        <f t="shared" si="23"/>
        <v>0</v>
      </c>
      <c r="V60" s="318"/>
    </row>
    <row r="61" spans="2:26" ht="13.5" thickBot="1">
      <c r="B61" s="22">
        <v>0</v>
      </c>
      <c r="C61" s="259" t="s">
        <v>27</v>
      </c>
      <c r="D61" s="62">
        <f>SUM(D52:D60)</f>
        <v>0</v>
      </c>
      <c r="E61" s="62">
        <f>SUM(E52:E60)</f>
        <v>0</v>
      </c>
      <c r="F61" s="62">
        <f>SUM(F52:F60)</f>
        <v>0</v>
      </c>
      <c r="G61" s="62">
        <f>SUM(G52:G60)</f>
        <v>2458610</v>
      </c>
      <c r="H61" s="252" t="s">
        <v>98</v>
      </c>
      <c r="I61" s="68" t="e">
        <f>+D93/D75</f>
        <v>#DIV/0!</v>
      </c>
      <c r="J61" s="320" t="e">
        <f>+E93/E75</f>
        <v>#DIV/0!</v>
      </c>
      <c r="K61" s="320">
        <f>+F93/F75</f>
        <v>3.9507388949863054E-2</v>
      </c>
      <c r="L61" s="320">
        <f>+G93/G75</f>
        <v>3.8021725294012411E-2</v>
      </c>
      <c r="N61" s="259" t="s">
        <v>27</v>
      </c>
      <c r="O61" s="260"/>
      <c r="P61" s="263">
        <f t="shared" ref="P61:U61" si="24">SUM(P52:P60)</f>
        <v>0</v>
      </c>
      <c r="Q61" s="263">
        <f t="shared" si="24"/>
        <v>0</v>
      </c>
      <c r="R61" s="263">
        <f t="shared" si="24"/>
        <v>0</v>
      </c>
      <c r="S61" s="263">
        <f t="shared" si="24"/>
        <v>0</v>
      </c>
      <c r="T61" s="263">
        <f t="shared" si="24"/>
        <v>0</v>
      </c>
      <c r="U61" s="263">
        <f t="shared" si="24"/>
        <v>2458610</v>
      </c>
      <c r="V61" s="14"/>
    </row>
    <row r="62" spans="2:26" ht="13.5" thickTop="1">
      <c r="B62" s="13"/>
      <c r="C62" s="14"/>
      <c r="D62" s="72"/>
      <c r="E62" s="72"/>
      <c r="F62" s="72"/>
      <c r="G62" s="72"/>
      <c r="H62" s="252" t="s">
        <v>13</v>
      </c>
      <c r="I62" s="68"/>
      <c r="J62" s="68" t="e">
        <f>+J31/AVERAGE(D23:E23)</f>
        <v>#DIV/0!</v>
      </c>
      <c r="K62" s="68" t="e">
        <f>+K31/AVERAGE(E23:F23)</f>
        <v>#DIV/0!</v>
      </c>
      <c r="L62" s="68">
        <f>+L31/AVERAGE(F23:G23)</f>
        <v>1.5932540110994834E-8</v>
      </c>
      <c r="N62" s="14"/>
      <c r="O62" s="14"/>
      <c r="P62" s="14"/>
      <c r="Q62" s="14"/>
      <c r="R62" s="14"/>
      <c r="S62" s="14"/>
      <c r="T62" s="14"/>
      <c r="U62" s="14"/>
      <c r="V62" s="318"/>
    </row>
    <row r="63" spans="2:26" ht="13.5" thickBot="1">
      <c r="B63" s="15">
        <v>30</v>
      </c>
      <c r="C63" s="259" t="s">
        <v>28</v>
      </c>
      <c r="D63" s="62">
        <f>SUM(D64:D70)</f>
        <v>0</v>
      </c>
      <c r="E63" s="62">
        <f>SUM(E64:E70)</f>
        <v>0</v>
      </c>
      <c r="F63" s="62">
        <f>SUM(F64:F70)</f>
        <v>1861544</v>
      </c>
      <c r="G63" s="69">
        <f>SUM(G64:G70)</f>
        <v>2439774</v>
      </c>
      <c r="H63" s="252" t="s">
        <v>14</v>
      </c>
      <c r="I63" s="68" t="e">
        <f>+D93/D63</f>
        <v>#DIV/0!</v>
      </c>
      <c r="J63" s="68" t="e">
        <f>+E93/E63</f>
        <v>#DIV/0!</v>
      </c>
      <c r="K63" s="68">
        <f>+F93/F63</f>
        <v>0.28508377991602668</v>
      </c>
      <c r="L63" s="68">
        <f>+G93/G63</f>
        <v>0.23432170356762552</v>
      </c>
      <c r="N63" s="259" t="s">
        <v>28</v>
      </c>
      <c r="O63" s="260"/>
      <c r="P63" s="263">
        <f t="shared" ref="P63:U63" si="25">SUM(P64:P70)</f>
        <v>0</v>
      </c>
      <c r="Q63" s="263">
        <f t="shared" si="25"/>
        <v>0</v>
      </c>
      <c r="R63" s="263">
        <f t="shared" si="25"/>
        <v>0</v>
      </c>
      <c r="S63" s="263">
        <f t="shared" si="25"/>
        <v>1861544</v>
      </c>
      <c r="T63" s="263">
        <f t="shared" si="25"/>
        <v>0</v>
      </c>
      <c r="U63" s="263">
        <f t="shared" si="25"/>
        <v>578230</v>
      </c>
      <c r="V63" s="318"/>
    </row>
    <row r="64" spans="2:26" ht="13.5" thickTop="1">
      <c r="B64" s="17">
        <v>31</v>
      </c>
      <c r="C64" s="36" t="s">
        <v>29</v>
      </c>
      <c r="D64" s="66"/>
      <c r="E64" s="66"/>
      <c r="F64" s="66">
        <v>300000</v>
      </c>
      <c r="G64" s="66">
        <v>300000</v>
      </c>
      <c r="H64" s="270"/>
      <c r="N64" s="36" t="s">
        <v>29</v>
      </c>
      <c r="O64" s="253" t="str">
        <f t="shared" ref="O64:O70" si="26">IF(E64-D64&gt;0,"F","U")</f>
        <v>U</v>
      </c>
      <c r="P64" s="254">
        <f t="shared" ref="P64:P70" si="27">IF(E64-D64&gt;0,0,ABS(E64-D64))</f>
        <v>0</v>
      </c>
      <c r="Q64" s="255">
        <f t="shared" ref="Q64:Q70" si="28">IF(E64-D64&lt;0,0,ABS(E64-D64))</f>
        <v>0</v>
      </c>
      <c r="R64" s="254">
        <f t="shared" ref="R64:R70" si="29">IF(F64-E64&gt;0,0,ABS(F64-E64))</f>
        <v>0</v>
      </c>
      <c r="S64" s="255">
        <f t="shared" ref="S64:S70" si="30">IF(F64-E64&lt;0,0,ABS(F64-E64))</f>
        <v>300000</v>
      </c>
      <c r="T64" s="254">
        <f t="shared" ref="T64:T70" si="31">IF(G64-F64&gt;0,0,ABS(G64-F64))</f>
        <v>0</v>
      </c>
      <c r="U64" s="256">
        <f t="shared" ref="U64:U70" si="32">IF(G64-F64&lt;0,0,ABS(G64-F64))</f>
        <v>0</v>
      </c>
      <c r="V64" s="318"/>
    </row>
    <row r="65" spans="2:26">
      <c r="B65" s="17">
        <v>32</v>
      </c>
      <c r="C65" s="37" t="s">
        <v>30</v>
      </c>
      <c r="D65" s="66"/>
      <c r="E65" s="66"/>
      <c r="F65" s="66"/>
      <c r="G65" s="66"/>
      <c r="H65" s="252"/>
      <c r="I65" s="90"/>
      <c r="J65" s="90"/>
      <c r="K65" s="90"/>
      <c r="L65" s="90"/>
      <c r="N65" s="37" t="s">
        <v>30</v>
      </c>
      <c r="O65" s="253" t="str">
        <f t="shared" si="26"/>
        <v>U</v>
      </c>
      <c r="P65" s="254">
        <f t="shared" si="27"/>
        <v>0</v>
      </c>
      <c r="Q65" s="255">
        <f t="shared" si="28"/>
        <v>0</v>
      </c>
      <c r="R65" s="254">
        <f t="shared" si="29"/>
        <v>0</v>
      </c>
      <c r="S65" s="255">
        <f t="shared" si="30"/>
        <v>0</v>
      </c>
      <c r="T65" s="254">
        <f t="shared" si="31"/>
        <v>0</v>
      </c>
      <c r="U65" s="256">
        <f t="shared" si="32"/>
        <v>0</v>
      </c>
      <c r="V65" s="318"/>
    </row>
    <row r="66" spans="2:26">
      <c r="B66" s="17">
        <v>33</v>
      </c>
      <c r="C66" s="37" t="s">
        <v>66</v>
      </c>
      <c r="D66" s="66"/>
      <c r="E66" s="66"/>
      <c r="F66" s="66">
        <v>143461</v>
      </c>
      <c r="G66" s="66">
        <v>150000</v>
      </c>
      <c r="H66" s="252"/>
      <c r="I66" s="90"/>
      <c r="J66" s="90"/>
      <c r="K66" s="90"/>
      <c r="L66" s="90"/>
      <c r="N66" s="37" t="s">
        <v>66</v>
      </c>
      <c r="O66" s="253" t="str">
        <f t="shared" si="26"/>
        <v>U</v>
      </c>
      <c r="P66" s="254">
        <f t="shared" si="27"/>
        <v>0</v>
      </c>
      <c r="Q66" s="255">
        <f t="shared" si="28"/>
        <v>0</v>
      </c>
      <c r="R66" s="254">
        <f t="shared" si="29"/>
        <v>0</v>
      </c>
      <c r="S66" s="255">
        <f t="shared" si="30"/>
        <v>143461</v>
      </c>
      <c r="T66" s="254">
        <f t="shared" si="31"/>
        <v>0</v>
      </c>
      <c r="U66" s="256">
        <f t="shared" si="32"/>
        <v>6539</v>
      </c>
      <c r="V66" s="317"/>
    </row>
    <row r="67" spans="2:26">
      <c r="B67" s="17">
        <v>34</v>
      </c>
      <c r="C67" s="37" t="s">
        <v>31</v>
      </c>
      <c r="D67" s="66"/>
      <c r="E67" s="66"/>
      <c r="F67" s="66"/>
      <c r="G67" s="66"/>
      <c r="H67" s="252"/>
      <c r="I67" s="84"/>
      <c r="J67" s="68"/>
      <c r="K67" s="68"/>
      <c r="L67" s="68"/>
      <c r="N67" s="37" t="s">
        <v>31</v>
      </c>
      <c r="O67" s="253" t="str">
        <f t="shared" si="26"/>
        <v>U</v>
      </c>
      <c r="P67" s="254">
        <f t="shared" si="27"/>
        <v>0</v>
      </c>
      <c r="Q67" s="255">
        <f t="shared" si="28"/>
        <v>0</v>
      </c>
      <c r="R67" s="254">
        <f t="shared" si="29"/>
        <v>0</v>
      </c>
      <c r="S67" s="255">
        <f t="shared" si="30"/>
        <v>0</v>
      </c>
      <c r="T67" s="254">
        <f t="shared" si="31"/>
        <v>0</v>
      </c>
      <c r="U67" s="256">
        <f t="shared" si="32"/>
        <v>0</v>
      </c>
      <c r="V67" s="392"/>
    </row>
    <row r="68" spans="2:26">
      <c r="B68" s="17">
        <v>35</v>
      </c>
      <c r="C68" s="37" t="s">
        <v>32</v>
      </c>
      <c r="D68" s="66"/>
      <c r="E68" s="66"/>
      <c r="F68" s="66"/>
      <c r="G68" s="66"/>
      <c r="H68" s="252"/>
      <c r="I68" s="19"/>
      <c r="J68" s="19"/>
      <c r="K68" s="68"/>
      <c r="L68" s="68"/>
      <c r="N68" s="37" t="s">
        <v>32</v>
      </c>
      <c r="O68" s="253" t="str">
        <f t="shared" si="26"/>
        <v>U</v>
      </c>
      <c r="P68" s="254">
        <f t="shared" si="27"/>
        <v>0</v>
      </c>
      <c r="Q68" s="255">
        <f t="shared" si="28"/>
        <v>0</v>
      </c>
      <c r="R68" s="254">
        <f t="shared" si="29"/>
        <v>0</v>
      </c>
      <c r="S68" s="255">
        <f t="shared" si="30"/>
        <v>0</v>
      </c>
      <c r="T68" s="254">
        <f t="shared" si="31"/>
        <v>0</v>
      </c>
      <c r="U68" s="256">
        <f t="shared" si="32"/>
        <v>0</v>
      </c>
      <c r="V68" s="392"/>
    </row>
    <row r="69" spans="2:26">
      <c r="B69" s="17">
        <v>36</v>
      </c>
      <c r="C69" s="37" t="s">
        <v>33</v>
      </c>
      <c r="D69" s="66"/>
      <c r="E69" s="66"/>
      <c r="F69" s="66">
        <v>530696</v>
      </c>
      <c r="G69" s="66">
        <v>571692</v>
      </c>
      <c r="H69" s="252"/>
      <c r="I69" s="19"/>
      <c r="J69" s="68"/>
      <c r="K69" s="68"/>
      <c r="L69" s="68"/>
      <c r="N69" s="37" t="s">
        <v>33</v>
      </c>
      <c r="O69" s="253" t="str">
        <f t="shared" si="26"/>
        <v>U</v>
      </c>
      <c r="P69" s="254">
        <f t="shared" si="27"/>
        <v>0</v>
      </c>
      <c r="Q69" s="255">
        <f t="shared" si="28"/>
        <v>0</v>
      </c>
      <c r="R69" s="254">
        <f t="shared" si="29"/>
        <v>0</v>
      </c>
      <c r="S69" s="255">
        <f t="shared" si="30"/>
        <v>530696</v>
      </c>
      <c r="T69" s="254">
        <f t="shared" si="31"/>
        <v>0</v>
      </c>
      <c r="U69" s="256">
        <f t="shared" si="32"/>
        <v>40996</v>
      </c>
      <c r="V69" s="14"/>
    </row>
    <row r="70" spans="2:26">
      <c r="B70" s="17">
        <v>37</v>
      </c>
      <c r="C70" s="38" t="s">
        <v>34</v>
      </c>
      <c r="D70" s="66"/>
      <c r="E70" s="66"/>
      <c r="F70" s="66">
        <v>887387</v>
      </c>
      <c r="G70" s="66">
        <v>1418082</v>
      </c>
      <c r="N70" s="38" t="s">
        <v>34</v>
      </c>
      <c r="O70" s="253" t="str">
        <f t="shared" si="26"/>
        <v>U</v>
      </c>
      <c r="P70" s="254">
        <f t="shared" si="27"/>
        <v>0</v>
      </c>
      <c r="Q70" s="255">
        <f t="shared" si="28"/>
        <v>0</v>
      </c>
      <c r="R70" s="254">
        <f t="shared" si="29"/>
        <v>0</v>
      </c>
      <c r="S70" s="255">
        <f t="shared" si="30"/>
        <v>887387</v>
      </c>
      <c r="T70" s="254">
        <f t="shared" si="31"/>
        <v>0</v>
      </c>
      <c r="U70" s="256">
        <f t="shared" si="32"/>
        <v>530695</v>
      </c>
      <c r="V70" s="14"/>
    </row>
    <row r="71" spans="2:26" ht="13.5" thickBot="1">
      <c r="B71" s="17"/>
      <c r="C71" s="243" t="s">
        <v>36</v>
      </c>
      <c r="D71" s="57">
        <f>+D63+D41</f>
        <v>0</v>
      </c>
      <c r="E71" s="57">
        <f>+E63+E41</f>
        <v>0</v>
      </c>
      <c r="F71" s="57">
        <f>+F63+F41</f>
        <v>5979165</v>
      </c>
      <c r="G71" s="70">
        <f>+G63+G41</f>
        <v>8459913</v>
      </c>
      <c r="H71" s="244" t="s">
        <v>75</v>
      </c>
      <c r="I71" s="19"/>
      <c r="J71" s="19"/>
      <c r="K71" s="19"/>
      <c r="L71" s="19"/>
      <c r="N71" s="271" t="s">
        <v>109</v>
      </c>
      <c r="O71" s="272"/>
      <c r="P71" s="114">
        <f t="shared" ref="P71:U71" si="33">+SUM(P25:P29)-P27+SUM(P31:P37)+SUM(P42:P50)+SUM(P52:P60)+SUM(P64:P70)</f>
        <v>0</v>
      </c>
      <c r="Q71" s="114">
        <f t="shared" si="33"/>
        <v>0</v>
      </c>
      <c r="R71" s="114">
        <f t="shared" si="33"/>
        <v>5659491</v>
      </c>
      <c r="S71" s="114">
        <f t="shared" si="33"/>
        <v>5979165</v>
      </c>
      <c r="T71" s="114">
        <f t="shared" si="33"/>
        <v>5306338</v>
      </c>
      <c r="U71" s="114">
        <f t="shared" si="33"/>
        <v>5025125</v>
      </c>
      <c r="V71" s="14"/>
    </row>
    <row r="72" spans="2:26" ht="13.5" thickTop="1">
      <c r="B72" s="22">
        <v>38</v>
      </c>
      <c r="C72" s="264" t="s">
        <v>35</v>
      </c>
      <c r="D72" s="273">
        <f>+D39</f>
        <v>0</v>
      </c>
      <c r="E72" s="79">
        <f>+E39</f>
        <v>0</v>
      </c>
      <c r="F72" s="273">
        <f>+F39</f>
        <v>0</v>
      </c>
      <c r="G72" s="79">
        <f>+G39</f>
        <v>0</v>
      </c>
      <c r="H72" s="252" t="s">
        <v>120</v>
      </c>
      <c r="I72" s="19"/>
      <c r="J72" s="73" t="e">
        <f>+((E75-D75)/D75)/((E28-D28)/D28)</f>
        <v>#DIV/0!</v>
      </c>
      <c r="K72" s="74" t="e">
        <f>+((F75-E75)/E75)/((F28-E28)/E28)</f>
        <v>#DIV/0!</v>
      </c>
      <c r="L72" s="74">
        <f>+((G75-F75)/F75)/((G28-F28)/F28)</f>
        <v>0.20972853169018144</v>
      </c>
      <c r="N72" s="271" t="s">
        <v>108</v>
      </c>
      <c r="O72" s="272"/>
      <c r="P72" s="114" t="str">
        <f>IF($Q$71-$P$71&lt;0,ABS($Q$71-$P$71),"")</f>
        <v/>
      </c>
      <c r="Q72" s="114">
        <f>IF($Q$71-$P$71&gt;0,ABS($Q$71-$P$71),0)</f>
        <v>0</v>
      </c>
      <c r="R72" s="114">
        <f>IF($S$71-$R$71&lt;0,ABS($S$71-$R$71),0)</f>
        <v>0</v>
      </c>
      <c r="S72" s="114">
        <f>IF($S$71-$R$71&gt;0,ABS($S$71-$R$71),0)</f>
        <v>319674</v>
      </c>
      <c r="T72" s="114">
        <f>IF($U$71-$T$71&lt;0,ABS($U$71-$T$71),0)</f>
        <v>281213</v>
      </c>
      <c r="U72" s="114">
        <f>IF($U$71-$T$71&gt;0,ABS($U$71-$T$71),0)</f>
        <v>0</v>
      </c>
      <c r="V72" s="14"/>
    </row>
    <row r="73" spans="2:26" s="77" customFormat="1" ht="22.5">
      <c r="B73" s="75"/>
      <c r="C73" s="274" t="s">
        <v>69</v>
      </c>
      <c r="D73" s="78" t="str">
        <f>+IF(D71=D23,"OK","ERROR")</f>
        <v>OK</v>
      </c>
      <c r="E73" s="78" t="str">
        <f>+IF(E71=E23,"OK","ERROR")</f>
        <v>OK</v>
      </c>
      <c r="F73" s="78" t="str">
        <f>+IF(F71=F23,"OK","ERROR")</f>
        <v>OK</v>
      </c>
      <c r="G73" s="78" t="str">
        <f>+IF(G71=G23,"OK","ERROR")</f>
        <v>OK</v>
      </c>
      <c r="H73" s="252" t="s">
        <v>121</v>
      </c>
      <c r="I73" s="19"/>
      <c r="J73" s="73" t="e">
        <f>+((E27-D27)/D27)/((E28-D28)/D28)</f>
        <v>#DIV/0!</v>
      </c>
      <c r="K73" s="74" t="e">
        <f>+((F27-E27)/E27)/((F28-E28)/E28)</f>
        <v>#DIV/0!</v>
      </c>
      <c r="L73" s="74">
        <f>+((G27-F27)/F27)/((G28-F28)/F28)</f>
        <v>0.71708928544417216</v>
      </c>
      <c r="N73" s="271" t="s">
        <v>104</v>
      </c>
      <c r="O73" s="272"/>
      <c r="P73" s="114" t="str">
        <f>IF($E$24-$D$24&lt;0,ABS($E$24-$D$24),"")</f>
        <v/>
      </c>
      <c r="Q73" s="114">
        <f>IF($E$24-$D$24&gt;0,ABS($E$24-$D$24),0)</f>
        <v>0</v>
      </c>
      <c r="R73" s="114">
        <f>IF($F$24-$E$24&lt;0,ABS($F$24-$E$24),0)</f>
        <v>0</v>
      </c>
      <c r="S73" s="114">
        <f>IF($F$24-$E$24&gt;0,ABS($F$24-$E$24),0)</f>
        <v>319674</v>
      </c>
      <c r="T73" s="114">
        <f>IF($G$24-$F$24&lt;0,ABS($G$24-$F$24),0)</f>
        <v>281213</v>
      </c>
      <c r="U73" s="114">
        <f>IF($G$24-$F$24&gt;0,ABS($G$24-$F$24),0)</f>
        <v>0</v>
      </c>
      <c r="V73" s="315"/>
      <c r="W73" s="142"/>
      <c r="X73" s="142"/>
      <c r="Y73" s="142"/>
      <c r="Z73" s="142"/>
    </row>
    <row r="74" spans="2:26">
      <c r="B74" s="23"/>
      <c r="C74" s="41"/>
      <c r="D74" s="100">
        <f>+D71-D23</f>
        <v>0</v>
      </c>
      <c r="E74" s="100">
        <f>+E71-E23</f>
        <v>0</v>
      </c>
      <c r="F74" s="100">
        <f>+F71-F23</f>
        <v>0</v>
      </c>
      <c r="G74" s="100">
        <f>+G71-G23</f>
        <v>0</v>
      </c>
      <c r="H74" s="252" t="s">
        <v>76</v>
      </c>
      <c r="I74" s="68" t="e">
        <f>+I75*I76*I77</f>
        <v>#DIV/0!</v>
      </c>
      <c r="J74" s="68" t="e">
        <f>+J75*J76*J77</f>
        <v>#DIV/0!</v>
      </c>
      <c r="K74" s="68">
        <f>+K75*K76*K77</f>
        <v>0.28508377991602668</v>
      </c>
      <c r="L74" s="68">
        <f>+L75*L76*L77</f>
        <v>0.23432170356762552</v>
      </c>
      <c r="N74" s="14"/>
      <c r="O74" s="14"/>
      <c r="P74" s="110"/>
      <c r="Q74" s="104"/>
      <c r="R74" s="103"/>
      <c r="S74" s="104"/>
      <c r="T74" s="103"/>
      <c r="U74" s="104"/>
      <c r="W74" s="83"/>
      <c r="X74" s="83"/>
      <c r="Y74" s="83"/>
      <c r="Z74" s="83"/>
    </row>
    <row r="75" spans="2:26" ht="13.5" thickBot="1">
      <c r="B75" s="15">
        <v>41</v>
      </c>
      <c r="C75" s="24" t="s">
        <v>37</v>
      </c>
      <c r="D75" s="44"/>
      <c r="E75" s="44"/>
      <c r="F75" s="281">
        <v>13432829</v>
      </c>
      <c r="G75" s="282">
        <v>15035930</v>
      </c>
      <c r="H75" s="252" t="s">
        <v>77</v>
      </c>
      <c r="I75" s="68" t="e">
        <f>+D93/D75</f>
        <v>#DIV/0!</v>
      </c>
      <c r="J75" s="68" t="e">
        <f>+E93/E75</f>
        <v>#DIV/0!</v>
      </c>
      <c r="K75" s="68">
        <f>+F93/F75</f>
        <v>3.9507388949863054E-2</v>
      </c>
      <c r="L75" s="68">
        <f>+G93/G75</f>
        <v>3.8021725294012411E-2</v>
      </c>
      <c r="N75" s="275" t="s">
        <v>107</v>
      </c>
      <c r="O75" s="275"/>
      <c r="P75" s="111" t="e">
        <f t="shared" ref="P75:U75" si="34">+P72-P73</f>
        <v>#VALUE!</v>
      </c>
      <c r="Q75" s="112">
        <f t="shared" si="34"/>
        <v>0</v>
      </c>
      <c r="R75" s="113">
        <f t="shared" si="34"/>
        <v>0</v>
      </c>
      <c r="S75" s="112">
        <f t="shared" si="34"/>
        <v>0</v>
      </c>
      <c r="T75" s="113">
        <f t="shared" si="34"/>
        <v>0</v>
      </c>
      <c r="U75" s="112">
        <f t="shared" si="34"/>
        <v>0</v>
      </c>
    </row>
    <row r="76" spans="2:26" ht="13.5" thickTop="1">
      <c r="B76" s="17"/>
      <c r="C76" s="25" t="s">
        <v>80</v>
      </c>
      <c r="D76" s="54"/>
      <c r="E76" s="54"/>
      <c r="F76" s="54"/>
      <c r="G76" s="54"/>
      <c r="H76" s="252" t="s">
        <v>78</v>
      </c>
      <c r="I76" s="313" t="e">
        <f>+D75/D23</f>
        <v>#DIV/0!</v>
      </c>
      <c r="J76" s="313" t="e">
        <f>+E75/E23</f>
        <v>#DIV/0!</v>
      </c>
      <c r="K76" s="313">
        <f>+F75/F23</f>
        <v>2.2466061732700133</v>
      </c>
      <c r="L76" s="313">
        <f>+G75/G23</f>
        <v>1.777314967659833</v>
      </c>
      <c r="N76" s="72"/>
      <c r="O76" s="14"/>
    </row>
    <row r="77" spans="2:26">
      <c r="B77" s="17">
        <v>61</v>
      </c>
      <c r="C77" s="25" t="s">
        <v>38</v>
      </c>
      <c r="D77" s="54"/>
      <c r="E77" s="54"/>
      <c r="F77" s="54">
        <v>11273367</v>
      </c>
      <c r="G77" s="54">
        <v>13095874</v>
      </c>
      <c r="H77" s="252" t="s">
        <v>79</v>
      </c>
      <c r="I77" s="313" t="e">
        <f>+D23/D63</f>
        <v>#DIV/0!</v>
      </c>
      <c r="J77" s="313" t="e">
        <f>+E23/E63</f>
        <v>#DIV/0!</v>
      </c>
      <c r="K77" s="313">
        <f>+F23/F63</f>
        <v>3.2119385843149559</v>
      </c>
      <c r="L77" s="313">
        <f>+G23/G63</f>
        <v>3.4674986289713718</v>
      </c>
      <c r="N77" s="276" t="s">
        <v>110</v>
      </c>
      <c r="O77" s="128"/>
      <c r="P77" s="129">
        <f t="shared" ref="P77:U77" si="35">+P30+P51</f>
        <v>0</v>
      </c>
      <c r="Q77" s="130">
        <f t="shared" si="35"/>
        <v>0</v>
      </c>
      <c r="R77" s="120">
        <f t="shared" si="35"/>
        <v>3047882</v>
      </c>
      <c r="S77" s="121">
        <f t="shared" si="35"/>
        <v>4117621</v>
      </c>
      <c r="T77" s="120">
        <f t="shared" si="35"/>
        <v>4593537</v>
      </c>
      <c r="U77" s="121">
        <f t="shared" si="35"/>
        <v>1988285</v>
      </c>
    </row>
    <row r="78" spans="2:26" ht="13.5" thickBot="1">
      <c r="B78" s="17"/>
      <c r="C78" s="45" t="s">
        <v>39</v>
      </c>
      <c r="D78" s="46">
        <f>+D75-D77</f>
        <v>0</v>
      </c>
      <c r="E78" s="46">
        <f>+E75-E77</f>
        <v>0</v>
      </c>
      <c r="F78" s="46">
        <f>+F75-F77</f>
        <v>2159462</v>
      </c>
      <c r="G78" s="71">
        <f>+G75-G77</f>
        <v>1940056</v>
      </c>
      <c r="H78" s="14"/>
      <c r="I78" s="96"/>
      <c r="J78" s="277"/>
      <c r="K78" s="14"/>
      <c r="L78" s="14"/>
      <c r="N78" s="131" t="str">
        <f>+IF(P78&gt;0,"Usos","Fuentes")</f>
        <v>Fuentes</v>
      </c>
      <c r="O78" s="132"/>
      <c r="P78" s="133">
        <f>IF(P77-Q77&lt;0,0,P77-Q77)</f>
        <v>0</v>
      </c>
      <c r="Q78" s="134">
        <f>IF(Q77-P77&lt;0,0,Q77-P77)</f>
        <v>0</v>
      </c>
      <c r="R78" s="122">
        <f>IF(R77-S77&lt;0,0,R77-S77)</f>
        <v>0</v>
      </c>
      <c r="S78" s="123">
        <f>IF(S77-R77&lt;0,0,S77-R77)</f>
        <v>1069739</v>
      </c>
      <c r="T78" s="122">
        <f>IF(T77-U77&lt;0,0,T77-U77)</f>
        <v>2605252</v>
      </c>
      <c r="U78" s="123">
        <f>IF(U77-T77&lt;0,0,U77-T77)</f>
        <v>0</v>
      </c>
    </row>
    <row r="79" spans="2:26" ht="17.25" thickTop="1" thickBot="1">
      <c r="B79" s="17">
        <v>51</v>
      </c>
      <c r="C79" s="26" t="s">
        <v>40</v>
      </c>
      <c r="D79" s="55"/>
      <c r="E79" s="55"/>
      <c r="F79" s="55">
        <v>1157121</v>
      </c>
      <c r="G79" s="55">
        <v>919927</v>
      </c>
      <c r="H79" s="278" t="s">
        <v>150</v>
      </c>
      <c r="I79" s="278">
        <v>2007</v>
      </c>
      <c r="J79" s="278">
        <v>2008</v>
      </c>
      <c r="K79" s="278">
        <v>2009</v>
      </c>
      <c r="L79" s="278">
        <v>2010</v>
      </c>
      <c r="N79" s="276" t="s">
        <v>111</v>
      </c>
      <c r="O79" s="128"/>
      <c r="P79" s="135">
        <f t="shared" ref="P79:U79" si="36">+P63+P61+P38</f>
        <v>0</v>
      </c>
      <c r="Q79" s="136">
        <f t="shared" si="36"/>
        <v>0</v>
      </c>
      <c r="R79" s="124">
        <f t="shared" si="36"/>
        <v>3007508</v>
      </c>
      <c r="S79" s="125">
        <f t="shared" si="36"/>
        <v>1861544</v>
      </c>
      <c r="T79" s="124">
        <f t="shared" si="36"/>
        <v>874346</v>
      </c>
      <c r="U79" s="125">
        <f t="shared" si="36"/>
        <v>3036840</v>
      </c>
    </row>
    <row r="80" spans="2:26" ht="13.5" thickTop="1">
      <c r="B80" s="17">
        <v>5105</v>
      </c>
      <c r="C80" s="25" t="s">
        <v>70</v>
      </c>
      <c r="D80" s="54"/>
      <c r="E80" s="55"/>
      <c r="F80" s="55"/>
      <c r="G80" s="284"/>
      <c r="H80" t="s">
        <v>122</v>
      </c>
      <c r="I80" s="147">
        <f>+D87</f>
        <v>0</v>
      </c>
      <c r="J80" s="147">
        <f>+E87</f>
        <v>0</v>
      </c>
      <c r="K80" s="147">
        <f>+F87</f>
        <v>883386</v>
      </c>
      <c r="L80" s="147">
        <f>+G87</f>
        <v>984998</v>
      </c>
      <c r="N80" s="137" t="str">
        <f>+IF(P80&gt;0,"Usos","Fuentes")</f>
        <v>Fuentes</v>
      </c>
      <c r="O80" s="138"/>
      <c r="P80" s="139">
        <f>IF(P79-Q79&lt;0,0,P79-Q79)</f>
        <v>0</v>
      </c>
      <c r="Q80" s="140">
        <f>IF(Q79-P79&lt;0,0,Q79-P79)</f>
        <v>0</v>
      </c>
      <c r="R80" s="126">
        <f>IF(R79-S79&lt;0,0,R79-S79)</f>
        <v>1145964</v>
      </c>
      <c r="S80" s="127">
        <f>IF(S79-R79&lt;0,0,S79-R79)</f>
        <v>0</v>
      </c>
      <c r="T80" s="126">
        <f>IF(T79-U79&lt;0,0,T79-U79)</f>
        <v>0</v>
      </c>
      <c r="U80" s="127">
        <f>IF(U79-T79&lt;0,0,U79-T79)</f>
        <v>2162494</v>
      </c>
    </row>
    <row r="81" spans="2:23">
      <c r="B81" s="17">
        <v>5160</v>
      </c>
      <c r="C81" s="25" t="s">
        <v>71</v>
      </c>
      <c r="D81" s="54"/>
      <c r="E81" s="55"/>
      <c r="F81" s="55"/>
      <c r="G81" s="55"/>
      <c r="H81" t="s">
        <v>123</v>
      </c>
      <c r="I81" s="96">
        <f t="shared" ref="I81:L82" si="37">+D81+D85</f>
        <v>0</v>
      </c>
      <c r="J81" s="96">
        <f t="shared" si="37"/>
        <v>0</v>
      </c>
      <c r="K81" s="96">
        <f t="shared" si="37"/>
        <v>0</v>
      </c>
      <c r="L81" s="96">
        <f t="shared" si="37"/>
        <v>0</v>
      </c>
    </row>
    <row r="82" spans="2:23">
      <c r="B82" s="17">
        <v>5165</v>
      </c>
      <c r="C82" s="25" t="s">
        <v>72</v>
      </c>
      <c r="D82" s="54"/>
      <c r="E82" s="55"/>
      <c r="F82" s="55"/>
      <c r="G82" s="55"/>
      <c r="H82" t="s">
        <v>124</v>
      </c>
      <c r="I82" s="96">
        <f t="shared" si="37"/>
        <v>0</v>
      </c>
      <c r="J82" s="96">
        <f t="shared" si="37"/>
        <v>0</v>
      </c>
      <c r="K82" s="96">
        <f t="shared" si="37"/>
        <v>0</v>
      </c>
      <c r="L82" s="96">
        <f t="shared" si="37"/>
        <v>0</v>
      </c>
      <c r="N82" s="118" t="s">
        <v>109</v>
      </c>
      <c r="O82" s="119"/>
      <c r="P82" s="126">
        <f>+P77+P79</f>
        <v>0</v>
      </c>
      <c r="Q82" s="127">
        <f>+SUM(Q36:Q40)-Q38+SUM(Q42:Q48)+SUM(Q53:Q61)+SUM(Q63:Q71)+SUM(Q75:Q81)</f>
        <v>0</v>
      </c>
      <c r="R82" s="126">
        <f>+SUM(R36:R40)-R38+SUM(R42:R48)+SUM(R53:R61)+SUM(R63:R71)+SUM(R75:R81)</f>
        <v>12860845</v>
      </c>
      <c r="S82" s="127">
        <f>+SUM(S36:S40)-S38+SUM(S42:S48)+SUM(S53:S61)+SUM(S63:S71)+SUM(S75:S81)</f>
        <v>19910303</v>
      </c>
      <c r="T82" s="126">
        <f>+SUM(T36:T40)-T38+SUM(T42:T48)+SUM(T53:T61)+SUM(T63:T71)+SUM(T75:T81)</f>
        <v>15923850</v>
      </c>
      <c r="U82" s="127">
        <f>+SUM(U36:U40)-U38+SUM(U42:U48)+SUM(U53:U61)+SUM(U63:U71)+SUM(U75:U81)</f>
        <v>18286424</v>
      </c>
    </row>
    <row r="83" spans="2:23" ht="15">
      <c r="B83" s="17">
        <v>52</v>
      </c>
      <c r="C83" s="27" t="s">
        <v>41</v>
      </c>
      <c r="D83" s="56"/>
      <c r="E83" s="55"/>
      <c r="F83" s="55">
        <v>118955</v>
      </c>
      <c r="G83" s="55">
        <v>35131</v>
      </c>
      <c r="H83" s="146" t="s">
        <v>18</v>
      </c>
      <c r="I83" s="96">
        <f>+I80+I81+I82</f>
        <v>0</v>
      </c>
      <c r="J83" s="96">
        <f>+J80+J81+J82</f>
        <v>0</v>
      </c>
      <c r="K83" s="96">
        <f>+K80+K81+K82</f>
        <v>883386</v>
      </c>
      <c r="L83" s="96">
        <f>+L80+L81+L82</f>
        <v>984998</v>
      </c>
      <c r="P83" s="83"/>
    </row>
    <row r="84" spans="2:23">
      <c r="B84" s="17">
        <v>5205</v>
      </c>
      <c r="C84" s="25" t="s">
        <v>70</v>
      </c>
      <c r="D84" s="54"/>
      <c r="E84" s="55"/>
      <c r="F84" s="55"/>
      <c r="G84" s="55"/>
      <c r="H84" t="s">
        <v>125</v>
      </c>
      <c r="I84" s="96">
        <f>+D92</f>
        <v>0</v>
      </c>
      <c r="J84" s="96">
        <f>+E92</f>
        <v>0</v>
      </c>
      <c r="K84" s="96">
        <f>+F92</f>
        <v>349396</v>
      </c>
      <c r="L84" s="96">
        <f>+G92</f>
        <v>291340</v>
      </c>
    </row>
    <row r="85" spans="2:23" ht="15">
      <c r="B85" s="17">
        <v>5260</v>
      </c>
      <c r="C85" s="25" t="s">
        <v>71</v>
      </c>
      <c r="D85" s="54"/>
      <c r="E85" s="55"/>
      <c r="F85" s="55"/>
      <c r="G85" s="55"/>
      <c r="H85" s="146" t="s">
        <v>126</v>
      </c>
      <c r="I85" s="96">
        <f>+I83-I84</f>
        <v>0</v>
      </c>
      <c r="J85" s="96">
        <f>+J83-J84</f>
        <v>0</v>
      </c>
      <c r="K85" s="96">
        <f>+K83-K84</f>
        <v>533990</v>
      </c>
      <c r="L85" s="96">
        <f>+L83-L84</f>
        <v>693658</v>
      </c>
    </row>
    <row r="86" spans="2:23">
      <c r="B86" s="17">
        <v>5265</v>
      </c>
      <c r="C86" s="25" t="s">
        <v>72</v>
      </c>
      <c r="D86" s="54"/>
      <c r="E86" s="55"/>
      <c r="F86" s="55"/>
      <c r="G86" s="55"/>
      <c r="H86" t="s">
        <v>127</v>
      </c>
      <c r="I86" s="14"/>
      <c r="J86" s="312">
        <f t="shared" ref="J86:L87" si="38">+X24-W24</f>
        <v>0</v>
      </c>
      <c r="K86" s="312">
        <f t="shared" si="38"/>
        <v>-657769</v>
      </c>
      <c r="L86" s="312">
        <f t="shared" si="38"/>
        <v>2098598</v>
      </c>
    </row>
    <row r="87" spans="2:23" ht="13.5" thickBot="1">
      <c r="B87" s="17"/>
      <c r="C87" s="45" t="s">
        <v>42</v>
      </c>
      <c r="D87" s="46">
        <f>+D78-D79-D83</f>
        <v>0</v>
      </c>
      <c r="E87" s="46">
        <f>+E78-E79-E83</f>
        <v>0</v>
      </c>
      <c r="F87" s="46">
        <f>+F78-F79-F83</f>
        <v>883386</v>
      </c>
      <c r="G87" s="46">
        <f>+G78-G79-G83</f>
        <v>984998</v>
      </c>
      <c r="H87" t="s">
        <v>128</v>
      </c>
      <c r="I87" s="14"/>
      <c r="J87" s="96">
        <f t="shared" si="38"/>
        <v>0</v>
      </c>
      <c r="K87" s="96">
        <f t="shared" si="38"/>
        <v>3007508</v>
      </c>
      <c r="L87" s="96">
        <f t="shared" si="38"/>
        <v>874346</v>
      </c>
    </row>
    <row r="88" spans="2:23" ht="18.75" thickTop="1">
      <c r="B88" s="17">
        <v>42</v>
      </c>
      <c r="C88" s="26" t="s">
        <v>43</v>
      </c>
      <c r="D88" s="55"/>
      <c r="E88" s="212"/>
      <c r="F88" s="212">
        <v>85433</v>
      </c>
      <c r="G88" s="212">
        <v>0</v>
      </c>
      <c r="H88" s="146" t="s">
        <v>129</v>
      </c>
      <c r="I88" s="31"/>
      <c r="J88" s="96">
        <f>+J85-J86-J87</f>
        <v>0</v>
      </c>
      <c r="K88" s="96">
        <f>+K85-K86-K87</f>
        <v>-1815749</v>
      </c>
      <c r="L88" s="96">
        <f>+L85-L86-L87</f>
        <v>-2279286</v>
      </c>
    </row>
    <row r="89" spans="2:23">
      <c r="B89" s="17"/>
      <c r="C89" s="25" t="s">
        <v>73</v>
      </c>
      <c r="D89" s="54"/>
      <c r="E89" s="212"/>
      <c r="F89" s="212"/>
      <c r="G89" s="212"/>
      <c r="H89" t="s">
        <v>130</v>
      </c>
      <c r="J89" s="96">
        <f>-E42-E52+D52+D42</f>
        <v>0</v>
      </c>
      <c r="K89" s="96">
        <f>-F42-F52+E52+E42</f>
        <v>-488195</v>
      </c>
      <c r="L89" s="96">
        <f>-G42-G52+F52+F42</f>
        <v>63896</v>
      </c>
    </row>
    <row r="90" spans="2:23">
      <c r="B90" s="17">
        <v>53</v>
      </c>
      <c r="C90" s="27" t="s">
        <v>44</v>
      </c>
      <c r="D90" s="56"/>
      <c r="E90" s="212"/>
      <c r="F90" s="212">
        <v>88727</v>
      </c>
      <c r="G90" s="212">
        <v>121966</v>
      </c>
      <c r="H90" t="s">
        <v>131</v>
      </c>
      <c r="J90" s="93">
        <f>+E89</f>
        <v>0</v>
      </c>
      <c r="K90" s="93">
        <f>+F89</f>
        <v>0</v>
      </c>
      <c r="L90" s="93">
        <f>+G89</f>
        <v>0</v>
      </c>
    </row>
    <row r="91" spans="2:23" ht="13.5" thickBot="1">
      <c r="B91" s="17"/>
      <c r="C91" s="45" t="s">
        <v>45</v>
      </c>
      <c r="D91" s="46">
        <f>+D87+D88-D90</f>
        <v>0</v>
      </c>
      <c r="E91" s="46">
        <f>+E87+E88-E90</f>
        <v>0</v>
      </c>
      <c r="F91" s="46">
        <f>+F87+F88-F90</f>
        <v>880092</v>
      </c>
      <c r="G91" s="46">
        <f>+G87+G88-G90</f>
        <v>863032</v>
      </c>
      <c r="H91" s="164" t="s">
        <v>153</v>
      </c>
      <c r="J91" s="311">
        <f>+J88-J89-J90</f>
        <v>0</v>
      </c>
      <c r="K91" s="311">
        <f>+K88-K89-K90</f>
        <v>-1327554</v>
      </c>
      <c r="L91" s="311">
        <f>+L88-L89-L90</f>
        <v>-2343182</v>
      </c>
    </row>
    <row r="92" spans="2:23" ht="13.5" thickTop="1">
      <c r="B92" s="17">
        <v>54</v>
      </c>
      <c r="C92" s="25" t="s">
        <v>46</v>
      </c>
      <c r="D92" s="54"/>
      <c r="E92" s="54"/>
      <c r="F92" s="54">
        <v>349396</v>
      </c>
      <c r="G92" s="54">
        <v>291340</v>
      </c>
      <c r="W92" s="270"/>
    </row>
    <row r="93" spans="2:23" ht="13.5" thickBot="1">
      <c r="B93" s="22">
        <v>59</v>
      </c>
      <c r="C93" s="45" t="s">
        <v>47</v>
      </c>
      <c r="D93" s="46">
        <f>+D91-D92</f>
        <v>0</v>
      </c>
      <c r="E93" s="46">
        <f>+E91-E92</f>
        <v>0</v>
      </c>
      <c r="F93" s="46">
        <f>+F91-F92</f>
        <v>530696</v>
      </c>
      <c r="G93" s="46">
        <f>+G91-G92</f>
        <v>571692</v>
      </c>
      <c r="H93" s="279"/>
      <c r="I93" s="280"/>
      <c r="J93" s="280"/>
      <c r="K93" s="280"/>
      <c r="L93" s="280"/>
    </row>
    <row r="94" spans="2:23" ht="13.5" thickTop="1">
      <c r="B94" s="43"/>
      <c r="C94" s="383" t="s">
        <v>25</v>
      </c>
      <c r="D94" s="384"/>
      <c r="E94" s="384"/>
      <c r="F94" s="384"/>
      <c r="G94" s="384"/>
    </row>
    <row r="95" spans="2:23">
      <c r="B95" s="43"/>
      <c r="C95" s="385"/>
      <c r="D95" s="386"/>
      <c r="E95" s="386"/>
      <c r="F95" s="386"/>
      <c r="G95" s="386"/>
      <c r="J95" s="304"/>
      <c r="K95" s="304"/>
      <c r="L95" s="304"/>
    </row>
    <row r="97" spans="3:26">
      <c r="C97" s="47" t="s">
        <v>74</v>
      </c>
      <c r="D97" s="49"/>
      <c r="E97" s="50"/>
      <c r="F97" s="50"/>
      <c r="G97" s="53"/>
    </row>
    <row r="98" spans="3:26">
      <c r="C98" s="48" t="s">
        <v>100</v>
      </c>
      <c r="D98" s="52"/>
      <c r="E98" s="67">
        <f>+E77-D28+E28</f>
        <v>0</v>
      </c>
      <c r="F98" s="67">
        <f>+F77-E28+F28</f>
        <v>13137053</v>
      </c>
      <c r="G98" s="53">
        <f>+G77-F28+G28</f>
        <v>14156369</v>
      </c>
      <c r="W98" s="83"/>
      <c r="X98" s="83"/>
      <c r="Y98" s="83"/>
      <c r="Z98" s="83"/>
    </row>
    <row r="99" spans="3:26">
      <c r="C99" s="48" t="s">
        <v>113</v>
      </c>
      <c r="D99" s="94"/>
      <c r="E99" s="95"/>
      <c r="F99" s="95"/>
      <c r="G99" s="53"/>
    </row>
    <row r="100" spans="3:26">
      <c r="C100" s="48" t="s">
        <v>152</v>
      </c>
      <c r="D100" s="52"/>
      <c r="E100" s="52"/>
      <c r="F100" s="52"/>
      <c r="G100" s="53"/>
      <c r="W100" s="83"/>
      <c r="X100" s="83"/>
      <c r="Y100" s="83"/>
      <c r="Z100" s="83"/>
    </row>
    <row r="101" spans="3:26">
      <c r="C101" s="48"/>
      <c r="D101" s="52"/>
      <c r="E101" s="52"/>
      <c r="F101" s="52"/>
      <c r="G101" s="53"/>
      <c r="W101" s="83"/>
      <c r="X101" s="83"/>
      <c r="Y101" s="83"/>
      <c r="Z101" s="83"/>
    </row>
    <row r="102" spans="3:26">
      <c r="C102" s="48"/>
      <c r="D102" s="52"/>
      <c r="E102" s="52"/>
      <c r="F102" s="52"/>
      <c r="G102" s="53"/>
      <c r="W102" s="83"/>
      <c r="X102" s="83"/>
      <c r="Y102" s="83"/>
      <c r="Z102" s="83"/>
    </row>
    <row r="103" spans="3:26">
      <c r="C103" s="48"/>
      <c r="D103" s="52"/>
      <c r="E103" s="52"/>
      <c r="F103" s="52"/>
      <c r="G103" s="53"/>
      <c r="W103" s="83"/>
      <c r="X103" s="83"/>
      <c r="Y103" s="83"/>
      <c r="Z103" s="83"/>
    </row>
    <row r="104" spans="3:26">
      <c r="W104" s="83"/>
      <c r="X104" s="83"/>
      <c r="Y104" s="83"/>
      <c r="Z104" s="83"/>
    </row>
    <row r="105" spans="3:26">
      <c r="D105" s="148"/>
      <c r="E105" s="148"/>
      <c r="F105" s="148"/>
      <c r="G105" s="148"/>
    </row>
    <row r="106" spans="3:26">
      <c r="E106" s="149"/>
      <c r="F106" s="149"/>
      <c r="G106" s="149"/>
    </row>
    <row r="107" spans="3:26">
      <c r="E107" s="93"/>
      <c r="F107" s="93"/>
      <c r="G107" s="93"/>
    </row>
    <row r="108" spans="3:26">
      <c r="E108" s="162"/>
      <c r="F108" s="162"/>
      <c r="G108" s="162"/>
    </row>
  </sheetData>
  <mergeCells count="20">
    <mergeCell ref="C94:G95"/>
    <mergeCell ref="J33:L33"/>
    <mergeCell ref="H34:H35"/>
    <mergeCell ref="J45:L45"/>
    <mergeCell ref="V49:V50"/>
    <mergeCell ref="V67:V68"/>
    <mergeCell ref="W49:W50"/>
    <mergeCell ref="J57:L57"/>
    <mergeCell ref="W19:Z19"/>
    <mergeCell ref="P20:Q20"/>
    <mergeCell ref="R20:S20"/>
    <mergeCell ref="T20:U20"/>
    <mergeCell ref="H21:L21"/>
    <mergeCell ref="J23:L23"/>
    <mergeCell ref="P19:U19"/>
    <mergeCell ref="D5:K5"/>
    <mergeCell ref="B13:N14"/>
    <mergeCell ref="B15:N16"/>
    <mergeCell ref="C19:G19"/>
    <mergeCell ref="H19:L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R108"/>
  <sheetViews>
    <sheetView topLeftCell="A85" workbookViewId="0">
      <selection activeCell="K74" sqref="K74:L74"/>
    </sheetView>
  </sheetViews>
  <sheetFormatPr baseColWidth="10" defaultColWidth="11.42578125" defaultRowHeight="12.75" outlineLevelCol="1"/>
  <cols>
    <col min="1" max="1" width="2.42578125" style="5" customWidth="1"/>
    <col min="2" max="2" width="4.42578125" style="6" bestFit="1" customWidth="1"/>
    <col min="3" max="3" width="34.7109375" style="5" customWidth="1"/>
    <col min="4" max="4" width="14.85546875" style="5" customWidth="1"/>
    <col min="5" max="5" width="16.42578125" style="5" customWidth="1"/>
    <col min="6" max="7" width="16.140625" style="5" bestFit="1" customWidth="1"/>
    <col min="8" max="8" width="32" style="5" customWidth="1" outlineLevel="1"/>
    <col min="9" max="9" width="13.42578125" style="5" customWidth="1" outlineLevel="1"/>
    <col min="10" max="10" width="14.42578125" style="5" customWidth="1" outlineLevel="1"/>
    <col min="11" max="11" width="17.5703125" style="5" customWidth="1" outlineLevel="1"/>
    <col min="12" max="12" width="15.42578125" style="5" customWidth="1" outlineLevel="1"/>
    <col min="13" max="13" width="1.7109375" style="5" customWidth="1"/>
    <col min="14" max="14" width="41.42578125" style="5" customWidth="1" outlineLevel="1"/>
    <col min="15" max="15" width="9.5703125" style="5" customWidth="1" outlineLevel="1"/>
    <col min="16" max="16" width="13.42578125" style="5" customWidth="1" outlineLevel="1"/>
    <col min="17" max="19" width="14.85546875" style="5" customWidth="1" outlineLevel="1"/>
    <col min="20" max="21" width="15" style="5" customWidth="1" outlineLevel="1"/>
    <col min="22" max="22" width="34.28515625" style="5" customWidth="1"/>
    <col min="23" max="23" width="14" style="5" customWidth="1"/>
    <col min="24" max="24" width="14.85546875" style="5" bestFit="1" customWidth="1"/>
    <col min="25" max="26" width="15.42578125" style="5" bestFit="1" customWidth="1"/>
    <col min="27" max="27" width="12.42578125" style="5" bestFit="1" customWidth="1"/>
    <col min="28" max="28" width="13" style="5" customWidth="1"/>
    <col min="29" max="16384" width="11.42578125" style="5"/>
  </cols>
  <sheetData>
    <row r="1" spans="1:148" s="30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</row>
    <row r="2" spans="1:148" s="30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</row>
    <row r="3" spans="1:148" s="30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</row>
    <row r="4" spans="1:148" s="30" customFormat="1" ht="18">
      <c r="A4" s="1"/>
      <c r="B4" s="1"/>
      <c r="C4" s="32"/>
      <c r="D4" s="32" t="s">
        <v>0</v>
      </c>
      <c r="E4" s="32"/>
      <c r="F4" s="32"/>
      <c r="G4" s="32"/>
      <c r="H4" s="32"/>
      <c r="I4" s="32"/>
      <c r="J4" s="32"/>
      <c r="K4" s="32"/>
      <c r="L4" s="3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</row>
    <row r="5" spans="1:148" s="30" customFormat="1" ht="18" customHeight="1">
      <c r="A5" s="1"/>
      <c r="B5" s="1"/>
      <c r="C5" s="31"/>
      <c r="D5" s="393" t="s">
        <v>50</v>
      </c>
      <c r="E5" s="393"/>
      <c r="F5" s="393"/>
      <c r="G5" s="393"/>
      <c r="H5" s="393"/>
      <c r="I5" s="393"/>
      <c r="J5" s="393"/>
      <c r="K5" s="393"/>
      <c r="L5" s="31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</row>
    <row r="6" spans="1:148" s="30" customFormat="1" ht="18" customHeight="1">
      <c r="A6" s="1"/>
      <c r="B6" s="4"/>
      <c r="C6" s="31"/>
      <c r="D6" s="33" t="s">
        <v>48</v>
      </c>
      <c r="E6" s="33"/>
      <c r="F6" s="33"/>
      <c r="G6" s="33"/>
      <c r="H6" s="33"/>
      <c r="I6" s="33"/>
      <c r="J6" s="33"/>
      <c r="K6" s="33"/>
      <c r="L6" s="31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</row>
    <row r="7" spans="1:148" s="30" customFormat="1" ht="15.75">
      <c r="A7" s="1"/>
      <c r="B7" s="4"/>
      <c r="C7" s="4" t="s">
        <v>1</v>
      </c>
      <c r="D7" s="1"/>
      <c r="E7" s="1"/>
      <c r="F7" s="2"/>
      <c r="G7" s="1"/>
      <c r="H7" s="1"/>
      <c r="I7" s="1"/>
      <c r="J7" s="1"/>
      <c r="K7" s="1"/>
      <c r="L7" s="367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</row>
    <row r="8" spans="1:148" s="30" customFormat="1">
      <c r="A8" s="1"/>
      <c r="C8" s="4"/>
      <c r="D8" s="1"/>
      <c r="E8" s="1"/>
      <c r="F8" s="1"/>
      <c r="G8" s="1"/>
      <c r="H8" s="1"/>
      <c r="I8" s="1"/>
      <c r="J8" s="1"/>
      <c r="K8" s="1"/>
      <c r="L8" s="1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</row>
    <row r="9" spans="1:148" s="30" customFormat="1">
      <c r="A9" s="1"/>
      <c r="B9" s="4"/>
      <c r="C9" s="4"/>
      <c r="D9" s="141"/>
      <c r="E9" s="141"/>
      <c r="F9" s="141"/>
      <c r="G9" s="141"/>
      <c r="H9" s="1"/>
      <c r="I9" s="1"/>
      <c r="J9" s="1"/>
      <c r="K9" s="1"/>
      <c r="L9" s="1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</row>
    <row r="10" spans="1:148" s="30" customFormat="1">
      <c r="A10" s="1"/>
      <c r="B10" s="1"/>
      <c r="C10" s="1"/>
      <c r="D10" s="85"/>
      <c r="E10" s="85"/>
      <c r="F10" s="85"/>
      <c r="G10" s="85"/>
      <c r="H10" s="1"/>
      <c r="I10" s="1"/>
      <c r="J10" s="1"/>
      <c r="K10" s="1"/>
      <c r="L10" s="1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</row>
    <row r="11" spans="1:148" s="30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</row>
    <row r="12" spans="1:148" s="30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</row>
    <row r="13" spans="1:148" s="30" customFormat="1" ht="12.75" customHeight="1">
      <c r="A13" s="28"/>
      <c r="B13" s="416" t="s">
        <v>49</v>
      </c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305"/>
      <c r="P13" s="368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</row>
    <row r="14" spans="1:148" s="30" customFormat="1" ht="12.75" customHeight="1">
      <c r="A14" s="28"/>
      <c r="B14" s="416"/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305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</row>
    <row r="15" spans="1:148" s="30" customFormat="1" ht="6.75" customHeight="1">
      <c r="A15" s="28"/>
      <c r="B15" s="417" t="s">
        <v>51</v>
      </c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17"/>
      <c r="N15" s="417"/>
      <c r="O15" s="306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</row>
    <row r="16" spans="1:148" s="30" customFormat="1" ht="12.75" customHeight="1">
      <c r="A16" s="29"/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306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</row>
    <row r="17" spans="1:26">
      <c r="A17" s="1"/>
      <c r="B17" s="1"/>
      <c r="C17" s="1"/>
      <c r="D17" s="85"/>
      <c r="E17" s="85"/>
      <c r="F17" s="85"/>
      <c r="G17" s="85"/>
      <c r="H17" s="81"/>
      <c r="I17" s="82"/>
      <c r="J17" s="88"/>
      <c r="K17" s="3"/>
      <c r="L17" s="82"/>
    </row>
    <row r="18" spans="1:26" ht="13.5" thickBot="1">
      <c r="D18" s="86"/>
      <c r="E18" s="86">
        <f>+E24-D24</f>
        <v>0</v>
      </c>
      <c r="F18" s="86">
        <f>+F24-E24</f>
        <v>9809</v>
      </c>
      <c r="G18" s="86">
        <f>+G24-F24</f>
        <v>-7697</v>
      </c>
      <c r="H18" s="83"/>
      <c r="I18" s="83"/>
      <c r="J18" s="83"/>
      <c r="K18" s="235"/>
      <c r="L18" s="236"/>
      <c r="V18" s="237"/>
    </row>
    <row r="19" spans="1:26" ht="13.5" thickTop="1">
      <c r="B19" s="285"/>
      <c r="C19" s="418" t="s">
        <v>156</v>
      </c>
      <c r="D19" s="418"/>
      <c r="E19" s="418"/>
      <c r="F19" s="418"/>
      <c r="G19" s="420"/>
      <c r="H19" s="398" t="s">
        <v>2</v>
      </c>
      <c r="I19" s="399"/>
      <c r="J19" s="399"/>
      <c r="K19" s="399"/>
      <c r="L19" s="400"/>
      <c r="N19" s="107" t="s">
        <v>151</v>
      </c>
      <c r="O19" s="97"/>
      <c r="P19" s="401" t="s">
        <v>101</v>
      </c>
      <c r="Q19" s="401"/>
      <c r="R19" s="401"/>
      <c r="S19" s="401"/>
      <c r="T19" s="401"/>
      <c r="U19" s="401"/>
      <c r="V19" s="364" t="str">
        <f>+C19</f>
        <v>EMPRESA: TREFIMALLAS S.A.S</v>
      </c>
      <c r="W19" s="402" t="s">
        <v>136</v>
      </c>
      <c r="X19" s="401"/>
      <c r="Y19" s="401"/>
      <c r="Z19" s="403"/>
    </row>
    <row r="20" spans="1:26">
      <c r="B20" s="286"/>
      <c r="C20" s="99" t="s">
        <v>102</v>
      </c>
      <c r="D20" s="8">
        <v>2007</v>
      </c>
      <c r="E20" s="8">
        <v>2008</v>
      </c>
      <c r="F20" s="8">
        <v>2009</v>
      </c>
      <c r="G20" s="287">
        <v>2010</v>
      </c>
      <c r="H20" s="98" t="s">
        <v>3</v>
      </c>
      <c r="I20" s="239">
        <v>2007</v>
      </c>
      <c r="J20" s="239">
        <v>2008</v>
      </c>
      <c r="K20" s="239">
        <v>2009</v>
      </c>
      <c r="L20" s="239">
        <v>2010</v>
      </c>
      <c r="N20" s="108" t="s">
        <v>3</v>
      </c>
      <c r="O20" s="7"/>
      <c r="P20" s="404">
        <v>2008</v>
      </c>
      <c r="Q20" s="405"/>
      <c r="R20" s="404">
        <v>2009</v>
      </c>
      <c r="S20" s="405"/>
      <c r="T20" s="404">
        <v>2010</v>
      </c>
      <c r="U20" s="406"/>
      <c r="V20" s="99" t="s">
        <v>102</v>
      </c>
      <c r="W20" s="240">
        <f>+D20</f>
        <v>2007</v>
      </c>
      <c r="X20" s="240">
        <f>+E20</f>
        <v>2008</v>
      </c>
      <c r="Y20" s="240">
        <f>+F20</f>
        <v>2009</v>
      </c>
      <c r="Z20" s="362">
        <f>+G20</f>
        <v>2010</v>
      </c>
    </row>
    <row r="21" spans="1:26" ht="13.5" thickBot="1">
      <c r="B21" s="288"/>
      <c r="C21" s="289" t="s">
        <v>3</v>
      </c>
      <c r="D21" s="290"/>
      <c r="E21" s="290"/>
      <c r="F21" s="290"/>
      <c r="G21" s="291"/>
      <c r="H21" s="387" t="s">
        <v>4</v>
      </c>
      <c r="I21" s="381"/>
      <c r="J21" s="381"/>
      <c r="K21" s="381"/>
      <c r="L21" s="381"/>
      <c r="N21" s="109" t="s">
        <v>3</v>
      </c>
      <c r="O21" s="10"/>
      <c r="P21" s="101" t="s">
        <v>105</v>
      </c>
      <c r="Q21" s="102" t="s">
        <v>106</v>
      </c>
      <c r="R21" s="101" t="s">
        <v>105</v>
      </c>
      <c r="S21" s="102" t="s">
        <v>106</v>
      </c>
      <c r="T21" s="101" t="s">
        <v>105</v>
      </c>
      <c r="U21" s="151" t="s">
        <v>106</v>
      </c>
      <c r="V21" s="99" t="s">
        <v>3</v>
      </c>
      <c r="W21" s="150"/>
      <c r="X21" s="11"/>
      <c r="Y21" s="11"/>
      <c r="Z21" s="12"/>
    </row>
    <row r="22" spans="1:26">
      <c r="B22" s="13"/>
      <c r="C22" s="14"/>
      <c r="D22" s="14"/>
      <c r="E22" s="14"/>
      <c r="F22" s="14"/>
      <c r="G22" s="14"/>
      <c r="H22" s="241"/>
      <c r="I22" s="242"/>
      <c r="J22" s="242"/>
      <c r="K22" s="242"/>
      <c r="L22" s="242"/>
      <c r="P22" s="103"/>
      <c r="Q22" s="104"/>
      <c r="R22" s="103"/>
      <c r="S22" s="104"/>
      <c r="T22" s="103"/>
      <c r="U22" s="152"/>
      <c r="V22" s="154"/>
      <c r="W22" s="14"/>
      <c r="X22" s="14"/>
      <c r="Y22" s="14"/>
      <c r="Z22" s="155"/>
    </row>
    <row r="23" spans="1:26" ht="13.5" customHeight="1" thickBot="1">
      <c r="B23" s="15">
        <v>10</v>
      </c>
      <c r="C23" s="42" t="s">
        <v>67</v>
      </c>
      <c r="D23" s="57">
        <f>+D30+D38</f>
        <v>0</v>
      </c>
      <c r="E23" s="58">
        <f>+E30+E38</f>
        <v>0</v>
      </c>
      <c r="F23" s="58">
        <f>+F30+F38</f>
        <v>3139478</v>
      </c>
      <c r="G23" s="59">
        <f>+G30+G38</f>
        <v>2927432</v>
      </c>
      <c r="H23" s="244"/>
      <c r="I23" s="16"/>
      <c r="J23" s="380" t="s">
        <v>114</v>
      </c>
      <c r="K23" s="381"/>
      <c r="L23" s="382"/>
      <c r="N23" s="243" t="s">
        <v>67</v>
      </c>
      <c r="O23" s="245" t="s">
        <v>103</v>
      </c>
      <c r="P23" s="103"/>
      <c r="Q23" s="104"/>
      <c r="R23" s="103"/>
      <c r="S23" s="104"/>
      <c r="T23" s="103"/>
      <c r="U23" s="152"/>
      <c r="V23" s="347" t="s">
        <v>161</v>
      </c>
      <c r="W23" s="143">
        <f>+W24+W25</f>
        <v>0</v>
      </c>
      <c r="X23" s="144">
        <f>+X24+X25</f>
        <v>0</v>
      </c>
      <c r="Y23" s="144">
        <f>+Y24+Y25</f>
        <v>1134144</v>
      </c>
      <c r="Z23" s="145">
        <f>+Z24+Z25</f>
        <v>1607296</v>
      </c>
    </row>
    <row r="24" spans="1:26" ht="13.5" thickTop="1">
      <c r="B24" s="17">
        <v>11</v>
      </c>
      <c r="C24" s="18" t="s">
        <v>5</v>
      </c>
      <c r="D24" s="60"/>
      <c r="E24" s="60"/>
      <c r="F24" s="60">
        <v>9809</v>
      </c>
      <c r="G24" s="60">
        <v>2112</v>
      </c>
      <c r="H24" s="247" t="s">
        <v>81</v>
      </c>
      <c r="I24" s="19">
        <f>+D23</f>
        <v>0</v>
      </c>
      <c r="J24" s="350" t="e">
        <f>+E23/D23-1</f>
        <v>#DIV/0!</v>
      </c>
      <c r="K24" s="350" t="e">
        <f>+F23/E23-1</f>
        <v>#DIV/0!</v>
      </c>
      <c r="L24" s="350">
        <f>+G23/F23-1</f>
        <v>-6.7541801535159651E-2</v>
      </c>
      <c r="N24" s="248"/>
      <c r="O24" s="249"/>
      <c r="P24" s="250"/>
      <c r="Q24" s="104"/>
      <c r="R24" s="103"/>
      <c r="S24" s="104"/>
      <c r="T24" s="103"/>
      <c r="U24" s="152"/>
      <c r="V24" s="360" t="s">
        <v>132</v>
      </c>
      <c r="W24" s="359">
        <f>+D30-D51+D42+D50</f>
        <v>0</v>
      </c>
      <c r="X24" s="359">
        <f>+E30-E51+E42+E50</f>
        <v>0</v>
      </c>
      <c r="Y24" s="359">
        <f>+F30-F51+F42+F50</f>
        <v>838527</v>
      </c>
      <c r="Z24" s="358">
        <f>+G30-G51+G42+G50</f>
        <v>1351225</v>
      </c>
    </row>
    <row r="25" spans="1:26">
      <c r="B25" s="17">
        <v>12</v>
      </c>
      <c r="C25" s="20" t="s">
        <v>56</v>
      </c>
      <c r="D25" s="60"/>
      <c r="E25" s="60"/>
      <c r="F25" s="60"/>
      <c r="G25" s="60"/>
      <c r="H25" s="252" t="s">
        <v>112</v>
      </c>
      <c r="I25" s="19">
        <f>+D27+D28+D33</f>
        <v>0</v>
      </c>
      <c r="J25" s="350" t="e">
        <f>(E27+E28+E33)/(+D27+D28+D33)-1</f>
        <v>#DIV/0!</v>
      </c>
      <c r="K25" s="350" t="e">
        <f>(F27+F28+F33)/(+E27+E28+E33)-1</f>
        <v>#DIV/0!</v>
      </c>
      <c r="L25" s="350">
        <f>(G27+G28+G33)/(+F27+F28+F33)-1</f>
        <v>-9.0569830216032043E-2</v>
      </c>
      <c r="N25" s="251" t="s">
        <v>56</v>
      </c>
      <c r="O25" s="253" t="str">
        <f>IF(E25-D25&lt;0,"F","U")</f>
        <v>U</v>
      </c>
      <c r="P25" s="254">
        <f>IF(E25-D25&lt;0,0,ABS(E25-D25))</f>
        <v>0</v>
      </c>
      <c r="Q25" s="255">
        <f>IF(E25-D25&gt;0,0,ABS(E25-D25))</f>
        <v>0</v>
      </c>
      <c r="R25" s="254">
        <f>IF(F25-E25&lt;0,0,ABS(F25-E25))</f>
        <v>0</v>
      </c>
      <c r="S25" s="255">
        <f>IF(F25-E25&gt;0,0,ABS(F25-E25))</f>
        <v>0</v>
      </c>
      <c r="T25" s="254">
        <f>IF(G25-F25&lt;0,0,ABS(G25-F25))</f>
        <v>0</v>
      </c>
      <c r="U25" s="256">
        <f>IF(G25-F25&gt;0,0,ABS(G25-F25))</f>
        <v>0</v>
      </c>
      <c r="V25" s="328" t="s">
        <v>133</v>
      </c>
      <c r="W25" s="341">
        <f>+D33+D34</f>
        <v>0</v>
      </c>
      <c r="X25" s="341">
        <f>+E33+E34</f>
        <v>0</v>
      </c>
      <c r="Y25" s="341">
        <f>+F33+F34</f>
        <v>295617</v>
      </c>
      <c r="Z25" s="340">
        <f>+G33+G34</f>
        <v>256071</v>
      </c>
    </row>
    <row r="26" spans="1:26">
      <c r="B26" s="17">
        <v>13</v>
      </c>
      <c r="C26" s="20" t="s">
        <v>57</v>
      </c>
      <c r="D26" s="60"/>
      <c r="E26" s="60"/>
      <c r="F26" s="60">
        <v>872200</v>
      </c>
      <c r="G26" s="60">
        <v>876291</v>
      </c>
      <c r="H26" s="252" t="s">
        <v>68</v>
      </c>
      <c r="I26" s="19">
        <f>+D41</f>
        <v>0</v>
      </c>
      <c r="J26" s="84" t="e">
        <f>+E41/D41-1</f>
        <v>#DIV/0!</v>
      </c>
      <c r="K26" s="84" t="e">
        <f>+F41/E41-1</f>
        <v>#DIV/0!</v>
      </c>
      <c r="L26" s="84">
        <f>+G41/F41-1</f>
        <v>-0.16468576325568707</v>
      </c>
      <c r="N26" s="251" t="s">
        <v>57</v>
      </c>
      <c r="O26" s="253" t="str">
        <f>IF(E26-D26&lt;0,"F","U")</f>
        <v>U</v>
      </c>
      <c r="P26" s="254">
        <f>IF(E26-D26&lt;0,0,ABS(E26-D26))</f>
        <v>0</v>
      </c>
      <c r="Q26" s="255">
        <f>IF(E26-D26&gt;0,0,ABS(E26-D26))</f>
        <v>0</v>
      </c>
      <c r="R26" s="254">
        <f>IF(F26-E26&lt;0,0,ABS(F26-E26))</f>
        <v>872200</v>
      </c>
      <c r="S26" s="255">
        <f>IF(F26-E26&gt;0,0,ABS(F26-E26))</f>
        <v>0</v>
      </c>
      <c r="T26" s="254">
        <f>IF(G26-F26&lt;0,0,ABS(G26-F26))</f>
        <v>4091</v>
      </c>
      <c r="U26" s="256">
        <f>IF(G26-F26&gt;0,0,ABS(G26-F26))</f>
        <v>0</v>
      </c>
      <c r="V26" s="357" t="s">
        <v>134</v>
      </c>
      <c r="W26" s="356">
        <f>SUM(D35:D37)+D31</f>
        <v>0</v>
      </c>
      <c r="X26" s="356">
        <f>SUM(E35:E37)+E31</f>
        <v>0</v>
      </c>
      <c r="Y26" s="356">
        <f>SUM(F35:F37)+F31</f>
        <v>0</v>
      </c>
      <c r="Z26" s="355">
        <f>SUM(G35:G37)+G31</f>
        <v>0</v>
      </c>
    </row>
    <row r="27" spans="1:26">
      <c r="B27" s="17">
        <v>1305</v>
      </c>
      <c r="C27" s="20" t="s">
        <v>58</v>
      </c>
      <c r="D27" s="60"/>
      <c r="E27" s="60"/>
      <c r="F27" s="60">
        <v>553456</v>
      </c>
      <c r="G27" s="60">
        <v>507311</v>
      </c>
      <c r="H27" s="252" t="s">
        <v>82</v>
      </c>
      <c r="I27" s="19">
        <f>+D63</f>
        <v>0</v>
      </c>
      <c r="J27" s="84" t="e">
        <f>+E63/D63-1</f>
        <v>#DIV/0!</v>
      </c>
      <c r="K27" s="84" t="e">
        <f>+F63/E63-1</f>
        <v>#DIV/0!</v>
      </c>
      <c r="L27" s="84">
        <f>+G63/F63-1</f>
        <v>0.22283028553422035</v>
      </c>
      <c r="N27" s="251" t="s">
        <v>58</v>
      </c>
      <c r="O27" s="257" t="str">
        <f>IF(E27-D27&lt;0,"F","U")</f>
        <v>U</v>
      </c>
      <c r="P27" s="116">
        <f>IF(E27-D27&lt;0,0,ABS(E27-D27))</f>
        <v>0</v>
      </c>
      <c r="Q27" s="116">
        <f>IF(E27-D27&gt;0,0,ABS(E27-D27))</f>
        <v>0</v>
      </c>
      <c r="R27" s="116">
        <f>IF(F27-E27&lt;0,0,ABS(F27-E27))</f>
        <v>553456</v>
      </c>
      <c r="S27" s="116">
        <f>IF(F27-E27&gt;0,0,ABS(F27-E27))</f>
        <v>0</v>
      </c>
      <c r="T27" s="116">
        <f>IF(G27-F27&lt;0,0,ABS(G27-F27))</f>
        <v>0</v>
      </c>
      <c r="U27" s="153">
        <f>IF(G27-F27&gt;0,0,ABS(G27-F27))</f>
        <v>46145</v>
      </c>
      <c r="V27" s="354"/>
      <c r="W27" s="353"/>
      <c r="X27" s="353"/>
      <c r="Y27" s="353"/>
      <c r="Z27" s="352"/>
    </row>
    <row r="28" spans="1:26">
      <c r="B28" s="17">
        <v>14</v>
      </c>
      <c r="C28" s="20" t="s">
        <v>59</v>
      </c>
      <c r="D28" s="60"/>
      <c r="E28" s="60"/>
      <c r="F28" s="60">
        <v>1961852</v>
      </c>
      <c r="G28" s="60">
        <v>1792958</v>
      </c>
      <c r="H28" s="252" t="s">
        <v>17</v>
      </c>
      <c r="I28" s="19">
        <f>+D75</f>
        <v>0</v>
      </c>
      <c r="J28" s="84" t="e">
        <f>+E75/D75-1</f>
        <v>#DIV/0!</v>
      </c>
      <c r="K28" s="84" t="e">
        <f>+F75/E75-1</f>
        <v>#DIV/0!</v>
      </c>
      <c r="L28" s="84">
        <f>+G75/F75-1</f>
        <v>-0.16128132397873907</v>
      </c>
      <c r="N28" s="251" t="s">
        <v>59</v>
      </c>
      <c r="O28" s="253" t="str">
        <f>IF(E28-D28&lt;0,"F","U")</f>
        <v>U</v>
      </c>
      <c r="P28" s="254">
        <f>IF(E28-D28&lt;0,0,ABS(E28-D28))</f>
        <v>0</v>
      </c>
      <c r="Q28" s="255">
        <f>IF(E28-D28&gt;0,0,ABS(E28-D28))</f>
        <v>0</v>
      </c>
      <c r="R28" s="254">
        <f>IF(F28-E28&lt;0,0,ABS(F28-E28))</f>
        <v>1961852</v>
      </c>
      <c r="S28" s="255">
        <f>IF(F28-E28&gt;0,0,ABS(F28-E28))</f>
        <v>0</v>
      </c>
      <c r="T28" s="254">
        <f>IF(G28-F28&lt;0,0,ABS(G28-F28))</f>
        <v>0</v>
      </c>
      <c r="U28" s="256">
        <f>IF(G28-F28&gt;0,0,ABS(G28-F28))</f>
        <v>168894</v>
      </c>
      <c r="V28" s="351"/>
      <c r="W28" s="341">
        <f>SUM(W58:W61)</f>
        <v>0</v>
      </c>
      <c r="X28" s="341">
        <f>SUM(X58:X61)</f>
        <v>0</v>
      </c>
      <c r="Y28" s="341">
        <f>SUM(Y58:Y61)</f>
        <v>0</v>
      </c>
      <c r="Z28" s="340">
        <f>SUM(Z58:Z61)</f>
        <v>0</v>
      </c>
    </row>
    <row r="29" spans="1:26">
      <c r="B29" s="17">
        <v>17</v>
      </c>
      <c r="C29" s="21" t="s">
        <v>60</v>
      </c>
      <c r="D29" s="60"/>
      <c r="E29" s="60"/>
      <c r="F29" s="60"/>
      <c r="G29" s="60"/>
      <c r="H29" s="252" t="s">
        <v>88</v>
      </c>
      <c r="I29" s="19">
        <f>+D77+D79+D83</f>
        <v>0</v>
      </c>
      <c r="J29" s="84" t="e">
        <f>+(E77+E79+E83)/(D77+D79+D83)-1</f>
        <v>#DIV/0!</v>
      </c>
      <c r="K29" s="84" t="e">
        <f>+(F77+F79+F83)/(E77+E79+E83)-1</f>
        <v>#DIV/0!</v>
      </c>
      <c r="L29" s="84">
        <f>+(G77+G79+G83)/(F77+F79+F83)-1</f>
        <v>-0.15531639774936201</v>
      </c>
      <c r="N29" s="258" t="s">
        <v>60</v>
      </c>
      <c r="O29" s="253" t="str">
        <f>IF(E29-D29&lt;0,"F","U")</f>
        <v>U</v>
      </c>
      <c r="P29" s="254">
        <f>IF(E29-D29&lt;0,0,ABS(E29-D29))</f>
        <v>0</v>
      </c>
      <c r="Q29" s="255">
        <f>IF(E29-D29&gt;0,0,ABS(E29-D29))</f>
        <v>0</v>
      </c>
      <c r="R29" s="254">
        <f>IF(F29-E29&lt;0,0,ABS(F29-E29))</f>
        <v>0</v>
      </c>
      <c r="S29" s="255">
        <f>IF(F29-E29&gt;0,0,ABS(F29-E29))</f>
        <v>0</v>
      </c>
      <c r="T29" s="254">
        <f>IF(G29-F29&lt;0,0,ABS(G29-F29))</f>
        <v>0</v>
      </c>
      <c r="U29" s="256">
        <f>IF(G29-F29&gt;0,0,ABS(G29-F29))</f>
        <v>0</v>
      </c>
      <c r="V29" s="328" t="s">
        <v>162</v>
      </c>
      <c r="W29" s="344">
        <f>+D42+D52</f>
        <v>0</v>
      </c>
      <c r="X29" s="344">
        <f>+E42+E52</f>
        <v>0</v>
      </c>
      <c r="Y29" s="344">
        <f>+F42+F52</f>
        <v>347128</v>
      </c>
      <c r="Z29" s="343">
        <f>+G42+G52</f>
        <v>644909</v>
      </c>
    </row>
    <row r="30" spans="1:26" ht="13.5" thickBot="1">
      <c r="B30" s="17"/>
      <c r="C30" s="35" t="s">
        <v>7</v>
      </c>
      <c r="D30" s="62">
        <f>+D24+D25+D26+D28+D29</f>
        <v>0</v>
      </c>
      <c r="E30" s="63">
        <f>+E24+E25+E26+E28+E29</f>
        <v>0</v>
      </c>
      <c r="F30" s="63">
        <f>+F24+F25+F26+F28+F29</f>
        <v>2843861</v>
      </c>
      <c r="G30" s="64">
        <f>+G24+G25+G26+G28+G29</f>
        <v>2671361</v>
      </c>
      <c r="H30" s="252" t="s">
        <v>42</v>
      </c>
      <c r="I30" s="19">
        <f>+D87</f>
        <v>0</v>
      </c>
      <c r="J30" s="350" t="e">
        <f>+E87/D87-1</f>
        <v>#DIV/0!</v>
      </c>
      <c r="K30" s="350" t="e">
        <f>+F87/E87-1</f>
        <v>#DIV/0!</v>
      </c>
      <c r="L30" s="350">
        <f>+G87/F87-1</f>
        <v>-0.22594660407668199</v>
      </c>
      <c r="N30" s="259" t="s">
        <v>7</v>
      </c>
      <c r="O30" s="260"/>
      <c r="P30" s="261">
        <f t="shared" ref="P30:U30" si="0">SUM(P25:P29)</f>
        <v>0</v>
      </c>
      <c r="Q30" s="261">
        <f t="shared" si="0"/>
        <v>0</v>
      </c>
      <c r="R30" s="261">
        <f t="shared" si="0"/>
        <v>3387508</v>
      </c>
      <c r="S30" s="261">
        <f t="shared" si="0"/>
        <v>0</v>
      </c>
      <c r="T30" s="261">
        <f t="shared" si="0"/>
        <v>4091</v>
      </c>
      <c r="U30" s="261">
        <f t="shared" si="0"/>
        <v>215039</v>
      </c>
      <c r="V30" s="328"/>
      <c r="W30" s="341"/>
      <c r="X30" s="341"/>
      <c r="Y30" s="341"/>
      <c r="Z30" s="340"/>
    </row>
    <row r="31" spans="1:26" ht="13.5" thickTop="1">
      <c r="B31" s="17">
        <v>12</v>
      </c>
      <c r="C31" s="18" t="s">
        <v>56</v>
      </c>
      <c r="D31" s="60"/>
      <c r="E31" s="60"/>
      <c r="F31" s="60"/>
      <c r="G31" s="60"/>
      <c r="H31" s="252" t="s">
        <v>18</v>
      </c>
      <c r="I31" s="92">
        <f>+(D87+D81+D82+D85+D86)</f>
        <v>0</v>
      </c>
      <c r="J31" s="350" t="e">
        <f>+(E87+E81+E82+E85+E86)/(D87+D81+D82+D85+D86)-1</f>
        <v>#DIV/0!</v>
      </c>
      <c r="K31" s="350" t="e">
        <f>+(F87+F81+F82+F85+F86)/(E87+E81+E82+E85+E86)-1</f>
        <v>#DIV/0!</v>
      </c>
      <c r="L31" s="350">
        <f>+(G87+G81+G82+G85+G86)/(F87+F81+F82+F85+F86)-1</f>
        <v>-0.22594660407668199</v>
      </c>
      <c r="N31" s="246" t="s">
        <v>56</v>
      </c>
      <c r="O31" s="253" t="str">
        <f t="shared" ref="O31:O37" si="1">IF(E31-D31&lt;0,"F","U")</f>
        <v>U</v>
      </c>
      <c r="P31" s="254">
        <f t="shared" ref="P31:P37" si="2">IF(E31-D31&lt;0,0,ABS(E31-D31))</f>
        <v>0</v>
      </c>
      <c r="Q31" s="255">
        <f t="shared" ref="Q31:Q37" si="3">IF(E31-D31&gt;0,0,ABS(E31-D31))</f>
        <v>0</v>
      </c>
      <c r="R31" s="254">
        <f t="shared" ref="R31:R37" si="4">IF(F31-E31&lt;0,0,ABS(F31-E31))</f>
        <v>0</v>
      </c>
      <c r="S31" s="255">
        <f t="shared" ref="S31:S37" si="5">IF(F31-E31&gt;0,0,ABS(F31-E31))</f>
        <v>0</v>
      </c>
      <c r="T31" s="254">
        <f t="shared" ref="T31:T37" si="6">IF(G31-F31&lt;0,0,ABS(G31-F31))</f>
        <v>0</v>
      </c>
      <c r="U31" s="256">
        <f t="shared" ref="U31:U37" si="7">IF(G31-F31&gt;0,0,ABS(G31-F31))</f>
        <v>0</v>
      </c>
      <c r="V31" s="338" t="s">
        <v>135</v>
      </c>
      <c r="W31" s="349">
        <f>+D63-W26</f>
        <v>0</v>
      </c>
      <c r="X31" s="349">
        <f>+E63-X26</f>
        <v>0</v>
      </c>
      <c r="Y31" s="349">
        <f>+F63-Y26</f>
        <v>787016</v>
      </c>
      <c r="Z31" s="348">
        <f>+G63-Z26</f>
        <v>962387</v>
      </c>
    </row>
    <row r="32" spans="1:26" ht="13.5" thickBot="1">
      <c r="B32" s="17">
        <v>13</v>
      </c>
      <c r="C32" s="20" t="s">
        <v>61</v>
      </c>
      <c r="D32" s="60"/>
      <c r="E32" s="60"/>
      <c r="F32" s="60"/>
      <c r="G32" s="60"/>
      <c r="H32" s="252"/>
      <c r="I32" s="19"/>
      <c r="J32" s="19"/>
      <c r="K32" s="19"/>
      <c r="L32" s="19"/>
      <c r="N32" s="251" t="s">
        <v>61</v>
      </c>
      <c r="O32" s="253" t="str">
        <f t="shared" si="1"/>
        <v>U</v>
      </c>
      <c r="P32" s="254">
        <f t="shared" si="2"/>
        <v>0</v>
      </c>
      <c r="Q32" s="255">
        <f t="shared" si="3"/>
        <v>0</v>
      </c>
      <c r="R32" s="254">
        <f t="shared" si="4"/>
        <v>0</v>
      </c>
      <c r="S32" s="255">
        <f t="shared" si="5"/>
        <v>0</v>
      </c>
      <c r="T32" s="254">
        <f t="shared" si="6"/>
        <v>0</v>
      </c>
      <c r="U32" s="256">
        <f t="shared" si="7"/>
        <v>0</v>
      </c>
      <c r="V32" s="347" t="s">
        <v>163</v>
      </c>
      <c r="W32" s="143">
        <f>+W31+W30+W29</f>
        <v>0</v>
      </c>
      <c r="X32" s="144">
        <f>+X31+X30+X29</f>
        <v>0</v>
      </c>
      <c r="Y32" s="144">
        <f>+Y31+Y30+Y29</f>
        <v>1134144</v>
      </c>
      <c r="Z32" s="145">
        <f>+Z31+Z30+Z29</f>
        <v>1607296</v>
      </c>
    </row>
    <row r="33" spans="2:29" ht="14.25" customHeight="1" thickTop="1" thickBot="1">
      <c r="B33" s="17">
        <v>15</v>
      </c>
      <c r="C33" s="20" t="s">
        <v>8</v>
      </c>
      <c r="D33" s="60"/>
      <c r="E33" s="60"/>
      <c r="F33" s="60">
        <v>295617</v>
      </c>
      <c r="G33" s="60">
        <v>256071</v>
      </c>
      <c r="H33" s="89"/>
      <c r="J33" s="380" t="s">
        <v>90</v>
      </c>
      <c r="K33" s="381"/>
      <c r="L33" s="382"/>
      <c r="N33" s="251" t="s">
        <v>8</v>
      </c>
      <c r="O33" s="253" t="str">
        <f t="shared" si="1"/>
        <v>U</v>
      </c>
      <c r="P33" s="254">
        <f t="shared" si="2"/>
        <v>0</v>
      </c>
      <c r="Q33" s="255">
        <f t="shared" si="3"/>
        <v>0</v>
      </c>
      <c r="R33" s="254">
        <f t="shared" si="4"/>
        <v>295617</v>
      </c>
      <c r="S33" s="255">
        <f t="shared" si="5"/>
        <v>0</v>
      </c>
      <c r="T33" s="254">
        <f t="shared" si="6"/>
        <v>0</v>
      </c>
      <c r="U33" s="256">
        <f t="shared" si="7"/>
        <v>39546</v>
      </c>
      <c r="V33" s="156"/>
      <c r="W33" s="157">
        <f>+W32-W23</f>
        <v>0</v>
      </c>
      <c r="X33" s="157">
        <f>+X32-X23</f>
        <v>0</v>
      </c>
      <c r="Y33" s="157">
        <f>+Y32-Y23</f>
        <v>0</v>
      </c>
      <c r="Z33" s="158">
        <f>+Z32-Z23</f>
        <v>0</v>
      </c>
    </row>
    <row r="34" spans="2:29" ht="13.5" thickTop="1">
      <c r="B34" s="17"/>
      <c r="C34" s="20" t="s">
        <v>52</v>
      </c>
      <c r="D34" s="60"/>
      <c r="E34" s="60"/>
      <c r="F34" s="60"/>
      <c r="G34" s="60"/>
      <c r="H34" s="388" t="s">
        <v>6</v>
      </c>
      <c r="I34" s="19">
        <f>+D30-D51</f>
        <v>0</v>
      </c>
      <c r="J34" s="342">
        <f>+E30-E51</f>
        <v>0</v>
      </c>
      <c r="K34" s="342">
        <f>+F30-F51</f>
        <v>491399</v>
      </c>
      <c r="L34" s="342">
        <f>+G30-G51</f>
        <v>706316</v>
      </c>
      <c r="N34" s="251" t="s">
        <v>52</v>
      </c>
      <c r="O34" s="257" t="str">
        <f t="shared" si="1"/>
        <v>U</v>
      </c>
      <c r="P34" s="105">
        <f t="shared" si="2"/>
        <v>0</v>
      </c>
      <c r="Q34" s="106">
        <f t="shared" si="3"/>
        <v>0</v>
      </c>
      <c r="R34" s="254">
        <f t="shared" si="4"/>
        <v>0</v>
      </c>
      <c r="S34" s="255">
        <f t="shared" si="5"/>
        <v>0</v>
      </c>
      <c r="T34" s="254">
        <f t="shared" si="6"/>
        <v>0</v>
      </c>
      <c r="U34" s="256">
        <f t="shared" si="7"/>
        <v>0</v>
      </c>
      <c r="V34" s="159"/>
      <c r="W34" s="160"/>
      <c r="X34" s="160"/>
      <c r="Y34" s="160"/>
      <c r="Z34" s="161"/>
    </row>
    <row r="35" spans="2:29">
      <c r="B35" s="17">
        <v>16</v>
      </c>
      <c r="C35" s="20" t="s">
        <v>9</v>
      </c>
      <c r="D35" s="60"/>
      <c r="E35" s="60"/>
      <c r="F35" s="60"/>
      <c r="G35" s="60"/>
      <c r="H35" s="389"/>
      <c r="I35" s="87" t="e">
        <f>+D30/D51</f>
        <v>#DIV/0!</v>
      </c>
      <c r="J35" s="87" t="e">
        <f>+E30/E51</f>
        <v>#DIV/0!</v>
      </c>
      <c r="K35" s="87">
        <f>+F30/F51</f>
        <v>1.2088871148609415</v>
      </c>
      <c r="L35" s="87">
        <f>+G30/G51</f>
        <v>1.3594401146029735</v>
      </c>
      <c r="N35" s="251" t="s">
        <v>9</v>
      </c>
      <c r="O35" s="253" t="str">
        <f t="shared" si="1"/>
        <v>U</v>
      </c>
      <c r="P35" s="254">
        <f t="shared" si="2"/>
        <v>0</v>
      </c>
      <c r="Q35" s="255">
        <f t="shared" si="3"/>
        <v>0</v>
      </c>
      <c r="R35" s="254">
        <f t="shared" si="4"/>
        <v>0</v>
      </c>
      <c r="S35" s="255">
        <f t="shared" si="5"/>
        <v>0</v>
      </c>
      <c r="T35" s="254">
        <f t="shared" si="6"/>
        <v>0</v>
      </c>
      <c r="U35" s="256">
        <f t="shared" si="7"/>
        <v>0</v>
      </c>
      <c r="V35" s="163"/>
    </row>
    <row r="36" spans="2:29">
      <c r="B36" s="17">
        <v>17</v>
      </c>
      <c r="C36" s="20" t="s">
        <v>62</v>
      </c>
      <c r="D36" s="60"/>
      <c r="E36" s="60"/>
      <c r="F36" s="60"/>
      <c r="G36" s="60"/>
      <c r="H36" s="252" t="s">
        <v>83</v>
      </c>
      <c r="I36" s="19">
        <f>(D27+D28)-(D43+D44+D46)</f>
        <v>0</v>
      </c>
      <c r="J36" s="19">
        <f>(E27+E28)-(E43+E44+E46)</f>
        <v>0</v>
      </c>
      <c r="K36" s="19">
        <f>(F27+F28)-(F43+F44+F46)</f>
        <v>1848744</v>
      </c>
      <c r="L36" s="19">
        <f>(G27+G28)-(G43+G44+G46)</f>
        <v>2184761</v>
      </c>
      <c r="N36" s="251" t="s">
        <v>62</v>
      </c>
      <c r="O36" s="253" t="str">
        <f t="shared" si="1"/>
        <v>U</v>
      </c>
      <c r="P36" s="254">
        <f t="shared" si="2"/>
        <v>0</v>
      </c>
      <c r="Q36" s="255">
        <f t="shared" si="3"/>
        <v>0</v>
      </c>
      <c r="R36" s="254">
        <f t="shared" si="4"/>
        <v>0</v>
      </c>
      <c r="S36" s="255">
        <f t="shared" si="5"/>
        <v>0</v>
      </c>
      <c r="T36" s="254">
        <f t="shared" si="6"/>
        <v>0</v>
      </c>
      <c r="U36" s="256">
        <f t="shared" si="7"/>
        <v>0</v>
      </c>
      <c r="V36" s="334" t="s">
        <v>137</v>
      </c>
      <c r="W36" s="346">
        <f>+D87</f>
        <v>0</v>
      </c>
      <c r="X36" s="346">
        <f>+E87</f>
        <v>0</v>
      </c>
      <c r="Y36" s="346">
        <f>+F87</f>
        <v>432018</v>
      </c>
      <c r="Z36" s="345">
        <f>+G87</f>
        <v>334405</v>
      </c>
    </row>
    <row r="37" spans="2:29">
      <c r="B37" s="17">
        <v>18</v>
      </c>
      <c r="C37" s="21" t="s">
        <v>10</v>
      </c>
      <c r="D37" s="60"/>
      <c r="E37" s="60"/>
      <c r="F37" s="60"/>
      <c r="G37" s="60"/>
      <c r="H37" s="252" t="s">
        <v>84</v>
      </c>
      <c r="I37" s="19">
        <f>+I34-I36</f>
        <v>0</v>
      </c>
      <c r="J37" s="19">
        <f>+J34-J36</f>
        <v>0</v>
      </c>
      <c r="K37" s="19">
        <f>+K34-K36</f>
        <v>-1357345</v>
      </c>
      <c r="L37" s="19">
        <f>+L34-L36</f>
        <v>-1478445</v>
      </c>
      <c r="N37" s="258" t="s">
        <v>10</v>
      </c>
      <c r="O37" s="253" t="str">
        <f t="shared" si="1"/>
        <v>U</v>
      </c>
      <c r="P37" s="254">
        <f t="shared" si="2"/>
        <v>0</v>
      </c>
      <c r="Q37" s="255">
        <f t="shared" si="3"/>
        <v>0</v>
      </c>
      <c r="R37" s="254">
        <f t="shared" si="4"/>
        <v>0</v>
      </c>
      <c r="S37" s="255">
        <f t="shared" si="5"/>
        <v>0</v>
      </c>
      <c r="T37" s="254">
        <f t="shared" si="6"/>
        <v>0</v>
      </c>
      <c r="U37" s="256">
        <f t="shared" si="7"/>
        <v>0</v>
      </c>
      <c r="V37" s="328" t="s">
        <v>142</v>
      </c>
      <c r="W37" s="341">
        <f>+D92</f>
        <v>0</v>
      </c>
      <c r="X37" s="341">
        <f>+E92</f>
        <v>0</v>
      </c>
      <c r="Y37" s="341">
        <f>+F92</f>
        <v>163570</v>
      </c>
      <c r="Z37" s="340">
        <f>+G92</f>
        <v>103345</v>
      </c>
    </row>
    <row r="38" spans="2:29" ht="13.5" thickBot="1">
      <c r="B38" s="17"/>
      <c r="C38" s="35" t="s">
        <v>12</v>
      </c>
      <c r="D38" s="62">
        <f>+D31+D32+D33+D35+D36+D37</f>
        <v>0</v>
      </c>
      <c r="E38" s="62">
        <f>+E31+E32+E33+E35+E36+E37</f>
        <v>0</v>
      </c>
      <c r="F38" s="62">
        <f>+F31+F32+F33+F35+F36+F37</f>
        <v>295617</v>
      </c>
      <c r="G38" s="62">
        <f>+G31+G32+G33+G35+G36+G37</f>
        <v>256071</v>
      </c>
      <c r="H38" s="262" t="s">
        <v>115</v>
      </c>
      <c r="I38" s="320" t="e">
        <f>D51/(D27+D28)</f>
        <v>#DIV/0!</v>
      </c>
      <c r="J38" s="320" t="e">
        <f>E51/(E27+E28)</f>
        <v>#DIV/0!</v>
      </c>
      <c r="K38" s="320">
        <f>F51/(F27+F28)</f>
        <v>0.93525802804268898</v>
      </c>
      <c r="L38" s="320">
        <f>G51/(G27+G28)</f>
        <v>0.85426747915135148</v>
      </c>
      <c r="N38" s="259" t="s">
        <v>12</v>
      </c>
      <c r="O38" s="260"/>
      <c r="P38" s="263">
        <f t="shared" ref="P38:U38" si="8">SUM(P31:P37)</f>
        <v>0</v>
      </c>
      <c r="Q38" s="263">
        <f t="shared" si="8"/>
        <v>0</v>
      </c>
      <c r="R38" s="263">
        <f t="shared" si="8"/>
        <v>295617</v>
      </c>
      <c r="S38" s="263">
        <f t="shared" si="8"/>
        <v>0</v>
      </c>
      <c r="T38" s="263">
        <f t="shared" si="8"/>
        <v>0</v>
      </c>
      <c r="U38" s="263">
        <f t="shared" si="8"/>
        <v>39546</v>
      </c>
      <c r="V38" s="328" t="s">
        <v>138</v>
      </c>
      <c r="W38" s="341">
        <f>+W36-W37</f>
        <v>0</v>
      </c>
      <c r="X38" s="341">
        <f>+X36-X37</f>
        <v>0</v>
      </c>
      <c r="Y38" s="341">
        <f>+Y36-Y37</f>
        <v>268448</v>
      </c>
      <c r="Z38" s="340">
        <f>+Z36-Z37</f>
        <v>231060</v>
      </c>
    </row>
    <row r="39" spans="2:29" ht="13.5" thickTop="1">
      <c r="B39" s="22">
        <v>19</v>
      </c>
      <c r="C39" s="39" t="s">
        <v>11</v>
      </c>
      <c r="D39" s="65"/>
      <c r="E39" s="65"/>
      <c r="F39" s="65"/>
      <c r="G39" s="65"/>
      <c r="H39" s="252" t="s">
        <v>86</v>
      </c>
      <c r="I39" s="19"/>
      <c r="J39" s="342" t="e">
        <f>360/(E77/(AVERAGE(D28:E28)))</f>
        <v>#DIV/0!</v>
      </c>
      <c r="K39" s="342">
        <f>360/(F77/(AVERAGE(E28:F28)))</f>
        <v>152.8550747440915</v>
      </c>
      <c r="L39" s="342">
        <f>360/(G77/(AVERAGE(F28:G28)))</f>
        <v>175.12039974763147</v>
      </c>
      <c r="N39" s="265"/>
      <c r="O39" s="266"/>
      <c r="P39" s="103"/>
      <c r="Q39" s="115"/>
      <c r="R39" s="254"/>
      <c r="S39" s="104"/>
      <c r="T39" s="103"/>
      <c r="U39" s="152"/>
      <c r="V39" s="328" t="s">
        <v>143</v>
      </c>
      <c r="W39" s="344">
        <f>+D89</f>
        <v>0</v>
      </c>
      <c r="X39" s="344">
        <f>+E89</f>
        <v>0</v>
      </c>
      <c r="Y39" s="344">
        <f>+F89</f>
        <v>0</v>
      </c>
      <c r="Z39" s="343">
        <f>+G89</f>
        <v>0</v>
      </c>
    </row>
    <row r="40" spans="2:29">
      <c r="B40" s="13"/>
      <c r="C40" s="34"/>
      <c r="D40" s="14"/>
      <c r="E40" s="14"/>
      <c r="F40" s="14"/>
      <c r="G40" s="14"/>
      <c r="H40" s="252" t="s">
        <v>85</v>
      </c>
      <c r="I40" s="19"/>
      <c r="J40" s="342" t="e">
        <f>360/(E98/(AVERAGE(D43:E43)))</f>
        <v>#DIV/0!</v>
      </c>
      <c r="K40" s="342">
        <f>360/(F98/(AVERAGE(E43:F43)))</f>
        <v>32.538009595659666</v>
      </c>
      <c r="L40" s="342">
        <f>360/(G98/(AVERAGE(F43:G43)))</f>
        <v>33.197864486534634</v>
      </c>
      <c r="N40" s="267"/>
      <c r="O40" s="266"/>
      <c r="P40" s="115"/>
      <c r="Q40" s="117"/>
      <c r="R40" s="254"/>
      <c r="S40" s="104"/>
      <c r="T40" s="103"/>
      <c r="U40" s="152"/>
      <c r="V40" s="328" t="s">
        <v>144</v>
      </c>
      <c r="W40" s="344"/>
      <c r="X40" s="344">
        <f>+X36-X39</f>
        <v>0</v>
      </c>
      <c r="Y40" s="344">
        <f>+Y36-Y39</f>
        <v>432018</v>
      </c>
      <c r="Z40" s="343">
        <f>+Z36-Z39</f>
        <v>334405</v>
      </c>
    </row>
    <row r="41" spans="2:29" ht="13.5" thickBot="1">
      <c r="B41" s="15">
        <v>20</v>
      </c>
      <c r="C41" s="35" t="s">
        <v>68</v>
      </c>
      <c r="D41" s="62">
        <f>+D51+D61</f>
        <v>0</v>
      </c>
      <c r="E41" s="62">
        <f>+E51+E61</f>
        <v>0</v>
      </c>
      <c r="F41" s="62">
        <f>+F51+F61</f>
        <v>2352462</v>
      </c>
      <c r="G41" s="62">
        <f>+G51+G61</f>
        <v>1965045</v>
      </c>
      <c r="H41" s="252" t="s">
        <v>87</v>
      </c>
      <c r="I41" s="19"/>
      <c r="J41" s="342" t="e">
        <f>360/(E75/(AVERAGE(D27:E27)))</f>
        <v>#DIV/0!</v>
      </c>
      <c r="K41" s="342">
        <f>360/(F75/(AVERAGE(E27:F27)))</f>
        <v>38.949183753658012</v>
      </c>
      <c r="L41" s="342">
        <f>360/(G75/(AVERAGE(F27:G27)))</f>
        <v>44.502965534906892</v>
      </c>
      <c r="N41" s="259" t="s">
        <v>68</v>
      </c>
      <c r="O41" s="260"/>
      <c r="P41" s="260"/>
      <c r="Q41" s="260"/>
      <c r="R41" s="260"/>
      <c r="S41" s="260"/>
      <c r="T41" s="260"/>
      <c r="U41" s="260"/>
      <c r="V41" s="328" t="s">
        <v>146</v>
      </c>
      <c r="W41" s="341"/>
      <c r="X41" s="341">
        <f>+X38-X39</f>
        <v>0</v>
      </c>
      <c r="Y41" s="341">
        <f>+Y38-Y39</f>
        <v>268448</v>
      </c>
      <c r="Z41" s="340">
        <f>+Z38-Z39</f>
        <v>231060</v>
      </c>
      <c r="AA41" s="83"/>
      <c r="AB41" s="83"/>
      <c r="AC41" s="83"/>
    </row>
    <row r="42" spans="2:29" ht="13.5" thickTop="1">
      <c r="B42" s="17">
        <v>21</v>
      </c>
      <c r="C42" s="18" t="s">
        <v>63</v>
      </c>
      <c r="D42" s="61"/>
      <c r="E42" s="61"/>
      <c r="F42" s="61">
        <v>347128</v>
      </c>
      <c r="G42" s="61">
        <v>644909</v>
      </c>
      <c r="H42" s="252" t="s">
        <v>89</v>
      </c>
      <c r="I42" s="68"/>
      <c r="J42" s="339" t="e">
        <f>360/(E$75/(AVERAGE(D$27:E$27)+AVERAGE(D$28:E$28)))</f>
        <v>#DIV/0!</v>
      </c>
      <c r="K42" s="339">
        <f>360/(F75/(AVERAGE(E27:F27)+AVERAGE(E28:F28)))</f>
        <v>177.01351776662645</v>
      </c>
      <c r="L42" s="339">
        <f>360/(G75/(AVERAGE(F27:G27)+AVERAGE(F28:G28)))</f>
        <v>202.03066013713692</v>
      </c>
      <c r="N42" s="246" t="s">
        <v>63</v>
      </c>
      <c r="O42" s="253" t="str">
        <f t="shared" ref="O42:O50" si="9">IF(E42-D42&gt;0,"F","U")</f>
        <v>U</v>
      </c>
      <c r="P42" s="254">
        <f t="shared" ref="P42:P50" si="10">IF(E42-D42&gt;0,0,ABS(E42-D42))</f>
        <v>0</v>
      </c>
      <c r="Q42" s="255">
        <f t="shared" ref="Q42:Q50" si="11">IF(E42-D42&lt;0,0,ABS(E42-D42))</f>
        <v>0</v>
      </c>
      <c r="R42" s="254">
        <f t="shared" ref="R42:R50" si="12">IF(F42-E42&gt;0,0,ABS(F42-E42))</f>
        <v>0</v>
      </c>
      <c r="S42" s="255">
        <f t="shared" ref="S42:S50" si="13">IF(F42-E42&lt;0,0,ABS(F42-E42))</f>
        <v>347128</v>
      </c>
      <c r="T42" s="254">
        <f t="shared" ref="T42:T50" si="14">IF(G42-F42&gt;0,0,ABS(G42-F42))</f>
        <v>0</v>
      </c>
      <c r="U42" s="256">
        <f t="shared" ref="U42:U50" si="15">IF(G42-F42&lt;0,0,ABS(G42-F42))</f>
        <v>297781</v>
      </c>
      <c r="V42" s="338" t="s">
        <v>145</v>
      </c>
      <c r="W42" s="337"/>
      <c r="X42" s="337">
        <f>+X40-X37</f>
        <v>0</v>
      </c>
      <c r="Y42" s="337">
        <f>+Y40-Y37</f>
        <v>268448</v>
      </c>
      <c r="Z42" s="336">
        <f>+Z40-Z37</f>
        <v>231060</v>
      </c>
    </row>
    <row r="43" spans="2:29">
      <c r="B43" s="17">
        <v>22</v>
      </c>
      <c r="C43" s="20" t="s">
        <v>54</v>
      </c>
      <c r="D43" s="61"/>
      <c r="E43" s="61"/>
      <c r="F43" s="61">
        <v>594935</v>
      </c>
      <c r="G43" s="61">
        <v>85721</v>
      </c>
      <c r="H43" s="252" t="s">
        <v>91</v>
      </c>
      <c r="I43" s="68" t="e">
        <f>(D30/D23)</f>
        <v>#DIV/0!</v>
      </c>
      <c r="J43" s="68" t="e">
        <f>+E30/E23</f>
        <v>#DIV/0!</v>
      </c>
      <c r="K43" s="68">
        <f>+F30/F23</f>
        <v>0.90583880504975667</v>
      </c>
      <c r="L43" s="68">
        <f>+G30/G23</f>
        <v>0.9125270885882234</v>
      </c>
      <c r="N43" s="251" t="s">
        <v>54</v>
      </c>
      <c r="O43" s="253" t="str">
        <f t="shared" si="9"/>
        <v>U</v>
      </c>
      <c r="P43" s="254">
        <f t="shared" si="10"/>
        <v>0</v>
      </c>
      <c r="Q43" s="255">
        <f t="shared" si="11"/>
        <v>0</v>
      </c>
      <c r="R43" s="254">
        <f t="shared" si="12"/>
        <v>0</v>
      </c>
      <c r="S43" s="255">
        <f t="shared" si="13"/>
        <v>594935</v>
      </c>
      <c r="T43" s="254">
        <f t="shared" si="14"/>
        <v>509214</v>
      </c>
      <c r="U43" s="256">
        <f t="shared" si="15"/>
        <v>0</v>
      </c>
      <c r="V43" s="335"/>
    </row>
    <row r="44" spans="2:29">
      <c r="B44" s="17">
        <v>23</v>
      </c>
      <c r="C44" s="20" t="s">
        <v>20</v>
      </c>
      <c r="D44" s="61"/>
      <c r="E44" s="61"/>
      <c r="F44" s="61">
        <v>66889</v>
      </c>
      <c r="G44" s="61">
        <v>22394</v>
      </c>
      <c r="H44" s="268"/>
      <c r="I44" s="68"/>
      <c r="J44" s="19"/>
      <c r="K44" s="19"/>
      <c r="L44" s="19"/>
      <c r="N44" s="251" t="s">
        <v>20</v>
      </c>
      <c r="O44" s="253" t="str">
        <f t="shared" si="9"/>
        <v>U</v>
      </c>
      <c r="P44" s="254">
        <f t="shared" si="10"/>
        <v>0</v>
      </c>
      <c r="Q44" s="255">
        <f t="shared" si="11"/>
        <v>0</v>
      </c>
      <c r="R44" s="254">
        <f t="shared" si="12"/>
        <v>0</v>
      </c>
      <c r="S44" s="255">
        <f t="shared" si="13"/>
        <v>66889</v>
      </c>
      <c r="T44" s="254">
        <f t="shared" si="14"/>
        <v>44495</v>
      </c>
      <c r="U44" s="256">
        <f t="shared" si="15"/>
        <v>0</v>
      </c>
      <c r="V44" s="334" t="s">
        <v>141</v>
      </c>
      <c r="W44" s="333"/>
      <c r="X44" s="333" t="e">
        <f>(E89/((E42+D42+E52+D52)/2))*(1-0.33)</f>
        <v>#DIV/0!</v>
      </c>
      <c r="Y44" s="333">
        <f>(F89/((F42+E42+F52+E52)/2))*(1-0.33)</f>
        <v>0</v>
      </c>
      <c r="Z44" s="332">
        <f>(G89/((G42+F42+G52+F52)/2))*(1-0.33)</f>
        <v>0</v>
      </c>
    </row>
    <row r="45" spans="2:29" ht="13.5" customHeight="1" thickBot="1">
      <c r="B45" s="17">
        <v>24</v>
      </c>
      <c r="C45" s="20" t="s">
        <v>55</v>
      </c>
      <c r="D45" s="61"/>
      <c r="E45" s="61"/>
      <c r="F45" s="61">
        <v>177071</v>
      </c>
      <c r="G45" s="61">
        <v>110275</v>
      </c>
      <c r="H45" s="83"/>
      <c r="I45" s="83"/>
      <c r="J45" s="380" t="s">
        <v>93</v>
      </c>
      <c r="K45" s="381"/>
      <c r="L45" s="382"/>
      <c r="N45" s="251" t="s">
        <v>55</v>
      </c>
      <c r="O45" s="253" t="str">
        <f t="shared" si="9"/>
        <v>U</v>
      </c>
      <c r="P45" s="254">
        <f t="shared" si="10"/>
        <v>0</v>
      </c>
      <c r="Q45" s="255">
        <f t="shared" si="11"/>
        <v>0</v>
      </c>
      <c r="R45" s="254">
        <f t="shared" si="12"/>
        <v>0</v>
      </c>
      <c r="S45" s="255">
        <f t="shared" si="13"/>
        <v>177071</v>
      </c>
      <c r="T45" s="254">
        <f t="shared" si="14"/>
        <v>66796</v>
      </c>
      <c r="U45" s="256">
        <f t="shared" si="15"/>
        <v>0</v>
      </c>
      <c r="V45" s="328" t="s">
        <v>140</v>
      </c>
      <c r="W45" s="331"/>
      <c r="X45" s="331">
        <f>+E99</f>
        <v>0</v>
      </c>
      <c r="Y45" s="331">
        <f>+F99</f>
        <v>0</v>
      </c>
      <c r="Z45" s="330">
        <f>+G99</f>
        <v>0</v>
      </c>
    </row>
    <row r="46" spans="2:29" ht="13.5" thickTop="1">
      <c r="B46" s="17">
        <v>25</v>
      </c>
      <c r="C46" s="20" t="s">
        <v>21</v>
      </c>
      <c r="D46" s="61"/>
      <c r="E46" s="61"/>
      <c r="F46" s="61">
        <v>4740</v>
      </c>
      <c r="G46" s="61">
        <v>7393</v>
      </c>
      <c r="H46" s="252" t="s">
        <v>15</v>
      </c>
      <c r="I46" s="68" t="e">
        <f>+D41/D23</f>
        <v>#DIV/0!</v>
      </c>
      <c r="J46" s="68" t="e">
        <f>+E41/E23</f>
        <v>#DIV/0!</v>
      </c>
      <c r="K46" s="68">
        <f>+F41/F23</f>
        <v>0.74931628761214442</v>
      </c>
      <c r="L46" s="68">
        <f>+G41/G23</f>
        <v>0.67125214180893011</v>
      </c>
      <c r="N46" s="251" t="s">
        <v>21</v>
      </c>
      <c r="O46" s="253" t="str">
        <f t="shared" si="9"/>
        <v>U</v>
      </c>
      <c r="P46" s="254">
        <f t="shared" si="10"/>
        <v>0</v>
      </c>
      <c r="Q46" s="255">
        <f t="shared" si="11"/>
        <v>0</v>
      </c>
      <c r="R46" s="254">
        <f t="shared" si="12"/>
        <v>0</v>
      </c>
      <c r="S46" s="255">
        <f t="shared" si="13"/>
        <v>4740</v>
      </c>
      <c r="T46" s="254">
        <f t="shared" si="14"/>
        <v>0</v>
      </c>
      <c r="U46" s="256">
        <f t="shared" si="15"/>
        <v>2653</v>
      </c>
      <c r="V46" s="328" t="s">
        <v>139</v>
      </c>
      <c r="W46" s="331"/>
      <c r="X46" s="331" t="e">
        <f>(J46*X44)+(1-J46)*X45</f>
        <v>#DIV/0!</v>
      </c>
      <c r="Y46" s="331">
        <f>(K46*Y44)+(1-K46)*Y45</f>
        <v>0</v>
      </c>
      <c r="Z46" s="330">
        <f>(L46*Z44)+(1-L46)*Z45</f>
        <v>0</v>
      </c>
    </row>
    <row r="47" spans="2:29">
      <c r="B47" s="17">
        <v>26</v>
      </c>
      <c r="C47" s="20" t="s">
        <v>22</v>
      </c>
      <c r="D47" s="61"/>
      <c r="E47" s="61"/>
      <c r="F47" s="61"/>
      <c r="G47" s="61"/>
      <c r="H47" s="252" t="s">
        <v>92</v>
      </c>
      <c r="I47" s="68" t="e">
        <f>1-I46</f>
        <v>#DIV/0!</v>
      </c>
      <c r="J47" s="68" t="e">
        <f>1-J46</f>
        <v>#DIV/0!</v>
      </c>
      <c r="K47" s="329">
        <f>1-K46</f>
        <v>0.25068371238785558</v>
      </c>
      <c r="L47" s="68">
        <f>1-L46</f>
        <v>0.32874785819106989</v>
      </c>
      <c r="N47" s="251" t="s">
        <v>22</v>
      </c>
      <c r="O47" s="253" t="str">
        <f t="shared" si="9"/>
        <v>U</v>
      </c>
      <c r="P47" s="254">
        <f t="shared" si="10"/>
        <v>0</v>
      </c>
      <c r="Q47" s="255">
        <f t="shared" si="11"/>
        <v>0</v>
      </c>
      <c r="R47" s="254">
        <f t="shared" si="12"/>
        <v>0</v>
      </c>
      <c r="S47" s="255">
        <f t="shared" si="13"/>
        <v>0</v>
      </c>
      <c r="T47" s="254">
        <f t="shared" si="14"/>
        <v>0</v>
      </c>
      <c r="U47" s="256">
        <f t="shared" si="15"/>
        <v>0</v>
      </c>
      <c r="V47" s="328" t="s">
        <v>147</v>
      </c>
      <c r="W47" s="327"/>
      <c r="X47" s="327" t="e">
        <f>+X38/X23</f>
        <v>#DIV/0!</v>
      </c>
      <c r="Y47" s="327">
        <f>+Y38/Y23</f>
        <v>0.23669657468540151</v>
      </c>
      <c r="Z47" s="326">
        <f>+Z38/Z23</f>
        <v>0.14375696822489448</v>
      </c>
    </row>
    <row r="48" spans="2:29">
      <c r="B48" s="17">
        <v>27</v>
      </c>
      <c r="C48" s="20" t="s">
        <v>64</v>
      </c>
      <c r="D48" s="61"/>
      <c r="E48" s="61"/>
      <c r="F48" s="61"/>
      <c r="G48" s="61"/>
      <c r="H48" s="252" t="s">
        <v>16</v>
      </c>
      <c r="I48" s="90" t="e">
        <f>+D41/D63</f>
        <v>#DIV/0!</v>
      </c>
      <c r="J48" s="90" t="e">
        <f>+E41/E63</f>
        <v>#DIV/0!</v>
      </c>
      <c r="K48" s="90">
        <f>+F41/F63</f>
        <v>2.9890904378055847</v>
      </c>
      <c r="L48" s="90">
        <f>+G41/G63</f>
        <v>2.0418449127014391</v>
      </c>
      <c r="N48" s="251" t="s">
        <v>64</v>
      </c>
      <c r="O48" s="253" t="str">
        <f t="shared" si="9"/>
        <v>U</v>
      </c>
      <c r="P48" s="254">
        <f t="shared" si="10"/>
        <v>0</v>
      </c>
      <c r="Q48" s="255">
        <f t="shared" si="11"/>
        <v>0</v>
      </c>
      <c r="R48" s="254">
        <f t="shared" si="12"/>
        <v>0</v>
      </c>
      <c r="S48" s="255">
        <f t="shared" si="13"/>
        <v>0</v>
      </c>
      <c r="T48" s="254">
        <f t="shared" si="14"/>
        <v>0</v>
      </c>
      <c r="U48" s="256">
        <f t="shared" si="15"/>
        <v>0</v>
      </c>
      <c r="V48" s="328" t="s">
        <v>148</v>
      </c>
      <c r="W48" s="327"/>
      <c r="X48" s="327" t="e">
        <f>+E87/E23</f>
        <v>#DIV/0!</v>
      </c>
      <c r="Y48" s="327">
        <f>+F87/F23</f>
        <v>0.13760822659053512</v>
      </c>
      <c r="Z48" s="326">
        <f>+G87/G23</f>
        <v>0.11423151758947774</v>
      </c>
    </row>
    <row r="49" spans="2:26" ht="15" customHeight="1">
      <c r="B49" s="17">
        <v>28</v>
      </c>
      <c r="C49" s="20" t="s">
        <v>24</v>
      </c>
      <c r="D49" s="61"/>
      <c r="E49" s="61"/>
      <c r="F49" s="61">
        <v>1161699</v>
      </c>
      <c r="G49" s="61">
        <v>1094353</v>
      </c>
      <c r="H49" s="252" t="s">
        <v>116</v>
      </c>
      <c r="I49" s="68" t="e">
        <f>+D52/(D63+D52)</f>
        <v>#DIV/0!</v>
      </c>
      <c r="J49" s="320" t="e">
        <f>+E52/(E63+E52)</f>
        <v>#DIV/0!</v>
      </c>
      <c r="K49" s="320">
        <f>+F52/(F63+F52)</f>
        <v>0</v>
      </c>
      <c r="L49" s="320">
        <f>+G52/(G63+G52)</f>
        <v>0</v>
      </c>
      <c r="N49" s="251" t="s">
        <v>24</v>
      </c>
      <c r="O49" s="253" t="str">
        <f t="shared" si="9"/>
        <v>U</v>
      </c>
      <c r="P49" s="254">
        <f t="shared" si="10"/>
        <v>0</v>
      </c>
      <c r="Q49" s="255">
        <f t="shared" si="11"/>
        <v>0</v>
      </c>
      <c r="R49" s="254">
        <f t="shared" si="12"/>
        <v>0</v>
      </c>
      <c r="S49" s="255">
        <f t="shared" si="13"/>
        <v>1161699</v>
      </c>
      <c r="T49" s="254">
        <f t="shared" si="14"/>
        <v>67346</v>
      </c>
      <c r="U49" s="256">
        <f t="shared" si="15"/>
        <v>0</v>
      </c>
      <c r="V49" s="390" t="s">
        <v>149</v>
      </c>
      <c r="W49" s="378"/>
      <c r="X49" s="325" t="e">
        <f>+X47-X46</f>
        <v>#DIV/0!</v>
      </c>
      <c r="Y49" s="325">
        <f>+Y47-Y46</f>
        <v>0.23669657468540151</v>
      </c>
      <c r="Z49" s="324">
        <f>+Z47-Z46</f>
        <v>0.14375696822489448</v>
      </c>
    </row>
    <row r="50" spans="2:26" ht="15.75" customHeight="1">
      <c r="B50" s="17">
        <v>29</v>
      </c>
      <c r="C50" s="21" t="s">
        <v>65</v>
      </c>
      <c r="D50" s="61"/>
      <c r="E50" s="61"/>
      <c r="F50" s="61"/>
      <c r="G50" s="61"/>
      <c r="H50" s="252" t="s">
        <v>99</v>
      </c>
      <c r="I50" s="90" t="e">
        <f>+D63/D33</f>
        <v>#DIV/0!</v>
      </c>
      <c r="J50" s="90" t="e">
        <f>+E63/E33</f>
        <v>#DIV/0!</v>
      </c>
      <c r="K50" s="90">
        <f>+F63/F33</f>
        <v>2.6622826156817774</v>
      </c>
      <c r="L50" s="90">
        <f>+G63/G33</f>
        <v>3.7582818827590785</v>
      </c>
      <c r="N50" s="258" t="s">
        <v>65</v>
      </c>
      <c r="O50" s="253" t="str">
        <f t="shared" si="9"/>
        <v>U</v>
      </c>
      <c r="P50" s="254">
        <f t="shared" si="10"/>
        <v>0</v>
      </c>
      <c r="Q50" s="255">
        <f t="shared" si="11"/>
        <v>0</v>
      </c>
      <c r="R50" s="254">
        <f t="shared" si="12"/>
        <v>0</v>
      </c>
      <c r="S50" s="255">
        <f t="shared" si="13"/>
        <v>0</v>
      </c>
      <c r="T50" s="254">
        <f t="shared" si="14"/>
        <v>0</v>
      </c>
      <c r="U50" s="256">
        <f t="shared" si="15"/>
        <v>0</v>
      </c>
      <c r="V50" s="391"/>
      <c r="W50" s="379"/>
      <c r="X50" s="323"/>
      <c r="Y50" s="323" t="e">
        <f>+Y49-X49</f>
        <v>#DIV/0!</v>
      </c>
      <c r="Z50" s="322">
        <f>+Z49-Y49</f>
        <v>-9.2939606460507029E-2</v>
      </c>
    </row>
    <row r="51" spans="2:26" ht="13.5" thickBot="1">
      <c r="B51" s="17">
        <v>0</v>
      </c>
      <c r="C51" s="35" t="s">
        <v>19</v>
      </c>
      <c r="D51" s="62">
        <f>SUM(D42:D50)</f>
        <v>0</v>
      </c>
      <c r="E51" s="62">
        <f>SUM(E42:E50)</f>
        <v>0</v>
      </c>
      <c r="F51" s="62">
        <f>SUM(F42:F50)</f>
        <v>2352462</v>
      </c>
      <c r="G51" s="62">
        <f>SUM(G42:G50)</f>
        <v>1965045</v>
      </c>
      <c r="H51" s="252" t="s">
        <v>117</v>
      </c>
      <c r="I51" s="68" t="e">
        <f>+D63/(D27+D28+D33)</f>
        <v>#DIV/0!</v>
      </c>
      <c r="J51" s="68" t="e">
        <f>+E63/(E27+E28+E33)</f>
        <v>#DIV/0!</v>
      </c>
      <c r="K51" s="68">
        <f>+F63/(F27+F28+F33)</f>
        <v>0.27998470254453606</v>
      </c>
      <c r="L51" s="68">
        <f>+G63/(G27+G28+G33)</f>
        <v>0.37647065726781259</v>
      </c>
      <c r="N51" s="259" t="s">
        <v>19</v>
      </c>
      <c r="O51" s="260"/>
      <c r="P51" s="261">
        <f t="shared" ref="P51:U51" si="16">SUM(P42:P50)</f>
        <v>0</v>
      </c>
      <c r="Q51" s="261">
        <f t="shared" si="16"/>
        <v>0</v>
      </c>
      <c r="R51" s="261">
        <f t="shared" si="16"/>
        <v>0</v>
      </c>
      <c r="S51" s="261">
        <f t="shared" si="16"/>
        <v>2352462</v>
      </c>
      <c r="T51" s="261">
        <f t="shared" si="16"/>
        <v>687851</v>
      </c>
      <c r="U51" s="261">
        <f t="shared" si="16"/>
        <v>300434</v>
      </c>
      <c r="V51" s="321"/>
      <c r="W51" s="269"/>
    </row>
    <row r="52" spans="2:26" ht="13.5" thickTop="1">
      <c r="B52" s="17">
        <v>21</v>
      </c>
      <c r="C52" s="18" t="s">
        <v>53</v>
      </c>
      <c r="D52" s="61"/>
      <c r="E52" s="61"/>
      <c r="F52" s="61"/>
      <c r="G52" s="61"/>
      <c r="H52" s="252" t="s">
        <v>118</v>
      </c>
      <c r="I52" s="68" t="e">
        <f>+D51/D41</f>
        <v>#DIV/0!</v>
      </c>
      <c r="J52" s="68" t="e">
        <f>+E51/E41</f>
        <v>#DIV/0!</v>
      </c>
      <c r="K52" s="68">
        <f>+F51/F41</f>
        <v>1</v>
      </c>
      <c r="L52" s="68">
        <f>+G51/G41</f>
        <v>1</v>
      </c>
      <c r="N52" s="246" t="s">
        <v>53</v>
      </c>
      <c r="O52" s="253" t="str">
        <f t="shared" ref="O52:O60" si="17">IF(E52-D52&gt;0,"F","U")</f>
        <v>U</v>
      </c>
      <c r="P52" s="254">
        <f t="shared" ref="P52:P60" si="18">IF(E52-D52&gt;0,0,ABS(E52-D52))</f>
        <v>0</v>
      </c>
      <c r="Q52" s="255">
        <f t="shared" ref="Q52:Q60" si="19">IF(E52-D52&lt;0,0,ABS(E52-D52))</f>
        <v>0</v>
      </c>
      <c r="R52" s="254">
        <f t="shared" ref="R52:R60" si="20">IF(F52-E52&gt;0,0,ABS(F52-E52))</f>
        <v>0</v>
      </c>
      <c r="S52" s="255">
        <f t="shared" ref="S52:S60" si="21">IF(F52-E52&lt;0,0,ABS(F52-E52))</f>
        <v>0</v>
      </c>
      <c r="T52" s="254">
        <f t="shared" ref="T52:T60" si="22">IF(G52-F52&gt;0,0,ABS(G52-F52))</f>
        <v>0</v>
      </c>
      <c r="U52" s="256">
        <f t="shared" ref="U52:U60" si="23">IF(G52-F52&lt;0,0,ABS(G52-F52))</f>
        <v>0</v>
      </c>
      <c r="V52" s="14"/>
    </row>
    <row r="53" spans="2:26">
      <c r="B53" s="17">
        <v>22</v>
      </c>
      <c r="C53" s="20" t="s">
        <v>54</v>
      </c>
      <c r="D53" s="61"/>
      <c r="E53" s="61"/>
      <c r="F53" s="61"/>
      <c r="G53" s="61"/>
      <c r="H53" s="252" t="s">
        <v>119</v>
      </c>
      <c r="I53" s="68" t="e">
        <f>+(D42+D52)/D41</f>
        <v>#DIV/0!</v>
      </c>
      <c r="J53" s="320" t="e">
        <f>+(E42+E52)/E41</f>
        <v>#DIV/0!</v>
      </c>
      <c r="K53" s="320">
        <f>+(F42+F52)/F41</f>
        <v>0.14755945048209068</v>
      </c>
      <c r="L53" s="320">
        <f>+(G42+G52)/G41</f>
        <v>0.32819044856479113</v>
      </c>
      <c r="N53" s="251" t="s">
        <v>54</v>
      </c>
      <c r="O53" s="253" t="str">
        <f t="shared" si="17"/>
        <v>U</v>
      </c>
      <c r="P53" s="254">
        <f t="shared" si="18"/>
        <v>0</v>
      </c>
      <c r="Q53" s="255">
        <f t="shared" si="19"/>
        <v>0</v>
      </c>
      <c r="R53" s="254">
        <f t="shared" si="20"/>
        <v>0</v>
      </c>
      <c r="S53" s="255">
        <f t="shared" si="21"/>
        <v>0</v>
      </c>
      <c r="T53" s="254">
        <f t="shared" si="22"/>
        <v>0</v>
      </c>
      <c r="U53" s="256">
        <f t="shared" si="23"/>
        <v>0</v>
      </c>
      <c r="V53" s="14"/>
    </row>
    <row r="54" spans="2:26">
      <c r="B54" s="17">
        <v>23</v>
      </c>
      <c r="C54" s="20" t="s">
        <v>20</v>
      </c>
      <c r="D54" s="61"/>
      <c r="E54" s="61"/>
      <c r="F54" s="61"/>
      <c r="G54" s="61"/>
      <c r="H54" s="252" t="s">
        <v>94</v>
      </c>
      <c r="I54" s="90"/>
      <c r="J54" s="371" t="e">
        <f>+(E87+E81+E82+E85+E86)/E89</f>
        <v>#DIV/0!</v>
      </c>
      <c r="K54" s="90" t="e">
        <f>+(F87+F81+F82+F85+F86)/F89</f>
        <v>#DIV/0!</v>
      </c>
      <c r="L54" s="90" t="e">
        <f>+(G87+G81+G82+G85+G86)/G89</f>
        <v>#DIV/0!</v>
      </c>
      <c r="N54" s="251" t="s">
        <v>20</v>
      </c>
      <c r="O54" s="253" t="str">
        <f t="shared" si="17"/>
        <v>U</v>
      </c>
      <c r="P54" s="254">
        <f t="shared" si="18"/>
        <v>0</v>
      </c>
      <c r="Q54" s="255">
        <f t="shared" si="19"/>
        <v>0</v>
      </c>
      <c r="R54" s="254">
        <f t="shared" si="20"/>
        <v>0</v>
      </c>
      <c r="S54" s="255">
        <f t="shared" si="21"/>
        <v>0</v>
      </c>
      <c r="T54" s="254">
        <f t="shared" si="22"/>
        <v>0</v>
      </c>
      <c r="U54" s="256">
        <f t="shared" si="23"/>
        <v>0</v>
      </c>
      <c r="V54" s="318"/>
    </row>
    <row r="55" spans="2:26">
      <c r="B55" s="22">
        <v>24</v>
      </c>
      <c r="C55" s="20" t="s">
        <v>55</v>
      </c>
      <c r="D55" s="61"/>
      <c r="E55" s="61"/>
      <c r="F55" s="61"/>
      <c r="G55" s="61"/>
      <c r="H55" s="252"/>
      <c r="I55" s="68"/>
      <c r="J55" s="68"/>
      <c r="K55" s="68"/>
      <c r="L55" s="68"/>
      <c r="N55" s="251" t="s">
        <v>55</v>
      </c>
      <c r="O55" s="253" t="str">
        <f t="shared" si="17"/>
        <v>U</v>
      </c>
      <c r="P55" s="254">
        <f t="shared" si="18"/>
        <v>0</v>
      </c>
      <c r="Q55" s="255">
        <f t="shared" si="19"/>
        <v>0</v>
      </c>
      <c r="R55" s="254">
        <f t="shared" si="20"/>
        <v>0</v>
      </c>
      <c r="S55" s="255">
        <f t="shared" si="21"/>
        <v>0</v>
      </c>
      <c r="T55" s="254">
        <f t="shared" si="22"/>
        <v>0</v>
      </c>
      <c r="U55" s="256">
        <f t="shared" si="23"/>
        <v>0</v>
      </c>
      <c r="V55" s="318"/>
    </row>
    <row r="56" spans="2:26">
      <c r="B56" s="15">
        <v>25</v>
      </c>
      <c r="C56" s="20" t="s">
        <v>21</v>
      </c>
      <c r="D56" s="61"/>
      <c r="E56" s="61"/>
      <c r="F56" s="61"/>
      <c r="G56" s="61"/>
      <c r="I56" s="80"/>
      <c r="J56" s="80"/>
      <c r="K56" s="80"/>
      <c r="L56" s="80"/>
      <c r="M56" s="80"/>
      <c r="N56" s="251" t="s">
        <v>21</v>
      </c>
      <c r="O56" s="253" t="str">
        <f t="shared" si="17"/>
        <v>U</v>
      </c>
      <c r="P56" s="254">
        <f t="shared" si="18"/>
        <v>0</v>
      </c>
      <c r="Q56" s="255">
        <f t="shared" si="19"/>
        <v>0</v>
      </c>
      <c r="R56" s="254">
        <f t="shared" si="20"/>
        <v>0</v>
      </c>
      <c r="S56" s="255">
        <f t="shared" si="21"/>
        <v>0</v>
      </c>
      <c r="T56" s="254">
        <f t="shared" si="22"/>
        <v>0</v>
      </c>
      <c r="U56" s="256">
        <f t="shared" si="23"/>
        <v>0</v>
      </c>
      <c r="V56" s="318"/>
    </row>
    <row r="57" spans="2:26" ht="13.5" customHeight="1" thickBot="1">
      <c r="B57" s="17">
        <v>26</v>
      </c>
      <c r="C57" s="20" t="s">
        <v>22</v>
      </c>
      <c r="D57" s="61"/>
      <c r="E57" s="61"/>
      <c r="F57" s="61"/>
      <c r="G57" s="61"/>
      <c r="J57" s="380" t="s">
        <v>95</v>
      </c>
      <c r="K57" s="381"/>
      <c r="L57" s="382"/>
      <c r="N57" s="251" t="s">
        <v>22</v>
      </c>
      <c r="O57" s="253" t="str">
        <f t="shared" si="17"/>
        <v>U</v>
      </c>
      <c r="P57" s="254">
        <f t="shared" si="18"/>
        <v>0</v>
      </c>
      <c r="Q57" s="255">
        <f t="shared" si="19"/>
        <v>0</v>
      </c>
      <c r="R57" s="254">
        <f t="shared" si="20"/>
        <v>0</v>
      </c>
      <c r="S57" s="255">
        <f t="shared" si="21"/>
        <v>0</v>
      </c>
      <c r="T57" s="254">
        <f t="shared" si="22"/>
        <v>0</v>
      </c>
      <c r="U57" s="256">
        <f t="shared" si="23"/>
        <v>0</v>
      </c>
      <c r="V57" s="318"/>
    </row>
    <row r="58" spans="2:26" ht="13.5" thickTop="1">
      <c r="B58" s="17">
        <v>27</v>
      </c>
      <c r="C58" s="20" t="s">
        <v>23</v>
      </c>
      <c r="D58" s="61"/>
      <c r="E58" s="61"/>
      <c r="F58" s="61"/>
      <c r="G58" s="61"/>
      <c r="N58" s="251" t="s">
        <v>23</v>
      </c>
      <c r="O58" s="253" t="str">
        <f t="shared" si="17"/>
        <v>U</v>
      </c>
      <c r="P58" s="254">
        <f t="shared" si="18"/>
        <v>0</v>
      </c>
      <c r="Q58" s="255">
        <f t="shared" si="19"/>
        <v>0</v>
      </c>
      <c r="R58" s="254">
        <f t="shared" si="20"/>
        <v>0</v>
      </c>
      <c r="S58" s="255">
        <f t="shared" si="21"/>
        <v>0</v>
      </c>
      <c r="T58" s="254">
        <f t="shared" si="22"/>
        <v>0</v>
      </c>
      <c r="U58" s="256">
        <f t="shared" si="23"/>
        <v>0</v>
      </c>
      <c r="V58" s="318"/>
      <c r="W58" s="83"/>
      <c r="X58" s="83"/>
      <c r="Y58" s="83"/>
      <c r="Z58" s="83"/>
    </row>
    <row r="59" spans="2:26">
      <c r="B59" s="17">
        <v>28</v>
      </c>
      <c r="C59" s="20" t="s">
        <v>24</v>
      </c>
      <c r="D59" s="61"/>
      <c r="E59" s="61"/>
      <c r="F59" s="61"/>
      <c r="G59" s="61"/>
      <c r="H59" s="252" t="s">
        <v>96</v>
      </c>
      <c r="I59" s="68" t="e">
        <f>+(D87+D81+D82+D85+D86)/D75</f>
        <v>#DIV/0!</v>
      </c>
      <c r="J59" s="320" t="e">
        <f>+(E87+E81+E82+E85+E86)/E75</f>
        <v>#DIV/0!</v>
      </c>
      <c r="K59" s="320">
        <f>+(F87+F81+F82+F85+F86)/F75</f>
        <v>8.4452906759665256E-2</v>
      </c>
      <c r="L59" s="320">
        <f>+(G87+G81+G82+G85+G86)/G75</f>
        <v>7.7941580582208375E-2</v>
      </c>
      <c r="N59" s="251" t="s">
        <v>24</v>
      </c>
      <c r="O59" s="253" t="str">
        <f t="shared" si="17"/>
        <v>U</v>
      </c>
      <c r="P59" s="254">
        <f t="shared" si="18"/>
        <v>0</v>
      </c>
      <c r="Q59" s="255">
        <f t="shared" si="19"/>
        <v>0</v>
      </c>
      <c r="R59" s="254">
        <f t="shared" si="20"/>
        <v>0</v>
      </c>
      <c r="S59" s="255">
        <f t="shared" si="21"/>
        <v>0</v>
      </c>
      <c r="T59" s="254">
        <f t="shared" si="22"/>
        <v>0</v>
      </c>
      <c r="U59" s="256">
        <f t="shared" si="23"/>
        <v>0</v>
      </c>
      <c r="V59" s="318"/>
      <c r="W59" s="93"/>
      <c r="X59" s="93"/>
      <c r="Y59" s="93"/>
      <c r="Z59" s="93"/>
    </row>
    <row r="60" spans="2:26">
      <c r="B60" s="17">
        <v>29</v>
      </c>
      <c r="C60" s="21" t="s">
        <v>26</v>
      </c>
      <c r="D60" s="61"/>
      <c r="E60" s="61"/>
      <c r="F60" s="61"/>
      <c r="G60" s="61"/>
      <c r="H60" s="252" t="s">
        <v>97</v>
      </c>
      <c r="I60" s="68" t="e">
        <f>+D87/D75</f>
        <v>#DIV/0!</v>
      </c>
      <c r="J60" s="320" t="e">
        <f>+E87/E75</f>
        <v>#DIV/0!</v>
      </c>
      <c r="K60" s="320">
        <f>+F87/F75</f>
        <v>8.4452906759665256E-2</v>
      </c>
      <c r="L60" s="320">
        <f>+G87/G75</f>
        <v>7.7941580582208375E-2</v>
      </c>
      <c r="N60" s="258" t="s">
        <v>26</v>
      </c>
      <c r="O60" s="253" t="str">
        <f t="shared" si="17"/>
        <v>U</v>
      </c>
      <c r="P60" s="254">
        <f t="shared" si="18"/>
        <v>0</v>
      </c>
      <c r="Q60" s="255">
        <f t="shared" si="19"/>
        <v>0</v>
      </c>
      <c r="R60" s="254">
        <f t="shared" si="20"/>
        <v>0</v>
      </c>
      <c r="S60" s="255">
        <f t="shared" si="21"/>
        <v>0</v>
      </c>
      <c r="T60" s="254">
        <f t="shared" si="22"/>
        <v>0</v>
      </c>
      <c r="U60" s="256">
        <f t="shared" si="23"/>
        <v>0</v>
      </c>
      <c r="V60" s="318"/>
    </row>
    <row r="61" spans="2:26" ht="13.5" thickBot="1">
      <c r="B61" s="22">
        <v>0</v>
      </c>
      <c r="C61" s="35" t="s">
        <v>27</v>
      </c>
      <c r="D61" s="62">
        <f>SUM(D52:D60)</f>
        <v>0</v>
      </c>
      <c r="E61" s="62">
        <f>SUM(E52:E60)</f>
        <v>0</v>
      </c>
      <c r="F61" s="62">
        <f>SUM(F52:F60)</f>
        <v>0</v>
      </c>
      <c r="G61" s="62">
        <f>SUM(G52:G60)</f>
        <v>0</v>
      </c>
      <c r="H61" s="252" t="s">
        <v>98</v>
      </c>
      <c r="I61" s="68" t="e">
        <f>+D93/D75</f>
        <v>#DIV/0!</v>
      </c>
      <c r="J61" s="320" t="e">
        <f>+E93/E75</f>
        <v>#DIV/0!</v>
      </c>
      <c r="K61" s="320">
        <f>+F93/F75</f>
        <v>4.3054526545844095E-2</v>
      </c>
      <c r="L61" s="320">
        <f>+G93/G75</f>
        <v>4.0874666731306249E-2</v>
      </c>
      <c r="N61" s="259" t="s">
        <v>27</v>
      </c>
      <c r="O61" s="260"/>
      <c r="P61" s="263">
        <f t="shared" ref="P61:U61" si="24">SUM(P52:P60)</f>
        <v>0</v>
      </c>
      <c r="Q61" s="263">
        <f t="shared" si="24"/>
        <v>0</v>
      </c>
      <c r="R61" s="263">
        <f t="shared" si="24"/>
        <v>0</v>
      </c>
      <c r="S61" s="263">
        <f t="shared" si="24"/>
        <v>0</v>
      </c>
      <c r="T61" s="263">
        <f t="shared" si="24"/>
        <v>0</v>
      </c>
      <c r="U61" s="263">
        <f t="shared" si="24"/>
        <v>0</v>
      </c>
      <c r="V61" s="14"/>
    </row>
    <row r="62" spans="2:26" ht="13.5" thickTop="1">
      <c r="B62" s="13"/>
      <c r="C62" s="14"/>
      <c r="D62" s="72">
        <f>+D23-D71</f>
        <v>0</v>
      </c>
      <c r="E62" s="72">
        <f>+E23-E71</f>
        <v>0</v>
      </c>
      <c r="F62" s="72">
        <f>+F23-F71</f>
        <v>0</v>
      </c>
      <c r="G62" s="72">
        <f>+G23-G71</f>
        <v>0</v>
      </c>
      <c r="H62" s="252" t="s">
        <v>13</v>
      </c>
      <c r="I62" s="68"/>
      <c r="J62" s="68" t="e">
        <f>+J31/AVERAGE(D23:E23)</f>
        <v>#DIV/0!</v>
      </c>
      <c r="K62" s="68" t="e">
        <f>+K31/AVERAGE(E23:F23)</f>
        <v>#DIV/0!</v>
      </c>
      <c r="L62" s="68">
        <f>+L31/AVERAGE(F23:G23)</f>
        <v>-7.4484903872542033E-8</v>
      </c>
      <c r="N62" s="14"/>
      <c r="O62" s="14"/>
      <c r="P62" s="14"/>
      <c r="Q62" s="14"/>
      <c r="R62" s="14"/>
      <c r="S62" s="14"/>
      <c r="T62" s="14"/>
      <c r="U62" s="14"/>
      <c r="V62" s="318"/>
    </row>
    <row r="63" spans="2:26" ht="13.5" thickBot="1">
      <c r="B63" s="15">
        <v>30</v>
      </c>
      <c r="C63" s="35" t="s">
        <v>28</v>
      </c>
      <c r="D63" s="62">
        <f>SUM(D64:D70)</f>
        <v>0</v>
      </c>
      <c r="E63" s="62">
        <f>SUM(E64:E70)</f>
        <v>0</v>
      </c>
      <c r="F63" s="62">
        <f>SUM(F64:F70)</f>
        <v>787016</v>
      </c>
      <c r="G63" s="69">
        <f>SUM(G64:G70)</f>
        <v>962387</v>
      </c>
      <c r="H63" s="252" t="s">
        <v>14</v>
      </c>
      <c r="I63" s="68" t="e">
        <f>+D93/D63</f>
        <v>#DIV/0!</v>
      </c>
      <c r="J63" s="68" t="e">
        <f>+E93/E63</f>
        <v>#DIV/0!</v>
      </c>
      <c r="K63" s="68">
        <f>+F93/F63</f>
        <v>0.27984818605974976</v>
      </c>
      <c r="L63" s="68">
        <f>+G93/G63</f>
        <v>0.18222503005547663</v>
      </c>
      <c r="N63" s="259" t="s">
        <v>28</v>
      </c>
      <c r="O63" s="260"/>
      <c r="P63" s="263">
        <f t="shared" ref="P63:U63" si="25">SUM(P64:P70)</f>
        <v>0</v>
      </c>
      <c r="Q63" s="263">
        <f t="shared" si="25"/>
        <v>0</v>
      </c>
      <c r="R63" s="263">
        <f t="shared" si="25"/>
        <v>0</v>
      </c>
      <c r="S63" s="263">
        <f t="shared" si="25"/>
        <v>787016</v>
      </c>
      <c r="T63" s="263">
        <f t="shared" si="25"/>
        <v>44874</v>
      </c>
      <c r="U63" s="263">
        <f t="shared" si="25"/>
        <v>220245</v>
      </c>
      <c r="V63" s="318"/>
    </row>
    <row r="64" spans="2:26" ht="13.5" thickTop="1">
      <c r="B64" s="17">
        <v>31</v>
      </c>
      <c r="C64" s="36" t="s">
        <v>29</v>
      </c>
      <c r="D64" s="66"/>
      <c r="E64" s="66"/>
      <c r="F64" s="66">
        <v>200000</v>
      </c>
      <c r="G64" s="66">
        <v>200000</v>
      </c>
      <c r="H64" s="270"/>
      <c r="N64" s="36" t="s">
        <v>29</v>
      </c>
      <c r="O64" s="253" t="str">
        <f t="shared" ref="O64:O70" si="26">IF(E64-D64&gt;0,"F","U")</f>
        <v>U</v>
      </c>
      <c r="P64" s="254">
        <f t="shared" ref="P64:P70" si="27">IF(E64-D64&gt;0,0,ABS(E64-D64))</f>
        <v>0</v>
      </c>
      <c r="Q64" s="255">
        <f t="shared" ref="Q64:Q70" si="28">IF(E64-D64&lt;0,0,ABS(E64-D64))</f>
        <v>0</v>
      </c>
      <c r="R64" s="254">
        <f t="shared" ref="R64:R70" si="29">IF(F64-E64&gt;0,0,ABS(F64-E64))</f>
        <v>0</v>
      </c>
      <c r="S64" s="255">
        <f t="shared" ref="S64:S70" si="30">IF(F64-E64&lt;0,0,ABS(F64-E64))</f>
        <v>200000</v>
      </c>
      <c r="T64" s="254">
        <f t="shared" ref="T64:T70" si="31">IF(G64-F64&gt;0,0,ABS(G64-F64))</f>
        <v>0</v>
      </c>
      <c r="U64" s="256">
        <f t="shared" ref="U64:U70" si="32">IF(G64-F64&lt;0,0,ABS(G64-F64))</f>
        <v>0</v>
      </c>
      <c r="V64" s="318"/>
    </row>
    <row r="65" spans="2:26">
      <c r="B65" s="17">
        <v>32</v>
      </c>
      <c r="C65" s="37" t="s">
        <v>30</v>
      </c>
      <c r="D65" s="66"/>
      <c r="E65" s="66"/>
      <c r="F65" s="66"/>
      <c r="G65" s="66"/>
      <c r="H65" s="252"/>
      <c r="I65" s="90"/>
      <c r="J65" s="90"/>
      <c r="K65" s="90"/>
      <c r="L65" s="90"/>
      <c r="N65" s="37" t="s">
        <v>30</v>
      </c>
      <c r="O65" s="253" t="str">
        <f t="shared" si="26"/>
        <v>U</v>
      </c>
      <c r="P65" s="254">
        <f t="shared" si="27"/>
        <v>0</v>
      </c>
      <c r="Q65" s="255">
        <f t="shared" si="28"/>
        <v>0</v>
      </c>
      <c r="R65" s="254">
        <f t="shared" si="29"/>
        <v>0</v>
      </c>
      <c r="S65" s="255">
        <f t="shared" si="30"/>
        <v>0</v>
      </c>
      <c r="T65" s="254">
        <f t="shared" si="31"/>
        <v>0</v>
      </c>
      <c r="U65" s="256">
        <f t="shared" si="32"/>
        <v>0</v>
      </c>
      <c r="V65" s="318"/>
    </row>
    <row r="66" spans="2:26">
      <c r="B66" s="17">
        <v>33</v>
      </c>
      <c r="C66" s="37" t="s">
        <v>66</v>
      </c>
      <c r="D66" s="66"/>
      <c r="E66" s="66"/>
      <c r="F66" s="66">
        <v>21111</v>
      </c>
      <c r="G66" s="66">
        <v>21111</v>
      </c>
      <c r="H66" s="252"/>
      <c r="I66" s="90"/>
      <c r="J66" s="90"/>
      <c r="K66" s="90"/>
      <c r="L66" s="90"/>
      <c r="N66" s="37" t="s">
        <v>66</v>
      </c>
      <c r="O66" s="253" t="str">
        <f t="shared" si="26"/>
        <v>U</v>
      </c>
      <c r="P66" s="254">
        <f t="shared" si="27"/>
        <v>0</v>
      </c>
      <c r="Q66" s="255">
        <f t="shared" si="28"/>
        <v>0</v>
      </c>
      <c r="R66" s="254">
        <f t="shared" si="29"/>
        <v>0</v>
      </c>
      <c r="S66" s="255">
        <f t="shared" si="30"/>
        <v>21111</v>
      </c>
      <c r="T66" s="254">
        <f t="shared" si="31"/>
        <v>0</v>
      </c>
      <c r="U66" s="256">
        <f t="shared" si="32"/>
        <v>0</v>
      </c>
      <c r="V66" s="317"/>
    </row>
    <row r="67" spans="2:26">
      <c r="B67" s="17">
        <v>34</v>
      </c>
      <c r="C67" s="37" t="s">
        <v>31</v>
      </c>
      <c r="D67" s="66"/>
      <c r="E67" s="66"/>
      <c r="F67" s="66">
        <v>6131</v>
      </c>
      <c r="G67" s="66">
        <v>6131</v>
      </c>
      <c r="H67" s="252"/>
      <c r="I67" s="84"/>
      <c r="J67" s="68"/>
      <c r="K67" s="68"/>
      <c r="L67" s="68"/>
      <c r="N67" s="37" t="s">
        <v>31</v>
      </c>
      <c r="O67" s="253" t="str">
        <f t="shared" si="26"/>
        <v>U</v>
      </c>
      <c r="P67" s="254">
        <f t="shared" si="27"/>
        <v>0</v>
      </c>
      <c r="Q67" s="255">
        <f t="shared" si="28"/>
        <v>0</v>
      </c>
      <c r="R67" s="254">
        <f t="shared" si="29"/>
        <v>0</v>
      </c>
      <c r="S67" s="255">
        <f t="shared" si="30"/>
        <v>6131</v>
      </c>
      <c r="T67" s="254">
        <f t="shared" si="31"/>
        <v>0</v>
      </c>
      <c r="U67" s="256">
        <f t="shared" si="32"/>
        <v>0</v>
      </c>
      <c r="V67" s="392"/>
    </row>
    <row r="68" spans="2:26">
      <c r="B68" s="17">
        <v>35</v>
      </c>
      <c r="C68" s="37" t="s">
        <v>32</v>
      </c>
      <c r="D68" s="66"/>
      <c r="E68" s="66"/>
      <c r="F68" s="66"/>
      <c r="G68" s="66"/>
      <c r="H68" s="252"/>
      <c r="I68" s="19"/>
      <c r="J68" s="19"/>
      <c r="K68" s="68"/>
      <c r="L68" s="68"/>
      <c r="N68" s="37" t="s">
        <v>32</v>
      </c>
      <c r="O68" s="253" t="str">
        <f t="shared" si="26"/>
        <v>U</v>
      </c>
      <c r="P68" s="254">
        <f t="shared" si="27"/>
        <v>0</v>
      </c>
      <c r="Q68" s="255">
        <f t="shared" si="28"/>
        <v>0</v>
      </c>
      <c r="R68" s="254">
        <f t="shared" si="29"/>
        <v>0</v>
      </c>
      <c r="S68" s="255">
        <f t="shared" si="30"/>
        <v>0</v>
      </c>
      <c r="T68" s="254">
        <f t="shared" si="31"/>
        <v>0</v>
      </c>
      <c r="U68" s="256">
        <f t="shared" si="32"/>
        <v>0</v>
      </c>
      <c r="V68" s="392"/>
    </row>
    <row r="69" spans="2:26">
      <c r="B69" s="17">
        <v>36</v>
      </c>
      <c r="C69" s="37" t="s">
        <v>33</v>
      </c>
      <c r="D69" s="66"/>
      <c r="E69" s="66"/>
      <c r="F69" s="66">
        <v>220245</v>
      </c>
      <c r="G69" s="66">
        <v>175371</v>
      </c>
      <c r="H69" s="252"/>
      <c r="I69" s="19"/>
      <c r="J69" s="68"/>
      <c r="K69" s="68"/>
      <c r="L69" s="68"/>
      <c r="N69" s="37" t="s">
        <v>33</v>
      </c>
      <c r="O69" s="253" t="str">
        <f t="shared" si="26"/>
        <v>U</v>
      </c>
      <c r="P69" s="254">
        <f t="shared" si="27"/>
        <v>0</v>
      </c>
      <c r="Q69" s="255">
        <f t="shared" si="28"/>
        <v>0</v>
      </c>
      <c r="R69" s="254">
        <f t="shared" si="29"/>
        <v>0</v>
      </c>
      <c r="S69" s="255">
        <f t="shared" si="30"/>
        <v>220245</v>
      </c>
      <c r="T69" s="254">
        <f t="shared" si="31"/>
        <v>44874</v>
      </c>
      <c r="U69" s="256">
        <f t="shared" si="32"/>
        <v>0</v>
      </c>
      <c r="V69" s="14"/>
    </row>
    <row r="70" spans="2:26">
      <c r="B70" s="17">
        <v>37</v>
      </c>
      <c r="C70" s="38" t="s">
        <v>34</v>
      </c>
      <c r="D70" s="66"/>
      <c r="E70" s="66"/>
      <c r="F70" s="66">
        <v>339529</v>
      </c>
      <c r="G70" s="66">
        <v>559774</v>
      </c>
      <c r="N70" s="38" t="s">
        <v>34</v>
      </c>
      <c r="O70" s="253" t="str">
        <f t="shared" si="26"/>
        <v>U</v>
      </c>
      <c r="P70" s="254">
        <f t="shared" si="27"/>
        <v>0</v>
      </c>
      <c r="Q70" s="255">
        <f t="shared" si="28"/>
        <v>0</v>
      </c>
      <c r="R70" s="254">
        <f t="shared" si="29"/>
        <v>0</v>
      </c>
      <c r="S70" s="255">
        <f t="shared" si="30"/>
        <v>339529</v>
      </c>
      <c r="T70" s="254">
        <f t="shared" si="31"/>
        <v>0</v>
      </c>
      <c r="U70" s="256">
        <f t="shared" si="32"/>
        <v>220245</v>
      </c>
      <c r="V70" s="14"/>
    </row>
    <row r="71" spans="2:26" ht="13.5" thickBot="1">
      <c r="B71" s="17"/>
      <c r="C71" s="42" t="s">
        <v>36</v>
      </c>
      <c r="D71" s="57">
        <f>+D63+D41</f>
        <v>0</v>
      </c>
      <c r="E71" s="57">
        <f>+E63+E41</f>
        <v>0</v>
      </c>
      <c r="F71" s="57">
        <f>+F63+F41</f>
        <v>3139478</v>
      </c>
      <c r="G71" s="70">
        <f>+G63+G41</f>
        <v>2927432</v>
      </c>
      <c r="H71" s="244" t="s">
        <v>75</v>
      </c>
      <c r="I71" s="19"/>
      <c r="J71" s="19"/>
      <c r="K71" s="19"/>
      <c r="L71" s="19"/>
      <c r="N71" s="271" t="s">
        <v>109</v>
      </c>
      <c r="O71" s="272"/>
      <c r="P71" s="114">
        <f t="shared" ref="P71:U71" si="33">+SUM(P25:P29)-P27+SUM(P31:P37)+SUM(P42:P50)+SUM(P52:P60)+SUM(P64:P70)</f>
        <v>0</v>
      </c>
      <c r="Q71" s="114">
        <f t="shared" si="33"/>
        <v>0</v>
      </c>
      <c r="R71" s="114">
        <f t="shared" si="33"/>
        <v>3129669</v>
      </c>
      <c r="S71" s="114">
        <f t="shared" si="33"/>
        <v>3139478</v>
      </c>
      <c r="T71" s="114">
        <f t="shared" si="33"/>
        <v>736816</v>
      </c>
      <c r="U71" s="114">
        <f t="shared" si="33"/>
        <v>729119</v>
      </c>
      <c r="V71" s="14"/>
    </row>
    <row r="72" spans="2:26" ht="13.5" thickTop="1">
      <c r="B72" s="22">
        <v>38</v>
      </c>
      <c r="C72" s="39" t="s">
        <v>35</v>
      </c>
      <c r="D72" s="40">
        <f>+D39</f>
        <v>0</v>
      </c>
      <c r="E72" s="79">
        <f>+E39</f>
        <v>0</v>
      </c>
      <c r="F72" s="40">
        <f>+F39</f>
        <v>0</v>
      </c>
      <c r="G72" s="79">
        <f>+G39</f>
        <v>0</v>
      </c>
      <c r="H72" s="252" t="s">
        <v>120</v>
      </c>
      <c r="I72" s="19"/>
      <c r="J72" s="73" t="e">
        <f>+((E75-D75)/D75)/((E28-D28)/D28)</f>
        <v>#DIV/0!</v>
      </c>
      <c r="K72" s="74" t="e">
        <f>+((F75-E75)/E75)/((F28-E28)/E28)</f>
        <v>#DIV/0!</v>
      </c>
      <c r="L72" s="74">
        <f>+((G75-F75)/F75)/((G28-F28)/F28)</f>
        <v>1.8734240885427385</v>
      </c>
      <c r="N72" s="271" t="s">
        <v>108</v>
      </c>
      <c r="O72" s="272"/>
      <c r="P72" s="114" t="str">
        <f>IF($Q$71-$P$71&lt;0,ABS($Q$71-$P$71),"")</f>
        <v/>
      </c>
      <c r="Q72" s="114">
        <f>IF($Q$71-$P$71&gt;0,ABS($Q$71-$P$71),0)</f>
        <v>0</v>
      </c>
      <c r="R72" s="114">
        <f>IF($S$71-$R$71&lt;0,ABS($S$71-$R$71),0)</f>
        <v>0</v>
      </c>
      <c r="S72" s="114">
        <f>IF($S$71-$R$71&gt;0,ABS($S$71-$R$71),0)</f>
        <v>9809</v>
      </c>
      <c r="T72" s="114">
        <f>IF($U$71-$T$71&lt;0,ABS($U$71-$T$71),0)</f>
        <v>7697</v>
      </c>
      <c r="U72" s="114">
        <f>IF($U$71-$T$71&gt;0,ABS($U$71-$T$71),0)</f>
        <v>0</v>
      </c>
      <c r="V72" s="14"/>
    </row>
    <row r="73" spans="2:26" s="77" customFormat="1" ht="22.5">
      <c r="B73" s="75"/>
      <c r="C73" s="76" t="s">
        <v>69</v>
      </c>
      <c r="D73" s="78" t="str">
        <f>+IF(D71=D23,"OK","ERROR")</f>
        <v>OK</v>
      </c>
      <c r="E73" s="78" t="str">
        <f>+IF(E71=E23,"OK","ERROR")</f>
        <v>OK</v>
      </c>
      <c r="F73" s="78" t="str">
        <f>+IF(F71=F23,"OK","ERROR")</f>
        <v>OK</v>
      </c>
      <c r="G73" s="78" t="str">
        <f>+IF(G71=G23,"OK","ERROR")</f>
        <v>OK</v>
      </c>
      <c r="H73" s="252" t="s">
        <v>121</v>
      </c>
      <c r="I73" s="19"/>
      <c r="J73" s="73" t="e">
        <f>+((E27-D27)/D27)/((E28-D28)/D28)</f>
        <v>#DIV/0!</v>
      </c>
      <c r="K73" s="74" t="e">
        <f>+((F27-E27)/E27)/((F28-E28)/E28)</f>
        <v>#DIV/0!</v>
      </c>
      <c r="L73" s="74">
        <f>+((G27-F27)/F27)/((G28-F28)/F28)</f>
        <v>0.96848649807740295</v>
      </c>
      <c r="N73" s="271" t="s">
        <v>104</v>
      </c>
      <c r="O73" s="272"/>
      <c r="P73" s="114" t="str">
        <f>IF($E$24-$D$24&lt;0,ABS($E$24-$D$24),"")</f>
        <v/>
      </c>
      <c r="Q73" s="114">
        <f>IF($E$24-$D$24&gt;0,ABS($E$24-$D$24),0)</f>
        <v>0</v>
      </c>
      <c r="R73" s="114">
        <f>IF($F$24-$E$24&lt;0,ABS($F$24-$E$24),0)</f>
        <v>0</v>
      </c>
      <c r="S73" s="114">
        <f>IF($F$24-$E$24&gt;0,ABS($F$24-$E$24),0)</f>
        <v>9809</v>
      </c>
      <c r="T73" s="114">
        <f>IF($G$24-$F$24&lt;0,ABS($G$24-$F$24),0)</f>
        <v>7697</v>
      </c>
      <c r="U73" s="114">
        <f>IF($G$24-$F$24&gt;0,ABS($G$24-$F$24),0)</f>
        <v>0</v>
      </c>
      <c r="V73" s="315"/>
      <c r="W73" s="142"/>
      <c r="X73" s="142"/>
      <c r="Y73" s="142"/>
      <c r="Z73" s="142"/>
    </row>
    <row r="74" spans="2:26">
      <c r="B74" s="23"/>
      <c r="C74" s="41"/>
      <c r="D74" s="100">
        <f>+D71-D23</f>
        <v>0</v>
      </c>
      <c r="E74" s="100">
        <f>+E71-E23</f>
        <v>0</v>
      </c>
      <c r="F74" s="100">
        <f>+F71-F23</f>
        <v>0</v>
      </c>
      <c r="G74" s="100">
        <f>+G71-G23</f>
        <v>0</v>
      </c>
      <c r="H74" s="252" t="s">
        <v>76</v>
      </c>
      <c r="I74" s="68" t="e">
        <f>+I75*I76*I77</f>
        <v>#DIV/0!</v>
      </c>
      <c r="J74" s="68" t="e">
        <f>+J75*J76*J77</f>
        <v>#DIV/0!</v>
      </c>
      <c r="K74" s="68">
        <f>+K75*K76*K77</f>
        <v>0.27984818605974976</v>
      </c>
      <c r="L74" s="68">
        <f>+L75*L76*L77</f>
        <v>0.18222503005547663</v>
      </c>
      <c r="N74" s="14"/>
      <c r="O74" s="14"/>
      <c r="P74" s="110"/>
      <c r="Q74" s="104"/>
      <c r="R74" s="103"/>
      <c r="S74" s="104"/>
      <c r="T74" s="103"/>
      <c r="U74" s="104"/>
      <c r="W74" s="83"/>
      <c r="X74" s="83"/>
      <c r="Y74" s="83"/>
      <c r="Z74" s="83"/>
    </row>
    <row r="75" spans="2:26" ht="13.5" thickBot="1">
      <c r="B75" s="15">
        <v>41</v>
      </c>
      <c r="C75" s="24" t="s">
        <v>37</v>
      </c>
      <c r="D75" s="44"/>
      <c r="E75" s="44"/>
      <c r="F75" s="44">
        <v>5115490</v>
      </c>
      <c r="G75" s="44">
        <v>4290457</v>
      </c>
      <c r="H75" s="252" t="s">
        <v>77</v>
      </c>
      <c r="I75" s="68" t="e">
        <f>+D93/D75</f>
        <v>#DIV/0!</v>
      </c>
      <c r="J75" s="68" t="e">
        <f>+E93/E75</f>
        <v>#DIV/0!</v>
      </c>
      <c r="K75" s="68">
        <f>+F93/F75</f>
        <v>4.3054526545844095E-2</v>
      </c>
      <c r="L75" s="68">
        <f>+G93/G75</f>
        <v>4.0874666731306249E-2</v>
      </c>
      <c r="N75" s="275" t="s">
        <v>107</v>
      </c>
      <c r="O75" s="275"/>
      <c r="P75" s="111" t="e">
        <f t="shared" ref="P75:U75" si="34">+P72-P73</f>
        <v>#VALUE!</v>
      </c>
      <c r="Q75" s="112">
        <f t="shared" si="34"/>
        <v>0</v>
      </c>
      <c r="R75" s="113">
        <f t="shared" si="34"/>
        <v>0</v>
      </c>
      <c r="S75" s="112">
        <f t="shared" si="34"/>
        <v>0</v>
      </c>
      <c r="T75" s="113">
        <f t="shared" si="34"/>
        <v>0</v>
      </c>
      <c r="U75" s="112">
        <f t="shared" si="34"/>
        <v>0</v>
      </c>
    </row>
    <row r="76" spans="2:26" ht="13.5" thickTop="1">
      <c r="B76" s="17"/>
      <c r="C76" s="25" t="s">
        <v>80</v>
      </c>
      <c r="D76" s="54"/>
      <c r="E76" s="54"/>
      <c r="F76" s="54"/>
      <c r="G76" s="54"/>
      <c r="H76" s="252" t="s">
        <v>78</v>
      </c>
      <c r="I76" s="313" t="e">
        <f>+D75/D23</f>
        <v>#DIV/0!</v>
      </c>
      <c r="J76" s="313" t="e">
        <f>+E75/E23</f>
        <v>#DIV/0!</v>
      </c>
      <c r="K76" s="313">
        <f>+F75/F23</f>
        <v>1.6294078187520347</v>
      </c>
      <c r="L76" s="313">
        <f>+G75/G23</f>
        <v>1.4656043248826958</v>
      </c>
      <c r="N76" s="72"/>
      <c r="O76" s="14"/>
    </row>
    <row r="77" spans="2:26">
      <c r="B77" s="17">
        <v>61</v>
      </c>
      <c r="C77" s="25" t="s">
        <v>38</v>
      </c>
      <c r="D77" s="54"/>
      <c r="E77" s="54"/>
      <c r="F77" s="54">
        <v>4620499</v>
      </c>
      <c r="G77" s="54">
        <v>3859435</v>
      </c>
      <c r="H77" s="252" t="s">
        <v>79</v>
      </c>
      <c r="I77" s="313" t="e">
        <f>+D23/D63</f>
        <v>#DIV/0!</v>
      </c>
      <c r="J77" s="313" t="e">
        <f>+E23/E63</f>
        <v>#DIV/0!</v>
      </c>
      <c r="K77" s="313">
        <f>+F23/F63</f>
        <v>3.9890904378055847</v>
      </c>
      <c r="L77" s="313">
        <f>+G23/G63</f>
        <v>3.0418449127014391</v>
      </c>
      <c r="N77" s="276" t="s">
        <v>110</v>
      </c>
      <c r="O77" s="128"/>
      <c r="P77" s="129">
        <f t="shared" ref="P77:U77" si="35">+P30+P51</f>
        <v>0</v>
      </c>
      <c r="Q77" s="130">
        <f t="shared" si="35"/>
        <v>0</v>
      </c>
      <c r="R77" s="120">
        <f t="shared" si="35"/>
        <v>3387508</v>
      </c>
      <c r="S77" s="121">
        <f t="shared" si="35"/>
        <v>2352462</v>
      </c>
      <c r="T77" s="120">
        <f t="shared" si="35"/>
        <v>691942</v>
      </c>
      <c r="U77" s="121">
        <f t="shared" si="35"/>
        <v>515473</v>
      </c>
    </row>
    <row r="78" spans="2:26" ht="13.5" thickBot="1">
      <c r="B78" s="17"/>
      <c r="C78" s="45" t="s">
        <v>39</v>
      </c>
      <c r="D78" s="46">
        <f>+D75-D77</f>
        <v>0</v>
      </c>
      <c r="E78" s="46">
        <f>+E75-E77</f>
        <v>0</v>
      </c>
      <c r="F78" s="46">
        <f>+F75-F77</f>
        <v>494991</v>
      </c>
      <c r="G78" s="71">
        <f>+G75-G77</f>
        <v>431022</v>
      </c>
      <c r="H78" s="14"/>
      <c r="I78" s="96"/>
      <c r="J78" s="277"/>
      <c r="K78" s="14"/>
      <c r="L78" s="14"/>
      <c r="N78" s="131" t="str">
        <f>+IF(P78&gt;0,"Usos","Fuentes")</f>
        <v>Fuentes</v>
      </c>
      <c r="O78" s="132"/>
      <c r="P78" s="133">
        <f>IF(P77-Q77&lt;0,0,P77-Q77)</f>
        <v>0</v>
      </c>
      <c r="Q78" s="134">
        <f>IF(Q77-P77&lt;0,0,Q77-P77)</f>
        <v>0</v>
      </c>
      <c r="R78" s="122">
        <f>IF(R77-S77&lt;0,0,R77-S77)</f>
        <v>1035046</v>
      </c>
      <c r="S78" s="123">
        <f>IF(S77-R77&lt;0,0,S77-R77)</f>
        <v>0</v>
      </c>
      <c r="T78" s="122">
        <f>IF(T77-U77&lt;0,0,T77-U77)</f>
        <v>176469</v>
      </c>
      <c r="U78" s="123">
        <f>IF(U77-T77&lt;0,0,U77-T77)</f>
        <v>0</v>
      </c>
    </row>
    <row r="79" spans="2:26" ht="17.25" thickTop="1" thickBot="1">
      <c r="B79" s="17">
        <v>51</v>
      </c>
      <c r="C79" s="26" t="s">
        <v>40</v>
      </c>
      <c r="D79" s="55"/>
      <c r="E79" s="55"/>
      <c r="F79" s="55">
        <v>25180</v>
      </c>
      <c r="G79" s="55">
        <v>29879</v>
      </c>
      <c r="H79" s="278" t="s">
        <v>150</v>
      </c>
      <c r="I79" s="278">
        <v>2007</v>
      </c>
      <c r="J79" s="278">
        <v>2008</v>
      </c>
      <c r="K79" s="278">
        <v>2009</v>
      </c>
      <c r="L79" s="278">
        <v>2010</v>
      </c>
      <c r="N79" s="276" t="s">
        <v>111</v>
      </c>
      <c r="O79" s="128"/>
      <c r="P79" s="135">
        <f t="shared" ref="P79:U79" si="36">+P63+P61+P38</f>
        <v>0</v>
      </c>
      <c r="Q79" s="136">
        <f t="shared" si="36"/>
        <v>0</v>
      </c>
      <c r="R79" s="124">
        <f t="shared" si="36"/>
        <v>295617</v>
      </c>
      <c r="S79" s="125">
        <f t="shared" si="36"/>
        <v>787016</v>
      </c>
      <c r="T79" s="124">
        <f t="shared" si="36"/>
        <v>44874</v>
      </c>
      <c r="U79" s="125">
        <f t="shared" si="36"/>
        <v>259791</v>
      </c>
    </row>
    <row r="80" spans="2:26" ht="13.5" thickTop="1">
      <c r="B80" s="17">
        <v>5105</v>
      </c>
      <c r="C80" s="25" t="s">
        <v>70</v>
      </c>
      <c r="D80" s="54"/>
      <c r="E80" s="54"/>
      <c r="F80" s="54"/>
      <c r="G80" s="54"/>
      <c r="H80" t="s">
        <v>122</v>
      </c>
      <c r="I80" s="147">
        <f>+D87</f>
        <v>0</v>
      </c>
      <c r="J80" s="147">
        <f>+E87</f>
        <v>0</v>
      </c>
      <c r="K80" s="147">
        <f>+F87</f>
        <v>432018</v>
      </c>
      <c r="L80" s="147">
        <f>+G87</f>
        <v>334405</v>
      </c>
      <c r="N80" s="137" t="str">
        <f>+IF(P80&gt;0,"Usos","Fuentes")</f>
        <v>Fuentes</v>
      </c>
      <c r="O80" s="138"/>
      <c r="P80" s="139">
        <f>IF(P79-Q79&lt;0,0,P79-Q79)</f>
        <v>0</v>
      </c>
      <c r="Q80" s="140">
        <f>IF(Q79-P79&lt;0,0,Q79-P79)</f>
        <v>0</v>
      </c>
      <c r="R80" s="126">
        <f>IF(R79-S79&lt;0,0,R79-S79)</f>
        <v>0</v>
      </c>
      <c r="S80" s="127">
        <f>IF(S79-R79&lt;0,0,S79-R79)</f>
        <v>491399</v>
      </c>
      <c r="T80" s="126">
        <f>IF(T79-U79&lt;0,0,T79-U79)</f>
        <v>0</v>
      </c>
      <c r="U80" s="127">
        <f>IF(U79-T79&lt;0,0,U79-T79)</f>
        <v>214917</v>
      </c>
    </row>
    <row r="81" spans="2:23">
      <c r="B81" s="17">
        <v>5160</v>
      </c>
      <c r="C81" s="25" t="s">
        <v>71</v>
      </c>
      <c r="D81" s="54"/>
      <c r="E81" s="54"/>
      <c r="F81" s="54"/>
      <c r="G81" s="54"/>
      <c r="H81" t="s">
        <v>123</v>
      </c>
      <c r="I81" s="96">
        <f t="shared" ref="I81:L82" si="37">+D81+D85</f>
        <v>0</v>
      </c>
      <c r="J81" s="96">
        <f t="shared" si="37"/>
        <v>0</v>
      </c>
      <c r="K81" s="96">
        <f t="shared" si="37"/>
        <v>0</v>
      </c>
      <c r="L81" s="96">
        <f t="shared" si="37"/>
        <v>0</v>
      </c>
    </row>
    <row r="82" spans="2:23">
      <c r="B82" s="17">
        <v>5165</v>
      </c>
      <c r="C82" s="25" t="s">
        <v>72</v>
      </c>
      <c r="D82" s="54"/>
      <c r="E82" s="54"/>
      <c r="F82" s="54"/>
      <c r="G82" s="54"/>
      <c r="H82" t="s">
        <v>124</v>
      </c>
      <c r="I82" s="96">
        <f t="shared" si="37"/>
        <v>0</v>
      </c>
      <c r="J82" s="96">
        <f t="shared" si="37"/>
        <v>0</v>
      </c>
      <c r="K82" s="96">
        <f t="shared" si="37"/>
        <v>0</v>
      </c>
      <c r="L82" s="96">
        <f t="shared" si="37"/>
        <v>0</v>
      </c>
      <c r="N82" s="118" t="s">
        <v>109</v>
      </c>
      <c r="O82" s="119"/>
      <c r="P82" s="126">
        <f>+P77+P79</f>
        <v>0</v>
      </c>
      <c r="Q82" s="127">
        <f>+SUM(Q36:Q40)-Q38+SUM(Q42:Q48)+SUM(Q53:Q61)+SUM(Q63:Q71)+SUM(Q75:Q81)</f>
        <v>0</v>
      </c>
      <c r="R82" s="126">
        <f>+SUM(R36:R40)-R38+SUM(R42:R48)+SUM(R53:R61)+SUM(R63:R71)+SUM(R75:R81)</f>
        <v>7847840</v>
      </c>
      <c r="S82" s="127">
        <f>+SUM(S36:S40)-S38+SUM(S42:S48)+SUM(S53:S61)+SUM(S63:S71)+SUM(S75:S81)</f>
        <v>9535150</v>
      </c>
      <c r="T82" s="126">
        <f>+SUM(T36:T40)-T38+SUM(T42:T48)+SUM(T53:T61)+SUM(T63:T71)+SUM(T75:T81)</f>
        <v>2360354</v>
      </c>
      <c r="U82" s="127">
        <f>+SUM(U36:U40)-U38+SUM(U42:U48)+SUM(U53:U61)+SUM(U63:U71)+SUM(U75:U81)</f>
        <v>2460224</v>
      </c>
    </row>
    <row r="83" spans="2:23" ht="15">
      <c r="B83" s="17">
        <v>52</v>
      </c>
      <c r="C83" s="27" t="s">
        <v>41</v>
      </c>
      <c r="D83" s="56"/>
      <c r="E83" s="56"/>
      <c r="F83" s="56">
        <v>37793</v>
      </c>
      <c r="G83" s="56">
        <v>66738</v>
      </c>
      <c r="H83" s="146" t="s">
        <v>18</v>
      </c>
      <c r="I83" s="96">
        <f>+I80+I81+I82</f>
        <v>0</v>
      </c>
      <c r="J83" s="96">
        <f>+J80+J81+J82</f>
        <v>0</v>
      </c>
      <c r="K83" s="96">
        <f>+K80+K81+K82</f>
        <v>432018</v>
      </c>
      <c r="L83" s="96">
        <f>+L80+L81+L82</f>
        <v>334405</v>
      </c>
      <c r="P83" s="83"/>
    </row>
    <row r="84" spans="2:23">
      <c r="B84" s="17">
        <v>5205</v>
      </c>
      <c r="C84" s="25" t="s">
        <v>70</v>
      </c>
      <c r="D84" s="54"/>
      <c r="E84" s="54"/>
      <c r="F84" s="54"/>
      <c r="G84" s="54"/>
      <c r="H84" t="s">
        <v>125</v>
      </c>
      <c r="I84" s="96">
        <f>+D92</f>
        <v>0</v>
      </c>
      <c r="J84" s="96">
        <f>+E92</f>
        <v>0</v>
      </c>
      <c r="K84" s="96">
        <f>+F92</f>
        <v>163570</v>
      </c>
      <c r="L84" s="96">
        <f>+G92</f>
        <v>103345</v>
      </c>
    </row>
    <row r="85" spans="2:23" ht="15">
      <c r="B85" s="17">
        <v>5260</v>
      </c>
      <c r="C85" s="25" t="s">
        <v>71</v>
      </c>
      <c r="D85" s="231"/>
      <c r="E85" s="231"/>
      <c r="F85" s="231"/>
      <c r="G85" s="231"/>
      <c r="H85" s="146" t="s">
        <v>126</v>
      </c>
      <c r="I85" s="96">
        <f>+I83-I84</f>
        <v>0</v>
      </c>
      <c r="J85" s="96">
        <f>+J83-J84</f>
        <v>0</v>
      </c>
      <c r="K85" s="96">
        <f>+K83-K84</f>
        <v>268448</v>
      </c>
      <c r="L85" s="96">
        <f>+L83-L84</f>
        <v>231060</v>
      </c>
    </row>
    <row r="86" spans="2:23">
      <c r="B86" s="17">
        <v>5265</v>
      </c>
      <c r="C86" s="25" t="s">
        <v>72</v>
      </c>
      <c r="D86" s="54"/>
      <c r="E86" s="54"/>
      <c r="F86" s="54"/>
      <c r="G86" s="54"/>
      <c r="H86" t="s">
        <v>127</v>
      </c>
      <c r="I86" s="14"/>
      <c r="J86" s="312">
        <f t="shared" ref="J86:L87" si="38">+X24-W24</f>
        <v>0</v>
      </c>
      <c r="K86" s="312">
        <f t="shared" si="38"/>
        <v>838527</v>
      </c>
      <c r="L86" s="312">
        <f t="shared" si="38"/>
        <v>512698</v>
      </c>
    </row>
    <row r="87" spans="2:23" ht="13.5" thickBot="1">
      <c r="B87" s="17"/>
      <c r="C87" s="45" t="s">
        <v>42</v>
      </c>
      <c r="D87" s="46">
        <f>+D78-D79-D83</f>
        <v>0</v>
      </c>
      <c r="E87" s="46">
        <f>+E78-E79-E83</f>
        <v>0</v>
      </c>
      <c r="F87" s="46">
        <f>+F78-F79-F83</f>
        <v>432018</v>
      </c>
      <c r="G87" s="46">
        <f>+G78-G79-G83</f>
        <v>334405</v>
      </c>
      <c r="H87" t="s">
        <v>128</v>
      </c>
      <c r="I87" s="14"/>
      <c r="J87" s="96">
        <f t="shared" si="38"/>
        <v>0</v>
      </c>
      <c r="K87" s="96">
        <f t="shared" si="38"/>
        <v>295617</v>
      </c>
      <c r="L87" s="96">
        <f t="shared" si="38"/>
        <v>-39546</v>
      </c>
    </row>
    <row r="88" spans="2:23" ht="18.75" thickTop="1">
      <c r="B88" s="17">
        <v>42</v>
      </c>
      <c r="C88" s="26" t="s">
        <v>43</v>
      </c>
      <c r="D88" s="55"/>
      <c r="E88" s="55"/>
      <c r="F88" s="55">
        <v>690</v>
      </c>
      <c r="G88" s="55">
        <v>1518</v>
      </c>
      <c r="H88" s="146" t="s">
        <v>129</v>
      </c>
      <c r="I88" s="31"/>
      <c r="J88" s="96">
        <f>+J85-J86-J87</f>
        <v>0</v>
      </c>
      <c r="K88" s="96">
        <f>+K85-K86-K87</f>
        <v>-865696</v>
      </c>
      <c r="L88" s="96">
        <f>+L85-L86-L87</f>
        <v>-242092</v>
      </c>
    </row>
    <row r="89" spans="2:23">
      <c r="B89" s="17"/>
      <c r="C89" s="25" t="s">
        <v>73</v>
      </c>
      <c r="D89" s="54"/>
      <c r="E89" s="212"/>
      <c r="F89" s="91"/>
      <c r="G89" s="91"/>
      <c r="H89" t="s">
        <v>130</v>
      </c>
      <c r="J89" s="96">
        <f>-E42-E52+D52+D42</f>
        <v>0</v>
      </c>
      <c r="K89" s="96">
        <f>-F42-F52+E52+E42</f>
        <v>-347128</v>
      </c>
      <c r="L89" s="96">
        <f>-G42-G52+F52+F42</f>
        <v>-297781</v>
      </c>
    </row>
    <row r="90" spans="2:23">
      <c r="B90" s="17">
        <v>53</v>
      </c>
      <c r="C90" s="27" t="s">
        <v>44</v>
      </c>
      <c r="D90" s="56"/>
      <c r="E90" s="56"/>
      <c r="F90" s="56">
        <v>48893</v>
      </c>
      <c r="G90" s="56">
        <v>57207</v>
      </c>
      <c r="H90" t="s">
        <v>131</v>
      </c>
      <c r="J90" s="93">
        <f>+E89</f>
        <v>0</v>
      </c>
      <c r="K90" s="93">
        <f>+F89</f>
        <v>0</v>
      </c>
      <c r="L90" s="93">
        <f>+G89</f>
        <v>0</v>
      </c>
    </row>
    <row r="91" spans="2:23" ht="13.5" thickBot="1">
      <c r="B91" s="17"/>
      <c r="C91" s="45" t="s">
        <v>45</v>
      </c>
      <c r="D91" s="46">
        <f>+D87+D88-D90</f>
        <v>0</v>
      </c>
      <c r="E91" s="46">
        <f>+E87+E88-E90</f>
        <v>0</v>
      </c>
      <c r="F91" s="46">
        <f>+F87+F88-F90</f>
        <v>383815</v>
      </c>
      <c r="G91" s="46">
        <f>+G87+G88-G90</f>
        <v>278716</v>
      </c>
      <c r="H91" s="164" t="s">
        <v>153</v>
      </c>
      <c r="J91" s="311">
        <f>+J88-J89-J90</f>
        <v>0</v>
      </c>
      <c r="K91" s="311">
        <f>+K88-K89-K90</f>
        <v>-518568</v>
      </c>
      <c r="L91" s="311">
        <f>+L88-L89-L90</f>
        <v>55689</v>
      </c>
    </row>
    <row r="92" spans="2:23" ht="13.5" thickTop="1">
      <c r="B92" s="17">
        <v>54</v>
      </c>
      <c r="C92" s="25" t="s">
        <v>46</v>
      </c>
      <c r="D92" s="54"/>
      <c r="E92" s="54"/>
      <c r="F92" s="54">
        <v>163570</v>
      </c>
      <c r="G92" s="54">
        <v>103345</v>
      </c>
      <c r="W92" s="270"/>
    </row>
    <row r="93" spans="2:23" ht="13.5" thickBot="1">
      <c r="B93" s="22">
        <v>59</v>
      </c>
      <c r="C93" s="45" t="s">
        <v>47</v>
      </c>
      <c r="D93" s="46">
        <f>+D91-D92</f>
        <v>0</v>
      </c>
      <c r="E93" s="46">
        <f>+E91-E92</f>
        <v>0</v>
      </c>
      <c r="F93" s="46">
        <f>+F91-F92</f>
        <v>220245</v>
      </c>
      <c r="G93" s="46">
        <f>+G91-G92</f>
        <v>175371</v>
      </c>
      <c r="H93" s="279"/>
      <c r="I93" s="280"/>
      <c r="J93" s="280"/>
      <c r="K93" s="280"/>
      <c r="L93" s="280"/>
    </row>
    <row r="94" spans="2:23" ht="13.5" thickTop="1">
      <c r="B94" s="43"/>
      <c r="C94" s="411" t="s">
        <v>25</v>
      </c>
      <c r="D94" s="412"/>
      <c r="E94" s="412"/>
      <c r="F94" s="412"/>
      <c r="G94" s="412"/>
    </row>
    <row r="95" spans="2:23">
      <c r="B95" s="43"/>
      <c r="C95" s="413"/>
      <c r="D95" s="414"/>
      <c r="E95" s="414"/>
      <c r="F95" s="414"/>
      <c r="G95" s="414"/>
      <c r="J95" s="304"/>
      <c r="K95" s="304"/>
      <c r="L95" s="304"/>
    </row>
    <row r="97" spans="3:26">
      <c r="C97" s="47" t="s">
        <v>74</v>
      </c>
      <c r="D97" s="49"/>
      <c r="E97" s="50"/>
      <c r="F97" s="50"/>
      <c r="G97" s="51"/>
    </row>
    <row r="98" spans="3:26">
      <c r="C98" s="48" t="s">
        <v>100</v>
      </c>
      <c r="D98" s="52"/>
      <c r="E98" s="67">
        <f>+E77-D28+E28</f>
        <v>0</v>
      </c>
      <c r="F98" s="67">
        <f>+F77-E28+F28</f>
        <v>6582351</v>
      </c>
      <c r="G98" s="67">
        <f>+G77-F28+G28</f>
        <v>3690541</v>
      </c>
      <c r="W98" s="83"/>
      <c r="X98" s="83"/>
      <c r="Y98" s="83"/>
      <c r="Z98" s="83"/>
    </row>
    <row r="99" spans="3:26">
      <c r="C99" s="48" t="s">
        <v>113</v>
      </c>
      <c r="D99" s="94"/>
      <c r="E99" s="95"/>
      <c r="F99" s="95"/>
      <c r="G99" s="95"/>
    </row>
    <row r="100" spans="3:26">
      <c r="C100" s="48" t="s">
        <v>152</v>
      </c>
      <c r="D100" s="52"/>
      <c r="E100" s="52"/>
      <c r="F100" s="52"/>
      <c r="G100" s="53"/>
      <c r="W100" s="83"/>
      <c r="X100" s="83"/>
      <c r="Y100" s="83"/>
      <c r="Z100" s="83"/>
    </row>
    <row r="101" spans="3:26">
      <c r="C101" s="48"/>
      <c r="D101" s="52"/>
      <c r="E101" s="52"/>
      <c r="F101" s="52"/>
      <c r="G101" s="53"/>
      <c r="W101" s="83"/>
      <c r="X101" s="83"/>
      <c r="Y101" s="83"/>
      <c r="Z101" s="83"/>
    </row>
    <row r="102" spans="3:26">
      <c r="C102" s="48"/>
      <c r="D102" s="52"/>
      <c r="E102" s="52"/>
      <c r="F102" s="52"/>
      <c r="G102" s="53"/>
      <c r="W102" s="83"/>
      <c r="X102" s="83"/>
      <c r="Y102" s="83"/>
      <c r="Z102" s="83"/>
    </row>
    <row r="103" spans="3:26">
      <c r="C103" s="48"/>
      <c r="D103" s="52"/>
      <c r="E103" s="52"/>
      <c r="F103" s="52"/>
      <c r="G103" s="53"/>
      <c r="W103" s="83"/>
      <c r="X103" s="83"/>
      <c r="Y103" s="83"/>
      <c r="Z103" s="83"/>
    </row>
    <row r="104" spans="3:26">
      <c r="W104" s="83"/>
      <c r="X104" s="83"/>
      <c r="Y104" s="83"/>
      <c r="Z104" s="83"/>
    </row>
    <row r="105" spans="3:26">
      <c r="D105" s="148"/>
      <c r="E105" s="148"/>
      <c r="F105" s="148"/>
      <c r="G105" s="148"/>
    </row>
    <row r="106" spans="3:26">
      <c r="E106" s="149"/>
      <c r="F106" s="149"/>
      <c r="G106" s="149"/>
    </row>
    <row r="107" spans="3:26">
      <c r="E107" s="93"/>
      <c r="F107" s="93"/>
      <c r="G107" s="93"/>
    </row>
    <row r="108" spans="3:26">
      <c r="E108" s="162"/>
      <c r="F108" s="162"/>
      <c r="G108" s="162"/>
    </row>
  </sheetData>
  <mergeCells count="20">
    <mergeCell ref="H21:L21"/>
    <mergeCell ref="D5:K5"/>
    <mergeCell ref="B13:N14"/>
    <mergeCell ref="B15:N16"/>
    <mergeCell ref="C19:G19"/>
    <mergeCell ref="H19:L19"/>
    <mergeCell ref="W49:W50"/>
    <mergeCell ref="W19:Z19"/>
    <mergeCell ref="P20:Q20"/>
    <mergeCell ref="R20:S20"/>
    <mergeCell ref="T20:U20"/>
    <mergeCell ref="P19:U19"/>
    <mergeCell ref="V67:V68"/>
    <mergeCell ref="C94:G95"/>
    <mergeCell ref="H34:H35"/>
    <mergeCell ref="J23:L23"/>
    <mergeCell ref="J33:L33"/>
    <mergeCell ref="J45:L45"/>
    <mergeCell ref="J57:L57"/>
    <mergeCell ref="V49:V5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R108"/>
  <sheetViews>
    <sheetView zoomScale="115" zoomScaleNormal="115" workbookViewId="0">
      <selection activeCell="G22" sqref="G22"/>
    </sheetView>
  </sheetViews>
  <sheetFormatPr baseColWidth="10" defaultColWidth="11.42578125" defaultRowHeight="12.75" outlineLevelCol="1"/>
  <cols>
    <col min="1" max="1" width="2.42578125" style="5" customWidth="1"/>
    <col min="2" max="2" width="4.42578125" style="6" bestFit="1" customWidth="1"/>
    <col min="3" max="3" width="34.7109375" style="5" customWidth="1"/>
    <col min="4" max="4" width="14.85546875" style="5" customWidth="1"/>
    <col min="5" max="5" width="16.42578125" style="5" customWidth="1"/>
    <col min="6" max="7" width="16.140625" style="5" bestFit="1" customWidth="1"/>
    <col min="8" max="8" width="32" style="5" customWidth="1" outlineLevel="1"/>
    <col min="9" max="9" width="13.42578125" style="5" customWidth="1" outlineLevel="1"/>
    <col min="10" max="10" width="14.42578125" style="5" customWidth="1" outlineLevel="1"/>
    <col min="11" max="11" width="17.5703125" style="5" customWidth="1" outlineLevel="1"/>
    <col min="12" max="12" width="15.42578125" style="5" customWidth="1" outlineLevel="1"/>
    <col min="13" max="13" width="1.7109375" style="5" customWidth="1"/>
    <col min="14" max="14" width="41.42578125" style="5" customWidth="1" outlineLevel="1"/>
    <col min="15" max="15" width="9.5703125" style="5" customWidth="1" outlineLevel="1"/>
    <col min="16" max="16" width="13.42578125" style="5" customWidth="1" outlineLevel="1"/>
    <col min="17" max="19" width="14.85546875" style="5" customWidth="1" outlineLevel="1"/>
    <col min="20" max="21" width="15" style="5" customWidth="1" outlineLevel="1"/>
    <col min="22" max="22" width="34.28515625" style="5" customWidth="1"/>
    <col min="23" max="23" width="14" style="5" customWidth="1"/>
    <col min="24" max="24" width="14.85546875" style="5" bestFit="1" customWidth="1"/>
    <col min="25" max="26" width="15.42578125" style="5" bestFit="1" customWidth="1"/>
    <col min="27" max="27" width="12.42578125" style="5" bestFit="1" customWidth="1"/>
    <col min="28" max="28" width="13" style="5" customWidth="1"/>
    <col min="29" max="16384" width="11.42578125" style="5"/>
  </cols>
  <sheetData>
    <row r="1" spans="1:148" s="30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</row>
    <row r="2" spans="1:148" s="30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</row>
    <row r="3" spans="1:148" s="30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</row>
    <row r="4" spans="1:148" s="30" customFormat="1" ht="18">
      <c r="A4" s="1"/>
      <c r="B4" s="1"/>
      <c r="C4" s="32"/>
      <c r="D4" s="32" t="s">
        <v>0</v>
      </c>
      <c r="E4" s="32"/>
      <c r="F4" s="32"/>
      <c r="G4" s="32"/>
      <c r="H4" s="32"/>
      <c r="I4" s="32"/>
      <c r="J4" s="32"/>
      <c r="K4" s="32"/>
      <c r="L4" s="3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</row>
    <row r="5" spans="1:148" s="30" customFormat="1" ht="18" customHeight="1">
      <c r="A5" s="1"/>
      <c r="B5" s="1"/>
      <c r="C5" s="31"/>
      <c r="D5" s="393" t="s">
        <v>50</v>
      </c>
      <c r="E5" s="393"/>
      <c r="F5" s="393"/>
      <c r="G5" s="393"/>
      <c r="H5" s="393"/>
      <c r="I5" s="393"/>
      <c r="J5" s="393"/>
      <c r="K5" s="393"/>
      <c r="L5" s="31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</row>
    <row r="6" spans="1:148" s="30" customFormat="1" ht="18" customHeight="1">
      <c r="A6" s="1"/>
      <c r="B6" s="4"/>
      <c r="C6" s="31"/>
      <c r="D6" s="33" t="s">
        <v>48</v>
      </c>
      <c r="E6" s="33"/>
      <c r="F6" s="33"/>
      <c r="G6" s="33"/>
      <c r="H6" s="33"/>
      <c r="I6" s="33"/>
      <c r="J6" s="33"/>
      <c r="K6" s="33"/>
      <c r="L6" s="31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</row>
    <row r="7" spans="1:148" s="30" customFormat="1" ht="15.75">
      <c r="A7" s="1"/>
      <c r="B7" s="4"/>
      <c r="C7" s="4" t="s">
        <v>1</v>
      </c>
      <c r="D7" s="1"/>
      <c r="E7" s="1"/>
      <c r="F7" s="2"/>
      <c r="G7" s="1"/>
      <c r="H7" s="1"/>
      <c r="I7" s="1"/>
      <c r="J7" s="1"/>
      <c r="K7" s="1"/>
      <c r="L7" s="367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</row>
    <row r="8" spans="1:148" s="30" customFormat="1">
      <c r="A8" s="1"/>
      <c r="C8" s="4"/>
      <c r="D8" s="1"/>
      <c r="E8" s="1"/>
      <c r="F8" s="1"/>
      <c r="G8" s="1"/>
      <c r="H8" s="1"/>
      <c r="I8" s="1"/>
      <c r="J8" s="1"/>
      <c r="K8" s="1"/>
      <c r="L8" s="1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</row>
    <row r="9" spans="1:148" s="30" customFormat="1">
      <c r="A9" s="1"/>
      <c r="B9" s="4"/>
      <c r="C9" s="4"/>
      <c r="D9" s="141"/>
      <c r="E9" s="141"/>
      <c r="F9" s="141"/>
      <c r="G9" s="141"/>
      <c r="H9" s="1"/>
      <c r="I9" s="1"/>
      <c r="J9" s="1"/>
      <c r="K9" s="1"/>
      <c r="L9" s="1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</row>
    <row r="10" spans="1:148" s="30" customFormat="1">
      <c r="A10" s="1"/>
      <c r="B10" s="1"/>
      <c r="C10" s="1"/>
      <c r="D10" s="85"/>
      <c r="E10" s="85"/>
      <c r="F10" s="85"/>
      <c r="G10" s="85"/>
      <c r="H10" s="1"/>
      <c r="I10" s="1"/>
      <c r="J10" s="1"/>
      <c r="K10" s="1"/>
      <c r="L10" s="1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</row>
    <row r="11" spans="1:148" s="30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</row>
    <row r="12" spans="1:148" s="30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</row>
    <row r="13" spans="1:148" s="30" customFormat="1" ht="12.75" customHeight="1">
      <c r="A13" s="28"/>
      <c r="B13" s="416" t="s">
        <v>49</v>
      </c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305"/>
      <c r="P13" s="368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</row>
    <row r="14" spans="1:148" s="30" customFormat="1" ht="12.75" customHeight="1">
      <c r="A14" s="28"/>
      <c r="B14" s="416"/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305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</row>
    <row r="15" spans="1:148" s="30" customFormat="1" ht="6.75" customHeight="1">
      <c r="A15" s="28"/>
      <c r="B15" s="417" t="s">
        <v>51</v>
      </c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17"/>
      <c r="N15" s="417"/>
      <c r="O15" s="306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</row>
    <row r="16" spans="1:148" s="30" customFormat="1" ht="12.75" customHeight="1">
      <c r="A16" s="29"/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306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</row>
    <row r="17" spans="1:26">
      <c r="A17" s="1"/>
      <c r="B17" s="1"/>
      <c r="C17" s="1"/>
      <c r="D17" s="85"/>
      <c r="E17" s="85"/>
      <c r="F17" s="85"/>
      <c r="G17" s="85"/>
      <c r="H17" s="81"/>
      <c r="I17" s="82"/>
      <c r="J17" s="88"/>
      <c r="K17" s="3"/>
      <c r="L17" s="82"/>
    </row>
    <row r="18" spans="1:26" ht="13.5" thickBot="1">
      <c r="D18" s="86"/>
      <c r="E18" s="86">
        <f>+D24-E24</f>
        <v>-16856</v>
      </c>
      <c r="F18" s="86">
        <f>+E24-F24</f>
        <v>-162623</v>
      </c>
      <c r="G18" s="86">
        <f>+F24-G24</f>
        <v>4557</v>
      </c>
      <c r="H18" s="83"/>
      <c r="I18" s="83"/>
      <c r="J18" s="83"/>
      <c r="K18" s="235"/>
      <c r="L18" s="236"/>
      <c r="V18" s="237"/>
    </row>
    <row r="19" spans="1:26" ht="13.5" thickTop="1">
      <c r="B19" s="285"/>
      <c r="C19" s="418" t="s">
        <v>160</v>
      </c>
      <c r="D19" s="418"/>
      <c r="E19" s="418"/>
      <c r="F19" s="418"/>
      <c r="G19" s="420"/>
      <c r="H19" s="398" t="s">
        <v>2</v>
      </c>
      <c r="I19" s="399"/>
      <c r="J19" s="399"/>
      <c r="K19" s="399"/>
      <c r="L19" s="400"/>
      <c r="N19" s="107" t="s">
        <v>151</v>
      </c>
      <c r="O19" s="97"/>
      <c r="P19" s="401" t="s">
        <v>101</v>
      </c>
      <c r="Q19" s="401"/>
      <c r="R19" s="401"/>
      <c r="S19" s="401"/>
      <c r="T19" s="401"/>
      <c r="U19" s="401"/>
      <c r="V19" s="364" t="str">
        <f>+C19</f>
        <v>EMPRESA: METALCENTER LTDA</v>
      </c>
      <c r="W19" s="402" t="s">
        <v>136</v>
      </c>
      <c r="X19" s="401"/>
      <c r="Y19" s="401"/>
      <c r="Z19" s="403"/>
    </row>
    <row r="20" spans="1:26">
      <c r="B20" s="286"/>
      <c r="C20" s="99" t="s">
        <v>102</v>
      </c>
      <c r="D20" s="8">
        <v>2007</v>
      </c>
      <c r="E20" s="8">
        <v>2008</v>
      </c>
      <c r="F20" s="8">
        <v>2009</v>
      </c>
      <c r="G20" s="287">
        <v>2010</v>
      </c>
      <c r="H20" s="98" t="s">
        <v>3</v>
      </c>
      <c r="I20" s="239">
        <v>2007</v>
      </c>
      <c r="J20" s="239">
        <v>2008</v>
      </c>
      <c r="K20" s="239">
        <v>2009</v>
      </c>
      <c r="L20" s="239">
        <v>2010</v>
      </c>
      <c r="N20" s="108" t="s">
        <v>3</v>
      </c>
      <c r="O20" s="7"/>
      <c r="P20" s="404">
        <v>2008</v>
      </c>
      <c r="Q20" s="405"/>
      <c r="R20" s="404">
        <v>2009</v>
      </c>
      <c r="S20" s="405"/>
      <c r="T20" s="404">
        <v>2010</v>
      </c>
      <c r="U20" s="406"/>
      <c r="V20" s="99" t="s">
        <v>102</v>
      </c>
      <c r="W20" s="240">
        <f>+D20</f>
        <v>2007</v>
      </c>
      <c r="X20" s="240">
        <f>+E20</f>
        <v>2008</v>
      </c>
      <c r="Y20" s="240">
        <f>+F20</f>
        <v>2009</v>
      </c>
      <c r="Z20" s="362">
        <f>+G20</f>
        <v>2010</v>
      </c>
    </row>
    <row r="21" spans="1:26" ht="13.5" thickBot="1">
      <c r="B21" s="288"/>
      <c r="C21" s="289" t="s">
        <v>3</v>
      </c>
      <c r="D21" s="290"/>
      <c r="E21" s="290"/>
      <c r="F21" s="290"/>
      <c r="G21" s="291"/>
      <c r="H21" s="387" t="s">
        <v>4</v>
      </c>
      <c r="I21" s="381"/>
      <c r="J21" s="381"/>
      <c r="K21" s="381"/>
      <c r="L21" s="381"/>
      <c r="N21" s="109" t="s">
        <v>3</v>
      </c>
      <c r="O21" s="10"/>
      <c r="P21" s="101" t="s">
        <v>105</v>
      </c>
      <c r="Q21" s="102" t="s">
        <v>106</v>
      </c>
      <c r="R21" s="101" t="s">
        <v>105</v>
      </c>
      <c r="S21" s="102" t="s">
        <v>106</v>
      </c>
      <c r="T21" s="101" t="s">
        <v>105</v>
      </c>
      <c r="U21" s="151" t="s">
        <v>106</v>
      </c>
      <c r="V21" s="99" t="s">
        <v>3</v>
      </c>
      <c r="W21" s="150"/>
      <c r="X21" s="11"/>
      <c r="Y21" s="11"/>
      <c r="Z21" s="12"/>
    </row>
    <row r="22" spans="1:26">
      <c r="B22" s="13"/>
      <c r="C22" s="14"/>
      <c r="D22" s="14"/>
      <c r="E22" s="14"/>
      <c r="F22" s="14"/>
      <c r="G22" s="14"/>
      <c r="H22" s="241"/>
      <c r="I22" s="242"/>
      <c r="J22" s="242"/>
      <c r="K22" s="242"/>
      <c r="L22" s="242"/>
      <c r="P22" s="103"/>
      <c r="Q22" s="104"/>
      <c r="R22" s="103"/>
      <c r="S22" s="104"/>
      <c r="T22" s="103"/>
      <c r="U22" s="152"/>
      <c r="V22" s="154"/>
      <c r="W22" s="14"/>
      <c r="X22" s="14"/>
      <c r="Y22" s="14"/>
      <c r="Z22" s="155"/>
    </row>
    <row r="23" spans="1:26" ht="13.5" customHeight="1" thickBot="1">
      <c r="B23" s="15">
        <v>10</v>
      </c>
      <c r="C23" s="42" t="s">
        <v>67</v>
      </c>
      <c r="D23" s="58">
        <f t="shared" ref="D23:E23" si="0">+D30+D38</f>
        <v>3993653</v>
      </c>
      <c r="E23" s="58">
        <f t="shared" si="0"/>
        <v>4157650</v>
      </c>
      <c r="F23" s="58">
        <f>+F30+F38</f>
        <v>3819429</v>
      </c>
      <c r="G23" s="59">
        <f>+G30+G38</f>
        <v>4499478</v>
      </c>
      <c r="H23" s="244"/>
      <c r="I23" s="16"/>
      <c r="J23" s="380" t="s">
        <v>114</v>
      </c>
      <c r="K23" s="381"/>
      <c r="L23" s="382"/>
      <c r="N23" s="243" t="s">
        <v>67</v>
      </c>
      <c r="O23" s="245" t="s">
        <v>103</v>
      </c>
      <c r="P23" s="103"/>
      <c r="Q23" s="104"/>
      <c r="R23" s="103"/>
      <c r="S23" s="104"/>
      <c r="T23" s="103"/>
      <c r="U23" s="152"/>
      <c r="V23" s="347" t="s">
        <v>161</v>
      </c>
      <c r="W23" s="143">
        <f>+W24+W25</f>
        <v>2998901</v>
      </c>
      <c r="X23" s="144">
        <f>+X24+X25</f>
        <v>3204330</v>
      </c>
      <c r="Y23" s="144">
        <f>+Y24+Y25</f>
        <v>3175507</v>
      </c>
      <c r="Z23" s="145">
        <f>+Z24+Z25</f>
        <v>3385903</v>
      </c>
    </row>
    <row r="24" spans="1:26" ht="13.5" thickTop="1">
      <c r="B24" s="17">
        <v>11</v>
      </c>
      <c r="C24" s="18" t="s">
        <v>5</v>
      </c>
      <c r="D24" s="60">
        <v>23591</v>
      </c>
      <c r="E24" s="60">
        <v>40447</v>
      </c>
      <c r="F24" s="60">
        <v>203070</v>
      </c>
      <c r="G24" s="60">
        <v>198513</v>
      </c>
      <c r="H24" s="247" t="s">
        <v>81</v>
      </c>
      <c r="I24" s="19">
        <f>+D23</f>
        <v>3993653</v>
      </c>
      <c r="J24" s="350">
        <f>+E23/D23-1</f>
        <v>4.1064408950902909E-2</v>
      </c>
      <c r="K24" s="350">
        <f>+F23/E23-1</f>
        <v>-8.1349079407838532E-2</v>
      </c>
      <c r="L24" s="350">
        <f>+G23/F23-1</f>
        <v>0.17804991269637416</v>
      </c>
      <c r="N24" s="248"/>
      <c r="O24" s="249"/>
      <c r="P24" s="250"/>
      <c r="Q24" s="104"/>
      <c r="R24" s="103"/>
      <c r="S24" s="104"/>
      <c r="T24" s="103"/>
      <c r="U24" s="152"/>
      <c r="V24" s="360" t="s">
        <v>132</v>
      </c>
      <c r="W24" s="359">
        <f>+D30-D51+D42+D50</f>
        <v>2916654</v>
      </c>
      <c r="X24" s="359">
        <f>+E30-E51+E42+E50</f>
        <v>3137020</v>
      </c>
      <c r="Y24" s="359">
        <f>+F30-F51+F42+F50</f>
        <v>2949657</v>
      </c>
      <c r="Z24" s="358">
        <f>+G30-G51+G42+G50</f>
        <v>3119304</v>
      </c>
    </row>
    <row r="25" spans="1:26">
      <c r="B25" s="17">
        <v>12</v>
      </c>
      <c r="C25" s="20" t="s">
        <v>56</v>
      </c>
      <c r="D25" s="60"/>
      <c r="E25" s="60"/>
      <c r="F25" s="60">
        <v>0</v>
      </c>
      <c r="G25" s="60">
        <v>0</v>
      </c>
      <c r="H25" s="252" t="s">
        <v>112</v>
      </c>
      <c r="I25" s="19">
        <f>+D27+D28+D33</f>
        <v>3767036</v>
      </c>
      <c r="J25" s="350">
        <f>(E27+E28+E33)/(+D27+D28+D33)-1</f>
        <v>3.9687701418303467E-2</v>
      </c>
      <c r="K25" s="350">
        <f>(F27+F28+F33)/(+E27+E28+E33)-1</f>
        <v>-0.71217127562305615</v>
      </c>
      <c r="L25" s="350">
        <f>(G27+G28+G33)/(+F27+F28+F33)-1</f>
        <v>2.6411296796839863</v>
      </c>
      <c r="N25" s="251" t="s">
        <v>56</v>
      </c>
      <c r="O25" s="253" t="str">
        <f>IF(E25-D25&lt;0,"F","U")</f>
        <v>U</v>
      </c>
      <c r="P25" s="254">
        <f>IF(E25-D25&lt;0,0,ABS(E25-D25))</f>
        <v>0</v>
      </c>
      <c r="Q25" s="255">
        <f>IF(E25-D25&gt;0,0,ABS(E25-D25))</f>
        <v>0</v>
      </c>
      <c r="R25" s="254">
        <f>IF(F25-E25&lt;0,0,ABS(F25-E25))</f>
        <v>0</v>
      </c>
      <c r="S25" s="255">
        <f>IF(F25-E25&gt;0,0,ABS(F25-E25))</f>
        <v>0</v>
      </c>
      <c r="T25" s="254">
        <f>IF(G25-F25&lt;0,0,ABS(G25-F25))</f>
        <v>0</v>
      </c>
      <c r="U25" s="256">
        <f>IF(G25-F25&gt;0,0,ABS(G25-F25))</f>
        <v>0</v>
      </c>
      <c r="V25" s="328" t="s">
        <v>133</v>
      </c>
      <c r="W25" s="341">
        <f>+D33+D34</f>
        <v>82247</v>
      </c>
      <c r="X25" s="341">
        <f>+E33+E34</f>
        <v>67310</v>
      </c>
      <c r="Y25" s="341">
        <f>+F33+F34</f>
        <v>225850</v>
      </c>
      <c r="Z25" s="340">
        <f>+G33+G34</f>
        <v>266599</v>
      </c>
    </row>
    <row r="26" spans="1:26">
      <c r="B26" s="17">
        <v>13</v>
      </c>
      <c r="C26" s="20" t="s">
        <v>57</v>
      </c>
      <c r="D26" s="60">
        <v>2580508</v>
      </c>
      <c r="E26" s="60">
        <v>3052976</v>
      </c>
      <c r="F26" s="60">
        <v>2652117</v>
      </c>
      <c r="G26" s="60">
        <v>2983864</v>
      </c>
      <c r="H26" s="252" t="s">
        <v>68</v>
      </c>
      <c r="I26" s="19">
        <f>+D41</f>
        <v>1410195</v>
      </c>
      <c r="J26" s="84">
        <f>+E41/D41-1</f>
        <v>-1.1869280489577694E-2</v>
      </c>
      <c r="K26" s="84">
        <f>+F41/E41-1</f>
        <v>-0.30943330149405401</v>
      </c>
      <c r="L26" s="84">
        <f>+G41/F41-1</f>
        <v>0.61849575225377351</v>
      </c>
      <c r="N26" s="251" t="s">
        <v>57</v>
      </c>
      <c r="O26" s="253" t="str">
        <f>IF(E26-D26&lt;0,"F","U")</f>
        <v>U</v>
      </c>
      <c r="P26" s="254">
        <f>IF(E26-D26&lt;0,0,ABS(E26-D26))</f>
        <v>472468</v>
      </c>
      <c r="Q26" s="255">
        <f>IF(E26-D26&gt;0,0,ABS(E26-D26))</f>
        <v>0</v>
      </c>
      <c r="R26" s="254">
        <f>IF(F26-E26&lt;0,0,ABS(F26-E26))</f>
        <v>0</v>
      </c>
      <c r="S26" s="255">
        <f>IF(F26-E26&gt;0,0,ABS(F26-E26))</f>
        <v>400859</v>
      </c>
      <c r="T26" s="254">
        <f>IF(G26-F26&lt;0,0,ABS(G26-F26))</f>
        <v>331747</v>
      </c>
      <c r="U26" s="256">
        <f>IF(G26-F26&gt;0,0,ABS(G26-F26))</f>
        <v>0</v>
      </c>
      <c r="V26" s="357" t="s">
        <v>134</v>
      </c>
      <c r="W26" s="356">
        <f>SUM(D35:D37)+D31</f>
        <v>0</v>
      </c>
      <c r="X26" s="356">
        <f>SUM(E35:E37)+E31</f>
        <v>0</v>
      </c>
      <c r="Y26" s="356">
        <f>SUM(F35:F37)+F31</f>
        <v>0</v>
      </c>
      <c r="Z26" s="355">
        <f>SUM(G35:G37)+G31</f>
        <v>0</v>
      </c>
    </row>
    <row r="27" spans="1:26">
      <c r="B27" s="17">
        <v>1305</v>
      </c>
      <c r="C27" s="20" t="s">
        <v>58</v>
      </c>
      <c r="D27" s="60">
        <v>2377482</v>
      </c>
      <c r="E27" s="60">
        <v>2854819</v>
      </c>
      <c r="F27" s="60">
        <v>165899</v>
      </c>
      <c r="G27" s="60">
        <v>2790990</v>
      </c>
      <c r="H27" s="252" t="s">
        <v>82</v>
      </c>
      <c r="I27" s="19">
        <f>+D63</f>
        <v>2583458</v>
      </c>
      <c r="J27" s="84">
        <f>+E63/D63-1</f>
        <v>6.9958559419197153E-2</v>
      </c>
      <c r="K27" s="84">
        <f>+F63/E63-1</f>
        <v>3.3630430291951452E-2</v>
      </c>
      <c r="L27" s="84">
        <f>+G63/F63-1</f>
        <v>2.9709984131061962E-2</v>
      </c>
      <c r="N27" s="251" t="s">
        <v>58</v>
      </c>
      <c r="O27" s="257" t="str">
        <f>IF(E27-D27&lt;0,"F","U")</f>
        <v>U</v>
      </c>
      <c r="P27" s="116">
        <f>IF(E27-D27&lt;0,0,ABS(E27-D27))</f>
        <v>477337</v>
      </c>
      <c r="Q27" s="116">
        <f>IF(E27-D27&gt;0,0,ABS(E27-D27))</f>
        <v>0</v>
      </c>
      <c r="R27" s="116">
        <f>IF(F27-E27&lt;0,0,ABS(F27-E27))</f>
        <v>0</v>
      </c>
      <c r="S27" s="116">
        <f>IF(F27-E27&gt;0,0,ABS(F27-E27))</f>
        <v>2688920</v>
      </c>
      <c r="T27" s="116">
        <f>IF(G27-F27&lt;0,0,ABS(G27-F27))</f>
        <v>2625091</v>
      </c>
      <c r="U27" s="153">
        <f>IF(G27-F27&gt;0,0,ABS(G27-F27))</f>
        <v>0</v>
      </c>
      <c r="V27" s="354"/>
      <c r="W27" s="353"/>
      <c r="X27" s="353"/>
      <c r="Y27" s="353"/>
      <c r="Z27" s="352"/>
    </row>
    <row r="28" spans="1:26">
      <c r="B28" s="17">
        <v>14</v>
      </c>
      <c r="C28" s="20" t="s">
        <v>59</v>
      </c>
      <c r="D28" s="60">
        <v>1307307</v>
      </c>
      <c r="E28" s="60">
        <v>994412</v>
      </c>
      <c r="F28" s="60">
        <v>774452</v>
      </c>
      <c r="G28" s="60">
        <v>1098452</v>
      </c>
      <c r="H28" s="252" t="s">
        <v>17</v>
      </c>
      <c r="I28" s="19">
        <f>+D75</f>
        <v>14035325</v>
      </c>
      <c r="J28" s="84">
        <f>+E75/D75-1</f>
        <v>0.12662834668951373</v>
      </c>
      <c r="K28" s="84">
        <f>+F75/E75-1</f>
        <v>-2.0083673805596058E-2</v>
      </c>
      <c r="L28" s="84">
        <f>+G75/F75-1</f>
        <v>9.7983868365449034E-2</v>
      </c>
      <c r="N28" s="251" t="s">
        <v>59</v>
      </c>
      <c r="O28" s="253" t="str">
        <f>IF(E28-D28&lt;0,"F","U")</f>
        <v>F</v>
      </c>
      <c r="P28" s="254">
        <f>IF(E28-D28&lt;0,0,ABS(E28-D28))</f>
        <v>0</v>
      </c>
      <c r="Q28" s="255">
        <f>IF(E28-D28&gt;0,0,ABS(E28-D28))</f>
        <v>312895</v>
      </c>
      <c r="R28" s="254">
        <f>IF(F28-E28&lt;0,0,ABS(F28-E28))</f>
        <v>0</v>
      </c>
      <c r="S28" s="255">
        <f>IF(F28-E28&gt;0,0,ABS(F28-E28))</f>
        <v>219960</v>
      </c>
      <c r="T28" s="254">
        <f>IF(G28-F28&lt;0,0,ABS(G28-F28))</f>
        <v>324000</v>
      </c>
      <c r="U28" s="256">
        <f>IF(G28-F28&gt;0,0,ABS(G28-F28))</f>
        <v>0</v>
      </c>
      <c r="V28" s="351"/>
      <c r="W28" s="341">
        <f>SUM(W58:W61)</f>
        <v>0</v>
      </c>
      <c r="X28" s="341">
        <f>SUM(X58:X61)</f>
        <v>0</v>
      </c>
      <c r="Y28" s="341">
        <f>SUM(Y58:Y61)</f>
        <v>0</v>
      </c>
      <c r="Z28" s="340">
        <f>SUM(Z58:Z61)</f>
        <v>0</v>
      </c>
    </row>
    <row r="29" spans="1:26">
      <c r="B29" s="17">
        <v>17</v>
      </c>
      <c r="C29" s="21" t="s">
        <v>60</v>
      </c>
      <c r="D29" s="60"/>
      <c r="E29" s="60">
        <v>2505</v>
      </c>
      <c r="F29" s="60">
        <v>2848</v>
      </c>
      <c r="G29" s="60">
        <v>3471</v>
      </c>
      <c r="H29" s="252" t="s">
        <v>88</v>
      </c>
      <c r="I29" s="19">
        <f>+D77+D79+D83</f>
        <v>14008189</v>
      </c>
      <c r="J29" s="84">
        <f>+(E77+E79+E83)/(D77+D79+D83)-1</f>
        <v>0.1089892490742379</v>
      </c>
      <c r="K29" s="84">
        <f>+(F77+F79+F83)/(E77+E79+E83)-1</f>
        <v>-3.8812531578028553E-3</v>
      </c>
      <c r="L29" s="84">
        <f>+(G77+G79+G83)/(F77+F79+F83)-1</f>
        <v>8.5496550613533007E-2</v>
      </c>
      <c r="N29" s="258" t="s">
        <v>60</v>
      </c>
      <c r="O29" s="253" t="str">
        <f>IF(E29-D29&lt;0,"F","U")</f>
        <v>U</v>
      </c>
      <c r="P29" s="254">
        <f>IF(E29-D29&lt;0,0,ABS(E29-D29))</f>
        <v>2505</v>
      </c>
      <c r="Q29" s="255">
        <f>IF(E29-D29&gt;0,0,ABS(E29-D29))</f>
        <v>0</v>
      </c>
      <c r="R29" s="254">
        <f>IF(F29-E29&lt;0,0,ABS(F29-E29))</f>
        <v>343</v>
      </c>
      <c r="S29" s="255">
        <f>IF(F29-E29&gt;0,0,ABS(F29-E29))</f>
        <v>0</v>
      </c>
      <c r="T29" s="254">
        <f>IF(G29-F29&lt;0,0,ABS(G29-F29))</f>
        <v>623</v>
      </c>
      <c r="U29" s="256">
        <f>IF(G29-F29&gt;0,0,ABS(G29-F29))</f>
        <v>0</v>
      </c>
      <c r="V29" s="328" t="s">
        <v>162</v>
      </c>
      <c r="W29" s="344">
        <f>+D42+D52</f>
        <v>415443</v>
      </c>
      <c r="X29" s="344">
        <f>+E42+E52</f>
        <v>440137</v>
      </c>
      <c r="Y29" s="344">
        <f>+F42+F52</f>
        <v>279445</v>
      </c>
      <c r="Z29" s="343">
        <f>+G42+G52</f>
        <v>392442</v>
      </c>
    </row>
    <row r="30" spans="1:26" ht="13.5" thickBot="1">
      <c r="B30" s="17"/>
      <c r="C30" s="35" t="s">
        <v>7</v>
      </c>
      <c r="D30" s="62">
        <f>+D24+D25+D26+D28+D29</f>
        <v>3911406</v>
      </c>
      <c r="E30" s="62">
        <f t="shared" ref="E30:G30" si="1">+E24+E25+E26+E28+E29</f>
        <v>4090340</v>
      </c>
      <c r="F30" s="62">
        <f t="shared" si="1"/>
        <v>3632487</v>
      </c>
      <c r="G30" s="62">
        <f t="shared" si="1"/>
        <v>4284300</v>
      </c>
      <c r="H30" s="252" t="s">
        <v>42</v>
      </c>
      <c r="I30" s="19">
        <f>+D87</f>
        <v>27136</v>
      </c>
      <c r="J30" s="350">
        <f>+E87/D87-1</f>
        <v>9.2323113207547163</v>
      </c>
      <c r="K30" s="350">
        <f>+F87/E87-1</f>
        <v>-0.92658753025239138</v>
      </c>
      <c r="L30" s="350">
        <f>+G87/F87-1</f>
        <v>9.5778061224489797</v>
      </c>
      <c r="N30" s="259" t="s">
        <v>7</v>
      </c>
      <c r="O30" s="260"/>
      <c r="P30" s="261">
        <f t="shared" ref="P30:U30" si="2">SUM(P25:P29)</f>
        <v>952310</v>
      </c>
      <c r="Q30" s="261">
        <f t="shared" si="2"/>
        <v>312895</v>
      </c>
      <c r="R30" s="261">
        <f t="shared" si="2"/>
        <v>343</v>
      </c>
      <c r="S30" s="261">
        <f t="shared" si="2"/>
        <v>3309739</v>
      </c>
      <c r="T30" s="261">
        <f t="shared" si="2"/>
        <v>3281461</v>
      </c>
      <c r="U30" s="261">
        <f t="shared" si="2"/>
        <v>0</v>
      </c>
      <c r="V30" s="328"/>
      <c r="W30" s="341"/>
      <c r="X30" s="341"/>
      <c r="Y30" s="341"/>
      <c r="Z30" s="340"/>
    </row>
    <row r="31" spans="1:26" ht="13.5" thickTop="1">
      <c r="B31" s="17">
        <v>12</v>
      </c>
      <c r="C31" s="18" t="s">
        <v>56</v>
      </c>
      <c r="D31" s="60"/>
      <c r="E31" s="60"/>
      <c r="F31" s="60">
        <v>0</v>
      </c>
      <c r="G31" s="60">
        <v>0</v>
      </c>
      <c r="H31" s="252" t="s">
        <v>18</v>
      </c>
      <c r="I31" s="92">
        <f>+(D87+D81+D82+D85+D86)</f>
        <v>27136</v>
      </c>
      <c r="J31" s="350">
        <f>+(E87+E81+E82+E85+E86)/(D87+D81+D82+D85+D86)-1</f>
        <v>9.2323113207547163</v>
      </c>
      <c r="K31" s="350">
        <f>+(F87+F81+F82+F85+F86)/(E87+E81+E82+E85+E86)-1</f>
        <v>-0.92658753025239138</v>
      </c>
      <c r="L31" s="350">
        <f>+(G87+G81+G82+G85+G86)/(F87+F81+F82+F85+F86)-1</f>
        <v>9.5778061224489797</v>
      </c>
      <c r="N31" s="246" t="s">
        <v>56</v>
      </c>
      <c r="O31" s="253" t="str">
        <f t="shared" ref="O31:O37" si="3">IF(E31-D31&lt;0,"F","U")</f>
        <v>U</v>
      </c>
      <c r="P31" s="254">
        <f t="shared" ref="P31:P37" si="4">IF(E31-D31&lt;0,0,ABS(E31-D31))</f>
        <v>0</v>
      </c>
      <c r="Q31" s="255">
        <f t="shared" ref="Q31:Q37" si="5">IF(E31-D31&gt;0,0,ABS(E31-D31))</f>
        <v>0</v>
      </c>
      <c r="R31" s="254">
        <f t="shared" ref="R31:R37" si="6">IF(F31-E31&lt;0,0,ABS(F31-E31))</f>
        <v>0</v>
      </c>
      <c r="S31" s="255">
        <f t="shared" ref="S31:S37" si="7">IF(F31-E31&gt;0,0,ABS(F31-E31))</f>
        <v>0</v>
      </c>
      <c r="T31" s="254">
        <f t="shared" ref="T31:T37" si="8">IF(G31-F31&lt;0,0,ABS(G31-F31))</f>
        <v>0</v>
      </c>
      <c r="U31" s="256">
        <f t="shared" ref="U31:U37" si="9">IF(G31-F31&gt;0,0,ABS(G31-F31))</f>
        <v>0</v>
      </c>
      <c r="V31" s="338" t="s">
        <v>135</v>
      </c>
      <c r="W31" s="349">
        <f>+D63-W26</f>
        <v>2583458</v>
      </c>
      <c r="X31" s="349">
        <f>+E63-X26</f>
        <v>2764193</v>
      </c>
      <c r="Y31" s="349">
        <f>+F63-Y26</f>
        <v>2857154</v>
      </c>
      <c r="Z31" s="348">
        <f>+G63-Z26</f>
        <v>2942040</v>
      </c>
    </row>
    <row r="32" spans="1:26" ht="13.5" thickBot="1">
      <c r="B32" s="17">
        <v>13</v>
      </c>
      <c r="C32" s="20" t="s">
        <v>61</v>
      </c>
      <c r="D32" s="60"/>
      <c r="E32" s="60"/>
      <c r="F32" s="60">
        <v>0</v>
      </c>
      <c r="G32" s="60">
        <v>0</v>
      </c>
      <c r="H32" s="252"/>
      <c r="I32" s="19"/>
      <c r="J32" s="19"/>
      <c r="K32" s="19"/>
      <c r="L32" s="19"/>
      <c r="N32" s="251" t="s">
        <v>61</v>
      </c>
      <c r="O32" s="253" t="str">
        <f t="shared" si="3"/>
        <v>U</v>
      </c>
      <c r="P32" s="254">
        <f t="shared" si="4"/>
        <v>0</v>
      </c>
      <c r="Q32" s="255">
        <f t="shared" si="5"/>
        <v>0</v>
      </c>
      <c r="R32" s="254">
        <f t="shared" si="6"/>
        <v>0</v>
      </c>
      <c r="S32" s="255">
        <f t="shared" si="7"/>
        <v>0</v>
      </c>
      <c r="T32" s="254">
        <f t="shared" si="8"/>
        <v>0</v>
      </c>
      <c r="U32" s="256">
        <f t="shared" si="9"/>
        <v>0</v>
      </c>
      <c r="V32" s="347" t="s">
        <v>163</v>
      </c>
      <c r="W32" s="143">
        <f>+W31+W30+W29</f>
        <v>2998901</v>
      </c>
      <c r="X32" s="144">
        <f>+X31+X30+X29</f>
        <v>3204330</v>
      </c>
      <c r="Y32" s="144">
        <f>+Y31+Y30+Y29</f>
        <v>3136599</v>
      </c>
      <c r="Z32" s="145">
        <f>+Z31+Z30+Z29</f>
        <v>3334482</v>
      </c>
    </row>
    <row r="33" spans="2:29" ht="14.25" customHeight="1" thickTop="1" thickBot="1">
      <c r="B33" s="17">
        <v>15</v>
      </c>
      <c r="C33" s="20" t="s">
        <v>8</v>
      </c>
      <c r="D33" s="60">
        <v>82247</v>
      </c>
      <c r="E33" s="60">
        <v>67310</v>
      </c>
      <c r="F33" s="60">
        <v>186942</v>
      </c>
      <c r="G33" s="60">
        <v>215178</v>
      </c>
      <c r="H33" s="89"/>
      <c r="J33" s="380" t="s">
        <v>90</v>
      </c>
      <c r="K33" s="381"/>
      <c r="L33" s="382"/>
      <c r="N33" s="251" t="s">
        <v>8</v>
      </c>
      <c r="O33" s="253" t="str">
        <f t="shared" si="3"/>
        <v>F</v>
      </c>
      <c r="P33" s="254">
        <f t="shared" si="4"/>
        <v>0</v>
      </c>
      <c r="Q33" s="255">
        <f t="shared" si="5"/>
        <v>14937</v>
      </c>
      <c r="R33" s="254">
        <f t="shared" si="6"/>
        <v>119632</v>
      </c>
      <c r="S33" s="255">
        <f t="shared" si="7"/>
        <v>0</v>
      </c>
      <c r="T33" s="254">
        <f t="shared" si="8"/>
        <v>28236</v>
      </c>
      <c r="U33" s="256">
        <f t="shared" si="9"/>
        <v>0</v>
      </c>
      <c r="V33" s="156"/>
      <c r="W33" s="157">
        <f>+W32-W23</f>
        <v>0</v>
      </c>
      <c r="X33" s="157">
        <f>+X32-X23</f>
        <v>0</v>
      </c>
      <c r="Y33" s="157">
        <f>+Y32-Y23</f>
        <v>-38908</v>
      </c>
      <c r="Z33" s="158">
        <f>+Z32-Z23</f>
        <v>-51421</v>
      </c>
    </row>
    <row r="34" spans="2:29" ht="13.5" thickTop="1">
      <c r="B34" s="17"/>
      <c r="C34" s="20" t="s">
        <v>52</v>
      </c>
      <c r="D34" s="60"/>
      <c r="E34" s="60"/>
      <c r="F34" s="60">
        <v>38908</v>
      </c>
      <c r="G34" s="60">
        <v>51421</v>
      </c>
      <c r="H34" s="388" t="s">
        <v>6</v>
      </c>
      <c r="I34" s="19">
        <f>+D30-D51</f>
        <v>2501211</v>
      </c>
      <c r="J34" s="342">
        <f>+E30-E51</f>
        <v>2696883</v>
      </c>
      <c r="K34" s="342">
        <f>+F30-F51</f>
        <v>2712570</v>
      </c>
      <c r="L34" s="342">
        <f>+G30-G51</f>
        <v>2726862</v>
      </c>
      <c r="N34" s="251" t="s">
        <v>52</v>
      </c>
      <c r="O34" s="257" t="str">
        <f t="shared" si="3"/>
        <v>U</v>
      </c>
      <c r="P34" s="105">
        <f t="shared" si="4"/>
        <v>0</v>
      </c>
      <c r="Q34" s="106">
        <f t="shared" si="5"/>
        <v>0</v>
      </c>
      <c r="R34" s="254">
        <f t="shared" si="6"/>
        <v>38908</v>
      </c>
      <c r="S34" s="255">
        <f t="shared" si="7"/>
        <v>0</v>
      </c>
      <c r="T34" s="254">
        <f t="shared" si="8"/>
        <v>12513</v>
      </c>
      <c r="U34" s="256">
        <f t="shared" si="9"/>
        <v>0</v>
      </c>
      <c r="V34" s="159"/>
      <c r="W34" s="160"/>
      <c r="X34" s="160"/>
      <c r="Y34" s="160"/>
      <c r="Z34" s="161"/>
    </row>
    <row r="35" spans="2:29">
      <c r="B35" s="17">
        <v>16</v>
      </c>
      <c r="C35" s="20" t="s">
        <v>9</v>
      </c>
      <c r="D35" s="60"/>
      <c r="E35" s="60"/>
      <c r="F35" s="60">
        <v>0</v>
      </c>
      <c r="G35" s="60">
        <v>0</v>
      </c>
      <c r="H35" s="389"/>
      <c r="I35" s="87">
        <f>+D30/D51</f>
        <v>2.7736632167891675</v>
      </c>
      <c r="J35" s="87">
        <f>+E30/E51</f>
        <v>2.9353901842683339</v>
      </c>
      <c r="K35" s="87">
        <f>+F30/F51</f>
        <v>3.9487116772491433</v>
      </c>
      <c r="L35" s="87">
        <f>+G30/G51</f>
        <v>2.7508639188205244</v>
      </c>
      <c r="N35" s="251" t="s">
        <v>9</v>
      </c>
      <c r="O35" s="253" t="str">
        <f t="shared" si="3"/>
        <v>U</v>
      </c>
      <c r="P35" s="254">
        <f t="shared" si="4"/>
        <v>0</v>
      </c>
      <c r="Q35" s="255">
        <f t="shared" si="5"/>
        <v>0</v>
      </c>
      <c r="R35" s="254">
        <f t="shared" si="6"/>
        <v>0</v>
      </c>
      <c r="S35" s="255">
        <f t="shared" si="7"/>
        <v>0</v>
      </c>
      <c r="T35" s="254">
        <f t="shared" si="8"/>
        <v>0</v>
      </c>
      <c r="U35" s="256">
        <f t="shared" si="9"/>
        <v>0</v>
      </c>
      <c r="V35" s="163"/>
    </row>
    <row r="36" spans="2:29">
      <c r="B36" s="17">
        <v>17</v>
      </c>
      <c r="C36" s="20" t="s">
        <v>62</v>
      </c>
      <c r="D36" s="60"/>
      <c r="E36" s="60"/>
      <c r="F36" s="60">
        <v>0</v>
      </c>
      <c r="G36" s="60">
        <v>0</v>
      </c>
      <c r="H36" s="252" t="s">
        <v>83</v>
      </c>
      <c r="I36" s="19">
        <f>(D27+D28)-(D43+D44+D46)</f>
        <v>2783458</v>
      </c>
      <c r="J36" s="19">
        <f>(E27+E28)-(E43+E44+E46)</f>
        <v>3147712</v>
      </c>
      <c r="K36" s="19">
        <f>(F27+F28)-(F43+F44+F46)</f>
        <v>404777</v>
      </c>
      <c r="L36" s="19">
        <f>(G27+G28)-(G43+G44+G46)</f>
        <v>2942096</v>
      </c>
      <c r="N36" s="251" t="s">
        <v>62</v>
      </c>
      <c r="O36" s="253" t="str">
        <f t="shared" si="3"/>
        <v>U</v>
      </c>
      <c r="P36" s="254">
        <f t="shared" si="4"/>
        <v>0</v>
      </c>
      <c r="Q36" s="255">
        <f t="shared" si="5"/>
        <v>0</v>
      </c>
      <c r="R36" s="254">
        <f t="shared" si="6"/>
        <v>0</v>
      </c>
      <c r="S36" s="255">
        <f t="shared" si="7"/>
        <v>0</v>
      </c>
      <c r="T36" s="254">
        <f t="shared" si="8"/>
        <v>0</v>
      </c>
      <c r="U36" s="256">
        <f t="shared" si="9"/>
        <v>0</v>
      </c>
      <c r="V36" s="334" t="s">
        <v>137</v>
      </c>
      <c r="W36" s="346">
        <f>+D87</f>
        <v>27136</v>
      </c>
      <c r="X36" s="346">
        <f>+E87</f>
        <v>277664</v>
      </c>
      <c r="Y36" s="346">
        <f>+F87</f>
        <v>20384</v>
      </c>
      <c r="Z36" s="345">
        <f>+G87</f>
        <v>215618</v>
      </c>
    </row>
    <row r="37" spans="2:29">
      <c r="B37" s="17">
        <v>18</v>
      </c>
      <c r="C37" s="21" t="s">
        <v>10</v>
      </c>
      <c r="D37" s="60">
        <v>0</v>
      </c>
      <c r="E37" s="60"/>
      <c r="F37" s="60">
        <v>0</v>
      </c>
      <c r="G37" s="60">
        <v>0</v>
      </c>
      <c r="H37" s="252" t="s">
        <v>84</v>
      </c>
      <c r="I37" s="19">
        <f>+I34-I36</f>
        <v>-282247</v>
      </c>
      <c r="J37" s="19">
        <f>+J34-J36</f>
        <v>-450829</v>
      </c>
      <c r="K37" s="19">
        <f>+K34-K36</f>
        <v>2307793</v>
      </c>
      <c r="L37" s="19">
        <f>+L34-L36</f>
        <v>-215234</v>
      </c>
      <c r="N37" s="258" t="s">
        <v>10</v>
      </c>
      <c r="O37" s="253" t="str">
        <f t="shared" si="3"/>
        <v>U</v>
      </c>
      <c r="P37" s="254">
        <f t="shared" si="4"/>
        <v>0</v>
      </c>
      <c r="Q37" s="255">
        <f t="shared" si="5"/>
        <v>0</v>
      </c>
      <c r="R37" s="254">
        <f t="shared" si="6"/>
        <v>0</v>
      </c>
      <c r="S37" s="255">
        <f t="shared" si="7"/>
        <v>0</v>
      </c>
      <c r="T37" s="254">
        <f t="shared" si="8"/>
        <v>0</v>
      </c>
      <c r="U37" s="256">
        <f t="shared" si="9"/>
        <v>0</v>
      </c>
      <c r="V37" s="328" t="s">
        <v>142</v>
      </c>
      <c r="W37" s="341">
        <f>+D92</f>
        <v>58581</v>
      </c>
      <c r="X37" s="341">
        <f>+E92</f>
        <v>124788</v>
      </c>
      <c r="Y37" s="341">
        <f>+F92</f>
        <v>93093</v>
      </c>
      <c r="Z37" s="340">
        <f>+G92</f>
        <v>185994</v>
      </c>
    </row>
    <row r="38" spans="2:29" ht="13.5" thickBot="1">
      <c r="B38" s="17"/>
      <c r="C38" s="35" t="s">
        <v>12</v>
      </c>
      <c r="D38" s="62">
        <f>+D31+D32+D33+D35+D36+D37</f>
        <v>82247</v>
      </c>
      <c r="E38" s="62">
        <f>+E31+E32+E33+E35+E36+E37</f>
        <v>67310</v>
      </c>
      <c r="F38" s="62">
        <f>+F31+F32+F33+F35+F36+F37</f>
        <v>186942</v>
      </c>
      <c r="G38" s="62">
        <f>+G31+G32+G33+G35+G36+G37</f>
        <v>215178</v>
      </c>
      <c r="H38" s="262" t="s">
        <v>115</v>
      </c>
      <c r="I38" s="320">
        <f>D51/(D27+D28)</f>
        <v>0.38270712380003308</v>
      </c>
      <c r="J38" s="320">
        <f>E51/(E27+E28)</f>
        <v>0.36200919092670719</v>
      </c>
      <c r="K38" s="320">
        <f>F51/(F27+F28)</f>
        <v>0.97826981627073295</v>
      </c>
      <c r="L38" s="320">
        <f>G51/(G27+G28)</f>
        <v>0.4004271049677563</v>
      </c>
      <c r="N38" s="259" t="s">
        <v>12</v>
      </c>
      <c r="O38" s="260"/>
      <c r="P38" s="263">
        <f t="shared" ref="P38:U38" si="10">SUM(P31:P37)</f>
        <v>0</v>
      </c>
      <c r="Q38" s="263">
        <f t="shared" si="10"/>
        <v>14937</v>
      </c>
      <c r="R38" s="263">
        <f t="shared" si="10"/>
        <v>158540</v>
      </c>
      <c r="S38" s="263">
        <f t="shared" si="10"/>
        <v>0</v>
      </c>
      <c r="T38" s="263">
        <f t="shared" si="10"/>
        <v>40749</v>
      </c>
      <c r="U38" s="263">
        <f t="shared" si="10"/>
        <v>0</v>
      </c>
      <c r="V38" s="328" t="s">
        <v>138</v>
      </c>
      <c r="W38" s="341">
        <f>+W36-W37</f>
        <v>-31445</v>
      </c>
      <c r="X38" s="341">
        <f>+X36-X37</f>
        <v>152876</v>
      </c>
      <c r="Y38" s="341">
        <f>+Y36-Y37</f>
        <v>-72709</v>
      </c>
      <c r="Z38" s="340">
        <f>+Z36-Z37</f>
        <v>29624</v>
      </c>
    </row>
    <row r="39" spans="2:29" ht="13.5" thickTop="1">
      <c r="B39" s="22">
        <v>19</v>
      </c>
      <c r="C39" s="39" t="s">
        <v>11</v>
      </c>
      <c r="D39" s="65"/>
      <c r="E39" s="65"/>
      <c r="F39" s="65">
        <v>0</v>
      </c>
      <c r="G39" s="65">
        <v>0</v>
      </c>
      <c r="H39" s="252" t="s">
        <v>86</v>
      </c>
      <c r="I39" s="19"/>
      <c r="J39" s="342">
        <f>360/(E77/(AVERAGE(D28:E28)))</f>
        <v>28.865844734548606</v>
      </c>
      <c r="K39" s="342">
        <f>360/(F77/(AVERAGE(E28:F28)))</f>
        <v>22.381735571960157</v>
      </c>
      <c r="L39" s="342">
        <f>360/(G77/(AVERAGE(F28:G28)))</f>
        <v>21.951001971940943</v>
      </c>
      <c r="N39" s="265"/>
      <c r="O39" s="266"/>
      <c r="P39" s="103"/>
      <c r="Q39" s="115"/>
      <c r="R39" s="254"/>
      <c r="S39" s="104"/>
      <c r="T39" s="103"/>
      <c r="U39" s="152"/>
      <c r="V39" s="328" t="s">
        <v>143</v>
      </c>
      <c r="W39" s="344">
        <f>+D89</f>
        <v>0</v>
      </c>
      <c r="X39" s="344">
        <f>+E89</f>
        <v>0</v>
      </c>
      <c r="Y39" s="344">
        <f>+F89</f>
        <v>0</v>
      </c>
      <c r="Z39" s="343">
        <f>+G89</f>
        <v>0</v>
      </c>
    </row>
    <row r="40" spans="2:29">
      <c r="B40" s="13"/>
      <c r="C40" s="34"/>
      <c r="D40" s="14"/>
      <c r="E40" s="14"/>
      <c r="F40" s="14"/>
      <c r="G40" s="14"/>
      <c r="H40" s="252" t="s">
        <v>85</v>
      </c>
      <c r="I40" s="19"/>
      <c r="J40" s="342">
        <f>360/(E98/(AVERAGE(D43:E43)))</f>
        <v>18.110648449996631</v>
      </c>
      <c r="K40" s="342">
        <f>360/(F98/(AVERAGE(E43:F43)))</f>
        <v>13.533692829182352</v>
      </c>
      <c r="L40" s="342">
        <f>360/(G98/(AVERAGE(F43:G43)))</f>
        <v>14.96430963849237</v>
      </c>
      <c r="N40" s="267"/>
      <c r="O40" s="266"/>
      <c r="P40" s="115"/>
      <c r="Q40" s="117"/>
      <c r="R40" s="254"/>
      <c r="S40" s="104"/>
      <c r="T40" s="103"/>
      <c r="U40" s="152"/>
      <c r="V40" s="328" t="s">
        <v>144</v>
      </c>
      <c r="W40" s="344"/>
      <c r="X40" s="344">
        <f>+X36-X39</f>
        <v>277664</v>
      </c>
      <c r="Y40" s="344">
        <f>+Y36-Y39</f>
        <v>20384</v>
      </c>
      <c r="Z40" s="343">
        <f>+Z36-Z39</f>
        <v>215618</v>
      </c>
    </row>
    <row r="41" spans="2:29" ht="13.5" thickBot="1">
      <c r="B41" s="15">
        <v>20</v>
      </c>
      <c r="C41" s="35" t="s">
        <v>68</v>
      </c>
      <c r="D41" s="62">
        <f>+D51+D61</f>
        <v>1410195</v>
      </c>
      <c r="E41" s="62">
        <f>+E51+E61</f>
        <v>1393457</v>
      </c>
      <c r="F41" s="62">
        <f>+F51+F61</f>
        <v>962275</v>
      </c>
      <c r="G41" s="62">
        <f>+G51+G61</f>
        <v>1557438</v>
      </c>
      <c r="H41" s="252" t="s">
        <v>87</v>
      </c>
      <c r="I41" s="19"/>
      <c r="J41" s="342">
        <f>360/(E75/(AVERAGE(D27:E27)))</f>
        <v>59.561013230276245</v>
      </c>
      <c r="K41" s="342">
        <f>360/(F75/(AVERAGE(E27:F27)))</f>
        <v>35.09058007024192</v>
      </c>
      <c r="L41" s="342">
        <f>360/(G75/(AVERAGE(F27:G27)))</f>
        <v>31.283794625869366</v>
      </c>
      <c r="N41" s="259" t="s">
        <v>68</v>
      </c>
      <c r="O41" s="260"/>
      <c r="P41" s="260"/>
      <c r="Q41" s="260"/>
      <c r="R41" s="260"/>
      <c r="S41" s="260"/>
      <c r="T41" s="260"/>
      <c r="U41" s="260"/>
      <c r="V41" s="328" t="s">
        <v>146</v>
      </c>
      <c r="W41" s="341"/>
      <c r="X41" s="341">
        <f>+X38-X39</f>
        <v>152876</v>
      </c>
      <c r="Y41" s="341">
        <f>+Y38-Y39</f>
        <v>-72709</v>
      </c>
      <c r="Z41" s="340">
        <f>+Z38-Z39</f>
        <v>29624</v>
      </c>
      <c r="AA41" s="83"/>
      <c r="AB41" s="83"/>
      <c r="AC41" s="83"/>
    </row>
    <row r="42" spans="2:29" ht="13.5" thickTop="1">
      <c r="B42" s="17">
        <v>21</v>
      </c>
      <c r="C42" s="18" t="s">
        <v>63</v>
      </c>
      <c r="D42" s="61">
        <v>415443</v>
      </c>
      <c r="E42" s="60">
        <v>440137</v>
      </c>
      <c r="F42" s="60">
        <v>237087</v>
      </c>
      <c r="G42" s="60">
        <v>392442</v>
      </c>
      <c r="H42" s="252" t="s">
        <v>89</v>
      </c>
      <c r="I42" s="68"/>
      <c r="J42" s="339">
        <f>360/(E$75/(AVERAGE(D$27:E$27)+AVERAGE(D$28:E$28)))</f>
        <v>85.762242060838204</v>
      </c>
      <c r="K42" s="339">
        <f>360/(F75/(AVERAGE(E27:F27)+AVERAGE(E28:F28)))</f>
        <v>55.63882847521333</v>
      </c>
      <c r="L42" s="339">
        <f>360/(G75/(AVERAGE(F27:G27)+AVERAGE(F28:G28)))</f>
        <v>51.099061309863671</v>
      </c>
      <c r="N42" s="246" t="s">
        <v>63</v>
      </c>
      <c r="O42" s="253" t="str">
        <f t="shared" ref="O42:O50" si="11">IF(E42-D42&gt;0,"F","U")</f>
        <v>F</v>
      </c>
      <c r="P42" s="254">
        <f t="shared" ref="P42:P50" si="12">IF(E42-D42&gt;0,0,ABS(E42-D42))</f>
        <v>0</v>
      </c>
      <c r="Q42" s="255">
        <f t="shared" ref="Q42:Q50" si="13">IF(E42-D42&lt;0,0,ABS(E42-D42))</f>
        <v>24694</v>
      </c>
      <c r="R42" s="254">
        <f t="shared" ref="R42:R50" si="14">IF(F42-E42&gt;0,0,ABS(F42-E42))</f>
        <v>203050</v>
      </c>
      <c r="S42" s="255">
        <f t="shared" ref="S42:S50" si="15">IF(F42-E42&lt;0,0,ABS(F42-E42))</f>
        <v>0</v>
      </c>
      <c r="T42" s="254">
        <f t="shared" ref="T42:T50" si="16">IF(G42-F42&gt;0,0,ABS(G42-F42))</f>
        <v>0</v>
      </c>
      <c r="U42" s="256">
        <f t="shared" ref="U42:U50" si="17">IF(G42-F42&lt;0,0,ABS(G42-F42))</f>
        <v>155355</v>
      </c>
      <c r="V42" s="338" t="s">
        <v>145</v>
      </c>
      <c r="W42" s="337"/>
      <c r="X42" s="337">
        <f>+X40-X37</f>
        <v>152876</v>
      </c>
      <c r="Y42" s="337">
        <f>+Y40-Y37</f>
        <v>-72709</v>
      </c>
      <c r="Z42" s="336">
        <f>+Z40-Z37</f>
        <v>29624</v>
      </c>
    </row>
    <row r="43" spans="2:29">
      <c r="B43" s="17">
        <v>22</v>
      </c>
      <c r="C43" s="20" t="s">
        <v>54</v>
      </c>
      <c r="D43" s="61">
        <v>802612</v>
      </c>
      <c r="E43" s="60">
        <v>610022</v>
      </c>
      <c r="F43" s="60">
        <v>443029</v>
      </c>
      <c r="G43" s="60">
        <v>860692</v>
      </c>
      <c r="H43" s="252" t="s">
        <v>91</v>
      </c>
      <c r="I43" s="68">
        <f>(D30/D23)</f>
        <v>0.97940557179103949</v>
      </c>
      <c r="J43" s="68">
        <f>+E30/E23</f>
        <v>0.98381056606496453</v>
      </c>
      <c r="K43" s="68">
        <f>+F30/F23</f>
        <v>0.9510549875387132</v>
      </c>
      <c r="L43" s="68">
        <f>+G30/G23</f>
        <v>0.95217711921249537</v>
      </c>
      <c r="N43" s="251" t="s">
        <v>54</v>
      </c>
      <c r="O43" s="253" t="str">
        <f t="shared" si="11"/>
        <v>U</v>
      </c>
      <c r="P43" s="254">
        <f t="shared" si="12"/>
        <v>192590</v>
      </c>
      <c r="Q43" s="255">
        <f t="shared" si="13"/>
        <v>0</v>
      </c>
      <c r="R43" s="254">
        <f t="shared" si="14"/>
        <v>166993</v>
      </c>
      <c r="S43" s="255">
        <f t="shared" si="15"/>
        <v>0</v>
      </c>
      <c r="T43" s="254">
        <f t="shared" si="16"/>
        <v>0</v>
      </c>
      <c r="U43" s="256">
        <f t="shared" si="17"/>
        <v>417663</v>
      </c>
      <c r="V43" s="335"/>
    </row>
    <row r="44" spans="2:29">
      <c r="B44" s="17">
        <v>23</v>
      </c>
      <c r="C44" s="20" t="s">
        <v>20</v>
      </c>
      <c r="D44" s="61">
        <v>69927</v>
      </c>
      <c r="E44" s="60">
        <v>60655</v>
      </c>
      <c r="F44" s="60">
        <v>59529</v>
      </c>
      <c r="G44" s="60">
        <v>55678</v>
      </c>
      <c r="H44" s="268"/>
      <c r="I44" s="68"/>
      <c r="J44" s="19"/>
      <c r="K44" s="19"/>
      <c r="L44" s="19"/>
      <c r="N44" s="251" t="s">
        <v>20</v>
      </c>
      <c r="O44" s="253" t="str">
        <f t="shared" si="11"/>
        <v>U</v>
      </c>
      <c r="P44" s="254">
        <f t="shared" si="12"/>
        <v>9272</v>
      </c>
      <c r="Q44" s="255">
        <f t="shared" si="13"/>
        <v>0</v>
      </c>
      <c r="R44" s="254">
        <f t="shared" si="14"/>
        <v>1126</v>
      </c>
      <c r="S44" s="255">
        <f t="shared" si="15"/>
        <v>0</v>
      </c>
      <c r="T44" s="254">
        <f t="shared" si="16"/>
        <v>3851</v>
      </c>
      <c r="U44" s="256">
        <f t="shared" si="17"/>
        <v>0</v>
      </c>
      <c r="V44" s="334" t="s">
        <v>141</v>
      </c>
      <c r="W44" s="333"/>
      <c r="X44" s="333">
        <f>(E89/((E42+D42+E52+D52)/2))*(1-0.33)</f>
        <v>0</v>
      </c>
      <c r="Y44" s="333">
        <f>(F89/((F42+E42+F52+E52)/2))*(1-0.33)</f>
        <v>0</v>
      </c>
      <c r="Z44" s="332">
        <f>(G89/((G42+F42+G52+F52)/2))*(1-0.33)</f>
        <v>0</v>
      </c>
    </row>
    <row r="45" spans="2:29" ht="13.5" customHeight="1" thickBot="1">
      <c r="B45" s="17">
        <v>24</v>
      </c>
      <c r="C45" s="20" t="s">
        <v>55</v>
      </c>
      <c r="D45" s="61">
        <v>93421</v>
      </c>
      <c r="E45" s="60">
        <v>251801</v>
      </c>
      <c r="F45" s="60">
        <v>147256</v>
      </c>
      <c r="G45" s="60">
        <v>215745</v>
      </c>
      <c r="H45" s="83"/>
      <c r="I45" s="83"/>
      <c r="J45" s="380" t="s">
        <v>93</v>
      </c>
      <c r="K45" s="381"/>
      <c r="L45" s="382"/>
      <c r="N45" s="251" t="s">
        <v>55</v>
      </c>
      <c r="O45" s="253" t="str">
        <f t="shared" si="11"/>
        <v>F</v>
      </c>
      <c r="P45" s="254">
        <f t="shared" si="12"/>
        <v>0</v>
      </c>
      <c r="Q45" s="255">
        <f t="shared" si="13"/>
        <v>158380</v>
      </c>
      <c r="R45" s="254">
        <f t="shared" si="14"/>
        <v>104545</v>
      </c>
      <c r="S45" s="255">
        <f t="shared" si="15"/>
        <v>0</v>
      </c>
      <c r="T45" s="254">
        <f t="shared" si="16"/>
        <v>0</v>
      </c>
      <c r="U45" s="256">
        <f t="shared" si="17"/>
        <v>68489</v>
      </c>
      <c r="V45" s="328" t="s">
        <v>140</v>
      </c>
      <c r="W45" s="331"/>
      <c r="X45" s="331">
        <f>+E99</f>
        <v>0</v>
      </c>
      <c r="Y45" s="331">
        <f>+F99</f>
        <v>0</v>
      </c>
      <c r="Z45" s="330">
        <f>+G99</f>
        <v>0</v>
      </c>
    </row>
    <row r="46" spans="2:29" ht="13.5" thickTop="1">
      <c r="B46" s="17">
        <v>25</v>
      </c>
      <c r="C46" s="20" t="s">
        <v>21</v>
      </c>
      <c r="D46" s="61">
        <v>28792</v>
      </c>
      <c r="E46" s="60">
        <v>30842</v>
      </c>
      <c r="F46" s="60">
        <v>33016</v>
      </c>
      <c r="G46" s="60">
        <v>30976</v>
      </c>
      <c r="H46" s="252" t="s">
        <v>15</v>
      </c>
      <c r="I46" s="68">
        <f>+D41/D23</f>
        <v>0.35310904577838886</v>
      </c>
      <c r="J46" s="68">
        <f>+E41/E23</f>
        <v>0.33515495532331968</v>
      </c>
      <c r="K46" s="68">
        <f>+F41/F23</f>
        <v>0.2519421096713671</v>
      </c>
      <c r="L46" s="68">
        <f>+G41/G23</f>
        <v>0.34613748528162602</v>
      </c>
      <c r="N46" s="251" t="s">
        <v>21</v>
      </c>
      <c r="O46" s="253" t="str">
        <f t="shared" si="11"/>
        <v>F</v>
      </c>
      <c r="P46" s="254">
        <f t="shared" si="12"/>
        <v>0</v>
      </c>
      <c r="Q46" s="255">
        <f t="shared" si="13"/>
        <v>2050</v>
      </c>
      <c r="R46" s="254">
        <f t="shared" si="14"/>
        <v>0</v>
      </c>
      <c r="S46" s="255">
        <f t="shared" si="15"/>
        <v>2174</v>
      </c>
      <c r="T46" s="254">
        <f t="shared" si="16"/>
        <v>2040</v>
      </c>
      <c r="U46" s="256">
        <f t="shared" si="17"/>
        <v>0</v>
      </c>
      <c r="V46" s="328" t="s">
        <v>139</v>
      </c>
      <c r="W46" s="331"/>
      <c r="X46" s="331">
        <f>(J46*X44)+(1-J46)*X45</f>
        <v>0</v>
      </c>
      <c r="Y46" s="331">
        <f>(K46*Y44)+(1-K46)*Y45</f>
        <v>0</v>
      </c>
      <c r="Z46" s="330">
        <f>(L46*Z44)+(1-L46)*Z45</f>
        <v>0</v>
      </c>
    </row>
    <row r="47" spans="2:29">
      <c r="B47" s="17">
        <v>26</v>
      </c>
      <c r="C47" s="20" t="s">
        <v>22</v>
      </c>
      <c r="D47" s="61"/>
      <c r="E47" s="60"/>
      <c r="F47" s="60">
        <v>0</v>
      </c>
      <c r="G47" s="60">
        <v>1905</v>
      </c>
      <c r="H47" s="252" t="s">
        <v>92</v>
      </c>
      <c r="I47" s="68">
        <f>1-I46</f>
        <v>0.64689095422161114</v>
      </c>
      <c r="J47" s="68">
        <f>1-J46</f>
        <v>0.66484504467668026</v>
      </c>
      <c r="K47" s="329">
        <f>1-K46</f>
        <v>0.7480578903286329</v>
      </c>
      <c r="L47" s="68">
        <f>1-L46</f>
        <v>0.65386251471837398</v>
      </c>
      <c r="N47" s="251" t="s">
        <v>22</v>
      </c>
      <c r="O47" s="253" t="str">
        <f t="shared" si="11"/>
        <v>U</v>
      </c>
      <c r="P47" s="254">
        <f t="shared" si="12"/>
        <v>0</v>
      </c>
      <c r="Q47" s="255">
        <f t="shared" si="13"/>
        <v>0</v>
      </c>
      <c r="R47" s="254">
        <f t="shared" si="14"/>
        <v>0</v>
      </c>
      <c r="S47" s="255">
        <f t="shared" si="15"/>
        <v>0</v>
      </c>
      <c r="T47" s="254">
        <f t="shared" si="16"/>
        <v>0</v>
      </c>
      <c r="U47" s="256">
        <f t="shared" si="17"/>
        <v>1905</v>
      </c>
      <c r="V47" s="328" t="s">
        <v>147</v>
      </c>
      <c r="W47" s="327"/>
      <c r="X47" s="327">
        <f>+X38/X23</f>
        <v>4.7709193497548631E-2</v>
      </c>
      <c r="Y47" s="327">
        <f>+Y38/Y23</f>
        <v>-2.289681616195461E-2</v>
      </c>
      <c r="Z47" s="326">
        <f>+Z38/Z23</f>
        <v>8.7492169740243601E-3</v>
      </c>
    </row>
    <row r="48" spans="2:29">
      <c r="B48" s="17">
        <v>27</v>
      </c>
      <c r="C48" s="20" t="s">
        <v>64</v>
      </c>
      <c r="D48" s="61"/>
      <c r="E48" s="61"/>
      <c r="F48" s="61">
        <v>0</v>
      </c>
      <c r="G48" s="61">
        <v>0</v>
      </c>
      <c r="H48" s="252" t="s">
        <v>16</v>
      </c>
      <c r="I48" s="90">
        <f>+D41/D63</f>
        <v>0.54585559354942093</v>
      </c>
      <c r="J48" s="90">
        <f>+E41/E63</f>
        <v>0.5041098794476363</v>
      </c>
      <c r="K48" s="90">
        <f>+F41/F63</f>
        <v>0.33679493649974768</v>
      </c>
      <c r="L48" s="90">
        <f>+G41/G63</f>
        <v>0.52937349594159155</v>
      </c>
      <c r="N48" s="251" t="s">
        <v>64</v>
      </c>
      <c r="O48" s="253" t="str">
        <f t="shared" si="11"/>
        <v>U</v>
      </c>
      <c r="P48" s="254">
        <f t="shared" si="12"/>
        <v>0</v>
      </c>
      <c r="Q48" s="255">
        <f t="shared" si="13"/>
        <v>0</v>
      </c>
      <c r="R48" s="254">
        <f t="shared" si="14"/>
        <v>0</v>
      </c>
      <c r="S48" s="255">
        <f t="shared" si="15"/>
        <v>0</v>
      </c>
      <c r="T48" s="254">
        <f t="shared" si="16"/>
        <v>0</v>
      </c>
      <c r="U48" s="256">
        <f t="shared" si="17"/>
        <v>0</v>
      </c>
      <c r="V48" s="328" t="s">
        <v>148</v>
      </c>
      <c r="W48" s="327"/>
      <c r="X48" s="327">
        <f>+E87/E23</f>
        <v>6.6783880317005995E-2</v>
      </c>
      <c r="Y48" s="327">
        <f>+F87/F23</f>
        <v>5.3369233987593436E-3</v>
      </c>
      <c r="Z48" s="326">
        <f>+G87/G23</f>
        <v>4.7920669908820532E-2</v>
      </c>
    </row>
    <row r="49" spans="2:26" ht="15" customHeight="1">
      <c r="B49" s="17">
        <v>28</v>
      </c>
      <c r="C49" s="20" t="s">
        <v>24</v>
      </c>
      <c r="D49" s="61"/>
      <c r="E49" s="61"/>
      <c r="F49" s="61">
        <v>0</v>
      </c>
      <c r="G49" s="61">
        <v>0</v>
      </c>
      <c r="H49" s="252" t="s">
        <v>116</v>
      </c>
      <c r="I49" s="68">
        <f>+D52/(D63+D52)</f>
        <v>0</v>
      </c>
      <c r="J49" s="320">
        <f>+E52/(E63+E52)</f>
        <v>0</v>
      </c>
      <c r="K49" s="320">
        <f>+F52/(F63+F52)</f>
        <v>1.4608665182278949E-2</v>
      </c>
      <c r="L49" s="320">
        <f>+G52/(G63+G52)</f>
        <v>0</v>
      </c>
      <c r="N49" s="251" t="s">
        <v>24</v>
      </c>
      <c r="O49" s="253" t="str">
        <f t="shared" si="11"/>
        <v>U</v>
      </c>
      <c r="P49" s="254">
        <f t="shared" si="12"/>
        <v>0</v>
      </c>
      <c r="Q49" s="255">
        <f t="shared" si="13"/>
        <v>0</v>
      </c>
      <c r="R49" s="254">
        <f t="shared" si="14"/>
        <v>0</v>
      </c>
      <c r="S49" s="255">
        <f t="shared" si="15"/>
        <v>0</v>
      </c>
      <c r="T49" s="254">
        <f t="shared" si="16"/>
        <v>0</v>
      </c>
      <c r="U49" s="256">
        <f t="shared" si="17"/>
        <v>0</v>
      </c>
      <c r="V49" s="390" t="s">
        <v>149</v>
      </c>
      <c r="W49" s="378"/>
      <c r="X49" s="325">
        <f>+X47-X46</f>
        <v>4.7709193497548631E-2</v>
      </c>
      <c r="Y49" s="325">
        <f>+Y47-Y46</f>
        <v>-2.289681616195461E-2</v>
      </c>
      <c r="Z49" s="324">
        <f>+Z47-Z46</f>
        <v>8.7492169740243601E-3</v>
      </c>
    </row>
    <row r="50" spans="2:26" ht="15.75" customHeight="1">
      <c r="B50" s="17">
        <v>29</v>
      </c>
      <c r="C50" s="21" t="s">
        <v>65</v>
      </c>
      <c r="D50" s="61"/>
      <c r="E50" s="61"/>
      <c r="F50" s="61">
        <v>0</v>
      </c>
      <c r="G50" s="61">
        <v>0</v>
      </c>
      <c r="H50" s="252" t="s">
        <v>99</v>
      </c>
      <c r="I50" s="90">
        <f>+D63/D33</f>
        <v>31.410969397060075</v>
      </c>
      <c r="J50" s="90">
        <f>+E63/E33</f>
        <v>41.066602287921555</v>
      </c>
      <c r="K50" s="90">
        <f>+F63/F33</f>
        <v>15.283638775663039</v>
      </c>
      <c r="L50" s="90">
        <f>+G63/G33</f>
        <v>13.672587346290049</v>
      </c>
      <c r="N50" s="258" t="s">
        <v>65</v>
      </c>
      <c r="O50" s="253" t="str">
        <f t="shared" si="11"/>
        <v>U</v>
      </c>
      <c r="P50" s="254">
        <f t="shared" si="12"/>
        <v>0</v>
      </c>
      <c r="Q50" s="255">
        <f t="shared" si="13"/>
        <v>0</v>
      </c>
      <c r="R50" s="254">
        <f t="shared" si="14"/>
        <v>0</v>
      </c>
      <c r="S50" s="255">
        <f t="shared" si="15"/>
        <v>0</v>
      </c>
      <c r="T50" s="254">
        <f t="shared" si="16"/>
        <v>0</v>
      </c>
      <c r="U50" s="256">
        <f t="shared" si="17"/>
        <v>0</v>
      </c>
      <c r="V50" s="391"/>
      <c r="W50" s="379"/>
      <c r="X50" s="323"/>
      <c r="Y50" s="323">
        <f>+Y49-X49</f>
        <v>-7.0606009659503241E-2</v>
      </c>
      <c r="Z50" s="322">
        <f>+Z49-Y49</f>
        <v>3.1646033135978968E-2</v>
      </c>
    </row>
    <row r="51" spans="2:26" ht="13.5" thickBot="1">
      <c r="B51" s="17">
        <v>0</v>
      </c>
      <c r="C51" s="35" t="s">
        <v>19</v>
      </c>
      <c r="D51" s="62">
        <f>SUM(D42:D50)</f>
        <v>1410195</v>
      </c>
      <c r="E51" s="62">
        <f>SUM(E42:E50)</f>
        <v>1393457</v>
      </c>
      <c r="F51" s="62">
        <f>SUM(F42:F50)</f>
        <v>919917</v>
      </c>
      <c r="G51" s="62">
        <f>SUM(G42:G50)</f>
        <v>1557438</v>
      </c>
      <c r="H51" s="252" t="s">
        <v>117</v>
      </c>
      <c r="I51" s="68">
        <f>+D63/(D27+D28+D33)</f>
        <v>0.68580655985236139</v>
      </c>
      <c r="J51" s="68">
        <f>+E63/(E27+E28+E33)</f>
        <v>0.70577404909076658</v>
      </c>
      <c r="K51" s="68">
        <f>+F63/(F27+F28+F33)</f>
        <v>2.5345265161763622</v>
      </c>
      <c r="L51" s="68">
        <f>+G63/(G27+G28+G33)</f>
        <v>0.71676306211049989</v>
      </c>
      <c r="N51" s="259" t="s">
        <v>19</v>
      </c>
      <c r="O51" s="260"/>
      <c r="P51" s="261">
        <f t="shared" ref="P51:U51" si="18">SUM(P42:P50)</f>
        <v>201862</v>
      </c>
      <c r="Q51" s="261">
        <f t="shared" si="18"/>
        <v>185124</v>
      </c>
      <c r="R51" s="261">
        <f t="shared" si="18"/>
        <v>475714</v>
      </c>
      <c r="S51" s="261">
        <f t="shared" si="18"/>
        <v>2174</v>
      </c>
      <c r="T51" s="261">
        <f t="shared" si="18"/>
        <v>5891</v>
      </c>
      <c r="U51" s="261">
        <f t="shared" si="18"/>
        <v>643412</v>
      </c>
      <c r="V51" s="321"/>
      <c r="W51" s="269"/>
    </row>
    <row r="52" spans="2:26" ht="13.5" thickTop="1">
      <c r="B52" s="17">
        <v>21</v>
      </c>
      <c r="C52" s="18" t="s">
        <v>53</v>
      </c>
      <c r="D52" s="61"/>
      <c r="E52" s="60"/>
      <c r="F52" s="60">
        <v>42358</v>
      </c>
      <c r="G52" s="61">
        <v>0</v>
      </c>
      <c r="H52" s="252" t="s">
        <v>118</v>
      </c>
      <c r="I52" s="68">
        <f>+D51/D41</f>
        <v>1</v>
      </c>
      <c r="J52" s="68">
        <f>+E51/E41</f>
        <v>1</v>
      </c>
      <c r="K52" s="68">
        <f>+F51/F41</f>
        <v>0.95598139824894135</v>
      </c>
      <c r="L52" s="68">
        <f>+G51/G41</f>
        <v>1</v>
      </c>
      <c r="N52" s="246" t="s">
        <v>53</v>
      </c>
      <c r="O52" s="253" t="str">
        <f t="shared" ref="O52:O60" si="19">IF(E52-D52&gt;0,"F","U")</f>
        <v>U</v>
      </c>
      <c r="P52" s="254">
        <f t="shared" ref="P52:P60" si="20">IF(E52-D52&gt;0,0,ABS(E52-D52))</f>
        <v>0</v>
      </c>
      <c r="Q52" s="255">
        <f t="shared" ref="Q52:Q60" si="21">IF(E52-D52&lt;0,0,ABS(E52-D52))</f>
        <v>0</v>
      </c>
      <c r="R52" s="254">
        <f t="shared" ref="R52:R60" si="22">IF(F52-E52&gt;0,0,ABS(F52-E52))</f>
        <v>0</v>
      </c>
      <c r="S52" s="255">
        <f t="shared" ref="S52:S60" si="23">IF(F52-E52&lt;0,0,ABS(F52-E52))</f>
        <v>42358</v>
      </c>
      <c r="T52" s="254">
        <f t="shared" ref="T52:T60" si="24">IF(G52-F52&gt;0,0,ABS(G52-F52))</f>
        <v>42358</v>
      </c>
      <c r="U52" s="256">
        <f t="shared" ref="U52:U60" si="25">IF(G52-F52&lt;0,0,ABS(G52-F52))</f>
        <v>0</v>
      </c>
      <c r="V52" s="14"/>
    </row>
    <row r="53" spans="2:26">
      <c r="B53" s="17">
        <v>22</v>
      </c>
      <c r="C53" s="20" t="s">
        <v>54</v>
      </c>
      <c r="D53" s="61"/>
      <c r="E53" s="60"/>
      <c r="F53" s="60">
        <v>0</v>
      </c>
      <c r="G53" s="61">
        <v>0</v>
      </c>
      <c r="H53" s="252" t="s">
        <v>119</v>
      </c>
      <c r="I53" s="68">
        <f>+(D42+D52)/D41</f>
        <v>0.29459968302256073</v>
      </c>
      <c r="J53" s="320">
        <f>+(E42+E52)/E41</f>
        <v>0.31585976459984055</v>
      </c>
      <c r="K53" s="320">
        <f>+(F42+F52)/F41</f>
        <v>0.29040035332934971</v>
      </c>
      <c r="L53" s="320">
        <f>+(G42+G52)/G41</f>
        <v>0.25197921201357615</v>
      </c>
      <c r="N53" s="251" t="s">
        <v>54</v>
      </c>
      <c r="O53" s="253" t="str">
        <f t="shared" si="19"/>
        <v>U</v>
      </c>
      <c r="P53" s="254">
        <f t="shared" si="20"/>
        <v>0</v>
      </c>
      <c r="Q53" s="255">
        <f t="shared" si="21"/>
        <v>0</v>
      </c>
      <c r="R53" s="254">
        <f t="shared" si="22"/>
        <v>0</v>
      </c>
      <c r="S53" s="255">
        <f t="shared" si="23"/>
        <v>0</v>
      </c>
      <c r="T53" s="254">
        <f t="shared" si="24"/>
        <v>0</v>
      </c>
      <c r="U53" s="256">
        <f t="shared" si="25"/>
        <v>0</v>
      </c>
      <c r="V53" s="14"/>
    </row>
    <row r="54" spans="2:26">
      <c r="B54" s="17">
        <v>23</v>
      </c>
      <c r="C54" s="20" t="s">
        <v>20</v>
      </c>
      <c r="D54" s="61"/>
      <c r="E54" s="60"/>
      <c r="F54" s="60">
        <v>0</v>
      </c>
      <c r="G54" s="61">
        <v>0</v>
      </c>
      <c r="H54" s="252" t="s">
        <v>94</v>
      </c>
      <c r="I54" s="90"/>
      <c r="J54" s="371" t="e">
        <f>+(E87+E81+E82+E85+E86)/E89</f>
        <v>#DIV/0!</v>
      </c>
      <c r="K54" s="90" t="e">
        <f>+(F87+F81+F82+F85+F86)/F89</f>
        <v>#DIV/0!</v>
      </c>
      <c r="L54" s="90" t="e">
        <f>+(G87+G81+G82+G85+G86)/G89</f>
        <v>#DIV/0!</v>
      </c>
      <c r="N54" s="251" t="s">
        <v>20</v>
      </c>
      <c r="O54" s="253" t="str">
        <f t="shared" si="19"/>
        <v>U</v>
      </c>
      <c r="P54" s="254">
        <f t="shared" si="20"/>
        <v>0</v>
      </c>
      <c r="Q54" s="255">
        <f t="shared" si="21"/>
        <v>0</v>
      </c>
      <c r="R54" s="254">
        <f t="shared" si="22"/>
        <v>0</v>
      </c>
      <c r="S54" s="255">
        <f t="shared" si="23"/>
        <v>0</v>
      </c>
      <c r="T54" s="254">
        <f t="shared" si="24"/>
        <v>0</v>
      </c>
      <c r="U54" s="256">
        <f t="shared" si="25"/>
        <v>0</v>
      </c>
      <c r="V54" s="318"/>
    </row>
    <row r="55" spans="2:26">
      <c r="B55" s="22">
        <v>24</v>
      </c>
      <c r="C55" s="20" t="s">
        <v>55</v>
      </c>
      <c r="D55" s="61"/>
      <c r="E55" s="60"/>
      <c r="F55" s="60">
        <v>0</v>
      </c>
      <c r="G55" s="61">
        <v>0</v>
      </c>
      <c r="H55" s="252"/>
      <c r="I55" s="68"/>
      <c r="J55" s="68"/>
      <c r="K55" s="68"/>
      <c r="L55" s="68"/>
      <c r="N55" s="251" t="s">
        <v>55</v>
      </c>
      <c r="O55" s="253" t="str">
        <f t="shared" si="19"/>
        <v>U</v>
      </c>
      <c r="P55" s="254">
        <f t="shared" si="20"/>
        <v>0</v>
      </c>
      <c r="Q55" s="255">
        <f t="shared" si="21"/>
        <v>0</v>
      </c>
      <c r="R55" s="254">
        <f t="shared" si="22"/>
        <v>0</v>
      </c>
      <c r="S55" s="255">
        <f t="shared" si="23"/>
        <v>0</v>
      </c>
      <c r="T55" s="254">
        <f t="shared" si="24"/>
        <v>0</v>
      </c>
      <c r="U55" s="256">
        <f t="shared" si="25"/>
        <v>0</v>
      </c>
      <c r="V55" s="318"/>
    </row>
    <row r="56" spans="2:26">
      <c r="B56" s="15">
        <v>25</v>
      </c>
      <c r="C56" s="20" t="s">
        <v>21</v>
      </c>
      <c r="D56" s="61"/>
      <c r="E56" s="61"/>
      <c r="F56" s="61">
        <v>0</v>
      </c>
      <c r="G56" s="61">
        <v>0</v>
      </c>
      <c r="I56" s="80"/>
      <c r="J56" s="80"/>
      <c r="K56" s="80"/>
      <c r="L56" s="80"/>
      <c r="M56" s="80"/>
      <c r="N56" s="251" t="s">
        <v>21</v>
      </c>
      <c r="O56" s="253" t="str">
        <f t="shared" si="19"/>
        <v>U</v>
      </c>
      <c r="P56" s="254">
        <f t="shared" si="20"/>
        <v>0</v>
      </c>
      <c r="Q56" s="255">
        <f t="shared" si="21"/>
        <v>0</v>
      </c>
      <c r="R56" s="254">
        <f t="shared" si="22"/>
        <v>0</v>
      </c>
      <c r="S56" s="255">
        <f t="shared" si="23"/>
        <v>0</v>
      </c>
      <c r="T56" s="254">
        <f t="shared" si="24"/>
        <v>0</v>
      </c>
      <c r="U56" s="256">
        <f t="shared" si="25"/>
        <v>0</v>
      </c>
      <c r="V56" s="318"/>
    </row>
    <row r="57" spans="2:26" ht="13.5" customHeight="1" thickBot="1">
      <c r="B57" s="17">
        <v>26</v>
      </c>
      <c r="C57" s="20" t="s">
        <v>22</v>
      </c>
      <c r="D57" s="61"/>
      <c r="E57" s="61"/>
      <c r="F57" s="61">
        <v>0</v>
      </c>
      <c r="G57" s="61">
        <v>0</v>
      </c>
      <c r="J57" s="380" t="s">
        <v>95</v>
      </c>
      <c r="K57" s="381"/>
      <c r="L57" s="382"/>
      <c r="N57" s="251" t="s">
        <v>22</v>
      </c>
      <c r="O57" s="253" t="str">
        <f t="shared" si="19"/>
        <v>U</v>
      </c>
      <c r="P57" s="254">
        <f t="shared" si="20"/>
        <v>0</v>
      </c>
      <c r="Q57" s="255">
        <f t="shared" si="21"/>
        <v>0</v>
      </c>
      <c r="R57" s="254">
        <f t="shared" si="22"/>
        <v>0</v>
      </c>
      <c r="S57" s="255">
        <f t="shared" si="23"/>
        <v>0</v>
      </c>
      <c r="T57" s="254">
        <f t="shared" si="24"/>
        <v>0</v>
      </c>
      <c r="U57" s="256">
        <f t="shared" si="25"/>
        <v>0</v>
      </c>
      <c r="V57" s="318"/>
    </row>
    <row r="58" spans="2:26" ht="13.5" thickTop="1">
      <c r="B58" s="17">
        <v>27</v>
      </c>
      <c r="C58" s="20" t="s">
        <v>23</v>
      </c>
      <c r="D58" s="61"/>
      <c r="E58" s="61"/>
      <c r="F58" s="61">
        <v>0</v>
      </c>
      <c r="G58" s="61">
        <v>0</v>
      </c>
      <c r="N58" s="251" t="s">
        <v>23</v>
      </c>
      <c r="O58" s="253" t="str">
        <f t="shared" si="19"/>
        <v>U</v>
      </c>
      <c r="P58" s="254">
        <f t="shared" si="20"/>
        <v>0</v>
      </c>
      <c r="Q58" s="255">
        <f t="shared" si="21"/>
        <v>0</v>
      </c>
      <c r="R58" s="254">
        <f t="shared" si="22"/>
        <v>0</v>
      </c>
      <c r="S58" s="255">
        <f t="shared" si="23"/>
        <v>0</v>
      </c>
      <c r="T58" s="254">
        <f t="shared" si="24"/>
        <v>0</v>
      </c>
      <c r="U58" s="256">
        <f t="shared" si="25"/>
        <v>0</v>
      </c>
      <c r="V58" s="318"/>
      <c r="W58" s="83"/>
      <c r="X58" s="83"/>
      <c r="Y58" s="83"/>
      <c r="Z58" s="83"/>
    </row>
    <row r="59" spans="2:26">
      <c r="B59" s="17">
        <v>28</v>
      </c>
      <c r="C59" s="20" t="s">
        <v>24</v>
      </c>
      <c r="D59" s="61"/>
      <c r="E59" s="61"/>
      <c r="F59" s="61">
        <v>0</v>
      </c>
      <c r="G59" s="61">
        <v>0</v>
      </c>
      <c r="H59" s="252" t="s">
        <v>96</v>
      </c>
      <c r="I59" s="68">
        <f>+(D87+D81+D82+D85+D86)/D75</f>
        <v>1.933407313332609E-3</v>
      </c>
      <c r="J59" s="320">
        <f>+(E87+E81+E82+E85+E86)/E75</f>
        <v>1.7559673159275882E-2</v>
      </c>
      <c r="K59" s="320">
        <f>+(F87+F81+F82+F85+F86)/F75</f>
        <v>1.315519437858099E-3</v>
      </c>
      <c r="L59" s="320">
        <f>+(G87+G81+G82+G85+G86)/G75</f>
        <v>1.2673510025872727E-2</v>
      </c>
      <c r="N59" s="251" t="s">
        <v>24</v>
      </c>
      <c r="O59" s="253" t="str">
        <f t="shared" si="19"/>
        <v>U</v>
      </c>
      <c r="P59" s="254">
        <f t="shared" si="20"/>
        <v>0</v>
      </c>
      <c r="Q59" s="255">
        <f t="shared" si="21"/>
        <v>0</v>
      </c>
      <c r="R59" s="254">
        <f t="shared" si="22"/>
        <v>0</v>
      </c>
      <c r="S59" s="255">
        <f t="shared" si="23"/>
        <v>0</v>
      </c>
      <c r="T59" s="254">
        <f t="shared" si="24"/>
        <v>0</v>
      </c>
      <c r="U59" s="256">
        <f t="shared" si="25"/>
        <v>0</v>
      </c>
      <c r="V59" s="318"/>
      <c r="W59" s="93"/>
      <c r="X59" s="93"/>
      <c r="Y59" s="93"/>
      <c r="Z59" s="93"/>
    </row>
    <row r="60" spans="2:26">
      <c r="B60" s="17">
        <v>29</v>
      </c>
      <c r="C60" s="21" t="s">
        <v>26</v>
      </c>
      <c r="D60" s="61"/>
      <c r="E60" s="61"/>
      <c r="F60" s="61">
        <v>0</v>
      </c>
      <c r="G60" s="61">
        <v>0</v>
      </c>
      <c r="H60" s="252" t="s">
        <v>97</v>
      </c>
      <c r="I60" s="68">
        <f>+D87/D75</f>
        <v>1.933407313332609E-3</v>
      </c>
      <c r="J60" s="320">
        <f>+E87/E75</f>
        <v>1.7559673159275882E-2</v>
      </c>
      <c r="K60" s="320">
        <f>+F87/F75</f>
        <v>1.315519437858099E-3</v>
      </c>
      <c r="L60" s="320">
        <f>+G87/G75</f>
        <v>1.2673510025872727E-2</v>
      </c>
      <c r="N60" s="258" t="s">
        <v>26</v>
      </c>
      <c r="O60" s="253" t="str">
        <f t="shared" si="19"/>
        <v>U</v>
      </c>
      <c r="P60" s="254">
        <f t="shared" si="20"/>
        <v>0</v>
      </c>
      <c r="Q60" s="255">
        <f t="shared" si="21"/>
        <v>0</v>
      </c>
      <c r="R60" s="254">
        <f t="shared" si="22"/>
        <v>0</v>
      </c>
      <c r="S60" s="255">
        <f t="shared" si="23"/>
        <v>0</v>
      </c>
      <c r="T60" s="254">
        <f t="shared" si="24"/>
        <v>0</v>
      </c>
      <c r="U60" s="256">
        <f t="shared" si="25"/>
        <v>0</v>
      </c>
      <c r="V60" s="318"/>
    </row>
    <row r="61" spans="2:26" ht="13.5" thickBot="1">
      <c r="B61" s="22">
        <v>0</v>
      </c>
      <c r="C61" s="35" t="s">
        <v>27</v>
      </c>
      <c r="D61" s="62">
        <f>SUM(D52:D60)</f>
        <v>0</v>
      </c>
      <c r="E61" s="62">
        <f>SUM(E52:E60)</f>
        <v>0</v>
      </c>
      <c r="F61" s="62">
        <f>SUM(F52:F60)</f>
        <v>42358</v>
      </c>
      <c r="G61" s="62">
        <f>SUM(G52:G60)</f>
        <v>0</v>
      </c>
      <c r="H61" s="252" t="s">
        <v>98</v>
      </c>
      <c r="I61" s="68">
        <f>+D93/D75</f>
        <v>5.5409475733550883E-3</v>
      </c>
      <c r="J61" s="320">
        <f>+E93/E75</f>
        <v>1.2979147318956819E-2</v>
      </c>
      <c r="K61" s="320">
        <f>+F93/F75</f>
        <v>9.2262546289065776E-3</v>
      </c>
      <c r="L61" s="320">
        <f>+G93/G75</f>
        <v>1.9113948737227774E-2</v>
      </c>
      <c r="N61" s="259" t="s">
        <v>27</v>
      </c>
      <c r="O61" s="260"/>
      <c r="P61" s="263">
        <f t="shared" ref="P61:U61" si="26">SUM(P52:P60)</f>
        <v>0</v>
      </c>
      <c r="Q61" s="263">
        <f t="shared" si="26"/>
        <v>0</v>
      </c>
      <c r="R61" s="263">
        <f t="shared" si="26"/>
        <v>0</v>
      </c>
      <c r="S61" s="263">
        <f t="shared" si="26"/>
        <v>42358</v>
      </c>
      <c r="T61" s="263">
        <f t="shared" si="26"/>
        <v>42358</v>
      </c>
      <c r="U61" s="263">
        <f t="shared" si="26"/>
        <v>0</v>
      </c>
      <c r="V61" s="14"/>
    </row>
    <row r="62" spans="2:26" ht="13.5" thickTop="1">
      <c r="B62" s="13"/>
      <c r="C62" s="14"/>
      <c r="D62" s="72">
        <f>+D23-D71</f>
        <v>0</v>
      </c>
      <c r="E62" s="72">
        <f>+E23-E71</f>
        <v>0</v>
      </c>
      <c r="F62" s="72">
        <f>+F23-F71</f>
        <v>0</v>
      </c>
      <c r="G62" s="72">
        <f>+G23-G71</f>
        <v>0</v>
      </c>
      <c r="H62" s="252" t="s">
        <v>13</v>
      </c>
      <c r="I62" s="68"/>
      <c r="J62" s="68">
        <f>+J31/AVERAGE(D23:E23)</f>
        <v>2.2652357103532323E-6</v>
      </c>
      <c r="K62" s="68">
        <f>+K31/AVERAGE(E23:F23)</f>
        <v>-2.3231248687706149E-7</v>
      </c>
      <c r="L62" s="68">
        <f>+L31/AVERAGE(F23:G23)</f>
        <v>2.3026597418264153E-6</v>
      </c>
      <c r="N62" s="14"/>
      <c r="O62" s="14"/>
      <c r="P62" s="14"/>
      <c r="Q62" s="14"/>
      <c r="R62" s="14"/>
      <c r="S62" s="14"/>
      <c r="T62" s="14"/>
      <c r="U62" s="14"/>
      <c r="V62" s="318"/>
    </row>
    <row r="63" spans="2:26" ht="13.5" thickBot="1">
      <c r="B63" s="15">
        <v>30</v>
      </c>
      <c r="C63" s="35" t="s">
        <v>28</v>
      </c>
      <c r="D63" s="62">
        <f>SUM(D64:D70)</f>
        <v>2583458</v>
      </c>
      <c r="E63" s="62">
        <f>SUM(E64:E70)</f>
        <v>2764193</v>
      </c>
      <c r="F63" s="62">
        <f>SUM(F64:F70)</f>
        <v>2857154</v>
      </c>
      <c r="G63" s="69">
        <f>SUM(G64:G70)</f>
        <v>2942040</v>
      </c>
      <c r="H63" s="252" t="s">
        <v>14</v>
      </c>
      <c r="I63" s="68">
        <f>+D93/D63</f>
        <v>3.0102676335361366E-2</v>
      </c>
      <c r="J63" s="68">
        <f>+E93/E63</f>
        <v>7.4247348141030678E-2</v>
      </c>
      <c r="K63" s="68">
        <f>+F93/F63</f>
        <v>5.0036154858996047E-2</v>
      </c>
      <c r="L63" s="68">
        <f>+G93/G63</f>
        <v>0.11053248766162255</v>
      </c>
      <c r="N63" s="259" t="s">
        <v>28</v>
      </c>
      <c r="O63" s="260"/>
      <c r="P63" s="263">
        <f t="shared" ref="P63:U63" si="27">SUM(P64:P70)</f>
        <v>0</v>
      </c>
      <c r="Q63" s="263">
        <f t="shared" si="27"/>
        <v>180735</v>
      </c>
      <c r="R63" s="263">
        <f t="shared" si="27"/>
        <v>62273</v>
      </c>
      <c r="S63" s="263">
        <f t="shared" si="27"/>
        <v>155234</v>
      </c>
      <c r="T63" s="263">
        <f t="shared" si="27"/>
        <v>97344</v>
      </c>
      <c r="U63" s="263">
        <f t="shared" si="27"/>
        <v>182230</v>
      </c>
      <c r="V63" s="318"/>
    </row>
    <row r="64" spans="2:26" ht="13.5" thickTop="1">
      <c r="B64" s="17">
        <v>31</v>
      </c>
      <c r="C64" s="36" t="s">
        <v>29</v>
      </c>
      <c r="D64" s="66">
        <v>1200000</v>
      </c>
      <c r="E64" s="60">
        <v>1200000</v>
      </c>
      <c r="F64" s="60">
        <v>1200000</v>
      </c>
      <c r="G64" s="60">
        <v>1200000</v>
      </c>
      <c r="H64" s="270"/>
      <c r="N64" s="36" t="s">
        <v>29</v>
      </c>
      <c r="O64" s="253" t="str">
        <f t="shared" ref="O64:O70" si="28">IF(E64-D64&gt;0,"F","U")</f>
        <v>U</v>
      </c>
      <c r="P64" s="254">
        <f t="shared" ref="P64:P70" si="29">IF(E64-D64&gt;0,0,ABS(E64-D64))</f>
        <v>0</v>
      </c>
      <c r="Q64" s="255">
        <f t="shared" ref="Q64:Q70" si="30">IF(E64-D64&lt;0,0,ABS(E64-D64))</f>
        <v>0</v>
      </c>
      <c r="R64" s="254">
        <f t="shared" ref="R64:R70" si="31">IF(F64-E64&gt;0,0,ABS(F64-E64))</f>
        <v>0</v>
      </c>
      <c r="S64" s="255">
        <f t="shared" ref="S64:S70" si="32">IF(F64-E64&lt;0,0,ABS(F64-E64))</f>
        <v>0</v>
      </c>
      <c r="T64" s="254">
        <f t="shared" ref="T64:T70" si="33">IF(G64-F64&gt;0,0,ABS(G64-F64))</f>
        <v>0</v>
      </c>
      <c r="U64" s="256">
        <f t="shared" ref="U64:U70" si="34">IF(G64-F64&lt;0,0,ABS(G64-F64))</f>
        <v>0</v>
      </c>
      <c r="V64" s="318"/>
    </row>
    <row r="65" spans="2:26">
      <c r="B65" s="17">
        <v>32</v>
      </c>
      <c r="C65" s="37" t="s">
        <v>30</v>
      </c>
      <c r="D65" s="66"/>
      <c r="E65" s="60"/>
      <c r="F65" s="60">
        <v>0</v>
      </c>
      <c r="G65" s="60"/>
      <c r="H65" s="252"/>
      <c r="I65" s="90"/>
      <c r="J65" s="90"/>
      <c r="K65" s="90"/>
      <c r="L65" s="90"/>
      <c r="N65" s="37" t="s">
        <v>30</v>
      </c>
      <c r="O65" s="253" t="str">
        <f t="shared" si="28"/>
        <v>U</v>
      </c>
      <c r="P65" s="254">
        <f t="shared" si="29"/>
        <v>0</v>
      </c>
      <c r="Q65" s="255">
        <f t="shared" si="30"/>
        <v>0</v>
      </c>
      <c r="R65" s="254">
        <f t="shared" si="31"/>
        <v>0</v>
      </c>
      <c r="S65" s="255">
        <f t="shared" si="32"/>
        <v>0</v>
      </c>
      <c r="T65" s="254">
        <f t="shared" si="33"/>
        <v>0</v>
      </c>
      <c r="U65" s="256">
        <f t="shared" si="34"/>
        <v>0</v>
      </c>
      <c r="V65" s="318"/>
    </row>
    <row r="66" spans="2:26">
      <c r="B66" s="17">
        <v>33</v>
      </c>
      <c r="C66" s="37" t="s">
        <v>66</v>
      </c>
      <c r="D66" s="66">
        <v>862085</v>
      </c>
      <c r="E66" s="60">
        <v>915355</v>
      </c>
      <c r="F66" s="60">
        <v>1070589</v>
      </c>
      <c r="G66" s="60">
        <v>973245</v>
      </c>
      <c r="H66" s="252"/>
      <c r="I66" s="90"/>
      <c r="J66" s="90"/>
      <c r="K66" s="90"/>
      <c r="L66" s="90"/>
      <c r="N66" s="37" t="s">
        <v>66</v>
      </c>
      <c r="O66" s="253" t="str">
        <f t="shared" si="28"/>
        <v>F</v>
      </c>
      <c r="P66" s="254">
        <f t="shared" si="29"/>
        <v>0</v>
      </c>
      <c r="Q66" s="255">
        <f t="shared" si="30"/>
        <v>53270</v>
      </c>
      <c r="R66" s="254">
        <f t="shared" si="31"/>
        <v>0</v>
      </c>
      <c r="S66" s="255">
        <f t="shared" si="32"/>
        <v>155234</v>
      </c>
      <c r="T66" s="254">
        <f t="shared" si="33"/>
        <v>97344</v>
      </c>
      <c r="U66" s="256">
        <f t="shared" si="34"/>
        <v>0</v>
      </c>
      <c r="V66" s="317"/>
    </row>
    <row r="67" spans="2:26">
      <c r="B67" s="17">
        <v>34</v>
      </c>
      <c r="C67" s="37" t="s">
        <v>31</v>
      </c>
      <c r="D67" s="66">
        <v>443604</v>
      </c>
      <c r="E67" s="60">
        <v>443604</v>
      </c>
      <c r="F67" s="60">
        <v>443604</v>
      </c>
      <c r="G67" s="60">
        <v>443604</v>
      </c>
      <c r="H67" s="252"/>
      <c r="I67" s="84"/>
      <c r="J67" s="68"/>
      <c r="K67" s="68"/>
      <c r="L67" s="68"/>
      <c r="N67" s="37" t="s">
        <v>31</v>
      </c>
      <c r="O67" s="253" t="str">
        <f t="shared" si="28"/>
        <v>U</v>
      </c>
      <c r="P67" s="254">
        <f t="shared" si="29"/>
        <v>0</v>
      </c>
      <c r="Q67" s="255">
        <f t="shared" si="30"/>
        <v>0</v>
      </c>
      <c r="R67" s="254">
        <f t="shared" si="31"/>
        <v>0</v>
      </c>
      <c r="S67" s="255">
        <f t="shared" si="32"/>
        <v>0</v>
      </c>
      <c r="T67" s="254">
        <f t="shared" si="33"/>
        <v>0</v>
      </c>
      <c r="U67" s="256">
        <f t="shared" si="34"/>
        <v>0</v>
      </c>
      <c r="V67" s="392"/>
    </row>
    <row r="68" spans="2:26">
      <c r="B68" s="17">
        <v>35</v>
      </c>
      <c r="C68" s="37" t="s">
        <v>32</v>
      </c>
      <c r="D68" s="66">
        <v>0</v>
      </c>
      <c r="E68" s="60">
        <v>0</v>
      </c>
      <c r="F68" s="60">
        <v>0</v>
      </c>
      <c r="G68" s="60"/>
      <c r="H68" s="252"/>
      <c r="I68" s="19"/>
      <c r="J68" s="19"/>
      <c r="K68" s="68"/>
      <c r="L68" s="68"/>
      <c r="N68" s="37" t="s">
        <v>32</v>
      </c>
      <c r="O68" s="253" t="str">
        <f t="shared" si="28"/>
        <v>U</v>
      </c>
      <c r="P68" s="254">
        <f t="shared" si="29"/>
        <v>0</v>
      </c>
      <c r="Q68" s="255">
        <f t="shared" si="30"/>
        <v>0</v>
      </c>
      <c r="R68" s="254">
        <f t="shared" si="31"/>
        <v>0</v>
      </c>
      <c r="S68" s="255">
        <f t="shared" si="32"/>
        <v>0</v>
      </c>
      <c r="T68" s="254">
        <f t="shared" si="33"/>
        <v>0</v>
      </c>
      <c r="U68" s="256">
        <f t="shared" si="34"/>
        <v>0</v>
      </c>
      <c r="V68" s="392"/>
    </row>
    <row r="69" spans="2:26">
      <c r="B69" s="17">
        <v>36</v>
      </c>
      <c r="C69" s="37" t="s">
        <v>33</v>
      </c>
      <c r="D69" s="66">
        <v>77769</v>
      </c>
      <c r="E69" s="60">
        <v>205234</v>
      </c>
      <c r="F69" s="60">
        <v>142961</v>
      </c>
      <c r="G69" s="60">
        <v>325191</v>
      </c>
      <c r="H69" s="252"/>
      <c r="I69" s="19"/>
      <c r="J69" s="68"/>
      <c r="K69" s="68"/>
      <c r="L69" s="68"/>
      <c r="N69" s="37" t="s">
        <v>33</v>
      </c>
      <c r="O69" s="253" t="str">
        <f t="shared" si="28"/>
        <v>F</v>
      </c>
      <c r="P69" s="254">
        <f t="shared" si="29"/>
        <v>0</v>
      </c>
      <c r="Q69" s="255">
        <f t="shared" si="30"/>
        <v>127465</v>
      </c>
      <c r="R69" s="254">
        <f t="shared" si="31"/>
        <v>62273</v>
      </c>
      <c r="S69" s="255">
        <f t="shared" si="32"/>
        <v>0</v>
      </c>
      <c r="T69" s="254">
        <f t="shared" si="33"/>
        <v>0</v>
      </c>
      <c r="U69" s="256">
        <f t="shared" si="34"/>
        <v>182230</v>
      </c>
      <c r="V69" s="14"/>
    </row>
    <row r="70" spans="2:26">
      <c r="B70" s="17">
        <v>37</v>
      </c>
      <c r="C70" s="38" t="s">
        <v>34</v>
      </c>
      <c r="D70" s="66"/>
      <c r="E70" s="60"/>
      <c r="F70" s="60">
        <v>0</v>
      </c>
      <c r="G70" s="60"/>
      <c r="N70" s="38" t="s">
        <v>34</v>
      </c>
      <c r="O70" s="253" t="str">
        <f t="shared" si="28"/>
        <v>U</v>
      </c>
      <c r="P70" s="254">
        <f t="shared" si="29"/>
        <v>0</v>
      </c>
      <c r="Q70" s="255">
        <f t="shared" si="30"/>
        <v>0</v>
      </c>
      <c r="R70" s="254">
        <f t="shared" si="31"/>
        <v>0</v>
      </c>
      <c r="S70" s="255">
        <f t="shared" si="32"/>
        <v>0</v>
      </c>
      <c r="T70" s="254">
        <f t="shared" si="33"/>
        <v>0</v>
      </c>
      <c r="U70" s="256">
        <f t="shared" si="34"/>
        <v>0</v>
      </c>
      <c r="V70" s="14"/>
    </row>
    <row r="71" spans="2:26" ht="13.5" thickBot="1">
      <c r="B71" s="17"/>
      <c r="C71" s="42" t="s">
        <v>36</v>
      </c>
      <c r="D71" s="57">
        <f>+D63+D41</f>
        <v>3993653</v>
      </c>
      <c r="E71" s="57">
        <f>+E63+E41</f>
        <v>4157650</v>
      </c>
      <c r="F71" s="57">
        <f>+F63+F41</f>
        <v>3819429</v>
      </c>
      <c r="G71" s="70">
        <f>+G63+G41</f>
        <v>4499478</v>
      </c>
      <c r="H71" s="244" t="s">
        <v>75</v>
      </c>
      <c r="I71" s="19"/>
      <c r="J71" s="19"/>
      <c r="K71" s="19"/>
      <c r="L71" s="19"/>
      <c r="N71" s="271" t="s">
        <v>109</v>
      </c>
      <c r="O71" s="272"/>
      <c r="P71" s="114">
        <f t="shared" ref="P71:U71" si="35">+SUM(P25:P29)-P27+SUM(P31:P37)+SUM(P42:P50)+SUM(P52:P60)+SUM(P64:P70)</f>
        <v>676835</v>
      </c>
      <c r="Q71" s="114">
        <f t="shared" si="35"/>
        <v>693691</v>
      </c>
      <c r="R71" s="114">
        <f t="shared" si="35"/>
        <v>696870</v>
      </c>
      <c r="S71" s="114">
        <f t="shared" si="35"/>
        <v>820585</v>
      </c>
      <c r="T71" s="114">
        <f t="shared" si="35"/>
        <v>842712</v>
      </c>
      <c r="U71" s="114">
        <f t="shared" si="35"/>
        <v>825642</v>
      </c>
      <c r="V71" s="14"/>
    </row>
    <row r="72" spans="2:26" ht="13.5" thickTop="1">
      <c r="B72" s="22">
        <v>38</v>
      </c>
      <c r="C72" s="39" t="s">
        <v>35</v>
      </c>
      <c r="D72" s="40">
        <f>+D39</f>
        <v>0</v>
      </c>
      <c r="E72" s="79">
        <f>+E39</f>
        <v>0</v>
      </c>
      <c r="F72" s="40">
        <f>+F39</f>
        <v>0</v>
      </c>
      <c r="G72" s="79">
        <f>+G39</f>
        <v>0</v>
      </c>
      <c r="H72" s="252" t="s">
        <v>120</v>
      </c>
      <c r="I72" s="19"/>
      <c r="J72" s="73">
        <f>+((E75-D75)/D75)/((E28-D28)/D28)</f>
        <v>-0.52906605738547496</v>
      </c>
      <c r="K72" s="74">
        <f>+((F75-E75)/E75)/((F28-E28)/E28)</f>
        <v>9.0795809403393504E-2</v>
      </c>
      <c r="L72" s="74">
        <f>+((G75-F75)/F75)/((G28-F28)/F28)</f>
        <v>0.23420926797332942</v>
      </c>
      <c r="N72" s="271" t="s">
        <v>108</v>
      </c>
      <c r="O72" s="272"/>
      <c r="P72" s="114" t="str">
        <f>IF($Q$71-$P$71&lt;0,ABS($Q$71-$P$71),"")</f>
        <v/>
      </c>
      <c r="Q72" s="114">
        <f>IF($Q$71-$P$71&gt;0,ABS($Q$71-$P$71),0)</f>
        <v>16856</v>
      </c>
      <c r="R72" s="114">
        <f>IF($S$71-$R$71&lt;0,ABS($S$71-$R$71),0)</f>
        <v>0</v>
      </c>
      <c r="S72" s="114">
        <f>IF($S$71-$R$71&gt;0,ABS($S$71-$R$71),0)</f>
        <v>123715</v>
      </c>
      <c r="T72" s="114">
        <f>IF($U$71-$T$71&lt;0,ABS($U$71-$T$71),0)</f>
        <v>17070</v>
      </c>
      <c r="U72" s="114">
        <f>IF($U$71-$T$71&gt;0,ABS($U$71-$T$71),0)</f>
        <v>0</v>
      </c>
      <c r="V72" s="14"/>
    </row>
    <row r="73" spans="2:26" s="77" customFormat="1" ht="22.5">
      <c r="B73" s="75"/>
      <c r="C73" s="76" t="s">
        <v>69</v>
      </c>
      <c r="D73" s="78" t="str">
        <f>+IF(D71=D23,"OK","ERROR")</f>
        <v>OK</v>
      </c>
      <c r="E73" s="78" t="str">
        <f>+IF(E71=E23,"OK","ERROR")</f>
        <v>OK</v>
      </c>
      <c r="F73" s="78" t="str">
        <f>+IF(F71=F23,"OK","ERROR")</f>
        <v>OK</v>
      </c>
      <c r="G73" s="78" t="str">
        <f>+IF(G71=G23,"OK","ERROR")</f>
        <v>OK</v>
      </c>
      <c r="H73" s="252" t="s">
        <v>121</v>
      </c>
      <c r="I73" s="19"/>
      <c r="J73" s="73">
        <f>+((E27-D27)/D27)/((E28-D28)/D28)</f>
        <v>-0.83885486017678235</v>
      </c>
      <c r="K73" s="74">
        <f>+((F27-E27)/E27)/((F28-E28)/E28)</f>
        <v>4.2581597292985673</v>
      </c>
      <c r="L73" s="74">
        <f>+((G27-F27)/F27)/((G28-F28)/F28)</f>
        <v>37.822487695585124</v>
      </c>
      <c r="N73" s="271" t="s">
        <v>104</v>
      </c>
      <c r="O73" s="272"/>
      <c r="P73" s="114" t="str">
        <f>IF($E$24-$D$24&lt;0,ABS($E$24-$D$24),"")</f>
        <v/>
      </c>
      <c r="Q73" s="114">
        <f>IF($E$24-$D$24&gt;0,ABS($E$24-$D$24),0)</f>
        <v>16856</v>
      </c>
      <c r="R73" s="114">
        <f>IF($F$24-$E$24&lt;0,ABS($F$24-$E$24),0)</f>
        <v>0</v>
      </c>
      <c r="S73" s="114">
        <f>IF($F$24-$E$24&gt;0,ABS($F$24-$E$24),0)</f>
        <v>162623</v>
      </c>
      <c r="T73" s="114">
        <f>IF($G$24-$F$24&lt;0,ABS($G$24-$F$24),0)</f>
        <v>4557</v>
      </c>
      <c r="U73" s="114">
        <f>IF($G$24-$F$24&gt;0,ABS($G$24-$F$24),0)</f>
        <v>0</v>
      </c>
      <c r="V73" s="315"/>
      <c r="W73" s="142"/>
      <c r="X73" s="142"/>
      <c r="Y73" s="142"/>
      <c r="Z73" s="142"/>
    </row>
    <row r="74" spans="2:26">
      <c r="B74" s="23"/>
      <c r="C74" s="41"/>
      <c r="D74" s="100">
        <f>+D71-D23</f>
        <v>0</v>
      </c>
      <c r="E74" s="100">
        <f>+E71-E23</f>
        <v>0</v>
      </c>
      <c r="F74" s="100">
        <f>+F71-F23</f>
        <v>0</v>
      </c>
      <c r="G74" s="100">
        <f>+G71-G23</f>
        <v>0</v>
      </c>
      <c r="H74" s="252" t="s">
        <v>76</v>
      </c>
      <c r="I74" s="68">
        <f>+I75*I76*I77</f>
        <v>3.0102676335361362E-2</v>
      </c>
      <c r="J74" s="68">
        <f>+J75*J76*J77</f>
        <v>7.4247348141030664E-2</v>
      </c>
      <c r="K74" s="68">
        <f>+K75*K76*K77</f>
        <v>5.0036154858996054E-2</v>
      </c>
      <c r="L74" s="68">
        <f>+L75*L76*L77</f>
        <v>0.11053248766162255</v>
      </c>
      <c r="N74" s="14"/>
      <c r="O74" s="14"/>
      <c r="P74" s="110"/>
      <c r="Q74" s="104"/>
      <c r="R74" s="103"/>
      <c r="S74" s="104"/>
      <c r="T74" s="103"/>
      <c r="U74" s="104"/>
      <c r="W74" s="83"/>
      <c r="X74" s="83"/>
      <c r="Y74" s="83"/>
      <c r="Z74" s="83"/>
    </row>
    <row r="75" spans="2:26" ht="13.5" thickBot="1">
      <c r="B75" s="15">
        <v>41</v>
      </c>
      <c r="C75" s="24" t="s">
        <v>37</v>
      </c>
      <c r="D75" s="44">
        <v>14035325</v>
      </c>
      <c r="E75" s="44">
        <v>15812595</v>
      </c>
      <c r="F75" s="44">
        <v>15495020</v>
      </c>
      <c r="G75" s="44">
        <v>17013282</v>
      </c>
      <c r="H75" s="252" t="s">
        <v>77</v>
      </c>
      <c r="I75" s="68">
        <f>+D93/D75</f>
        <v>5.5409475733550883E-3</v>
      </c>
      <c r="J75" s="68">
        <f>+E93/E75</f>
        <v>1.2979147318956819E-2</v>
      </c>
      <c r="K75" s="68">
        <f>+F93/F75</f>
        <v>9.2262546289065776E-3</v>
      </c>
      <c r="L75" s="68">
        <f>+G93/G75</f>
        <v>1.9113948737227774E-2</v>
      </c>
      <c r="N75" s="275" t="s">
        <v>107</v>
      </c>
      <c r="O75" s="275"/>
      <c r="P75" s="111" t="e">
        <f t="shared" ref="P75:U75" si="36">+P72-P73</f>
        <v>#VALUE!</v>
      </c>
      <c r="Q75" s="112">
        <f t="shared" si="36"/>
        <v>0</v>
      </c>
      <c r="R75" s="113">
        <f t="shared" si="36"/>
        <v>0</v>
      </c>
      <c r="S75" s="112">
        <f t="shared" si="36"/>
        <v>-38908</v>
      </c>
      <c r="T75" s="113">
        <f t="shared" si="36"/>
        <v>12513</v>
      </c>
      <c r="U75" s="112">
        <f t="shared" si="36"/>
        <v>0</v>
      </c>
    </row>
    <row r="76" spans="2:26" ht="13.5" thickTop="1">
      <c r="B76" s="17"/>
      <c r="C76" s="25" t="s">
        <v>80</v>
      </c>
      <c r="D76" s="54"/>
      <c r="E76" s="54"/>
      <c r="F76" s="54"/>
      <c r="G76" s="54"/>
      <c r="H76" s="252" t="s">
        <v>78</v>
      </c>
      <c r="I76" s="313">
        <f>+D75/D23</f>
        <v>3.514407736475853</v>
      </c>
      <c r="J76" s="313">
        <f>+E75/E23</f>
        <v>3.8032530395776458</v>
      </c>
      <c r="K76" s="313">
        <f>+F75/F23</f>
        <v>4.0568943682419549</v>
      </c>
      <c r="L76" s="313">
        <f>+G75/G23</f>
        <v>3.781167948815396</v>
      </c>
      <c r="N76" s="72"/>
      <c r="O76" s="14"/>
    </row>
    <row r="77" spans="2:26">
      <c r="B77" s="17">
        <v>61</v>
      </c>
      <c r="C77" s="25" t="s">
        <v>38</v>
      </c>
      <c r="D77" s="54">
        <v>12885910</v>
      </c>
      <c r="E77" s="54">
        <v>14352929</v>
      </c>
      <c r="F77" s="54">
        <v>14225685</v>
      </c>
      <c r="G77" s="54">
        <v>15357965</v>
      </c>
      <c r="H77" s="252" t="s">
        <v>79</v>
      </c>
      <c r="I77" s="313">
        <f>+D23/D63</f>
        <v>1.5458555935494209</v>
      </c>
      <c r="J77" s="313">
        <f>+E23/E63</f>
        <v>1.5041098794476362</v>
      </c>
      <c r="K77" s="313">
        <f>+F23/F63</f>
        <v>1.3367949364997476</v>
      </c>
      <c r="L77" s="313">
        <f>+G23/G63</f>
        <v>1.5293734959415914</v>
      </c>
      <c r="N77" s="276" t="s">
        <v>110</v>
      </c>
      <c r="O77" s="128"/>
      <c r="P77" s="129">
        <f t="shared" ref="P77:U77" si="37">+P30+P51</f>
        <v>1154172</v>
      </c>
      <c r="Q77" s="130">
        <f t="shared" si="37"/>
        <v>498019</v>
      </c>
      <c r="R77" s="120">
        <f t="shared" si="37"/>
        <v>476057</v>
      </c>
      <c r="S77" s="121">
        <f t="shared" si="37"/>
        <v>3311913</v>
      </c>
      <c r="T77" s="120">
        <f t="shared" si="37"/>
        <v>3287352</v>
      </c>
      <c r="U77" s="121">
        <f t="shared" si="37"/>
        <v>643412</v>
      </c>
    </row>
    <row r="78" spans="2:26" ht="13.5" thickBot="1">
      <c r="B78" s="17"/>
      <c r="C78" s="45" t="s">
        <v>39</v>
      </c>
      <c r="D78" s="46">
        <f>+D75-D77</f>
        <v>1149415</v>
      </c>
      <c r="E78" s="46">
        <f>+E75-E77</f>
        <v>1459666</v>
      </c>
      <c r="F78" s="46">
        <f>+F75-F77</f>
        <v>1269335</v>
      </c>
      <c r="G78" s="71">
        <f>+G75-G77</f>
        <v>1655317</v>
      </c>
      <c r="H78" s="14"/>
      <c r="I78" s="96"/>
      <c r="J78" s="277"/>
      <c r="K78" s="14"/>
      <c r="L78" s="14"/>
      <c r="N78" s="131" t="str">
        <f>+IF(P78&gt;0,"Usos","Fuentes")</f>
        <v>Usos</v>
      </c>
      <c r="O78" s="132"/>
      <c r="P78" s="133">
        <f>IF(P77-Q77&lt;0,0,P77-Q77)</f>
        <v>656153</v>
      </c>
      <c r="Q78" s="134">
        <f>IF(Q77-P77&lt;0,0,Q77-P77)</f>
        <v>0</v>
      </c>
      <c r="R78" s="122">
        <f>IF(R77-S77&lt;0,0,R77-S77)</f>
        <v>0</v>
      </c>
      <c r="S78" s="123">
        <f>IF(S77-R77&lt;0,0,S77-R77)</f>
        <v>2835856</v>
      </c>
      <c r="T78" s="122">
        <f>IF(T77-U77&lt;0,0,T77-U77)</f>
        <v>2643940</v>
      </c>
      <c r="U78" s="123">
        <f>IF(U77-T77&lt;0,0,U77-T77)</f>
        <v>0</v>
      </c>
    </row>
    <row r="79" spans="2:26" ht="17.25" thickTop="1" thickBot="1">
      <c r="B79" s="17">
        <v>51</v>
      </c>
      <c r="C79" s="26" t="s">
        <v>40</v>
      </c>
      <c r="D79" s="55">
        <v>311730</v>
      </c>
      <c r="E79" s="54">
        <v>362166</v>
      </c>
      <c r="F79" s="54">
        <v>394704</v>
      </c>
      <c r="G79" s="54">
        <v>477928</v>
      </c>
      <c r="H79" s="278" t="s">
        <v>150</v>
      </c>
      <c r="I79" s="278">
        <v>2007</v>
      </c>
      <c r="J79" s="278">
        <v>2008</v>
      </c>
      <c r="K79" s="278">
        <v>2009</v>
      </c>
      <c r="L79" s="278">
        <v>2010</v>
      </c>
      <c r="N79" s="276" t="s">
        <v>111</v>
      </c>
      <c r="O79" s="128"/>
      <c r="P79" s="135">
        <f t="shared" ref="P79:U79" si="38">+P63+P61+P38</f>
        <v>0</v>
      </c>
      <c r="Q79" s="136">
        <f t="shared" si="38"/>
        <v>195672</v>
      </c>
      <c r="R79" s="124">
        <f t="shared" si="38"/>
        <v>220813</v>
      </c>
      <c r="S79" s="125">
        <f t="shared" si="38"/>
        <v>197592</v>
      </c>
      <c r="T79" s="124">
        <f t="shared" si="38"/>
        <v>180451</v>
      </c>
      <c r="U79" s="125">
        <f t="shared" si="38"/>
        <v>182230</v>
      </c>
    </row>
    <row r="80" spans="2:26" ht="13.5" thickTop="1">
      <c r="B80" s="17">
        <v>5105</v>
      </c>
      <c r="C80" s="25" t="s">
        <v>70</v>
      </c>
      <c r="D80" s="54"/>
      <c r="E80" s="54"/>
      <c r="F80" s="54"/>
      <c r="G80" s="54"/>
      <c r="H80" t="s">
        <v>122</v>
      </c>
      <c r="I80" s="147">
        <f>+D87</f>
        <v>27136</v>
      </c>
      <c r="J80" s="147">
        <f>+E87</f>
        <v>277664</v>
      </c>
      <c r="K80" s="147">
        <f>+F87</f>
        <v>20384</v>
      </c>
      <c r="L80" s="147">
        <f>+G87</f>
        <v>215618</v>
      </c>
      <c r="N80" s="137" t="str">
        <f>+IF(P80&gt;0,"Usos","Fuentes")</f>
        <v>Fuentes</v>
      </c>
      <c r="O80" s="138"/>
      <c r="P80" s="139">
        <f>IF(P79-Q79&lt;0,0,P79-Q79)</f>
        <v>0</v>
      </c>
      <c r="Q80" s="140">
        <f>IF(Q79-P79&lt;0,0,Q79-P79)</f>
        <v>195672</v>
      </c>
      <c r="R80" s="126">
        <f>IF(R79-S79&lt;0,0,R79-S79)</f>
        <v>23221</v>
      </c>
      <c r="S80" s="127">
        <f>IF(S79-R79&lt;0,0,S79-R79)</f>
        <v>0</v>
      </c>
      <c r="T80" s="126">
        <f>IF(T79-U79&lt;0,0,T79-U79)</f>
        <v>0</v>
      </c>
      <c r="U80" s="127">
        <f>IF(U79-T79&lt;0,0,U79-T79)</f>
        <v>1779</v>
      </c>
    </row>
    <row r="81" spans="2:23">
      <c r="B81" s="17">
        <v>5160</v>
      </c>
      <c r="C81" s="25" t="s">
        <v>71</v>
      </c>
      <c r="D81" s="231"/>
      <c r="E81" s="231"/>
      <c r="F81" s="231"/>
      <c r="G81" s="231"/>
      <c r="H81" t="s">
        <v>123</v>
      </c>
      <c r="I81" s="96">
        <f t="shared" ref="I81:L82" si="39">+D81+D85</f>
        <v>0</v>
      </c>
      <c r="J81" s="96">
        <f t="shared" si="39"/>
        <v>0</v>
      </c>
      <c r="K81" s="96">
        <f t="shared" si="39"/>
        <v>0</v>
      </c>
      <c r="L81" s="96">
        <f t="shared" si="39"/>
        <v>0</v>
      </c>
    </row>
    <row r="82" spans="2:23">
      <c r="B82" s="17">
        <v>5165</v>
      </c>
      <c r="C82" s="25" t="s">
        <v>72</v>
      </c>
      <c r="D82" s="54"/>
      <c r="E82" s="54"/>
      <c r="F82" s="54"/>
      <c r="G82" s="54"/>
      <c r="H82" t="s">
        <v>124</v>
      </c>
      <c r="I82" s="96">
        <f t="shared" si="39"/>
        <v>0</v>
      </c>
      <c r="J82" s="96">
        <f t="shared" si="39"/>
        <v>0</v>
      </c>
      <c r="K82" s="96">
        <f t="shared" si="39"/>
        <v>0</v>
      </c>
      <c r="L82" s="96">
        <f t="shared" si="39"/>
        <v>0</v>
      </c>
      <c r="N82" s="118" t="s">
        <v>109</v>
      </c>
      <c r="O82" s="119"/>
      <c r="P82" s="126">
        <f>+P77+P79</f>
        <v>1154172</v>
      </c>
      <c r="Q82" s="127">
        <f>+SUM(Q36:Q40)-Q38+SUM(Q42:Q48)+SUM(Q53:Q61)+SUM(Q63:Q71)+SUM(Q75:Q81)</f>
        <v>2129648</v>
      </c>
      <c r="R82" s="126">
        <f>+SUM(R36:R40)-R38+SUM(R42:R48)+SUM(R53:R61)+SUM(R63:R71)+SUM(R75:R81)</f>
        <v>2017221</v>
      </c>
      <c r="S82" s="127">
        <f>+SUM(S36:S40)-S38+SUM(S42:S48)+SUM(S53:S61)+SUM(S63:S71)+SUM(S75:S81)</f>
        <v>7482038</v>
      </c>
      <c r="T82" s="126">
        <f>+SUM(T36:T40)-T38+SUM(T42:T48)+SUM(T53:T61)+SUM(T63:T71)+SUM(T75:T81)</f>
        <v>7209905</v>
      </c>
      <c r="U82" s="127">
        <f>+SUM(U36:U40)-U38+SUM(U42:U48)+SUM(U53:U61)+SUM(U63:U71)+SUM(U75:U81)</f>
        <v>2660935</v>
      </c>
    </row>
    <row r="83" spans="2:23" ht="15">
      <c r="B83" s="17">
        <v>52</v>
      </c>
      <c r="C83" s="27" t="s">
        <v>41</v>
      </c>
      <c r="D83" s="54">
        <v>810549</v>
      </c>
      <c r="E83" s="54">
        <v>819836</v>
      </c>
      <c r="F83" s="54">
        <v>854247</v>
      </c>
      <c r="G83" s="54">
        <v>961771</v>
      </c>
      <c r="H83" s="146" t="s">
        <v>18</v>
      </c>
      <c r="I83" s="96">
        <f>+I80+I81+I82</f>
        <v>27136</v>
      </c>
      <c r="J83" s="96">
        <f>+J80+J81+J82</f>
        <v>277664</v>
      </c>
      <c r="K83" s="96">
        <f>+K80+K81+K82</f>
        <v>20384</v>
      </c>
      <c r="L83" s="96">
        <f>+L80+L81+L82</f>
        <v>215618</v>
      </c>
      <c r="P83" s="83"/>
    </row>
    <row r="84" spans="2:23">
      <c r="B84" s="17">
        <v>5205</v>
      </c>
      <c r="C84" s="25" t="s">
        <v>70</v>
      </c>
      <c r="D84" s="54"/>
      <c r="E84" s="54"/>
      <c r="F84" s="54"/>
      <c r="G84" s="54"/>
      <c r="H84" t="s">
        <v>125</v>
      </c>
      <c r="I84" s="96">
        <f>+D92</f>
        <v>58581</v>
      </c>
      <c r="J84" s="96">
        <f>+E92</f>
        <v>124788</v>
      </c>
      <c r="K84" s="96">
        <f>+F92</f>
        <v>93093</v>
      </c>
      <c r="L84" s="96">
        <f>+G92</f>
        <v>185994</v>
      </c>
    </row>
    <row r="85" spans="2:23" ht="15">
      <c r="B85" s="17">
        <v>5260</v>
      </c>
      <c r="C85" s="25" t="s">
        <v>71</v>
      </c>
      <c r="D85" s="231"/>
      <c r="E85" s="231"/>
      <c r="F85" s="231"/>
      <c r="G85" s="231"/>
      <c r="H85" s="146" t="s">
        <v>126</v>
      </c>
      <c r="I85" s="96">
        <f>+I83-I84</f>
        <v>-31445</v>
      </c>
      <c r="J85" s="96">
        <f>+J83-J84</f>
        <v>152876</v>
      </c>
      <c r="K85" s="96">
        <f>+K83-K84</f>
        <v>-72709</v>
      </c>
      <c r="L85" s="96">
        <f>+L83-L84</f>
        <v>29624</v>
      </c>
    </row>
    <row r="86" spans="2:23">
      <c r="B86" s="17">
        <v>5265</v>
      </c>
      <c r="C86" s="25" t="s">
        <v>72</v>
      </c>
      <c r="D86" s="54"/>
      <c r="E86" s="54"/>
      <c r="F86" s="54"/>
      <c r="G86" s="231"/>
      <c r="H86" t="s">
        <v>127</v>
      </c>
      <c r="I86" s="14"/>
      <c r="J86" s="312">
        <f t="shared" ref="J86:L87" si="40">+X24-W24</f>
        <v>220366</v>
      </c>
      <c r="K86" s="312">
        <f t="shared" si="40"/>
        <v>-187363</v>
      </c>
      <c r="L86" s="312">
        <f t="shared" si="40"/>
        <v>169647</v>
      </c>
    </row>
    <row r="87" spans="2:23" ht="13.5" thickBot="1">
      <c r="B87" s="17"/>
      <c r="C87" s="45" t="s">
        <v>42</v>
      </c>
      <c r="D87" s="46">
        <f>+D78-D79-D83</f>
        <v>27136</v>
      </c>
      <c r="E87" s="46">
        <f>+E78-E79-E83</f>
        <v>277664</v>
      </c>
      <c r="F87" s="46">
        <f>+F78-F79-F83</f>
        <v>20384</v>
      </c>
      <c r="G87" s="46">
        <f>+G78-G79-G83</f>
        <v>215618</v>
      </c>
      <c r="H87" t="s">
        <v>128</v>
      </c>
      <c r="I87" s="14"/>
      <c r="J87" s="96">
        <f t="shared" si="40"/>
        <v>-14937</v>
      </c>
      <c r="K87" s="96">
        <f t="shared" si="40"/>
        <v>158540</v>
      </c>
      <c r="L87" s="96">
        <f t="shared" si="40"/>
        <v>40749</v>
      </c>
    </row>
    <row r="88" spans="2:23" ht="18.75" thickTop="1">
      <c r="B88" s="17">
        <v>42</v>
      </c>
      <c r="C88" s="26" t="s">
        <v>43</v>
      </c>
      <c r="D88" s="56">
        <v>230578</v>
      </c>
      <c r="E88" s="56">
        <v>161145</v>
      </c>
      <c r="F88" s="56">
        <v>328734</v>
      </c>
      <c r="G88" s="56">
        <v>409209</v>
      </c>
      <c r="H88" s="146" t="s">
        <v>129</v>
      </c>
      <c r="I88" s="31"/>
      <c r="J88" s="96">
        <f>+J85-J86-J87</f>
        <v>-52553</v>
      </c>
      <c r="K88" s="96">
        <f>+K85-K86-K87</f>
        <v>-43886</v>
      </c>
      <c r="L88" s="96">
        <f>+L85-L86-L87</f>
        <v>-180772</v>
      </c>
    </row>
    <row r="89" spans="2:23">
      <c r="B89" s="17"/>
      <c r="C89" s="25" t="s">
        <v>73</v>
      </c>
      <c r="D89" s="56"/>
      <c r="E89" s="56"/>
      <c r="F89" s="56"/>
      <c r="G89" s="56"/>
      <c r="H89" t="s">
        <v>130</v>
      </c>
      <c r="J89" s="96">
        <f>-E42-E52+D52+D42</f>
        <v>-24694</v>
      </c>
      <c r="K89" s="96">
        <f>-F42-F52+E52+E42</f>
        <v>160692</v>
      </c>
      <c r="L89" s="96">
        <f>-G42-G52+F52+F42</f>
        <v>-112997</v>
      </c>
    </row>
    <row r="90" spans="2:23">
      <c r="B90" s="17">
        <v>53</v>
      </c>
      <c r="C90" s="27" t="s">
        <v>44</v>
      </c>
      <c r="D90" s="56">
        <v>121364</v>
      </c>
      <c r="E90" s="56">
        <v>108787</v>
      </c>
      <c r="F90" s="56">
        <v>113064</v>
      </c>
      <c r="G90" s="56">
        <v>113642</v>
      </c>
      <c r="H90" t="s">
        <v>131</v>
      </c>
      <c r="J90" s="93">
        <f>+E89</f>
        <v>0</v>
      </c>
      <c r="K90" s="93">
        <f>+F89</f>
        <v>0</v>
      </c>
      <c r="L90" s="93">
        <f>+G89</f>
        <v>0</v>
      </c>
    </row>
    <row r="91" spans="2:23" ht="13.5" thickBot="1">
      <c r="B91" s="17"/>
      <c r="C91" s="45" t="s">
        <v>45</v>
      </c>
      <c r="D91" s="46">
        <f>+D87+D88-D90</f>
        <v>136350</v>
      </c>
      <c r="E91" s="46">
        <f>+E87+E88-E90</f>
        <v>330022</v>
      </c>
      <c r="F91" s="46">
        <f>+F87+F88-F90</f>
        <v>236054</v>
      </c>
      <c r="G91" s="46">
        <f>+G87+G88-G90</f>
        <v>511185</v>
      </c>
      <c r="H91" s="164" t="s">
        <v>153</v>
      </c>
      <c r="J91" s="311">
        <f>+J88-J89-J90</f>
        <v>-27859</v>
      </c>
      <c r="K91" s="311">
        <f>+K88-K89-K90</f>
        <v>-204578</v>
      </c>
      <c r="L91" s="311">
        <f>+L88-L89-L90</f>
        <v>-67775</v>
      </c>
    </row>
    <row r="92" spans="2:23" ht="13.5" thickTop="1">
      <c r="B92" s="17">
        <v>54</v>
      </c>
      <c r="C92" s="25" t="s">
        <v>46</v>
      </c>
      <c r="D92" s="54">
        <v>58581</v>
      </c>
      <c r="E92" s="54">
        <v>124788</v>
      </c>
      <c r="F92" s="54">
        <v>93093</v>
      </c>
      <c r="G92" s="54">
        <v>185994</v>
      </c>
      <c r="W92" s="270"/>
    </row>
    <row r="93" spans="2:23" ht="13.5" thickBot="1">
      <c r="B93" s="22">
        <v>59</v>
      </c>
      <c r="C93" s="45" t="s">
        <v>47</v>
      </c>
      <c r="D93" s="46">
        <f>+D91-D92</f>
        <v>77769</v>
      </c>
      <c r="E93" s="46">
        <f>+E91-E92</f>
        <v>205234</v>
      </c>
      <c r="F93" s="46">
        <f>+F91-F92</f>
        <v>142961</v>
      </c>
      <c r="G93" s="46">
        <f>+G91-G92</f>
        <v>325191</v>
      </c>
      <c r="H93" s="279"/>
      <c r="I93" s="280"/>
      <c r="J93" s="280"/>
      <c r="K93" s="280"/>
      <c r="L93" s="280"/>
    </row>
    <row r="94" spans="2:23" ht="13.5" thickTop="1">
      <c r="B94" s="43"/>
      <c r="C94" s="411" t="s">
        <v>25</v>
      </c>
      <c r="D94" s="412"/>
      <c r="E94" s="412"/>
      <c r="F94" s="412"/>
      <c r="G94" s="412"/>
    </row>
    <row r="95" spans="2:23">
      <c r="B95" s="43"/>
      <c r="C95" s="413"/>
      <c r="D95" s="414"/>
      <c r="E95" s="414"/>
      <c r="F95" s="414"/>
      <c r="G95" s="414"/>
      <c r="J95" s="304"/>
      <c r="K95" s="304"/>
      <c r="L95" s="304"/>
    </row>
    <row r="97" spans="3:26">
      <c r="C97" s="47" t="s">
        <v>74</v>
      </c>
      <c r="D97" s="49"/>
      <c r="E97" s="50"/>
      <c r="F97" s="50"/>
      <c r="G97" s="51"/>
    </row>
    <row r="98" spans="3:26">
      <c r="C98" s="48" t="s">
        <v>100</v>
      </c>
      <c r="D98" s="52"/>
      <c r="E98" s="67">
        <f>+E77-D28+E28</f>
        <v>14040034</v>
      </c>
      <c r="F98" s="67">
        <f>+F77-E28+F28</f>
        <v>14005725</v>
      </c>
      <c r="G98" s="67">
        <f>+G77-F28+G28</f>
        <v>15681965</v>
      </c>
      <c r="W98" s="83"/>
      <c r="X98" s="83"/>
      <c r="Y98" s="83"/>
      <c r="Z98" s="83"/>
    </row>
    <row r="99" spans="3:26">
      <c r="C99" s="48" t="s">
        <v>113</v>
      </c>
      <c r="D99" s="94"/>
      <c r="E99" s="95"/>
      <c r="F99" s="95"/>
      <c r="G99" s="95"/>
    </row>
    <row r="100" spans="3:26">
      <c r="C100" s="48" t="s">
        <v>152</v>
      </c>
      <c r="D100" s="52"/>
      <c r="E100" s="52"/>
      <c r="F100" s="52"/>
      <c r="G100" s="53"/>
      <c r="W100" s="83"/>
      <c r="X100" s="83"/>
      <c r="Y100" s="83"/>
      <c r="Z100" s="83"/>
    </row>
    <row r="101" spans="3:26">
      <c r="C101" s="48"/>
      <c r="D101" s="52"/>
      <c r="E101" s="52"/>
      <c r="F101" s="52"/>
      <c r="G101" s="53"/>
      <c r="W101" s="83"/>
      <c r="X101" s="83"/>
      <c r="Y101" s="83"/>
      <c r="Z101" s="83"/>
    </row>
    <row r="102" spans="3:26">
      <c r="C102" s="48"/>
      <c r="D102" s="52"/>
      <c r="E102" s="52"/>
      <c r="F102" s="52"/>
      <c r="G102" s="53"/>
      <c r="W102" s="83"/>
      <c r="X102" s="83"/>
      <c r="Y102" s="83"/>
      <c r="Z102" s="83"/>
    </row>
    <row r="103" spans="3:26">
      <c r="C103" s="48"/>
      <c r="D103" s="52"/>
      <c r="E103" s="52"/>
      <c r="F103" s="52"/>
      <c r="G103" s="53"/>
      <c r="W103" s="83"/>
      <c r="X103" s="83"/>
      <c r="Y103" s="83"/>
      <c r="Z103" s="83"/>
    </row>
    <row r="104" spans="3:26">
      <c r="W104" s="83"/>
      <c r="X104" s="83"/>
      <c r="Y104" s="83"/>
      <c r="Z104" s="83"/>
    </row>
    <row r="105" spans="3:26">
      <c r="D105" s="148"/>
      <c r="E105" s="148"/>
      <c r="F105" s="148"/>
      <c r="G105" s="148"/>
    </row>
    <row r="106" spans="3:26">
      <c r="E106" s="149"/>
      <c r="F106" s="149"/>
      <c r="G106" s="149"/>
    </row>
    <row r="107" spans="3:26">
      <c r="E107" s="93"/>
      <c r="F107" s="93"/>
      <c r="G107" s="93"/>
    </row>
    <row r="108" spans="3:26">
      <c r="E108" s="162"/>
      <c r="F108" s="162"/>
      <c r="G108" s="162"/>
    </row>
  </sheetData>
  <mergeCells count="20">
    <mergeCell ref="D5:K5"/>
    <mergeCell ref="B13:N14"/>
    <mergeCell ref="B15:N16"/>
    <mergeCell ref="C19:G19"/>
    <mergeCell ref="H19:L19"/>
    <mergeCell ref="W49:W50"/>
    <mergeCell ref="J57:L57"/>
    <mergeCell ref="W19:Z19"/>
    <mergeCell ref="P20:Q20"/>
    <mergeCell ref="R20:S20"/>
    <mergeCell ref="T20:U20"/>
    <mergeCell ref="H21:L21"/>
    <mergeCell ref="J23:L23"/>
    <mergeCell ref="P19:U19"/>
    <mergeCell ref="C94:G95"/>
    <mergeCell ref="J33:L33"/>
    <mergeCell ref="H34:H35"/>
    <mergeCell ref="J45:L45"/>
    <mergeCell ref="V49:V50"/>
    <mergeCell ref="V67:V6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R108"/>
  <sheetViews>
    <sheetView topLeftCell="A7" zoomScale="85" zoomScaleNormal="85" workbookViewId="0">
      <selection activeCell="D17" sqref="D17:D18"/>
    </sheetView>
  </sheetViews>
  <sheetFormatPr baseColWidth="10" defaultColWidth="11.42578125" defaultRowHeight="12.75" outlineLevelCol="1"/>
  <cols>
    <col min="1" max="1" width="2.42578125" style="5" customWidth="1"/>
    <col min="2" max="2" width="4.42578125" style="6" bestFit="1" customWidth="1"/>
    <col min="3" max="3" width="34.7109375" style="5" customWidth="1"/>
    <col min="4" max="4" width="14.85546875" style="5" customWidth="1"/>
    <col min="5" max="5" width="16.42578125" style="5" customWidth="1"/>
    <col min="6" max="7" width="16.140625" style="5" bestFit="1" customWidth="1"/>
    <col min="8" max="8" width="32" style="5" customWidth="1" outlineLevel="1"/>
    <col min="9" max="9" width="13.42578125" style="5" customWidth="1" outlineLevel="1"/>
    <col min="10" max="10" width="14.42578125" style="5" customWidth="1" outlineLevel="1"/>
    <col min="11" max="11" width="17.5703125" style="5" customWidth="1" outlineLevel="1"/>
    <col min="12" max="12" width="15.42578125" style="5" customWidth="1" outlineLevel="1"/>
    <col min="13" max="13" width="1.7109375" style="5" customWidth="1"/>
    <col min="14" max="14" width="41.42578125" style="5" customWidth="1" outlineLevel="1"/>
    <col min="15" max="15" width="9.5703125" style="5" customWidth="1" outlineLevel="1"/>
    <col min="16" max="16" width="13.42578125" style="5" customWidth="1" outlineLevel="1"/>
    <col min="17" max="19" width="14.85546875" style="5" customWidth="1" outlineLevel="1"/>
    <col min="20" max="21" width="15" style="5" customWidth="1" outlineLevel="1"/>
    <col min="22" max="22" width="34.28515625" style="5" customWidth="1"/>
    <col min="23" max="23" width="14" style="5" customWidth="1"/>
    <col min="24" max="24" width="14.85546875" style="5" bestFit="1" customWidth="1"/>
    <col min="25" max="26" width="15.42578125" style="5" bestFit="1" customWidth="1"/>
    <col min="27" max="27" width="12.42578125" style="5" bestFit="1" customWidth="1"/>
    <col min="28" max="28" width="13" style="5" customWidth="1"/>
    <col min="29" max="16384" width="11.42578125" style="5"/>
  </cols>
  <sheetData>
    <row r="1" spans="1:148" s="30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</row>
    <row r="2" spans="1:148" s="30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</row>
    <row r="3" spans="1:148" s="30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</row>
    <row r="4" spans="1:148" s="30" customFormat="1" ht="18">
      <c r="A4" s="1"/>
      <c r="B4" s="1"/>
      <c r="C4" s="32"/>
      <c r="D4" s="32" t="s">
        <v>0</v>
      </c>
      <c r="E4" s="32"/>
      <c r="F4" s="32"/>
      <c r="G4" s="32"/>
      <c r="H4" s="32"/>
      <c r="I4" s="32"/>
      <c r="J4" s="32"/>
      <c r="K4" s="32"/>
      <c r="L4" s="3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</row>
    <row r="5" spans="1:148" s="30" customFormat="1" ht="18" customHeight="1">
      <c r="A5" s="1"/>
      <c r="B5" s="1"/>
      <c r="C5" s="31"/>
      <c r="D5" s="393" t="s">
        <v>50</v>
      </c>
      <c r="E5" s="393"/>
      <c r="F5" s="393"/>
      <c r="G5" s="393"/>
      <c r="H5" s="393"/>
      <c r="I5" s="393"/>
      <c r="J5" s="393"/>
      <c r="K5" s="393"/>
      <c r="L5" s="31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</row>
    <row r="6" spans="1:148" s="30" customFormat="1" ht="18" customHeight="1">
      <c r="A6" s="1"/>
      <c r="B6" s="4"/>
      <c r="C6" s="31"/>
      <c r="D6" s="33" t="s">
        <v>48</v>
      </c>
      <c r="E6" s="33"/>
      <c r="F6" s="33"/>
      <c r="G6" s="33"/>
      <c r="H6" s="33"/>
      <c r="I6" s="33"/>
      <c r="J6" s="33"/>
      <c r="K6" s="33"/>
      <c r="L6" s="31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</row>
    <row r="7" spans="1:148" s="30" customFormat="1" ht="15.75">
      <c r="A7" s="1"/>
      <c r="B7" s="4"/>
      <c r="C7" s="4" t="s">
        <v>1</v>
      </c>
      <c r="D7" s="1"/>
      <c r="E7" s="1"/>
      <c r="F7" s="2"/>
      <c r="G7" s="1"/>
      <c r="H7" s="1"/>
      <c r="I7" s="1"/>
      <c r="J7" s="1"/>
      <c r="K7" s="1"/>
      <c r="L7" s="367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</row>
    <row r="8" spans="1:148" s="30" customFormat="1">
      <c r="A8" s="1"/>
      <c r="C8" s="4"/>
      <c r="D8" s="1"/>
      <c r="E8" s="1"/>
      <c r="F8" s="1"/>
      <c r="G8" s="1"/>
      <c r="H8" s="1"/>
      <c r="I8" s="1"/>
      <c r="J8" s="1"/>
      <c r="K8" s="1"/>
      <c r="L8" s="1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</row>
    <row r="9" spans="1:148" s="30" customFormat="1">
      <c r="A9" s="1"/>
      <c r="B9" s="4"/>
      <c r="C9" s="4"/>
      <c r="D9" s="141"/>
      <c r="E9" s="141"/>
      <c r="F9" s="141"/>
      <c r="G9" s="141"/>
      <c r="H9" s="1"/>
      <c r="I9" s="1"/>
      <c r="J9" s="1"/>
      <c r="K9" s="1"/>
      <c r="L9" s="1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</row>
    <row r="10" spans="1:148" s="30" customFormat="1">
      <c r="A10" s="1"/>
      <c r="B10" s="1"/>
      <c r="C10" s="1"/>
      <c r="D10" s="85"/>
      <c r="E10" s="85"/>
      <c r="F10" s="85"/>
      <c r="G10" s="85"/>
      <c r="H10" s="1"/>
      <c r="I10" s="1"/>
      <c r="J10" s="1"/>
      <c r="K10" s="1"/>
      <c r="L10" s="1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</row>
    <row r="11" spans="1:148" s="30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</row>
    <row r="12" spans="1:148" s="30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</row>
    <row r="13" spans="1:148" s="30" customFormat="1" ht="12.75" customHeight="1">
      <c r="A13" s="28"/>
      <c r="B13" s="416" t="s">
        <v>49</v>
      </c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305"/>
      <c r="P13" s="368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</row>
    <row r="14" spans="1:148" s="30" customFormat="1" ht="12.75" customHeight="1">
      <c r="A14" s="28"/>
      <c r="B14" s="416"/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305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</row>
    <row r="15" spans="1:148" s="30" customFormat="1" ht="6.75" customHeight="1">
      <c r="A15" s="28"/>
      <c r="B15" s="417" t="s">
        <v>51</v>
      </c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17"/>
      <c r="N15" s="417"/>
      <c r="O15" s="306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</row>
    <row r="16" spans="1:148" s="30" customFormat="1" ht="12.75" customHeight="1">
      <c r="A16" s="29"/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306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</row>
    <row r="17" spans="1:26">
      <c r="A17" s="1"/>
      <c r="B17" s="1"/>
      <c r="C17" s="1"/>
      <c r="D17" s="85"/>
      <c r="E17" s="85"/>
      <c r="F17" s="85"/>
      <c r="G17" s="85"/>
      <c r="H17" s="81"/>
      <c r="I17" s="82"/>
      <c r="J17" s="88"/>
      <c r="K17" s="3"/>
      <c r="L17" s="82"/>
    </row>
    <row r="18" spans="1:26" ht="13.5" thickBot="1">
      <c r="D18" s="86"/>
      <c r="E18" s="86">
        <f>+E24-D24</f>
        <v>-266957</v>
      </c>
      <c r="F18" s="86">
        <f>+F24-E24</f>
        <v>502151</v>
      </c>
      <c r="G18" s="86">
        <f>+G24-F24</f>
        <v>-284565</v>
      </c>
      <c r="H18" s="83"/>
      <c r="I18" s="83"/>
      <c r="J18" s="83"/>
      <c r="K18" s="235"/>
      <c r="L18" s="236"/>
      <c r="V18" s="237"/>
    </row>
    <row r="19" spans="1:26" ht="13.5" thickTop="1">
      <c r="B19" s="285"/>
      <c r="C19" s="418" t="s">
        <v>157</v>
      </c>
      <c r="D19" s="418"/>
      <c r="E19" s="418"/>
      <c r="F19" s="418"/>
      <c r="G19" s="420"/>
      <c r="H19" s="398" t="s">
        <v>2</v>
      </c>
      <c r="I19" s="399"/>
      <c r="J19" s="399"/>
      <c r="K19" s="399"/>
      <c r="L19" s="400"/>
      <c r="N19" s="107" t="s">
        <v>151</v>
      </c>
      <c r="O19" s="97"/>
      <c r="P19" s="401" t="s">
        <v>101</v>
      </c>
      <c r="Q19" s="401"/>
      <c r="R19" s="401"/>
      <c r="S19" s="401"/>
      <c r="T19" s="401"/>
      <c r="U19" s="401"/>
      <c r="V19" s="364" t="str">
        <f>+C19</f>
        <v>EMPRESA: SECTOR</v>
      </c>
      <c r="W19" s="402" t="s">
        <v>136</v>
      </c>
      <c r="X19" s="401"/>
      <c r="Y19" s="401"/>
      <c r="Z19" s="403"/>
    </row>
    <row r="20" spans="1:26">
      <c r="B20" s="286"/>
      <c r="C20" s="99" t="s">
        <v>102</v>
      </c>
      <c r="D20" s="8">
        <v>2007</v>
      </c>
      <c r="E20" s="8">
        <v>2008</v>
      </c>
      <c r="F20" s="8">
        <v>2009</v>
      </c>
      <c r="G20" s="287">
        <v>2010</v>
      </c>
      <c r="H20" s="98" t="s">
        <v>3</v>
      </c>
      <c r="I20" s="239">
        <v>2007</v>
      </c>
      <c r="J20" s="239">
        <v>2008</v>
      </c>
      <c r="K20" s="239">
        <v>2009</v>
      </c>
      <c r="L20" s="239">
        <v>2010</v>
      </c>
      <c r="N20" s="108" t="s">
        <v>3</v>
      </c>
      <c r="O20" s="7"/>
      <c r="P20" s="404">
        <v>2008</v>
      </c>
      <c r="Q20" s="405"/>
      <c r="R20" s="404">
        <v>2009</v>
      </c>
      <c r="S20" s="405"/>
      <c r="T20" s="404">
        <v>2010</v>
      </c>
      <c r="U20" s="406"/>
      <c r="V20" s="99" t="s">
        <v>102</v>
      </c>
      <c r="W20" s="240">
        <f>+D20</f>
        <v>2007</v>
      </c>
      <c r="X20" s="240">
        <f>+E20</f>
        <v>2008</v>
      </c>
      <c r="Y20" s="240">
        <f>+F20</f>
        <v>2009</v>
      </c>
      <c r="Z20" s="362">
        <f>+G20</f>
        <v>2010</v>
      </c>
    </row>
    <row r="21" spans="1:26" ht="13.5" thickBot="1">
      <c r="B21" s="288"/>
      <c r="C21" s="289" t="s">
        <v>3</v>
      </c>
      <c r="D21" s="290"/>
      <c r="E21" s="290"/>
      <c r="F21" s="290"/>
      <c r="G21" s="291"/>
      <c r="H21" s="387" t="s">
        <v>4</v>
      </c>
      <c r="I21" s="381"/>
      <c r="J21" s="381"/>
      <c r="K21" s="381"/>
      <c r="L21" s="381"/>
      <c r="N21" s="109" t="s">
        <v>3</v>
      </c>
      <c r="O21" s="10"/>
      <c r="P21" s="101" t="s">
        <v>105</v>
      </c>
      <c r="Q21" s="102" t="s">
        <v>106</v>
      </c>
      <c r="R21" s="101" t="s">
        <v>105</v>
      </c>
      <c r="S21" s="102" t="s">
        <v>106</v>
      </c>
      <c r="T21" s="101" t="s">
        <v>105</v>
      </c>
      <c r="U21" s="151" t="s">
        <v>106</v>
      </c>
      <c r="V21" s="99" t="s">
        <v>3</v>
      </c>
      <c r="W21" s="150"/>
      <c r="X21" s="11"/>
      <c r="Y21" s="11"/>
      <c r="Z21" s="12"/>
    </row>
    <row r="22" spans="1:26">
      <c r="B22" s="13"/>
      <c r="C22" s="14"/>
      <c r="D22" s="14"/>
      <c r="E22" s="14"/>
      <c r="F22" s="14"/>
      <c r="G22" s="14"/>
      <c r="H22" s="241"/>
      <c r="I22" s="242"/>
      <c r="J22" s="242"/>
      <c r="K22" s="242"/>
      <c r="L22" s="242"/>
      <c r="P22" s="103"/>
      <c r="Q22" s="104"/>
      <c r="R22" s="103"/>
      <c r="S22" s="104"/>
      <c r="T22" s="103"/>
      <c r="U22" s="152"/>
      <c r="V22" s="154"/>
      <c r="W22" s="14"/>
      <c r="X22" s="14"/>
      <c r="Y22" s="14"/>
      <c r="Z22" s="155"/>
    </row>
    <row r="23" spans="1:26" ht="13.5" customHeight="1" thickBot="1">
      <c r="B23" s="15">
        <v>10</v>
      </c>
      <c r="C23" s="42" t="s">
        <v>67</v>
      </c>
      <c r="D23" s="57">
        <f>+D30+D38</f>
        <v>11760063</v>
      </c>
      <c r="E23" s="58">
        <f>+E30+E38</f>
        <v>13769827</v>
      </c>
      <c r="F23" s="58">
        <f>+F30+F38</f>
        <v>23465313</v>
      </c>
      <c r="G23" s="59">
        <f>+G30+G38</f>
        <v>28748788</v>
      </c>
      <c r="H23" s="244"/>
      <c r="I23" s="16"/>
      <c r="J23" s="380" t="s">
        <v>114</v>
      </c>
      <c r="K23" s="381"/>
      <c r="L23" s="382"/>
      <c r="N23" s="243" t="s">
        <v>67</v>
      </c>
      <c r="O23" s="245" t="s">
        <v>103</v>
      </c>
      <c r="P23" s="103"/>
      <c r="Q23" s="104"/>
      <c r="R23" s="103"/>
      <c r="S23" s="104"/>
      <c r="T23" s="103"/>
      <c r="U23" s="152"/>
      <c r="V23" s="347" t="s">
        <v>161</v>
      </c>
      <c r="W23" s="143">
        <f>+W24+W25</f>
        <v>6882041</v>
      </c>
      <c r="X23" s="144">
        <f>+X24+X25</f>
        <v>8656501</v>
      </c>
      <c r="Y23" s="144">
        <f>+Y24+Y25</f>
        <v>13091708</v>
      </c>
      <c r="Z23" s="145">
        <f>+Z24+Z25</f>
        <v>18787158</v>
      </c>
    </row>
    <row r="24" spans="1:26" ht="13.5" thickTop="1">
      <c r="B24" s="17">
        <v>11</v>
      </c>
      <c r="C24" s="18" t="s">
        <v>5</v>
      </c>
      <c r="D24" s="60">
        <f>'Datos SIREM TREFIMALLAS'!D24+Dishierros!D24+'Distriacero Figurado'!D24+Figuhierros!D24+Metalcenter!D24</f>
        <v>406821</v>
      </c>
      <c r="E24" s="60">
        <f>'Datos SIREM TREFIMALLAS'!E24+Dishierros!E24+'Distriacero Figurado'!E24+Figuhierros!E24+Metalcenter!E24</f>
        <v>139864</v>
      </c>
      <c r="F24" s="60">
        <f>'Datos SIREM TREFIMALLAS'!F24+Dishierros!F24+'Distriacero Figurado'!F24+Figuhierros!F24+Metalcenter!F24</f>
        <v>642015</v>
      </c>
      <c r="G24" s="60">
        <f>'Datos SIREM TREFIMALLAS'!G24+Dishierros!G24+'Distriacero Figurado'!G24+Figuhierros!G24+Metalcenter!G24</f>
        <v>357450</v>
      </c>
      <c r="H24" s="247" t="s">
        <v>81</v>
      </c>
      <c r="I24" s="19">
        <f>+D23</f>
        <v>11760063</v>
      </c>
      <c r="J24" s="350">
        <f>+E23/D23-1</f>
        <v>0.17089738379802899</v>
      </c>
      <c r="K24" s="350">
        <f>+F23/E23-1</f>
        <v>0.70411095215647945</v>
      </c>
      <c r="L24" s="350">
        <f>+G23/F23-1</f>
        <v>0.22516107072596903</v>
      </c>
      <c r="N24" s="248"/>
      <c r="O24" s="249"/>
      <c r="P24" s="250"/>
      <c r="Q24" s="104"/>
      <c r="R24" s="103"/>
      <c r="S24" s="104"/>
      <c r="T24" s="103"/>
      <c r="U24" s="152"/>
      <c r="V24" s="360" t="s">
        <v>132</v>
      </c>
      <c r="W24" s="359">
        <f>+D30-D51+D42+D50</f>
        <v>5111006</v>
      </c>
      <c r="X24" s="359">
        <f>+E30-E51+E42+E50</f>
        <v>6696449</v>
      </c>
      <c r="Y24" s="359">
        <f>+F30-F51+F42+F50</f>
        <v>7641164</v>
      </c>
      <c r="Z24" s="358">
        <f>+G30-G51+G42+G50</f>
        <v>12379762</v>
      </c>
    </row>
    <row r="25" spans="1:26">
      <c r="B25" s="17">
        <v>12</v>
      </c>
      <c r="C25" s="20" t="s">
        <v>56</v>
      </c>
      <c r="D25" s="60">
        <f>'Datos SIREM TREFIMALLAS'!D25+Dishierros!D25+'Distriacero Figurado'!D25+Figuhierros!D25+Metalcenter!D25</f>
        <v>0</v>
      </c>
      <c r="E25" s="60">
        <f>'Datos SIREM TREFIMALLAS'!E25+Dishierros!E25+'Distriacero Figurado'!E25+Figuhierros!E25+Metalcenter!E25</f>
        <v>0</v>
      </c>
      <c r="F25" s="60">
        <f>'Datos SIREM TREFIMALLAS'!F25+Dishierros!F25+'Distriacero Figurado'!F25+Figuhierros!F25+Metalcenter!F25</f>
        <v>6300</v>
      </c>
      <c r="G25" s="60">
        <f>'Datos SIREM TREFIMALLAS'!G25+Dishierros!G25+'Distriacero Figurado'!G25+Figuhierros!G25+Metalcenter!G25</f>
        <v>0</v>
      </c>
      <c r="H25" s="252" t="s">
        <v>112</v>
      </c>
      <c r="I25" s="19">
        <f>+D27+D28+D33</f>
        <v>10175548</v>
      </c>
      <c r="J25" s="350">
        <f>(E27+E28+E33)/(+D27+D28+D33)-1</f>
        <v>0.10286571298174807</v>
      </c>
      <c r="K25" s="350">
        <f>(F27+F28+F33)/(+E27+E28+E33)-1</f>
        <v>0.63666962715095887</v>
      </c>
      <c r="L25" s="350">
        <f>(G27+G28+G33)/(+F27+F28+F33)-1</f>
        <v>0.3382158580294794</v>
      </c>
      <c r="N25" s="251" t="s">
        <v>56</v>
      </c>
      <c r="O25" s="253" t="str">
        <f>IF(E25-D25&lt;0,"F","U")</f>
        <v>U</v>
      </c>
      <c r="P25" s="254">
        <f>IF(E25-D25&lt;0,0,ABS(E25-D25))</f>
        <v>0</v>
      </c>
      <c r="Q25" s="255">
        <f>IF(E25-D25&gt;0,0,ABS(E25-D25))</f>
        <v>0</v>
      </c>
      <c r="R25" s="254">
        <f>IF(F25-E25&lt;0,0,ABS(F25-E25))</f>
        <v>6300</v>
      </c>
      <c r="S25" s="255">
        <f>IF(F25-E25&gt;0,0,ABS(F25-E25))</f>
        <v>0</v>
      </c>
      <c r="T25" s="254">
        <f>IF(G25-F25&lt;0,0,ABS(G25-F25))</f>
        <v>0</v>
      </c>
      <c r="U25" s="256">
        <f>IF(G25-F25&gt;0,0,ABS(G25-F25))</f>
        <v>6300</v>
      </c>
      <c r="V25" s="328" t="s">
        <v>133</v>
      </c>
      <c r="W25" s="341">
        <f>+D33+D34</f>
        <v>1771035</v>
      </c>
      <c r="X25" s="341">
        <f>+E33+E34</f>
        <v>1960052</v>
      </c>
      <c r="Y25" s="341">
        <f>+F33+F34</f>
        <v>5450544</v>
      </c>
      <c r="Z25" s="340">
        <f>+G33+G34</f>
        <v>6407396</v>
      </c>
    </row>
    <row r="26" spans="1:26">
      <c r="B26" s="17">
        <v>13</v>
      </c>
      <c r="C26" s="20" t="s">
        <v>57</v>
      </c>
      <c r="D26" s="60">
        <f>'Datos SIREM TREFIMALLAS'!D26+Dishierros!D26+'Distriacero Figurado'!D26+Figuhierros!D26+Metalcenter!D26</f>
        <v>5944450</v>
      </c>
      <c r="E26" s="60">
        <f>'Datos SIREM TREFIMALLAS'!E26+Dishierros!E26+'Distriacero Figurado'!E26+Figuhierros!E26+Metalcenter!E26</f>
        <v>7906161</v>
      </c>
      <c r="F26" s="60">
        <f>'Datos SIREM TREFIMALLAS'!F26+Dishierros!F26+'Distriacero Figurado'!F26+Figuhierros!F26+Metalcenter!F26</f>
        <v>7925368</v>
      </c>
      <c r="G26" s="60">
        <f>'Datos SIREM TREFIMALLAS'!G26+Dishierros!G26+'Distriacero Figurado'!G26+Figuhierros!G26+Metalcenter!G26</f>
        <v>10422317</v>
      </c>
      <c r="H26" s="252" t="s">
        <v>68</v>
      </c>
      <c r="I26" s="19">
        <f>+D41</f>
        <v>7104476</v>
      </c>
      <c r="J26" s="84">
        <f>+E41/D41-1</f>
        <v>0.10634605564154209</v>
      </c>
      <c r="K26" s="84">
        <f>+F41/E41-1</f>
        <v>0.72536850784776452</v>
      </c>
      <c r="L26" s="84">
        <f>+G41/F41-1</f>
        <v>0.30725524746243238</v>
      </c>
      <c r="N26" s="251" t="s">
        <v>57</v>
      </c>
      <c r="O26" s="253" t="str">
        <f>IF(E26-D26&lt;0,"F","U")</f>
        <v>U</v>
      </c>
      <c r="P26" s="254">
        <f>IF(E26-D26&lt;0,0,ABS(E26-D26))</f>
        <v>1961711</v>
      </c>
      <c r="Q26" s="255">
        <f>IF(E26-D26&gt;0,0,ABS(E26-D26))</f>
        <v>0</v>
      </c>
      <c r="R26" s="254">
        <f>IF(F26-E26&lt;0,0,ABS(F26-E26))</f>
        <v>19207</v>
      </c>
      <c r="S26" s="255">
        <f>IF(F26-E26&gt;0,0,ABS(F26-E26))</f>
        <v>0</v>
      </c>
      <c r="T26" s="254">
        <f>IF(G26-F26&lt;0,0,ABS(G26-F26))</f>
        <v>2496949</v>
      </c>
      <c r="U26" s="256">
        <f>IF(G26-F26&gt;0,0,ABS(G26-F26))</f>
        <v>0</v>
      </c>
      <c r="V26" s="357" t="s">
        <v>134</v>
      </c>
      <c r="W26" s="356">
        <f>SUM(D35:D37)+D31</f>
        <v>0</v>
      </c>
      <c r="X26" s="356">
        <f>SUM(E35:E37)+E31</f>
        <v>0</v>
      </c>
      <c r="Y26" s="356">
        <f>SUM(F35:F37)+F31</f>
        <v>0</v>
      </c>
      <c r="Z26" s="355">
        <f>SUM(G35:G37)+G31</f>
        <v>261486</v>
      </c>
    </row>
    <row r="27" spans="1:26">
      <c r="B27" s="17">
        <v>1305</v>
      </c>
      <c r="C27" s="20" t="s">
        <v>58</v>
      </c>
      <c r="D27" s="60">
        <f>'Datos SIREM TREFIMALLAS'!D27+Dishierros!D27+'Distriacero Figurado'!D27+Figuhierros!D27+Metalcenter!D27</f>
        <v>4766756</v>
      </c>
      <c r="E27" s="60">
        <f>'Datos SIREM TREFIMALLAS'!E27+Dishierros!E27+'Distriacero Figurado'!E27+Figuhierros!E27+Metalcenter!E27</f>
        <v>5656121</v>
      </c>
      <c r="F27" s="60">
        <f>'Datos SIREM TREFIMALLAS'!F27+Dishierros!F27+'Distriacero Figurado'!F27+Figuhierros!F27+Metalcenter!F27</f>
        <v>3485059</v>
      </c>
      <c r="G27" s="60">
        <f>'Datos SIREM TREFIMALLAS'!G27+Dishierros!G27+'Distriacero Figurado'!G27+Figuhierros!G27+Metalcenter!G27</f>
        <v>6970772</v>
      </c>
      <c r="H27" s="252" t="s">
        <v>82</v>
      </c>
      <c r="I27" s="19">
        <f>+D63</f>
        <v>4655587</v>
      </c>
      <c r="J27" s="84">
        <f>+E63/D63-1</f>
        <v>0.26940340713211897</v>
      </c>
      <c r="K27" s="84">
        <f>+F63/E63-1</f>
        <v>0.67583857912375644</v>
      </c>
      <c r="L27" s="84">
        <f>+G63/F63-1</f>
        <v>0.11274951153086032</v>
      </c>
      <c r="N27" s="251" t="s">
        <v>58</v>
      </c>
      <c r="O27" s="257" t="str">
        <f>IF(E27-D27&lt;0,"F","U")</f>
        <v>U</v>
      </c>
      <c r="P27" s="116">
        <f>IF(E27-D27&lt;0,0,ABS(E27-D27))</f>
        <v>889365</v>
      </c>
      <c r="Q27" s="116">
        <f>IF(E27-D27&gt;0,0,ABS(E27-D27))</f>
        <v>0</v>
      </c>
      <c r="R27" s="116">
        <f>IF(F27-E27&lt;0,0,ABS(F27-E27))</f>
        <v>0</v>
      </c>
      <c r="S27" s="116">
        <f>IF(F27-E27&gt;0,0,ABS(F27-E27))</f>
        <v>2171062</v>
      </c>
      <c r="T27" s="116">
        <f>IF(G27-F27&lt;0,0,ABS(G27-F27))</f>
        <v>3485713</v>
      </c>
      <c r="U27" s="153">
        <f>IF(G27-F27&gt;0,0,ABS(G27-F27))</f>
        <v>0</v>
      </c>
      <c r="V27" s="354"/>
      <c r="W27" s="353"/>
      <c r="X27" s="353"/>
      <c r="Y27" s="353"/>
      <c r="Z27" s="352"/>
    </row>
    <row r="28" spans="1:26">
      <c r="B28" s="17">
        <v>14</v>
      </c>
      <c r="C28" s="20" t="s">
        <v>59</v>
      </c>
      <c r="D28" s="60">
        <f>'Datos SIREM TREFIMALLAS'!D28+Dishierros!D28+'Distriacero Figurado'!D28+Figuhierros!D28+Metalcenter!D28</f>
        <v>3701198</v>
      </c>
      <c r="E28" s="60">
        <f>'Datos SIREM TREFIMALLAS'!E28+Dishierros!E28+'Distriacero Figurado'!E28+Figuhierros!E28+Metalcenter!E28</f>
        <v>3749531</v>
      </c>
      <c r="F28" s="60">
        <f>'Datos SIREM TREFIMALLAS'!F28+Dishierros!F28+'Distriacero Figurado'!F28+Figuhierros!F28+Metalcenter!F28</f>
        <v>9657281</v>
      </c>
      <c r="G28" s="60">
        <f>'Datos SIREM TREFIMALLAS'!G28+Dishierros!G28+'Distriacero Figurado'!G28+Figuhierros!G28+Metalcenter!G28</f>
        <v>11433181</v>
      </c>
      <c r="H28" s="252" t="s">
        <v>17</v>
      </c>
      <c r="I28" s="19">
        <f>+D75</f>
        <v>34414150</v>
      </c>
      <c r="J28" s="84">
        <f>+E75/D75-1</f>
        <v>0.24461179485763851</v>
      </c>
      <c r="K28" s="84">
        <f>+F75/E75-1</f>
        <v>0.40933434817595526</v>
      </c>
      <c r="L28" s="84">
        <f>+G75/F75-1</f>
        <v>-1.768376563951346E-3</v>
      </c>
      <c r="N28" s="251" t="s">
        <v>59</v>
      </c>
      <c r="O28" s="253" t="str">
        <f>IF(E28-D28&lt;0,"F","U")</f>
        <v>U</v>
      </c>
      <c r="P28" s="254">
        <f>IF(E28-D28&lt;0,0,ABS(E28-D28))</f>
        <v>48333</v>
      </c>
      <c r="Q28" s="255">
        <f>IF(E28-D28&gt;0,0,ABS(E28-D28))</f>
        <v>0</v>
      </c>
      <c r="R28" s="254">
        <f>IF(F28-E28&lt;0,0,ABS(F28-E28))</f>
        <v>5907750</v>
      </c>
      <c r="S28" s="255">
        <f>IF(F28-E28&gt;0,0,ABS(F28-E28))</f>
        <v>0</v>
      </c>
      <c r="T28" s="254">
        <f>IF(G28-F28&lt;0,0,ABS(G28-F28))</f>
        <v>1775900</v>
      </c>
      <c r="U28" s="256">
        <f>IF(G28-F28&gt;0,0,ABS(G28-F28))</f>
        <v>0</v>
      </c>
      <c r="V28" s="351"/>
      <c r="W28" s="341">
        <f>SUM(W58:W61)</f>
        <v>0</v>
      </c>
      <c r="X28" s="341">
        <f>SUM(X58:X61)</f>
        <v>0</v>
      </c>
      <c r="Y28" s="341">
        <f>SUM(Y58:Y61)</f>
        <v>0</v>
      </c>
      <c r="Z28" s="340">
        <f>SUM(Z58:Z61)</f>
        <v>0</v>
      </c>
    </row>
    <row r="29" spans="1:26">
      <c r="B29" s="17">
        <v>17</v>
      </c>
      <c r="C29" s="21" t="s">
        <v>60</v>
      </c>
      <c r="D29" s="60">
        <f>'Datos SIREM TREFIMALLAS'!D29+Dishierros!D29+'Distriacero Figurado'!D29+Figuhierros!D29+Metalcenter!D29</f>
        <v>0</v>
      </c>
      <c r="E29" s="60">
        <f>'Datos SIREM TREFIMALLAS'!E29+Dishierros!E29+'Distriacero Figurado'!E29+Figuhierros!E29+Metalcenter!E29</f>
        <v>157660</v>
      </c>
      <c r="F29" s="60">
        <f>'Datos SIREM TREFIMALLAS'!F29+Dishierros!F29+'Distriacero Figurado'!F29+Figuhierros!F29+Metalcenter!F29</f>
        <v>9552</v>
      </c>
      <c r="G29" s="60">
        <f>'Datos SIREM TREFIMALLAS'!G29+Dishierros!G29+'Distriacero Figurado'!G29+Figuhierros!G29+Metalcenter!G29</f>
        <v>99113</v>
      </c>
      <c r="H29" s="252" t="s">
        <v>88</v>
      </c>
      <c r="I29" s="19">
        <f>+D77+D79+D83</f>
        <v>32950255</v>
      </c>
      <c r="J29" s="84">
        <f>+(E77+E79+E83)/(D77+D79+D83)-1</f>
        <v>0.22949121334569345</v>
      </c>
      <c r="K29" s="84">
        <f>+(F77+F79+F83)/(E77+E79+E83)-1</f>
        <v>0.4065933816381393</v>
      </c>
      <c r="L29" s="84">
        <f>+(G77+G79+G83)/(F77+F79+F83)-1</f>
        <v>-7.0832188274672081E-4</v>
      </c>
      <c r="N29" s="258" t="s">
        <v>60</v>
      </c>
      <c r="O29" s="253" t="str">
        <f>IF(E29-D29&lt;0,"F","U")</f>
        <v>U</v>
      </c>
      <c r="P29" s="254">
        <f>IF(E29-D29&lt;0,0,ABS(E29-D29))</f>
        <v>157660</v>
      </c>
      <c r="Q29" s="255">
        <f>IF(E29-D29&gt;0,0,ABS(E29-D29))</f>
        <v>0</v>
      </c>
      <c r="R29" s="254">
        <f>IF(F29-E29&lt;0,0,ABS(F29-E29))</f>
        <v>0</v>
      </c>
      <c r="S29" s="255">
        <f>IF(F29-E29&gt;0,0,ABS(F29-E29))</f>
        <v>148108</v>
      </c>
      <c r="T29" s="254">
        <f>IF(G29-F29&lt;0,0,ABS(G29-F29))</f>
        <v>89561</v>
      </c>
      <c r="U29" s="256">
        <f>IF(G29-F29&gt;0,0,ABS(G29-F29))</f>
        <v>0</v>
      </c>
      <c r="V29" s="328" t="s">
        <v>162</v>
      </c>
      <c r="W29" s="344">
        <f>+D42+D52</f>
        <v>2163013</v>
      </c>
      <c r="X29" s="344">
        <f>+E42+E52</f>
        <v>2603242</v>
      </c>
      <c r="Y29" s="344">
        <f>+F42+F52</f>
        <v>2962060</v>
      </c>
      <c r="Z29" s="343">
        <f>+G42+G52</f>
        <v>5337318</v>
      </c>
    </row>
    <row r="30" spans="1:26" ht="13.5" thickBot="1">
      <c r="B30" s="17"/>
      <c r="C30" s="35" t="s">
        <v>7</v>
      </c>
      <c r="D30" s="62">
        <f>+D24+D25+D26+D28+D29</f>
        <v>10052469</v>
      </c>
      <c r="E30" s="63">
        <f>+E24+E25+E26+E28+E29</f>
        <v>11953216</v>
      </c>
      <c r="F30" s="63">
        <f>+F24+F25+F26+F28+F29</f>
        <v>18240516</v>
      </c>
      <c r="G30" s="64">
        <f>+G24+G25+G26+G28+G29</f>
        <v>22312061</v>
      </c>
      <c r="H30" s="252" t="s">
        <v>42</v>
      </c>
      <c r="I30" s="19">
        <f>+D87</f>
        <v>1463895</v>
      </c>
      <c r="J30" s="350">
        <f>+E87/D87-1</f>
        <v>0.58495520512058574</v>
      </c>
      <c r="K30" s="350">
        <f>+F87/E87-1</f>
        <v>0.4571930620013378</v>
      </c>
      <c r="L30" s="350">
        <f>+G87/F87-1</f>
        <v>-1.9634775721082964E-2</v>
      </c>
      <c r="N30" s="259" t="s">
        <v>7</v>
      </c>
      <c r="O30" s="260"/>
      <c r="P30" s="261">
        <f t="shared" ref="P30:U30" si="0">SUM(P25:P29)</f>
        <v>3057069</v>
      </c>
      <c r="Q30" s="261">
        <f t="shared" si="0"/>
        <v>0</v>
      </c>
      <c r="R30" s="261">
        <f t="shared" si="0"/>
        <v>5933257</v>
      </c>
      <c r="S30" s="261">
        <f t="shared" si="0"/>
        <v>2319170</v>
      </c>
      <c r="T30" s="261">
        <f t="shared" si="0"/>
        <v>7848123</v>
      </c>
      <c r="U30" s="261">
        <f t="shared" si="0"/>
        <v>6300</v>
      </c>
      <c r="V30" s="328"/>
      <c r="W30" s="341"/>
      <c r="X30" s="341"/>
      <c r="Y30" s="341"/>
      <c r="Z30" s="340"/>
    </row>
    <row r="31" spans="1:26" ht="13.5" thickTop="1">
      <c r="B31" s="17">
        <v>12</v>
      </c>
      <c r="C31" s="18" t="s">
        <v>56</v>
      </c>
      <c r="D31" s="60">
        <f>'Datos SIREM TREFIMALLAS'!D31+Dishierros!D31+'Distriacero Figurado'!D31+Figuhierros!D31+Metalcenter!D31</f>
        <v>0</v>
      </c>
      <c r="E31" s="60">
        <f>'Datos SIREM TREFIMALLAS'!E31+Dishierros!E31+'Distriacero Figurado'!E31+Figuhierros!E31+Metalcenter!E31</f>
        <v>0</v>
      </c>
      <c r="F31" s="60">
        <f>'Datos SIREM TREFIMALLAS'!F31+Dishierros!F31+'Distriacero Figurado'!F31+Figuhierros!F31+Metalcenter!F31</f>
        <v>0</v>
      </c>
      <c r="G31" s="60">
        <f>'Datos SIREM TREFIMALLAS'!G31+Dishierros!G31+'Distriacero Figurado'!G31+Figuhierros!G31+Metalcenter!G31</f>
        <v>0</v>
      </c>
      <c r="H31" s="252" t="s">
        <v>18</v>
      </c>
      <c r="I31" s="92">
        <f>+(D87+D81+D82+D85+D86)</f>
        <v>1492919</v>
      </c>
      <c r="J31" s="350">
        <f>+(E87+E81+E82+E85+E86)/(D87+D81+D82+D85+D86)-1</f>
        <v>0.57205045953598277</v>
      </c>
      <c r="K31" s="350">
        <f>+(F87+F81+F82+F85+F86)/(E87+E81+E82+E85+E86)-1</f>
        <v>0.47466407379127928</v>
      </c>
      <c r="L31" s="350">
        <f>+(G87+G81+G82+G85+G86)/(F87+F81+F82+F85+F86)-1</f>
        <v>-1.9405343151050247E-2</v>
      </c>
      <c r="N31" s="246" t="s">
        <v>56</v>
      </c>
      <c r="O31" s="253" t="str">
        <f t="shared" ref="O31:O37" si="1">IF(E31-D31&lt;0,"F","U")</f>
        <v>U</v>
      </c>
      <c r="P31" s="254">
        <f t="shared" ref="P31:P37" si="2">IF(E31-D31&lt;0,0,ABS(E31-D31))</f>
        <v>0</v>
      </c>
      <c r="Q31" s="255">
        <f t="shared" ref="Q31:Q37" si="3">IF(E31-D31&gt;0,0,ABS(E31-D31))</f>
        <v>0</v>
      </c>
      <c r="R31" s="254">
        <f t="shared" ref="R31:R37" si="4">IF(F31-E31&lt;0,0,ABS(F31-E31))</f>
        <v>0</v>
      </c>
      <c r="S31" s="255">
        <f t="shared" ref="S31:S37" si="5">IF(F31-E31&gt;0,0,ABS(F31-E31))</f>
        <v>0</v>
      </c>
      <c r="T31" s="254">
        <f t="shared" ref="T31:T37" si="6">IF(G31-F31&lt;0,0,ABS(G31-F31))</f>
        <v>0</v>
      </c>
      <c r="U31" s="256">
        <f t="shared" ref="U31:U37" si="7">IF(G31-F31&gt;0,0,ABS(G31-F31))</f>
        <v>0</v>
      </c>
      <c r="V31" s="338" t="s">
        <v>135</v>
      </c>
      <c r="W31" s="349">
        <f>+D63-W26</f>
        <v>4655587</v>
      </c>
      <c r="X31" s="349">
        <f>+E63-X26</f>
        <v>5909818</v>
      </c>
      <c r="Y31" s="349">
        <f>+F63-Y26</f>
        <v>9903901</v>
      </c>
      <c r="Z31" s="348">
        <f>+G63-Z26</f>
        <v>10759075</v>
      </c>
    </row>
    <row r="32" spans="1:26" ht="13.5" thickBot="1">
      <c r="B32" s="17">
        <v>13</v>
      </c>
      <c r="C32" s="20" t="s">
        <v>61</v>
      </c>
      <c r="D32" s="60">
        <f>'Datos SIREM TREFIMALLAS'!D32+Dishierros!D32+'Distriacero Figurado'!D32+Figuhierros!D32+Metalcenter!D32</f>
        <v>0</v>
      </c>
      <c r="E32" s="60">
        <f>'Datos SIREM TREFIMALLAS'!E32+Dishierros!E32+'Distriacero Figurado'!E32+Figuhierros!E32+Metalcenter!E32</f>
        <v>0</v>
      </c>
      <c r="F32" s="60">
        <f>'Datos SIREM TREFIMALLAS'!F32+Dishierros!F32+'Distriacero Figurado'!F32+Figuhierros!F32+Metalcenter!F32</f>
        <v>0</v>
      </c>
      <c r="G32" s="60">
        <f>'Datos SIREM TREFIMALLAS'!G32+Dishierros!G32+'Distriacero Figurado'!G32+Figuhierros!G32+Metalcenter!G32</f>
        <v>0</v>
      </c>
      <c r="H32" s="252"/>
      <c r="I32" s="19"/>
      <c r="J32" s="19"/>
      <c r="K32" s="19"/>
      <c r="L32" s="19"/>
      <c r="N32" s="251" t="s">
        <v>61</v>
      </c>
      <c r="O32" s="253" t="str">
        <f t="shared" si="1"/>
        <v>U</v>
      </c>
      <c r="P32" s="254">
        <f t="shared" si="2"/>
        <v>0</v>
      </c>
      <c r="Q32" s="255">
        <f t="shared" si="3"/>
        <v>0</v>
      </c>
      <c r="R32" s="254">
        <f t="shared" si="4"/>
        <v>0</v>
      </c>
      <c r="S32" s="255">
        <f t="shared" si="5"/>
        <v>0</v>
      </c>
      <c r="T32" s="254">
        <f t="shared" si="6"/>
        <v>0</v>
      </c>
      <c r="U32" s="256">
        <f t="shared" si="7"/>
        <v>0</v>
      </c>
      <c r="V32" s="347" t="s">
        <v>163</v>
      </c>
      <c r="W32" s="143">
        <f>+W31+W30+W29</f>
        <v>6818600</v>
      </c>
      <c r="X32" s="144">
        <f>+X31+X30+X29</f>
        <v>8513060</v>
      </c>
      <c r="Y32" s="144">
        <f>+Y31+Y30+Y29</f>
        <v>12865961</v>
      </c>
      <c r="Z32" s="145">
        <f>+Z31+Z30+Z29</f>
        <v>16096393</v>
      </c>
    </row>
    <row r="33" spans="2:29" ht="14.25" customHeight="1" thickTop="1" thickBot="1">
      <c r="B33" s="17">
        <v>15</v>
      </c>
      <c r="C33" s="20" t="s">
        <v>8</v>
      </c>
      <c r="D33" s="60">
        <f>'Datos SIREM TREFIMALLAS'!D33+Dishierros!D33+'Distriacero Figurado'!D33+Figuhierros!D33+Metalcenter!D33</f>
        <v>1707594</v>
      </c>
      <c r="E33" s="60">
        <f>'Datos SIREM TREFIMALLAS'!E33+Dishierros!E33+'Distriacero Figurado'!E33+Figuhierros!E33+Metalcenter!E33</f>
        <v>1816611</v>
      </c>
      <c r="F33" s="60">
        <f>'Datos SIREM TREFIMALLAS'!F33+Dishierros!F33+'Distriacero Figurado'!F33+Figuhierros!F33+Metalcenter!F33</f>
        <v>5224797</v>
      </c>
      <c r="G33" s="60">
        <f>'Datos SIREM TREFIMALLAS'!G33+Dishierros!G33+'Distriacero Figurado'!G33+Figuhierros!G33+Metalcenter!G33</f>
        <v>6175241</v>
      </c>
      <c r="H33" s="89"/>
      <c r="J33" s="380" t="s">
        <v>90</v>
      </c>
      <c r="K33" s="381"/>
      <c r="L33" s="382"/>
      <c r="N33" s="251" t="s">
        <v>8</v>
      </c>
      <c r="O33" s="253" t="str">
        <f t="shared" si="1"/>
        <v>U</v>
      </c>
      <c r="P33" s="254">
        <f t="shared" si="2"/>
        <v>109017</v>
      </c>
      <c r="Q33" s="255">
        <f t="shared" si="3"/>
        <v>0</v>
      </c>
      <c r="R33" s="254">
        <f t="shared" si="4"/>
        <v>3408186</v>
      </c>
      <c r="S33" s="255">
        <f t="shared" si="5"/>
        <v>0</v>
      </c>
      <c r="T33" s="254">
        <f t="shared" si="6"/>
        <v>950444</v>
      </c>
      <c r="U33" s="256">
        <f t="shared" si="7"/>
        <v>0</v>
      </c>
      <c r="V33" s="156"/>
      <c r="W33" s="157">
        <f>+W32-W23</f>
        <v>-63441</v>
      </c>
      <c r="X33" s="157">
        <f>+X32-X23</f>
        <v>-143441</v>
      </c>
      <c r="Y33" s="157">
        <f>+Y32-Y23</f>
        <v>-225747</v>
      </c>
      <c r="Z33" s="158">
        <f>+Z32-Z23</f>
        <v>-2690765</v>
      </c>
    </row>
    <row r="34" spans="2:29" ht="13.5" thickTop="1">
      <c r="B34" s="17"/>
      <c r="C34" s="20" t="s">
        <v>52</v>
      </c>
      <c r="D34" s="60">
        <f>'Datos SIREM TREFIMALLAS'!D34+Dishierros!D34+'Distriacero Figurado'!D34+Figuhierros!D34+Metalcenter!D34</f>
        <v>63441</v>
      </c>
      <c r="E34" s="60">
        <f>'Datos SIREM TREFIMALLAS'!E34+Dishierros!E34+'Distriacero Figurado'!E34+Figuhierros!E34+Metalcenter!E34</f>
        <v>143441</v>
      </c>
      <c r="F34" s="60">
        <f>'Datos SIREM TREFIMALLAS'!F34+Dishierros!F34+'Distriacero Figurado'!F34+Figuhierros!F34+Metalcenter!F34</f>
        <v>225747</v>
      </c>
      <c r="G34" s="60">
        <f>'Datos SIREM TREFIMALLAS'!G34+Dishierros!G34+'Distriacero Figurado'!G34+Figuhierros!G34+Metalcenter!G34</f>
        <v>232155</v>
      </c>
      <c r="H34" s="388" t="s">
        <v>6</v>
      </c>
      <c r="I34" s="19">
        <f>+D30-D51</f>
        <v>3950995</v>
      </c>
      <c r="J34" s="342">
        <f>+E30-E51</f>
        <v>4093207</v>
      </c>
      <c r="K34" s="342">
        <f>+F30-F51</f>
        <v>4721462</v>
      </c>
      <c r="L34" s="342">
        <f>+G30-G51</f>
        <v>7042444</v>
      </c>
      <c r="N34" s="251" t="s">
        <v>52</v>
      </c>
      <c r="O34" s="257" t="str">
        <f t="shared" si="1"/>
        <v>U</v>
      </c>
      <c r="P34" s="105">
        <f t="shared" si="2"/>
        <v>80000</v>
      </c>
      <c r="Q34" s="106">
        <f t="shared" si="3"/>
        <v>0</v>
      </c>
      <c r="R34" s="254">
        <f t="shared" si="4"/>
        <v>82306</v>
      </c>
      <c r="S34" s="255">
        <f t="shared" si="5"/>
        <v>0</v>
      </c>
      <c r="T34" s="254">
        <f t="shared" si="6"/>
        <v>6408</v>
      </c>
      <c r="U34" s="256">
        <f t="shared" si="7"/>
        <v>0</v>
      </c>
      <c r="V34" s="159"/>
      <c r="W34" s="160"/>
      <c r="X34" s="160"/>
      <c r="Y34" s="160"/>
      <c r="Z34" s="161"/>
    </row>
    <row r="35" spans="2:29">
      <c r="B35" s="17">
        <v>16</v>
      </c>
      <c r="C35" s="20" t="s">
        <v>9</v>
      </c>
      <c r="D35" s="60">
        <f>'Datos SIREM TREFIMALLAS'!D35+Dishierros!D35+'Distriacero Figurado'!D35+Figuhierros!D35+Metalcenter!D35</f>
        <v>0</v>
      </c>
      <c r="E35" s="60">
        <f>'Datos SIREM TREFIMALLAS'!E35+Dishierros!E35+'Distriacero Figurado'!E35+Figuhierros!E35+Metalcenter!E35</f>
        <v>0</v>
      </c>
      <c r="F35" s="60">
        <f>'Datos SIREM TREFIMALLAS'!F35+Dishierros!F35+'Distriacero Figurado'!F35+Figuhierros!F35+Metalcenter!F35</f>
        <v>0</v>
      </c>
      <c r="G35" s="60">
        <f>'Datos SIREM TREFIMALLAS'!G35+Dishierros!G35+'Distriacero Figurado'!G35+Figuhierros!G35+Metalcenter!G35</f>
        <v>0</v>
      </c>
      <c r="H35" s="389"/>
      <c r="I35" s="87">
        <f>+D30/D51</f>
        <v>1.6475476253770811</v>
      </c>
      <c r="J35" s="87">
        <f>+E30/E51</f>
        <v>1.5207636530696085</v>
      </c>
      <c r="K35" s="87">
        <f>+F30/F51</f>
        <v>1.3492449989474116</v>
      </c>
      <c r="L35" s="87">
        <f>+G30/G51</f>
        <v>1.4612063288817263</v>
      </c>
      <c r="N35" s="251" t="s">
        <v>9</v>
      </c>
      <c r="O35" s="253" t="str">
        <f t="shared" si="1"/>
        <v>U</v>
      </c>
      <c r="P35" s="254">
        <f t="shared" si="2"/>
        <v>0</v>
      </c>
      <c r="Q35" s="255">
        <f t="shared" si="3"/>
        <v>0</v>
      </c>
      <c r="R35" s="254">
        <f t="shared" si="4"/>
        <v>0</v>
      </c>
      <c r="S35" s="255">
        <f t="shared" si="5"/>
        <v>0</v>
      </c>
      <c r="T35" s="254">
        <f t="shared" si="6"/>
        <v>0</v>
      </c>
      <c r="U35" s="256">
        <f t="shared" si="7"/>
        <v>0</v>
      </c>
      <c r="V35" s="163"/>
    </row>
    <row r="36" spans="2:29">
      <c r="B36" s="17">
        <v>17</v>
      </c>
      <c r="C36" s="20" t="s">
        <v>62</v>
      </c>
      <c r="D36" s="60">
        <f>'Datos SIREM TREFIMALLAS'!D36+Dishierros!D36+'Distriacero Figurado'!D36+Figuhierros!D36+Metalcenter!D36</f>
        <v>0</v>
      </c>
      <c r="E36" s="60">
        <f>'Datos SIREM TREFIMALLAS'!E36+Dishierros!E36+'Distriacero Figurado'!E36+Figuhierros!E36+Metalcenter!E36</f>
        <v>0</v>
      </c>
      <c r="F36" s="60">
        <f>'Datos SIREM TREFIMALLAS'!F36+Dishierros!F36+'Distriacero Figurado'!F36+Figuhierros!F36+Metalcenter!F36</f>
        <v>0</v>
      </c>
      <c r="G36" s="60">
        <f>'Datos SIREM TREFIMALLAS'!G36+Dishierros!G36+'Distriacero Figurado'!G36+Figuhierros!G36+Metalcenter!G36</f>
        <v>0</v>
      </c>
      <c r="H36" s="252" t="s">
        <v>83</v>
      </c>
      <c r="I36" s="19">
        <f>(D27+D28)-(D43+D44+D46)</f>
        <v>5959610</v>
      </c>
      <c r="J36" s="19">
        <f>(E27+E28)-(E43+E44+E46)</f>
        <v>6903591</v>
      </c>
      <c r="K36" s="19">
        <f>(F27+F28)-(F43+F44+F46)</f>
        <v>6470598</v>
      </c>
      <c r="L36" s="19">
        <f>(G27+G28)-(G43+G44+G46)</f>
        <v>14128903</v>
      </c>
      <c r="N36" s="251" t="s">
        <v>62</v>
      </c>
      <c r="O36" s="253" t="str">
        <f t="shared" si="1"/>
        <v>U</v>
      </c>
      <c r="P36" s="254">
        <f t="shared" si="2"/>
        <v>0</v>
      </c>
      <c r="Q36" s="255">
        <f t="shared" si="3"/>
        <v>0</v>
      </c>
      <c r="R36" s="254">
        <f t="shared" si="4"/>
        <v>0</v>
      </c>
      <c r="S36" s="255">
        <f t="shared" si="5"/>
        <v>0</v>
      </c>
      <c r="T36" s="254">
        <f t="shared" si="6"/>
        <v>0</v>
      </c>
      <c r="U36" s="256">
        <f t="shared" si="7"/>
        <v>0</v>
      </c>
      <c r="V36" s="334" t="s">
        <v>137</v>
      </c>
      <c r="W36" s="346">
        <f>+D87</f>
        <v>1463895</v>
      </c>
      <c r="X36" s="346">
        <f>+E87</f>
        <v>2320208</v>
      </c>
      <c r="Y36" s="346">
        <f>+F87</f>
        <v>3380991</v>
      </c>
      <c r="Z36" s="345">
        <f>+G87</f>
        <v>3314606</v>
      </c>
    </row>
    <row r="37" spans="2:29">
      <c r="B37" s="17">
        <v>18</v>
      </c>
      <c r="C37" s="21" t="s">
        <v>10</v>
      </c>
      <c r="D37" s="60">
        <f>'Datos SIREM TREFIMALLAS'!D37+Dishierros!D37+'Distriacero Figurado'!D37+Figuhierros!D37+Metalcenter!D37</f>
        <v>0</v>
      </c>
      <c r="E37" s="60">
        <f>'Datos SIREM TREFIMALLAS'!E37+Dishierros!E37+'Distriacero Figurado'!E37+Figuhierros!E37+Metalcenter!E37</f>
        <v>0</v>
      </c>
      <c r="F37" s="60">
        <f>'Datos SIREM TREFIMALLAS'!F37+Dishierros!F37+'Distriacero Figurado'!F37+Figuhierros!F37+Metalcenter!F37</f>
        <v>0</v>
      </c>
      <c r="G37" s="60">
        <f>'Datos SIREM TREFIMALLAS'!G37+Dishierros!G37+'Distriacero Figurado'!G37+Figuhierros!G37+Metalcenter!G37</f>
        <v>261486</v>
      </c>
      <c r="H37" s="252" t="s">
        <v>84</v>
      </c>
      <c r="I37" s="19">
        <f>+I34-I36</f>
        <v>-2008615</v>
      </c>
      <c r="J37" s="19">
        <f>+J34-J36</f>
        <v>-2810384</v>
      </c>
      <c r="K37" s="19">
        <f>+K34-K36</f>
        <v>-1749136</v>
      </c>
      <c r="L37" s="19">
        <f>+L34-L36</f>
        <v>-7086459</v>
      </c>
      <c r="N37" s="258" t="s">
        <v>10</v>
      </c>
      <c r="O37" s="253" t="str">
        <f t="shared" si="1"/>
        <v>U</v>
      </c>
      <c r="P37" s="254">
        <f t="shared" si="2"/>
        <v>0</v>
      </c>
      <c r="Q37" s="255">
        <f t="shared" si="3"/>
        <v>0</v>
      </c>
      <c r="R37" s="254">
        <f t="shared" si="4"/>
        <v>0</v>
      </c>
      <c r="S37" s="255">
        <f t="shared" si="5"/>
        <v>0</v>
      </c>
      <c r="T37" s="254">
        <f t="shared" si="6"/>
        <v>261486</v>
      </c>
      <c r="U37" s="256">
        <f t="shared" si="7"/>
        <v>0</v>
      </c>
      <c r="V37" s="328" t="s">
        <v>142</v>
      </c>
      <c r="W37" s="341">
        <f>+D92</f>
        <v>483733</v>
      </c>
      <c r="X37" s="341">
        <f>+E92</f>
        <v>614722</v>
      </c>
      <c r="Y37" s="341">
        <f>+F92</f>
        <v>1152878</v>
      </c>
      <c r="Z37" s="340">
        <f>+G92</f>
        <v>939605</v>
      </c>
    </row>
    <row r="38" spans="2:29" ht="13.5" thickBot="1">
      <c r="B38" s="17"/>
      <c r="C38" s="35" t="s">
        <v>12</v>
      </c>
      <c r="D38" s="62">
        <f>+D31+D32+D33+D35+D36+D37</f>
        <v>1707594</v>
      </c>
      <c r="E38" s="62">
        <f>+E31+E32+E33+E35+E36+E37</f>
        <v>1816611</v>
      </c>
      <c r="F38" s="62">
        <f>+F31+F32+F33+F35+F36+F37</f>
        <v>5224797</v>
      </c>
      <c r="G38" s="62">
        <f>+G31+G32+G33+G35+G36+G37</f>
        <v>6436727</v>
      </c>
      <c r="H38" s="262" t="s">
        <v>115</v>
      </c>
      <c r="I38" s="320">
        <f>D51/(D27+D28)</f>
        <v>0.72053697977102849</v>
      </c>
      <c r="J38" s="320">
        <f>E51/(E27+E28)</f>
        <v>0.83566870218034861</v>
      </c>
      <c r="K38" s="320">
        <f>F51/(F27+F28)</f>
        <v>1.0286641496111042</v>
      </c>
      <c r="L38" s="320">
        <f>G51/(G27+G28)</f>
        <v>0.82969224057461999</v>
      </c>
      <c r="N38" s="259" t="s">
        <v>12</v>
      </c>
      <c r="O38" s="260"/>
      <c r="P38" s="263">
        <f t="shared" ref="P38:U38" si="8">SUM(P31:P37)</f>
        <v>189017</v>
      </c>
      <c r="Q38" s="263">
        <f t="shared" si="8"/>
        <v>0</v>
      </c>
      <c r="R38" s="263">
        <f t="shared" si="8"/>
        <v>3490492</v>
      </c>
      <c r="S38" s="263">
        <f t="shared" si="8"/>
        <v>0</v>
      </c>
      <c r="T38" s="263">
        <f t="shared" si="8"/>
        <v>1218338</v>
      </c>
      <c r="U38" s="263">
        <f t="shared" si="8"/>
        <v>0</v>
      </c>
      <c r="V38" s="328" t="s">
        <v>138</v>
      </c>
      <c r="W38" s="341">
        <f>+W36-W37</f>
        <v>980162</v>
      </c>
      <c r="X38" s="341">
        <f>+X36-X37</f>
        <v>1705486</v>
      </c>
      <c r="Y38" s="341">
        <f>+Y36-Y37</f>
        <v>2228113</v>
      </c>
      <c r="Z38" s="340">
        <f>+Z36-Z37</f>
        <v>2375001</v>
      </c>
    </row>
    <row r="39" spans="2:29" ht="13.5" thickTop="1">
      <c r="B39" s="22">
        <v>19</v>
      </c>
      <c r="C39" s="39" t="s">
        <v>11</v>
      </c>
      <c r="D39" s="65"/>
      <c r="E39" s="65"/>
      <c r="F39" s="65"/>
      <c r="G39" s="65"/>
      <c r="H39" s="252" t="s">
        <v>86</v>
      </c>
      <c r="I39" s="19"/>
      <c r="J39" s="342">
        <f>360/(E77/(AVERAGE(D28:E28)))</f>
        <v>34.633787534729827</v>
      </c>
      <c r="K39" s="342">
        <f>360/(F77/(AVERAGE(E28:F28)))</f>
        <v>45.017813295176431</v>
      </c>
      <c r="L39" s="342">
        <f>360/(G77/(AVERAGE(F28:G28)))</f>
        <v>70.714789371890504</v>
      </c>
      <c r="N39" s="265"/>
      <c r="O39" s="266"/>
      <c r="P39" s="103"/>
      <c r="Q39" s="115"/>
      <c r="R39" s="254"/>
      <c r="S39" s="104"/>
      <c r="T39" s="103"/>
      <c r="U39" s="152"/>
      <c r="V39" s="328" t="s">
        <v>143</v>
      </c>
      <c r="W39" s="344">
        <f>+D89</f>
        <v>0</v>
      </c>
      <c r="X39" s="344">
        <f>+E89</f>
        <v>76939.881640000051</v>
      </c>
      <c r="Y39" s="344">
        <f>+F89</f>
        <v>153575.48922000008</v>
      </c>
      <c r="Z39" s="343">
        <f>+G89</f>
        <v>231376.81378000014</v>
      </c>
    </row>
    <row r="40" spans="2:29">
      <c r="B40" s="13"/>
      <c r="C40" s="34"/>
      <c r="D40" s="14"/>
      <c r="E40" s="14"/>
      <c r="F40" s="72"/>
      <c r="G40" s="14"/>
      <c r="H40" s="252" t="s">
        <v>85</v>
      </c>
      <c r="I40" s="19"/>
      <c r="J40" s="342">
        <f>360/(E98/(AVERAGE(D43:E43)))</f>
        <v>21.290811349573271</v>
      </c>
      <c r="K40" s="342">
        <f>360/(F98/(AVERAGE(E43:F43)))</f>
        <v>22.074635221444016</v>
      </c>
      <c r="L40" s="342">
        <f>360/(G98/(AVERAGE(F43:G43)))</f>
        <v>25.273634686270348</v>
      </c>
      <c r="N40" s="267"/>
      <c r="O40" s="266"/>
      <c r="P40" s="115"/>
      <c r="Q40" s="117"/>
      <c r="R40" s="254"/>
      <c r="S40" s="104"/>
      <c r="T40" s="103"/>
      <c r="U40" s="152"/>
      <c r="V40" s="328" t="s">
        <v>144</v>
      </c>
      <c r="W40" s="344"/>
      <c r="X40" s="344">
        <f>+X36-X39</f>
        <v>2243268.1183599997</v>
      </c>
      <c r="Y40" s="344">
        <f>+Y36-Y39</f>
        <v>3227415.5107800001</v>
      </c>
      <c r="Z40" s="343">
        <f>+Z36-Z39</f>
        <v>3083229.18622</v>
      </c>
    </row>
    <row r="41" spans="2:29" ht="13.5" thickBot="1">
      <c r="B41" s="15">
        <v>20</v>
      </c>
      <c r="C41" s="35" t="s">
        <v>68</v>
      </c>
      <c r="D41" s="62">
        <f>+D51+D61</f>
        <v>7104476</v>
      </c>
      <c r="E41" s="62">
        <f>+E51+E61</f>
        <v>7860009</v>
      </c>
      <c r="F41" s="62">
        <f>+F51+F61</f>
        <v>13561412</v>
      </c>
      <c r="G41" s="62">
        <f>+G51+G61</f>
        <v>17728227</v>
      </c>
      <c r="H41" s="252" t="s">
        <v>87</v>
      </c>
      <c r="I41" s="19"/>
      <c r="J41" s="342">
        <f>360/(E75/(AVERAGE(D27:E27)))</f>
        <v>43.801517627240614</v>
      </c>
      <c r="K41" s="342">
        <f>360/(F75/(AVERAGE(E27:F27)))</f>
        <v>27.257735284922113</v>
      </c>
      <c r="L41" s="342">
        <f>360/(G75/(AVERAGE(F27:G27)))</f>
        <v>31.233074695880099</v>
      </c>
      <c r="N41" s="259" t="s">
        <v>68</v>
      </c>
      <c r="O41" s="260"/>
      <c r="P41" s="260"/>
      <c r="Q41" s="260"/>
      <c r="R41" s="260"/>
      <c r="S41" s="260"/>
      <c r="T41" s="260"/>
      <c r="U41" s="260"/>
      <c r="V41" s="328" t="s">
        <v>146</v>
      </c>
      <c r="W41" s="341"/>
      <c r="X41" s="341">
        <f>+X38-X39</f>
        <v>1628546.11836</v>
      </c>
      <c r="Y41" s="341">
        <f>+Y38-Y39</f>
        <v>2074537.5107799999</v>
      </c>
      <c r="Z41" s="340">
        <f>+Z38-Z39</f>
        <v>2143624.18622</v>
      </c>
      <c r="AA41" s="83"/>
      <c r="AB41" s="83"/>
      <c r="AC41" s="83"/>
    </row>
    <row r="42" spans="2:29" ht="13.5" thickTop="1">
      <c r="B42" s="17">
        <v>21</v>
      </c>
      <c r="C42" s="18" t="s">
        <v>63</v>
      </c>
      <c r="D42" s="61">
        <f>'Datos SIREM TREFIMALLAS'!D42+Dishierros!D42+'Distriacero Figurado'!D42+Figuhierros!D42+Metalcenter!D42</f>
        <v>1160011</v>
      </c>
      <c r="E42" s="61">
        <f>'Datos SIREM TREFIMALLAS'!E42+Dishierros!E42+'Distriacero Figurado'!E42+Figuhierros!E42+Metalcenter!E42</f>
        <v>2603242</v>
      </c>
      <c r="F42" s="61">
        <f>'Datos SIREM TREFIMALLAS'!F42+Dishierros!F42+'Distriacero Figurado'!F42+Figuhierros!F42+Metalcenter!F42</f>
        <v>2919702</v>
      </c>
      <c r="G42" s="61">
        <f>'Datos SIREM TREFIMALLAS'!G42+Dishierros!G42+'Distriacero Figurado'!G42+Figuhierros!G42+Metalcenter!G42</f>
        <v>5337318</v>
      </c>
      <c r="H42" s="252" t="s">
        <v>89</v>
      </c>
      <c r="I42" s="68"/>
      <c r="J42" s="339">
        <f>360/(E$75/(AVERAGE(D$27:E$27)+AVERAGE(D$28:E$28)))</f>
        <v>75.112760926887418</v>
      </c>
      <c r="K42" s="339">
        <f>360/(F75/(AVERAGE(E27:F27)+AVERAGE(E28:F28)))</f>
        <v>67.234995606972134</v>
      </c>
      <c r="L42" s="339">
        <f>360/(G75/(AVERAGE(F27:G27)+AVERAGE(F28:G28)))</f>
        <v>94.233325466633829</v>
      </c>
      <c r="N42" s="246" t="s">
        <v>63</v>
      </c>
      <c r="O42" s="253" t="str">
        <f t="shared" ref="O42:O50" si="9">IF(E42-D42&gt;0,"F","U")</f>
        <v>F</v>
      </c>
      <c r="P42" s="254">
        <f t="shared" ref="P42:P50" si="10">IF(E42-D42&gt;0,0,ABS(E42-D42))</f>
        <v>0</v>
      </c>
      <c r="Q42" s="255">
        <f t="shared" ref="Q42:Q50" si="11">IF(E42-D42&lt;0,0,ABS(E42-D42))</f>
        <v>1443231</v>
      </c>
      <c r="R42" s="254">
        <f t="shared" ref="R42:R50" si="12">IF(F42-E42&gt;0,0,ABS(F42-E42))</f>
        <v>0</v>
      </c>
      <c r="S42" s="255">
        <f t="shared" ref="S42:S50" si="13">IF(F42-E42&lt;0,0,ABS(F42-E42))</f>
        <v>316460</v>
      </c>
      <c r="T42" s="254">
        <f t="shared" ref="T42:T50" si="14">IF(G42-F42&gt;0,0,ABS(G42-F42))</f>
        <v>0</v>
      </c>
      <c r="U42" s="256">
        <f t="shared" ref="U42:U50" si="15">IF(G42-F42&lt;0,0,ABS(G42-F42))</f>
        <v>2417616</v>
      </c>
      <c r="V42" s="338" t="s">
        <v>145</v>
      </c>
      <c r="W42" s="337"/>
      <c r="X42" s="337">
        <f>+X40-X37</f>
        <v>1628546.1183599997</v>
      </c>
      <c r="Y42" s="337">
        <f>+Y40-Y37</f>
        <v>2074537.5107800001</v>
      </c>
      <c r="Z42" s="336">
        <f>+Z40-Z37</f>
        <v>2143624.18622</v>
      </c>
    </row>
    <row r="43" spans="2:29">
      <c r="B43" s="17">
        <v>22</v>
      </c>
      <c r="C43" s="20" t="s">
        <v>54</v>
      </c>
      <c r="D43" s="61">
        <f>'Datos SIREM TREFIMALLAS'!D43+Dishierros!D43+'Distriacero Figurado'!D43+Figuhierros!D43+Metalcenter!D43</f>
        <v>2297619</v>
      </c>
      <c r="E43" s="61">
        <f>'Datos SIREM TREFIMALLAS'!E43+Dishierros!E43+'Distriacero Figurado'!E43+Figuhierros!E43+Metalcenter!E43</f>
        <v>2288367</v>
      </c>
      <c r="F43" s="61">
        <f>'Datos SIREM TREFIMALLAS'!F43+Dishierros!F43+'Distriacero Figurado'!F43+Figuhierros!F43+Metalcenter!F43</f>
        <v>5010216</v>
      </c>
      <c r="G43" s="61">
        <f>'Datos SIREM TREFIMALLAS'!G43+Dishierros!G43+'Distriacero Figurado'!G43+Figuhierros!G43+Metalcenter!G43</f>
        <v>2776918</v>
      </c>
      <c r="H43" s="252" t="s">
        <v>91</v>
      </c>
      <c r="I43" s="68">
        <f>(D30/D23)</f>
        <v>0.85479720644353696</v>
      </c>
      <c r="J43" s="68">
        <f>+E30/E23</f>
        <v>0.86807307019906643</v>
      </c>
      <c r="K43" s="68">
        <f>+F30/F23</f>
        <v>0.77733955647640418</v>
      </c>
      <c r="L43" s="68">
        <f>+G30/G23</f>
        <v>0.77610440481873533</v>
      </c>
      <c r="N43" s="251" t="s">
        <v>54</v>
      </c>
      <c r="O43" s="253" t="str">
        <f t="shared" si="9"/>
        <v>U</v>
      </c>
      <c r="P43" s="254">
        <f t="shared" si="10"/>
        <v>9252</v>
      </c>
      <c r="Q43" s="255">
        <f t="shared" si="11"/>
        <v>0</v>
      </c>
      <c r="R43" s="254">
        <f t="shared" si="12"/>
        <v>0</v>
      </c>
      <c r="S43" s="255">
        <f t="shared" si="13"/>
        <v>2721849</v>
      </c>
      <c r="T43" s="254">
        <f t="shared" si="14"/>
        <v>2233298</v>
      </c>
      <c r="U43" s="256">
        <f t="shared" si="15"/>
        <v>0</v>
      </c>
      <c r="V43" s="335"/>
    </row>
    <row r="44" spans="2:29">
      <c r="B44" s="17">
        <v>23</v>
      </c>
      <c r="C44" s="20" t="s">
        <v>20</v>
      </c>
      <c r="D44" s="61">
        <f>'Datos SIREM TREFIMALLAS'!D44+Dishierros!D44+'Distriacero Figurado'!D44+Figuhierros!D44+Metalcenter!D44</f>
        <v>158965</v>
      </c>
      <c r="E44" s="61">
        <f>'Datos SIREM TREFIMALLAS'!E44+Dishierros!E44+'Distriacero Figurado'!E44+Figuhierros!E44+Metalcenter!E44</f>
        <v>160923</v>
      </c>
      <c r="F44" s="61">
        <f>'Datos SIREM TREFIMALLAS'!F44+Dishierros!F44+'Distriacero Figurado'!F44+Figuhierros!F44+Metalcenter!F44</f>
        <v>1596584</v>
      </c>
      <c r="G44" s="61">
        <f>'Datos SIREM TREFIMALLAS'!G44+Dishierros!G44+'Distriacero Figurado'!G44+Figuhierros!G44+Metalcenter!G44</f>
        <v>1432911</v>
      </c>
      <c r="H44" s="268"/>
      <c r="I44" s="68"/>
      <c r="J44" s="19"/>
      <c r="K44" s="19"/>
      <c r="L44" s="19"/>
      <c r="N44" s="251" t="s">
        <v>20</v>
      </c>
      <c r="O44" s="253" t="str">
        <f t="shared" si="9"/>
        <v>F</v>
      </c>
      <c r="P44" s="254">
        <f t="shared" si="10"/>
        <v>0</v>
      </c>
      <c r="Q44" s="255">
        <f t="shared" si="11"/>
        <v>1958</v>
      </c>
      <c r="R44" s="254">
        <f t="shared" si="12"/>
        <v>0</v>
      </c>
      <c r="S44" s="255">
        <f t="shared" si="13"/>
        <v>1435661</v>
      </c>
      <c r="T44" s="254">
        <f t="shared" si="14"/>
        <v>163673</v>
      </c>
      <c r="U44" s="256">
        <f t="shared" si="15"/>
        <v>0</v>
      </c>
      <c r="V44" s="334" t="s">
        <v>141</v>
      </c>
      <c r="W44" s="333"/>
      <c r="X44" s="333">
        <f>(E89/((E42+D42+E52+D52)/2))*(1-0.33)</f>
        <v>2.1631121582374437E-2</v>
      </c>
      <c r="Y44" s="333">
        <f>(F89/((F42+E42+F52+E52)/2))*(1-0.33)</f>
        <v>3.6977536089649779E-2</v>
      </c>
      <c r="Z44" s="332">
        <f>(G89/((G42+F42+G52+F52)/2))*(1-0.33)</f>
        <v>3.7357610469748476E-2</v>
      </c>
    </row>
    <row r="45" spans="2:29" ht="13.5" customHeight="1" thickBot="1">
      <c r="B45" s="17">
        <v>24</v>
      </c>
      <c r="C45" s="20" t="s">
        <v>55</v>
      </c>
      <c r="D45" s="61">
        <f>'Datos SIREM TREFIMALLAS'!D45+Dishierros!D45+'Distriacero Figurado'!D45+Figuhierros!D45+Metalcenter!D45</f>
        <v>220955</v>
      </c>
      <c r="E45" s="61">
        <f>'Datos SIREM TREFIMALLAS'!E45+Dishierros!E45+'Distriacero Figurado'!E45+Figuhierros!E45+Metalcenter!E45</f>
        <v>753756</v>
      </c>
      <c r="F45" s="61">
        <f>'Datos SIREM TREFIMALLAS'!F45+Dishierros!F45+'Distriacero Figurado'!F45+Figuhierros!F45+Metalcenter!F45</f>
        <v>1153883</v>
      </c>
      <c r="G45" s="61">
        <f>'Datos SIREM TREFIMALLAS'!G45+Dishierros!G45+'Distriacero Figurado'!G45+Figuhierros!G45+Metalcenter!G45</f>
        <v>724544</v>
      </c>
      <c r="H45" s="83"/>
      <c r="I45" s="83"/>
      <c r="J45" s="380" t="s">
        <v>93</v>
      </c>
      <c r="K45" s="381"/>
      <c r="L45" s="382"/>
      <c r="N45" s="251" t="s">
        <v>55</v>
      </c>
      <c r="O45" s="253" t="str">
        <f t="shared" si="9"/>
        <v>F</v>
      </c>
      <c r="P45" s="254">
        <f t="shared" si="10"/>
        <v>0</v>
      </c>
      <c r="Q45" s="255">
        <f t="shared" si="11"/>
        <v>532801</v>
      </c>
      <c r="R45" s="254">
        <f t="shared" si="12"/>
        <v>0</v>
      </c>
      <c r="S45" s="255">
        <f t="shared" si="13"/>
        <v>400127</v>
      </c>
      <c r="T45" s="254">
        <f t="shared" si="14"/>
        <v>429339</v>
      </c>
      <c r="U45" s="256">
        <f t="shared" si="15"/>
        <v>0</v>
      </c>
      <c r="V45" s="328" t="s">
        <v>140</v>
      </c>
      <c r="W45" s="331"/>
      <c r="X45" s="331">
        <f>+E99</f>
        <v>0</v>
      </c>
      <c r="Y45" s="331">
        <f>+F99</f>
        <v>0</v>
      </c>
      <c r="Z45" s="330">
        <f>+G99</f>
        <v>0</v>
      </c>
    </row>
    <row r="46" spans="2:29" ht="13.5" thickTop="1">
      <c r="B46" s="17">
        <v>25</v>
      </c>
      <c r="C46" s="20" t="s">
        <v>21</v>
      </c>
      <c r="D46" s="61">
        <f>'Datos SIREM TREFIMALLAS'!D46+Dishierros!D46+'Distriacero Figurado'!D46+Figuhierros!D46+Metalcenter!D46</f>
        <v>51760</v>
      </c>
      <c r="E46" s="61">
        <f>'Datos SIREM TREFIMALLAS'!E46+Dishierros!E46+'Distriacero Figurado'!E46+Figuhierros!E46+Metalcenter!E46</f>
        <v>52771</v>
      </c>
      <c r="F46" s="61">
        <f>'Datos SIREM TREFIMALLAS'!F46+Dishierros!F46+'Distriacero Figurado'!F46+Figuhierros!F46+Metalcenter!F46</f>
        <v>64942</v>
      </c>
      <c r="G46" s="61">
        <f>'Datos SIREM TREFIMALLAS'!G46+Dishierros!G46+'Distriacero Figurado'!G46+Figuhierros!G46+Metalcenter!G46</f>
        <v>65221</v>
      </c>
      <c r="H46" s="252" t="s">
        <v>15</v>
      </c>
      <c r="I46" s="68">
        <f>+D41/D23</f>
        <v>0.60411887249243479</v>
      </c>
      <c r="J46" s="68">
        <f>+E41/E23</f>
        <v>0.57081392525846553</v>
      </c>
      <c r="K46" s="68">
        <f>+F41/F23</f>
        <v>0.57793441749530472</v>
      </c>
      <c r="L46" s="68">
        <f>+G41/G23</f>
        <v>0.61665997884849966</v>
      </c>
      <c r="N46" s="251" t="s">
        <v>21</v>
      </c>
      <c r="O46" s="253" t="str">
        <f t="shared" si="9"/>
        <v>F</v>
      </c>
      <c r="P46" s="254">
        <f t="shared" si="10"/>
        <v>0</v>
      </c>
      <c r="Q46" s="255">
        <f t="shared" si="11"/>
        <v>1011</v>
      </c>
      <c r="R46" s="254">
        <f t="shared" si="12"/>
        <v>0</v>
      </c>
      <c r="S46" s="255">
        <f t="shared" si="13"/>
        <v>12171</v>
      </c>
      <c r="T46" s="254">
        <f t="shared" si="14"/>
        <v>0</v>
      </c>
      <c r="U46" s="256">
        <f t="shared" si="15"/>
        <v>279</v>
      </c>
      <c r="V46" s="328" t="s">
        <v>139</v>
      </c>
      <c r="W46" s="331"/>
      <c r="X46" s="331">
        <f>(J46*X44)+(1-J46)*X45</f>
        <v>1.2347345418178262E-2</v>
      </c>
      <c r="Y46" s="331">
        <f>(K46*Y44)+(1-K46)*Y45</f>
        <v>2.1370590780383353E-2</v>
      </c>
      <c r="Z46" s="330">
        <f>(L46*Z44)+(1-L46)*Z45</f>
        <v>2.3036943282105583E-2</v>
      </c>
    </row>
    <row r="47" spans="2:29">
      <c r="B47" s="17">
        <v>26</v>
      </c>
      <c r="C47" s="20" t="s">
        <v>22</v>
      </c>
      <c r="D47" s="61">
        <f>'Datos SIREM TREFIMALLAS'!D47+Dishierros!D47+'Distriacero Figurado'!D47+Figuhierros!D47+Metalcenter!D47</f>
        <v>0</v>
      </c>
      <c r="E47" s="61">
        <f>'Datos SIREM TREFIMALLAS'!E47+Dishierros!E47+'Distriacero Figurado'!E47+Figuhierros!E47+Metalcenter!E47</f>
        <v>0</v>
      </c>
      <c r="F47" s="61">
        <f>'Datos SIREM TREFIMALLAS'!F47+Dishierros!F47+'Distriacero Figurado'!F47+Figuhierros!F47+Metalcenter!F47</f>
        <v>35198</v>
      </c>
      <c r="G47" s="61">
        <f>'Datos SIREM TREFIMALLAS'!G47+Dishierros!G47+'Distriacero Figurado'!G47+Figuhierros!G47+Metalcenter!G47</f>
        <v>1905</v>
      </c>
      <c r="H47" s="252" t="s">
        <v>92</v>
      </c>
      <c r="I47" s="68">
        <f>1-I46</f>
        <v>0.39588112750756521</v>
      </c>
      <c r="J47" s="68">
        <f>1-J46</f>
        <v>0.42918607474153447</v>
      </c>
      <c r="K47" s="329">
        <f>1-K46</f>
        <v>0.42206558250469528</v>
      </c>
      <c r="L47" s="68">
        <f>1-L46</f>
        <v>0.38334002115150034</v>
      </c>
      <c r="N47" s="251" t="s">
        <v>22</v>
      </c>
      <c r="O47" s="253" t="str">
        <f t="shared" si="9"/>
        <v>U</v>
      </c>
      <c r="P47" s="254">
        <f t="shared" si="10"/>
        <v>0</v>
      </c>
      <c r="Q47" s="255">
        <f t="shared" si="11"/>
        <v>0</v>
      </c>
      <c r="R47" s="254">
        <f t="shared" si="12"/>
        <v>0</v>
      </c>
      <c r="S47" s="255">
        <f t="shared" si="13"/>
        <v>35198</v>
      </c>
      <c r="T47" s="254">
        <f t="shared" si="14"/>
        <v>33293</v>
      </c>
      <c r="U47" s="256">
        <f t="shared" si="15"/>
        <v>0</v>
      </c>
      <c r="V47" s="328" t="s">
        <v>147</v>
      </c>
      <c r="W47" s="327"/>
      <c r="X47" s="327">
        <f>+X38/X23</f>
        <v>0.19701794062058101</v>
      </c>
      <c r="Y47" s="327">
        <f>+Y38/Y23</f>
        <v>0.17019268990722983</v>
      </c>
      <c r="Z47" s="326">
        <f>+Z38/Z23</f>
        <v>0.12641619344447946</v>
      </c>
    </row>
    <row r="48" spans="2:29">
      <c r="B48" s="17">
        <v>27</v>
      </c>
      <c r="C48" s="20" t="s">
        <v>64</v>
      </c>
      <c r="D48" s="61">
        <f>'Datos SIREM TREFIMALLAS'!D48+Dishierros!D48+'Distriacero Figurado'!D48+Figuhierros!D48+Metalcenter!D48</f>
        <v>0</v>
      </c>
      <c r="E48" s="61">
        <f>'Datos SIREM TREFIMALLAS'!E48+Dishierros!E48+'Distriacero Figurado'!E48+Figuhierros!E48+Metalcenter!E48</f>
        <v>0</v>
      </c>
      <c r="F48" s="61">
        <f>'Datos SIREM TREFIMALLAS'!F48+Dishierros!F48+'Distriacero Figurado'!F48+Figuhierros!F48+Metalcenter!F48</f>
        <v>0</v>
      </c>
      <c r="G48" s="61">
        <f>'Datos SIREM TREFIMALLAS'!G48+Dishierros!G48+'Distriacero Figurado'!G48+Figuhierros!G48+Metalcenter!G48</f>
        <v>0</v>
      </c>
      <c r="H48" s="252" t="s">
        <v>16</v>
      </c>
      <c r="I48" s="90">
        <f>+D41/D63</f>
        <v>1.5260107909056366</v>
      </c>
      <c r="J48" s="90">
        <f>+E41/E63</f>
        <v>1.3299917188651156</v>
      </c>
      <c r="K48" s="90">
        <f>+F41/F63</f>
        <v>1.3693000364199925</v>
      </c>
      <c r="L48" s="90">
        <f>+G41/G63</f>
        <v>1.6086501404057381</v>
      </c>
      <c r="N48" s="251" t="s">
        <v>64</v>
      </c>
      <c r="O48" s="253" t="str">
        <f t="shared" si="9"/>
        <v>U</v>
      </c>
      <c r="P48" s="254">
        <f t="shared" si="10"/>
        <v>0</v>
      </c>
      <c r="Q48" s="255">
        <f t="shared" si="11"/>
        <v>0</v>
      </c>
      <c r="R48" s="254">
        <f t="shared" si="12"/>
        <v>0</v>
      </c>
      <c r="S48" s="255">
        <f t="shared" si="13"/>
        <v>0</v>
      </c>
      <c r="T48" s="254">
        <f t="shared" si="14"/>
        <v>0</v>
      </c>
      <c r="U48" s="256">
        <f t="shared" si="15"/>
        <v>0</v>
      </c>
      <c r="V48" s="328" t="s">
        <v>148</v>
      </c>
      <c r="W48" s="327"/>
      <c r="X48" s="327">
        <f>+E87/E23</f>
        <v>0.16849942994926514</v>
      </c>
      <c r="Y48" s="327">
        <f>+F87/F23</f>
        <v>0.14408463249563302</v>
      </c>
      <c r="Z48" s="326">
        <f>+G87/G23</f>
        <v>0.11529550393567896</v>
      </c>
    </row>
    <row r="49" spans="2:26" ht="15" customHeight="1">
      <c r="B49" s="17">
        <v>28</v>
      </c>
      <c r="C49" s="20" t="s">
        <v>24</v>
      </c>
      <c r="D49" s="61">
        <f>'Datos SIREM TREFIMALLAS'!D49+Dishierros!D49+'Distriacero Figurado'!D49+Figuhierros!D49+Metalcenter!D49</f>
        <v>2212164</v>
      </c>
      <c r="E49" s="61">
        <f>'Datos SIREM TREFIMALLAS'!E49+Dishierros!E49+'Distriacero Figurado'!E49+Figuhierros!E49+Metalcenter!E49</f>
        <v>2000950</v>
      </c>
      <c r="F49" s="61">
        <f>'Datos SIREM TREFIMALLAS'!F49+Dishierros!F49+'Distriacero Figurado'!F49+Figuhierros!F49+Metalcenter!F49</f>
        <v>2738529</v>
      </c>
      <c r="G49" s="61">
        <f>'Datos SIREM TREFIMALLAS'!G49+Dishierros!G49+'Distriacero Figurado'!G49+Figuhierros!G49+Metalcenter!G49</f>
        <v>4930800</v>
      </c>
      <c r="H49" s="252" t="s">
        <v>116</v>
      </c>
      <c r="I49" s="68">
        <f>+D52/(D63+D52)</f>
        <v>0.17725302191058584</v>
      </c>
      <c r="J49" s="320">
        <f>+E52/(E63+E52)</f>
        <v>0</v>
      </c>
      <c r="K49" s="320">
        <f>+F52/(F63+F52)</f>
        <v>4.2586866076984317E-3</v>
      </c>
      <c r="L49" s="320">
        <f>+G52/(G63+G52)</f>
        <v>0</v>
      </c>
      <c r="N49" s="251" t="s">
        <v>24</v>
      </c>
      <c r="O49" s="253" t="str">
        <f t="shared" si="9"/>
        <v>U</v>
      </c>
      <c r="P49" s="254">
        <f t="shared" si="10"/>
        <v>211214</v>
      </c>
      <c r="Q49" s="255">
        <f t="shared" si="11"/>
        <v>0</v>
      </c>
      <c r="R49" s="254">
        <f t="shared" si="12"/>
        <v>0</v>
      </c>
      <c r="S49" s="255">
        <f t="shared" si="13"/>
        <v>737579</v>
      </c>
      <c r="T49" s="254">
        <f t="shared" si="14"/>
        <v>0</v>
      </c>
      <c r="U49" s="256">
        <f t="shared" si="15"/>
        <v>2192271</v>
      </c>
      <c r="V49" s="390" t="s">
        <v>149</v>
      </c>
      <c r="W49" s="378"/>
      <c r="X49" s="325">
        <f>+X47-X46</f>
        <v>0.18467059520240275</v>
      </c>
      <c r="Y49" s="325">
        <f>+Y47-Y46</f>
        <v>0.14882209912684646</v>
      </c>
      <c r="Z49" s="324">
        <f>+Z47-Z46</f>
        <v>0.10337925016237388</v>
      </c>
    </row>
    <row r="50" spans="2:26" ht="15.75" customHeight="1">
      <c r="B50" s="17">
        <v>29</v>
      </c>
      <c r="C50" s="21" t="s">
        <v>65</v>
      </c>
      <c r="D50" s="61">
        <f>'Datos SIREM TREFIMALLAS'!D50+Dishierros!D50+'Distriacero Figurado'!D50+Figuhierros!D50+Metalcenter!D50</f>
        <v>0</v>
      </c>
      <c r="E50" s="61">
        <f>'Datos SIREM TREFIMALLAS'!E50+Dishierros!E50+'Distriacero Figurado'!E50+Figuhierros!E50+Metalcenter!E50</f>
        <v>0</v>
      </c>
      <c r="F50" s="61">
        <f>'Datos SIREM TREFIMALLAS'!F50+Dishierros!F50+'Distriacero Figurado'!F50+Figuhierros!F50+Metalcenter!F50</f>
        <v>0</v>
      </c>
      <c r="G50" s="61">
        <f>'Datos SIREM TREFIMALLAS'!G50+Dishierros!G50+'Distriacero Figurado'!G50+Figuhierros!G50+Metalcenter!G50</f>
        <v>0</v>
      </c>
      <c r="H50" s="252" t="s">
        <v>99</v>
      </c>
      <c r="I50" s="90">
        <f>+D63/D33</f>
        <v>2.7264015919475004</v>
      </c>
      <c r="J50" s="90">
        <f>+E63/E33</f>
        <v>3.2532105112211696</v>
      </c>
      <c r="K50" s="90">
        <f>+F63/F33</f>
        <v>1.895557090543422</v>
      </c>
      <c r="L50" s="90">
        <f>+G63/G33</f>
        <v>1.7846365834143154</v>
      </c>
      <c r="N50" s="258" t="s">
        <v>65</v>
      </c>
      <c r="O50" s="253" t="str">
        <f t="shared" si="9"/>
        <v>U</v>
      </c>
      <c r="P50" s="254">
        <f t="shared" si="10"/>
        <v>0</v>
      </c>
      <c r="Q50" s="255">
        <f t="shared" si="11"/>
        <v>0</v>
      </c>
      <c r="R50" s="254">
        <f t="shared" si="12"/>
        <v>0</v>
      </c>
      <c r="S50" s="255">
        <f t="shared" si="13"/>
        <v>0</v>
      </c>
      <c r="T50" s="254">
        <f t="shared" si="14"/>
        <v>0</v>
      </c>
      <c r="U50" s="256">
        <f t="shared" si="15"/>
        <v>0</v>
      </c>
      <c r="V50" s="391"/>
      <c r="W50" s="379"/>
      <c r="X50" s="323"/>
      <c r="Y50" s="323">
        <f>+Y49-X49</f>
        <v>-3.5848496075556291E-2</v>
      </c>
      <c r="Z50" s="322">
        <f>+Z49-Y49</f>
        <v>-4.5442848964472579E-2</v>
      </c>
    </row>
    <row r="51" spans="2:26" ht="13.5" thickBot="1">
      <c r="B51" s="17">
        <v>0</v>
      </c>
      <c r="C51" s="35" t="s">
        <v>19</v>
      </c>
      <c r="D51" s="62">
        <f>SUM(D42:D50)</f>
        <v>6101474</v>
      </c>
      <c r="E51" s="62">
        <f>SUM(E42:E50)</f>
        <v>7860009</v>
      </c>
      <c r="F51" s="62">
        <f>SUM(F42:F50)</f>
        <v>13519054</v>
      </c>
      <c r="G51" s="62">
        <f>SUM(G42:G50)</f>
        <v>15269617</v>
      </c>
      <c r="H51" s="252" t="s">
        <v>117</v>
      </c>
      <c r="I51" s="68">
        <f>+D63/(D27+D28+D33)</f>
        <v>0.45752690665898288</v>
      </c>
      <c r="J51" s="68">
        <f>+E63/(E27+E28+E33)</f>
        <v>0.52661553200098765</v>
      </c>
      <c r="K51" s="68">
        <f>+F63/(F27+F28+F33)</f>
        <v>0.53921855104581629</v>
      </c>
      <c r="L51" s="68">
        <f>+G63/(G27+G28+G33)</f>
        <v>0.44836950308460072</v>
      </c>
      <c r="N51" s="259" t="s">
        <v>19</v>
      </c>
      <c r="O51" s="260"/>
      <c r="P51" s="261">
        <f t="shared" ref="P51:U51" si="16">SUM(P42:P50)</f>
        <v>220466</v>
      </c>
      <c r="Q51" s="261">
        <f t="shared" si="16"/>
        <v>1979001</v>
      </c>
      <c r="R51" s="261">
        <f t="shared" si="16"/>
        <v>0</v>
      </c>
      <c r="S51" s="261">
        <f t="shared" si="16"/>
        <v>5659045</v>
      </c>
      <c r="T51" s="261">
        <f t="shared" si="16"/>
        <v>2859603</v>
      </c>
      <c r="U51" s="261">
        <f t="shared" si="16"/>
        <v>4610166</v>
      </c>
      <c r="V51" s="321"/>
      <c r="W51" s="269"/>
    </row>
    <row r="52" spans="2:26" ht="13.5" thickTop="1">
      <c r="B52" s="17">
        <v>21</v>
      </c>
      <c r="C52" s="18" t="s">
        <v>53</v>
      </c>
      <c r="D52" s="61">
        <f>'Datos SIREM TREFIMALLAS'!D52+Dishierros!D52+'Distriacero Figurado'!D52+Figuhierros!D52+Metalcenter!D52</f>
        <v>1003002</v>
      </c>
      <c r="E52" s="61">
        <f>'Datos SIREM TREFIMALLAS'!E52+Dishierros!E52+'Distriacero Figurado'!E52+Figuhierros!E52+Metalcenter!E52</f>
        <v>0</v>
      </c>
      <c r="F52" s="61">
        <f>'Datos SIREM TREFIMALLAS'!F52+Dishierros!F52+'Distriacero Figurado'!F52+Figuhierros!F52+Metalcenter!F52</f>
        <v>42358</v>
      </c>
      <c r="G52" s="61">
        <f>'Datos SIREM TREFIMALLAS'!G52+Dishierros!G52+'Distriacero Figurado'!G52+Figuhierros!G52+Metalcenter!G52</f>
        <v>0</v>
      </c>
      <c r="H52" s="252" t="s">
        <v>118</v>
      </c>
      <c r="I52" s="68">
        <f>+D51/D41</f>
        <v>0.85882111502663949</v>
      </c>
      <c r="J52" s="68">
        <f>+E51/E41</f>
        <v>1</v>
      </c>
      <c r="K52" s="68">
        <f>+F51/F41</f>
        <v>0.9968765789285069</v>
      </c>
      <c r="L52" s="68">
        <f>+G51/G41</f>
        <v>0.86131664491886306</v>
      </c>
      <c r="N52" s="246" t="s">
        <v>53</v>
      </c>
      <c r="O52" s="253" t="str">
        <f t="shared" ref="O52:O60" si="17">IF(E52-D52&gt;0,"F","U")</f>
        <v>U</v>
      </c>
      <c r="P52" s="254">
        <f t="shared" ref="P52:P60" si="18">IF(E52-D52&gt;0,0,ABS(E52-D52))</f>
        <v>1003002</v>
      </c>
      <c r="Q52" s="255">
        <f t="shared" ref="Q52:Q60" si="19">IF(E52-D52&lt;0,0,ABS(E52-D52))</f>
        <v>0</v>
      </c>
      <c r="R52" s="254">
        <f t="shared" ref="R52:R60" si="20">IF(F52-E52&gt;0,0,ABS(F52-E52))</f>
        <v>0</v>
      </c>
      <c r="S52" s="255">
        <f t="shared" ref="S52:S60" si="21">IF(F52-E52&lt;0,0,ABS(F52-E52))</f>
        <v>42358</v>
      </c>
      <c r="T52" s="254">
        <f t="shared" ref="T52:T60" si="22">IF(G52-F52&gt;0,0,ABS(G52-F52))</f>
        <v>42358</v>
      </c>
      <c r="U52" s="256">
        <f t="shared" ref="U52:U60" si="23">IF(G52-F52&lt;0,0,ABS(G52-F52))</f>
        <v>0</v>
      </c>
      <c r="V52" s="14"/>
    </row>
    <row r="53" spans="2:26">
      <c r="B53" s="17">
        <v>22</v>
      </c>
      <c r="C53" s="20" t="s">
        <v>54</v>
      </c>
      <c r="D53" s="61">
        <f>'Datos SIREM TREFIMALLAS'!D53+Dishierros!D53+'Distriacero Figurado'!D53+Figuhierros!D53+Metalcenter!D53</f>
        <v>0</v>
      </c>
      <c r="E53" s="61">
        <f>'Datos SIREM TREFIMALLAS'!E53+Dishierros!E53+'Distriacero Figurado'!E53+Figuhierros!E53+Metalcenter!E53</f>
        <v>0</v>
      </c>
      <c r="F53" s="61">
        <f>'Datos SIREM TREFIMALLAS'!F53+Dishierros!F53+'Distriacero Figurado'!F53+Figuhierros!F53+Metalcenter!F53</f>
        <v>0</v>
      </c>
      <c r="G53" s="61">
        <f>'Datos SIREM TREFIMALLAS'!G53+Dishierros!G53+'Distriacero Figurado'!G53+Figuhierros!G53+Metalcenter!G53</f>
        <v>0</v>
      </c>
      <c r="H53" s="252" t="s">
        <v>119</v>
      </c>
      <c r="I53" s="68">
        <f>+(D42+D52)/D41</f>
        <v>0.30445778126353018</v>
      </c>
      <c r="J53" s="320">
        <f>+(E42+E52)/E41</f>
        <v>0.33120089302696726</v>
      </c>
      <c r="K53" s="320">
        <f>+(F42+F52)/F41</f>
        <v>0.21841825910163337</v>
      </c>
      <c r="L53" s="320">
        <f>+(G42+G52)/G41</f>
        <v>0.30106327045564119</v>
      </c>
      <c r="N53" s="251" t="s">
        <v>54</v>
      </c>
      <c r="O53" s="253" t="str">
        <f t="shared" si="17"/>
        <v>U</v>
      </c>
      <c r="P53" s="254">
        <f t="shared" si="18"/>
        <v>0</v>
      </c>
      <c r="Q53" s="255">
        <f t="shared" si="19"/>
        <v>0</v>
      </c>
      <c r="R53" s="254">
        <f t="shared" si="20"/>
        <v>0</v>
      </c>
      <c r="S53" s="255">
        <f t="shared" si="21"/>
        <v>0</v>
      </c>
      <c r="T53" s="254">
        <f t="shared" si="22"/>
        <v>0</v>
      </c>
      <c r="U53" s="256">
        <f t="shared" si="23"/>
        <v>0</v>
      </c>
      <c r="V53" s="14"/>
    </row>
    <row r="54" spans="2:26">
      <c r="B54" s="17">
        <v>23</v>
      </c>
      <c r="C54" s="20" t="s">
        <v>20</v>
      </c>
      <c r="D54" s="61">
        <f>'Datos SIREM TREFIMALLAS'!D54+Dishierros!D54+'Distriacero Figurado'!D54+Figuhierros!D54+Metalcenter!D54</f>
        <v>0</v>
      </c>
      <c r="E54" s="61">
        <f>'Datos SIREM TREFIMALLAS'!E54+Dishierros!E54+'Distriacero Figurado'!E54+Figuhierros!E54+Metalcenter!E54</f>
        <v>0</v>
      </c>
      <c r="F54" s="61">
        <f>'Datos SIREM TREFIMALLAS'!F54+Dishierros!F54+'Distriacero Figurado'!F54+Figuhierros!F54+Metalcenter!F54</f>
        <v>0</v>
      </c>
      <c r="G54" s="61">
        <f>'Datos SIREM TREFIMALLAS'!G54+Dishierros!G54+'Distriacero Figurado'!G54+Figuhierros!G54+Metalcenter!G54</f>
        <v>2173809</v>
      </c>
      <c r="H54" s="252" t="s">
        <v>94</v>
      </c>
      <c r="I54" s="90"/>
      <c r="J54" s="371">
        <f>+(E87+E81+E82+E85+E86)/E89</f>
        <v>30.503608141500624</v>
      </c>
      <c r="K54" s="90">
        <f>+(F87+F81+F82+F85+F86)/F89</f>
        <v>22.535848771037358</v>
      </c>
      <c r="L54" s="90">
        <f>+(G87+G81+G82+G85+G86)/G89</f>
        <v>14.667818026169718</v>
      </c>
      <c r="N54" s="251" t="s">
        <v>20</v>
      </c>
      <c r="O54" s="253" t="str">
        <f t="shared" si="17"/>
        <v>U</v>
      </c>
      <c r="P54" s="254">
        <f t="shared" si="18"/>
        <v>0</v>
      </c>
      <c r="Q54" s="255">
        <f t="shared" si="19"/>
        <v>0</v>
      </c>
      <c r="R54" s="254">
        <f t="shared" si="20"/>
        <v>0</v>
      </c>
      <c r="S54" s="255">
        <f t="shared" si="21"/>
        <v>0</v>
      </c>
      <c r="T54" s="254">
        <f t="shared" si="22"/>
        <v>0</v>
      </c>
      <c r="U54" s="256">
        <f t="shared" si="23"/>
        <v>2173809</v>
      </c>
      <c r="V54" s="318"/>
    </row>
    <row r="55" spans="2:26">
      <c r="B55" s="22">
        <v>24</v>
      </c>
      <c r="C55" s="20" t="s">
        <v>55</v>
      </c>
      <c r="D55" s="61">
        <f>'Datos SIREM TREFIMALLAS'!D55+Dishierros!D55+'Distriacero Figurado'!D55+Figuhierros!D55+Metalcenter!D55</f>
        <v>0</v>
      </c>
      <c r="E55" s="61">
        <f>'Datos SIREM TREFIMALLAS'!E55+Dishierros!E55+'Distriacero Figurado'!E55+Figuhierros!E55+Metalcenter!E55</f>
        <v>0</v>
      </c>
      <c r="F55" s="61">
        <f>'Datos SIREM TREFIMALLAS'!F55+Dishierros!F55+'Distriacero Figurado'!F55+Figuhierros!F55+Metalcenter!F55</f>
        <v>0</v>
      </c>
      <c r="G55" s="61">
        <f>'Datos SIREM TREFIMALLAS'!G55+Dishierros!G55+'Distriacero Figurado'!G55+Figuhierros!G55+Metalcenter!G55</f>
        <v>284801</v>
      </c>
      <c r="H55" s="252"/>
      <c r="I55" s="68"/>
      <c r="J55" s="68"/>
      <c r="K55" s="68"/>
      <c r="L55" s="68"/>
      <c r="N55" s="251" t="s">
        <v>55</v>
      </c>
      <c r="O55" s="253" t="str">
        <f t="shared" si="17"/>
        <v>U</v>
      </c>
      <c r="P55" s="254">
        <f t="shared" si="18"/>
        <v>0</v>
      </c>
      <c r="Q55" s="255">
        <f t="shared" si="19"/>
        <v>0</v>
      </c>
      <c r="R55" s="254">
        <f t="shared" si="20"/>
        <v>0</v>
      </c>
      <c r="S55" s="255">
        <f t="shared" si="21"/>
        <v>0</v>
      </c>
      <c r="T55" s="254">
        <f t="shared" si="22"/>
        <v>0</v>
      </c>
      <c r="U55" s="256">
        <f t="shared" si="23"/>
        <v>284801</v>
      </c>
      <c r="V55" s="318"/>
    </row>
    <row r="56" spans="2:26">
      <c r="B56" s="15">
        <v>25</v>
      </c>
      <c r="C56" s="20" t="s">
        <v>21</v>
      </c>
      <c r="D56" s="61">
        <f>'Datos SIREM TREFIMALLAS'!D56+Dishierros!D56+'Distriacero Figurado'!D56+Figuhierros!D56+Metalcenter!D56</f>
        <v>0</v>
      </c>
      <c r="E56" s="61">
        <f>'Datos SIREM TREFIMALLAS'!E56+Dishierros!E56+'Distriacero Figurado'!E56+Figuhierros!E56+Metalcenter!E56</f>
        <v>0</v>
      </c>
      <c r="F56" s="61">
        <f>'Datos SIREM TREFIMALLAS'!F56+Dishierros!F56+'Distriacero Figurado'!F56+Figuhierros!F56+Metalcenter!F56</f>
        <v>0</v>
      </c>
      <c r="G56" s="61">
        <f>'Datos SIREM TREFIMALLAS'!G56+Dishierros!G56+'Distriacero Figurado'!G56+Figuhierros!G56+Metalcenter!G56</f>
        <v>0</v>
      </c>
      <c r="I56" s="80"/>
      <c r="J56" s="80"/>
      <c r="K56" s="80"/>
      <c r="L56" s="80"/>
      <c r="M56" s="80"/>
      <c r="N56" s="251" t="s">
        <v>21</v>
      </c>
      <c r="O56" s="253" t="str">
        <f t="shared" si="17"/>
        <v>U</v>
      </c>
      <c r="P56" s="254">
        <f t="shared" si="18"/>
        <v>0</v>
      </c>
      <c r="Q56" s="255">
        <f t="shared" si="19"/>
        <v>0</v>
      </c>
      <c r="R56" s="254">
        <f t="shared" si="20"/>
        <v>0</v>
      </c>
      <c r="S56" s="255">
        <f t="shared" si="21"/>
        <v>0</v>
      </c>
      <c r="T56" s="254">
        <f t="shared" si="22"/>
        <v>0</v>
      </c>
      <c r="U56" s="256">
        <f t="shared" si="23"/>
        <v>0</v>
      </c>
      <c r="V56" s="318"/>
    </row>
    <row r="57" spans="2:26" ht="13.5" customHeight="1" thickBot="1">
      <c r="B57" s="17">
        <v>26</v>
      </c>
      <c r="C57" s="20" t="s">
        <v>22</v>
      </c>
      <c r="D57" s="61">
        <f>'Datos SIREM TREFIMALLAS'!D57+Dishierros!D57+'Distriacero Figurado'!D57+Figuhierros!D57+Metalcenter!D57</f>
        <v>0</v>
      </c>
      <c r="E57" s="61">
        <f>'Datos SIREM TREFIMALLAS'!E57+Dishierros!E57+'Distriacero Figurado'!E57+Figuhierros!E57+Metalcenter!E57</f>
        <v>0</v>
      </c>
      <c r="F57" s="61">
        <f>'Datos SIREM TREFIMALLAS'!F57+Dishierros!F57+'Distriacero Figurado'!F57+Figuhierros!F57+Metalcenter!F57</f>
        <v>0</v>
      </c>
      <c r="G57" s="61">
        <f>'Datos SIREM TREFIMALLAS'!G57+Dishierros!G57+'Distriacero Figurado'!G57+Figuhierros!G57+Metalcenter!G57</f>
        <v>0</v>
      </c>
      <c r="J57" s="380" t="s">
        <v>95</v>
      </c>
      <c r="K57" s="381"/>
      <c r="L57" s="382"/>
      <c r="N57" s="251" t="s">
        <v>22</v>
      </c>
      <c r="O57" s="253" t="str">
        <f t="shared" si="17"/>
        <v>U</v>
      </c>
      <c r="P57" s="254">
        <f t="shared" si="18"/>
        <v>0</v>
      </c>
      <c r="Q57" s="255">
        <f t="shared" si="19"/>
        <v>0</v>
      </c>
      <c r="R57" s="254">
        <f t="shared" si="20"/>
        <v>0</v>
      </c>
      <c r="S57" s="255">
        <f t="shared" si="21"/>
        <v>0</v>
      </c>
      <c r="T57" s="254">
        <f t="shared" si="22"/>
        <v>0</v>
      </c>
      <c r="U57" s="256">
        <f t="shared" si="23"/>
        <v>0</v>
      </c>
      <c r="V57" s="318"/>
    </row>
    <row r="58" spans="2:26" ht="13.5" thickTop="1">
      <c r="B58" s="17">
        <v>27</v>
      </c>
      <c r="C58" s="20" t="s">
        <v>23</v>
      </c>
      <c r="D58" s="61">
        <f>'Datos SIREM TREFIMALLAS'!D58+Dishierros!D58+'Distriacero Figurado'!D58+Figuhierros!D58+Metalcenter!D58</f>
        <v>0</v>
      </c>
      <c r="E58" s="61">
        <f>'Datos SIREM TREFIMALLAS'!E58+Dishierros!E58+'Distriacero Figurado'!E58+Figuhierros!E58+Metalcenter!E58</f>
        <v>0</v>
      </c>
      <c r="F58" s="61">
        <f>'Datos SIREM TREFIMALLAS'!F58+Dishierros!F58+'Distriacero Figurado'!F58+Figuhierros!F58+Metalcenter!F58</f>
        <v>0</v>
      </c>
      <c r="G58" s="61">
        <f>'Datos SIREM TREFIMALLAS'!G58+Dishierros!G58+'Distriacero Figurado'!G58+Figuhierros!G58+Metalcenter!G58</f>
        <v>0</v>
      </c>
      <c r="N58" s="251" t="s">
        <v>23</v>
      </c>
      <c r="O58" s="253" t="str">
        <f t="shared" si="17"/>
        <v>U</v>
      </c>
      <c r="P58" s="254">
        <f t="shared" si="18"/>
        <v>0</v>
      </c>
      <c r="Q58" s="255">
        <f t="shared" si="19"/>
        <v>0</v>
      </c>
      <c r="R58" s="254">
        <f t="shared" si="20"/>
        <v>0</v>
      </c>
      <c r="S58" s="255">
        <f t="shared" si="21"/>
        <v>0</v>
      </c>
      <c r="T58" s="254">
        <f t="shared" si="22"/>
        <v>0</v>
      </c>
      <c r="U58" s="256">
        <f t="shared" si="23"/>
        <v>0</v>
      </c>
      <c r="V58" s="318"/>
      <c r="W58" s="83"/>
      <c r="X58" s="83"/>
      <c r="Y58" s="83"/>
      <c r="Z58" s="83"/>
    </row>
    <row r="59" spans="2:26">
      <c r="B59" s="17">
        <v>28</v>
      </c>
      <c r="C59" s="20" t="s">
        <v>24</v>
      </c>
      <c r="D59" s="61">
        <f>'Datos SIREM TREFIMALLAS'!D59+Dishierros!D59+'Distriacero Figurado'!D59+Figuhierros!D59+Metalcenter!D59</f>
        <v>0</v>
      </c>
      <c r="E59" s="61">
        <f>'Datos SIREM TREFIMALLAS'!E59+Dishierros!E59+'Distriacero Figurado'!E59+Figuhierros!E59+Metalcenter!E59</f>
        <v>0</v>
      </c>
      <c r="F59" s="61">
        <f>'Datos SIREM TREFIMALLAS'!F59+Dishierros!F59+'Distriacero Figurado'!F59+Figuhierros!F59+Metalcenter!F59</f>
        <v>0</v>
      </c>
      <c r="G59" s="61">
        <f>'Datos SIREM TREFIMALLAS'!G59+Dishierros!G59+'Distriacero Figurado'!G59+Figuhierros!G59+Metalcenter!G59</f>
        <v>0</v>
      </c>
      <c r="H59" s="252" t="s">
        <v>96</v>
      </c>
      <c r="I59" s="68">
        <f>+(D87+D81+D82+D85+D86)/D75</f>
        <v>4.338096393489306E-2</v>
      </c>
      <c r="J59" s="320">
        <f>+(E87+E81+E82+E85+E86)/E75</f>
        <v>5.4793843807950632E-2</v>
      </c>
      <c r="K59" s="320">
        <f>+(F87+F81+F82+F85+F86)/F75</f>
        <v>5.7333813678134622E-2</v>
      </c>
      <c r="L59" s="320">
        <f>+(G87+G81+G82+G85+G86)/G75</f>
        <v>5.632082778146312E-2</v>
      </c>
      <c r="N59" s="251" t="s">
        <v>24</v>
      </c>
      <c r="O59" s="253" t="str">
        <f t="shared" si="17"/>
        <v>U</v>
      </c>
      <c r="P59" s="254">
        <f t="shared" si="18"/>
        <v>0</v>
      </c>
      <c r="Q59" s="255">
        <f t="shared" si="19"/>
        <v>0</v>
      </c>
      <c r="R59" s="254">
        <f t="shared" si="20"/>
        <v>0</v>
      </c>
      <c r="S59" s="255">
        <f t="shared" si="21"/>
        <v>0</v>
      </c>
      <c r="T59" s="254">
        <f t="shared" si="22"/>
        <v>0</v>
      </c>
      <c r="U59" s="256">
        <f t="shared" si="23"/>
        <v>0</v>
      </c>
      <c r="V59" s="318"/>
      <c r="W59" s="93"/>
      <c r="X59" s="93"/>
      <c r="Y59" s="93"/>
      <c r="Z59" s="93"/>
    </row>
    <row r="60" spans="2:26">
      <c r="B60" s="17">
        <v>29</v>
      </c>
      <c r="C60" s="21" t="s">
        <v>26</v>
      </c>
      <c r="D60" s="61">
        <f>'Datos SIREM TREFIMALLAS'!D60+Dishierros!D60+'Distriacero Figurado'!D60+Figuhierros!D60+Metalcenter!D60</f>
        <v>0</v>
      </c>
      <c r="E60" s="61">
        <f>'Datos SIREM TREFIMALLAS'!E60+Dishierros!E60+'Distriacero Figurado'!E60+Figuhierros!E60+Metalcenter!E60</f>
        <v>0</v>
      </c>
      <c r="F60" s="61">
        <f>'Datos SIREM TREFIMALLAS'!F60+Dishierros!F60+'Distriacero Figurado'!F60+Figuhierros!F60+Metalcenter!F60</f>
        <v>0</v>
      </c>
      <c r="G60" s="61">
        <f>'Datos SIREM TREFIMALLAS'!G60+Dishierros!G60+'Distriacero Figurado'!G60+Figuhierros!G60+Metalcenter!G60</f>
        <v>0</v>
      </c>
      <c r="H60" s="252" t="s">
        <v>97</v>
      </c>
      <c r="I60" s="68">
        <f>+D87/D75</f>
        <v>4.2537589915775921E-2</v>
      </c>
      <c r="J60" s="320">
        <f>+E87/E75</f>
        <v>5.4169641352310713E-2</v>
      </c>
      <c r="K60" s="320">
        <f>+F87/F75</f>
        <v>5.600915471325249E-2</v>
      </c>
      <c r="L60" s="320">
        <f>+G87/G75</f>
        <v>5.5006700081414617E-2</v>
      </c>
      <c r="N60" s="258" t="s">
        <v>26</v>
      </c>
      <c r="O60" s="253" t="str">
        <f t="shared" si="17"/>
        <v>U</v>
      </c>
      <c r="P60" s="254">
        <f t="shared" si="18"/>
        <v>0</v>
      </c>
      <c r="Q60" s="255">
        <f t="shared" si="19"/>
        <v>0</v>
      </c>
      <c r="R60" s="254">
        <f t="shared" si="20"/>
        <v>0</v>
      </c>
      <c r="S60" s="255">
        <f t="shared" si="21"/>
        <v>0</v>
      </c>
      <c r="T60" s="254">
        <f t="shared" si="22"/>
        <v>0</v>
      </c>
      <c r="U60" s="256">
        <f t="shared" si="23"/>
        <v>0</v>
      </c>
      <c r="V60" s="318"/>
    </row>
    <row r="61" spans="2:26" ht="13.5" thickBot="1">
      <c r="B61" s="22">
        <v>0</v>
      </c>
      <c r="C61" s="35" t="s">
        <v>27</v>
      </c>
      <c r="D61" s="62">
        <f>SUM(D52:D60)</f>
        <v>1003002</v>
      </c>
      <c r="E61" s="62">
        <f>SUM(E52:E60)</f>
        <v>0</v>
      </c>
      <c r="F61" s="62">
        <f>SUM(F52:F60)</f>
        <v>42358</v>
      </c>
      <c r="G61" s="62">
        <f>SUM(G52:G60)</f>
        <v>2458610</v>
      </c>
      <c r="H61" s="252" t="s">
        <v>98</v>
      </c>
      <c r="I61" s="68">
        <f>+D93/D75</f>
        <v>2.570265428610034E-2</v>
      </c>
      <c r="J61" s="320">
        <f>+E93/E75</f>
        <v>2.9854322175924562E-2</v>
      </c>
      <c r="K61" s="320">
        <f>+F93/F75</f>
        <v>3.5179425498274484E-2</v>
      </c>
      <c r="L61" s="320">
        <f>+G93/G75</f>
        <v>3.6135582690515117E-2</v>
      </c>
      <c r="N61" s="259" t="s">
        <v>27</v>
      </c>
      <c r="O61" s="260"/>
      <c r="P61" s="263">
        <f t="shared" ref="P61:U61" si="24">SUM(P52:P60)</f>
        <v>1003002</v>
      </c>
      <c r="Q61" s="263">
        <f t="shared" si="24"/>
        <v>0</v>
      </c>
      <c r="R61" s="263">
        <f t="shared" si="24"/>
        <v>0</v>
      </c>
      <c r="S61" s="263">
        <f t="shared" si="24"/>
        <v>42358</v>
      </c>
      <c r="T61" s="263">
        <f t="shared" si="24"/>
        <v>42358</v>
      </c>
      <c r="U61" s="263">
        <f t="shared" si="24"/>
        <v>2458610</v>
      </c>
      <c r="V61" s="14"/>
    </row>
    <row r="62" spans="2:26" ht="13.5" thickTop="1">
      <c r="B62" s="13"/>
      <c r="C62" s="14"/>
      <c r="D62" s="72">
        <f>+D23-D71</f>
        <v>0</v>
      </c>
      <c r="E62" s="72">
        <f>+E23-E71</f>
        <v>0</v>
      </c>
      <c r="F62" s="72">
        <f>+F23-F71</f>
        <v>0</v>
      </c>
      <c r="G62" s="72">
        <f>+G23-G71</f>
        <v>0</v>
      </c>
      <c r="H62" s="252" t="s">
        <v>13</v>
      </c>
      <c r="I62" s="68"/>
      <c r="J62" s="68">
        <f>+J31/AVERAGE(D23:E23)</f>
        <v>4.4814173467726087E-8</v>
      </c>
      <c r="K62" s="68">
        <f>+K31/AVERAGE(E23:F23)</f>
        <v>2.5495490216568506E-8</v>
      </c>
      <c r="L62" s="68">
        <f>+L31/AVERAGE(F23:G23)</f>
        <v>-7.4329894719628505E-10</v>
      </c>
      <c r="N62" s="14"/>
      <c r="O62" s="14"/>
      <c r="P62" s="14"/>
      <c r="Q62" s="14"/>
      <c r="R62" s="14"/>
      <c r="S62" s="14"/>
      <c r="T62" s="14"/>
      <c r="U62" s="14"/>
      <c r="V62" s="318"/>
    </row>
    <row r="63" spans="2:26" ht="13.5" thickBot="1">
      <c r="B63" s="15">
        <v>30</v>
      </c>
      <c r="C63" s="35" t="s">
        <v>28</v>
      </c>
      <c r="D63" s="62">
        <f>SUM(D64:D70)</f>
        <v>4655587</v>
      </c>
      <c r="E63" s="62">
        <f>SUM(E64:E70)</f>
        <v>5909818</v>
      </c>
      <c r="F63" s="62">
        <f>SUM(F64:F70)</f>
        <v>9903901</v>
      </c>
      <c r="G63" s="69">
        <f>SUM(G64:G70)</f>
        <v>11020561</v>
      </c>
      <c r="H63" s="252" t="s">
        <v>14</v>
      </c>
      <c r="I63" s="68">
        <f>+D93/D63</f>
        <v>0.18999430147046978</v>
      </c>
      <c r="J63" s="68">
        <f>+E93/E63</f>
        <v>0.21637349915005843</v>
      </c>
      <c r="K63" s="68">
        <f>+F93/F63</f>
        <v>0.21442106499247116</v>
      </c>
      <c r="L63" s="68">
        <f>+G93/G63</f>
        <v>0.19758213760624346</v>
      </c>
      <c r="N63" s="259" t="s">
        <v>28</v>
      </c>
      <c r="O63" s="260"/>
      <c r="P63" s="263">
        <f t="shared" ref="P63:U63" si="25">SUM(P64:P70)</f>
        <v>0</v>
      </c>
      <c r="Q63" s="263">
        <f t="shared" si="25"/>
        <v>1254231</v>
      </c>
      <c r="R63" s="263">
        <f t="shared" si="25"/>
        <v>0</v>
      </c>
      <c r="S63" s="263">
        <f t="shared" si="25"/>
        <v>3994083</v>
      </c>
      <c r="T63" s="263">
        <f t="shared" si="25"/>
        <v>0</v>
      </c>
      <c r="U63" s="263">
        <f t="shared" si="25"/>
        <v>1116660</v>
      </c>
      <c r="V63" s="318"/>
    </row>
    <row r="64" spans="2:26" ht="13.5" thickTop="1">
      <c r="B64" s="17">
        <v>31</v>
      </c>
      <c r="C64" s="36" t="s">
        <v>29</v>
      </c>
      <c r="D64" s="66">
        <f>'Datos SIREM TREFIMALLAS'!D64+Dishierros!D64+'Distriacero Figurado'!D64+Figuhierros!D64+Metalcenter!D64</f>
        <v>1700000</v>
      </c>
      <c r="E64" s="66">
        <f>'Datos SIREM TREFIMALLAS'!E64+Dishierros!E64+'Distriacero Figurado'!E64+Figuhierros!E64+Metalcenter!E64</f>
        <v>1700000</v>
      </c>
      <c r="F64" s="66">
        <f>'Datos SIREM TREFIMALLAS'!F64+Dishierros!F64+'Distriacero Figurado'!F64+Figuhierros!F64+Metalcenter!F64</f>
        <v>2200000</v>
      </c>
      <c r="G64" s="66">
        <f>'Datos SIREM TREFIMALLAS'!G64+Dishierros!G64+'Distriacero Figurado'!G64+Figuhierros!G64+Metalcenter!G64</f>
        <v>2400000</v>
      </c>
      <c r="H64" s="270"/>
      <c r="N64" s="36" t="s">
        <v>29</v>
      </c>
      <c r="O64" s="253" t="str">
        <f t="shared" ref="O64:O70" si="26">IF(E64-D64&gt;0,"F","U")</f>
        <v>U</v>
      </c>
      <c r="P64" s="254">
        <f t="shared" ref="P64:P70" si="27">IF(E64-D64&gt;0,0,ABS(E64-D64))</f>
        <v>0</v>
      </c>
      <c r="Q64" s="255">
        <f t="shared" ref="Q64:Q70" si="28">IF(E64-D64&lt;0,0,ABS(E64-D64))</f>
        <v>0</v>
      </c>
      <c r="R64" s="254">
        <f t="shared" ref="R64:R70" si="29">IF(F64-E64&gt;0,0,ABS(F64-E64))</f>
        <v>0</v>
      </c>
      <c r="S64" s="255">
        <f t="shared" ref="S64:S70" si="30">IF(F64-E64&lt;0,0,ABS(F64-E64))</f>
        <v>500000</v>
      </c>
      <c r="T64" s="254">
        <f t="shared" ref="T64:T70" si="31">IF(G64-F64&gt;0,0,ABS(G64-F64))</f>
        <v>0</v>
      </c>
      <c r="U64" s="256">
        <f t="shared" ref="U64:U70" si="32">IF(G64-F64&lt;0,0,ABS(G64-F64))</f>
        <v>200000</v>
      </c>
      <c r="V64" s="318"/>
    </row>
    <row r="65" spans="2:26">
      <c r="B65" s="17">
        <v>32</v>
      </c>
      <c r="C65" s="37" t="s">
        <v>30</v>
      </c>
      <c r="D65" s="66">
        <f>'Datos SIREM TREFIMALLAS'!D65+Dishierros!D65+'Distriacero Figurado'!D65+Figuhierros!D65+Metalcenter!D65</f>
        <v>0</v>
      </c>
      <c r="E65" s="66">
        <f>'Datos SIREM TREFIMALLAS'!E65+Dishierros!E65+'Distriacero Figurado'!E65+Figuhierros!E65+Metalcenter!E65</f>
        <v>0</v>
      </c>
      <c r="F65" s="66">
        <f>'Datos SIREM TREFIMALLAS'!F65+Dishierros!F65+'Distriacero Figurado'!F65+Figuhierros!F65+Metalcenter!F65</f>
        <v>0</v>
      </c>
      <c r="G65" s="66">
        <f>'Datos SIREM TREFIMALLAS'!G65+Dishierros!G65+'Distriacero Figurado'!G65+Figuhierros!G65+Metalcenter!G65</f>
        <v>0</v>
      </c>
      <c r="H65" s="252"/>
      <c r="I65" s="90"/>
      <c r="J65" s="90"/>
      <c r="K65" s="90"/>
      <c r="L65" s="90"/>
      <c r="N65" s="37" t="s">
        <v>30</v>
      </c>
      <c r="O65" s="253" t="str">
        <f t="shared" si="26"/>
        <v>U</v>
      </c>
      <c r="P65" s="254">
        <f t="shared" si="27"/>
        <v>0</v>
      </c>
      <c r="Q65" s="255">
        <f t="shared" si="28"/>
        <v>0</v>
      </c>
      <c r="R65" s="254">
        <f t="shared" si="29"/>
        <v>0</v>
      </c>
      <c r="S65" s="255">
        <f t="shared" si="30"/>
        <v>0</v>
      </c>
      <c r="T65" s="254">
        <f t="shared" si="31"/>
        <v>0</v>
      </c>
      <c r="U65" s="256">
        <f t="shared" si="32"/>
        <v>0</v>
      </c>
      <c r="V65" s="318"/>
    </row>
    <row r="66" spans="2:26">
      <c r="B66" s="17">
        <v>33</v>
      </c>
      <c r="C66" s="37" t="s">
        <v>66</v>
      </c>
      <c r="D66" s="66">
        <f>'Datos SIREM TREFIMALLAS'!D66+Dishierros!D66+'Distriacero Figurado'!D66+Figuhierros!D66+Metalcenter!D66</f>
        <v>908436</v>
      </c>
      <c r="E66" s="66">
        <f>'Datos SIREM TREFIMALLAS'!E66+Dishierros!E66+'Distriacero Figurado'!E66+Figuhierros!E66+Metalcenter!E66</f>
        <v>961706</v>
      </c>
      <c r="F66" s="66">
        <f>'Datos SIREM TREFIMALLAS'!F66+Dishierros!F66+'Distriacero Figurado'!F66+Figuhierros!F66+Metalcenter!F66</f>
        <v>1295149</v>
      </c>
      <c r="G66" s="66">
        <f>'Datos SIREM TREFIMALLAS'!G66+Dishierros!G66+'Distriacero Figurado'!G66+Figuhierros!G66+Metalcenter!G66</f>
        <v>1330640</v>
      </c>
      <c r="H66" s="252"/>
      <c r="I66" s="90"/>
      <c r="J66" s="90"/>
      <c r="K66" s="90"/>
      <c r="L66" s="90"/>
      <c r="N66" s="37" t="s">
        <v>66</v>
      </c>
      <c r="O66" s="253" t="str">
        <f t="shared" si="26"/>
        <v>F</v>
      </c>
      <c r="P66" s="254">
        <f t="shared" si="27"/>
        <v>0</v>
      </c>
      <c r="Q66" s="255">
        <f t="shared" si="28"/>
        <v>53270</v>
      </c>
      <c r="R66" s="254">
        <f t="shared" si="29"/>
        <v>0</v>
      </c>
      <c r="S66" s="255">
        <f t="shared" si="30"/>
        <v>333443</v>
      </c>
      <c r="T66" s="254">
        <f t="shared" si="31"/>
        <v>0</v>
      </c>
      <c r="U66" s="256">
        <f t="shared" si="32"/>
        <v>35491</v>
      </c>
      <c r="V66" s="317"/>
    </row>
    <row r="67" spans="2:26">
      <c r="B67" s="17">
        <v>34</v>
      </c>
      <c r="C67" s="37" t="s">
        <v>31</v>
      </c>
      <c r="D67" s="66">
        <f>'Datos SIREM TREFIMALLAS'!D67+Dishierros!D67+'Distriacero Figurado'!D67+Figuhierros!D67+Metalcenter!D67</f>
        <v>511558</v>
      </c>
      <c r="E67" s="66">
        <f>'Datos SIREM TREFIMALLAS'!E67+Dishierros!E67+'Distriacero Figurado'!E67+Figuhierros!E67+Metalcenter!E67</f>
        <v>511558</v>
      </c>
      <c r="F67" s="66">
        <f>'Datos SIREM TREFIMALLAS'!F67+Dishierros!F67+'Distriacero Figurado'!F67+Figuhierros!F67+Metalcenter!F67</f>
        <v>517689</v>
      </c>
      <c r="G67" s="66">
        <f>'Datos SIREM TREFIMALLAS'!G67+Dishierros!G67+'Distriacero Figurado'!G67+Figuhierros!G67+Metalcenter!G67</f>
        <v>819670</v>
      </c>
      <c r="H67" s="252"/>
      <c r="I67" s="84"/>
      <c r="J67" s="68"/>
      <c r="K67" s="68"/>
      <c r="L67" s="68"/>
      <c r="N67" s="37" t="s">
        <v>31</v>
      </c>
      <c r="O67" s="253" t="str">
        <f t="shared" si="26"/>
        <v>U</v>
      </c>
      <c r="P67" s="254">
        <f t="shared" si="27"/>
        <v>0</v>
      </c>
      <c r="Q67" s="255">
        <f t="shared" si="28"/>
        <v>0</v>
      </c>
      <c r="R67" s="254">
        <f t="shared" si="29"/>
        <v>0</v>
      </c>
      <c r="S67" s="255">
        <f t="shared" si="30"/>
        <v>6131</v>
      </c>
      <c r="T67" s="254">
        <f t="shared" si="31"/>
        <v>0</v>
      </c>
      <c r="U67" s="256">
        <f t="shared" si="32"/>
        <v>301981</v>
      </c>
      <c r="V67" s="392"/>
    </row>
    <row r="68" spans="2:26">
      <c r="B68" s="17">
        <v>35</v>
      </c>
      <c r="C68" s="37" t="s">
        <v>32</v>
      </c>
      <c r="D68" s="66">
        <f>'Datos SIREM TREFIMALLAS'!D68+Dishierros!D68+'Distriacero Figurado'!D68+Figuhierros!D68+Metalcenter!D68</f>
        <v>0</v>
      </c>
      <c r="E68" s="66">
        <f>'Datos SIREM TREFIMALLAS'!E68+Dishierros!E68+'Distriacero Figurado'!E68+Figuhierros!E68+Metalcenter!E68</f>
        <v>0</v>
      </c>
      <c r="F68" s="66">
        <f>'Datos SIREM TREFIMALLAS'!F68+Dishierros!F68+'Distriacero Figurado'!F68+Figuhierros!F68+Metalcenter!F68</f>
        <v>0</v>
      </c>
      <c r="G68" s="66">
        <f>'Datos SIREM TREFIMALLAS'!G68+Dishierros!G68+'Distriacero Figurado'!G68+Figuhierros!G68+Metalcenter!G68</f>
        <v>0</v>
      </c>
      <c r="H68" s="252"/>
      <c r="I68" s="19"/>
      <c r="J68" s="19"/>
      <c r="K68" s="68"/>
      <c r="L68" s="68"/>
      <c r="N68" s="37" t="s">
        <v>32</v>
      </c>
      <c r="O68" s="253" t="str">
        <f t="shared" si="26"/>
        <v>U</v>
      </c>
      <c r="P68" s="254">
        <f t="shared" si="27"/>
        <v>0</v>
      </c>
      <c r="Q68" s="255">
        <f t="shared" si="28"/>
        <v>0</v>
      </c>
      <c r="R68" s="254">
        <f t="shared" si="29"/>
        <v>0</v>
      </c>
      <c r="S68" s="255">
        <f t="shared" si="30"/>
        <v>0</v>
      </c>
      <c r="T68" s="254">
        <f t="shared" si="31"/>
        <v>0</v>
      </c>
      <c r="U68" s="256">
        <f t="shared" si="32"/>
        <v>0</v>
      </c>
      <c r="V68" s="392"/>
    </row>
    <row r="69" spans="2:26">
      <c r="B69" s="17">
        <v>36</v>
      </c>
      <c r="C69" s="37" t="s">
        <v>33</v>
      </c>
      <c r="D69" s="66">
        <f>'Datos SIREM TREFIMALLAS'!D69+Dishierros!D69+'Distriacero Figurado'!D69+Figuhierros!D69+Metalcenter!D69</f>
        <v>884535</v>
      </c>
      <c r="E69" s="66">
        <f>'Datos SIREM TREFIMALLAS'!E69+Dishierros!E69+'Distriacero Figurado'!E69+Figuhierros!E69+Metalcenter!E69</f>
        <v>1278728</v>
      </c>
      <c r="F69" s="66">
        <f>'Datos SIREM TREFIMALLAS'!F69+Dishierros!F69+'Distriacero Figurado'!F69+Figuhierros!F69+Metalcenter!F69</f>
        <v>2123605</v>
      </c>
      <c r="G69" s="66">
        <f>'Datos SIREM TREFIMALLAS'!G69+Dishierros!G69+'Distriacero Figurado'!G69+Figuhierros!G69+Metalcenter!G69</f>
        <v>2177466</v>
      </c>
      <c r="H69" s="252"/>
      <c r="I69" s="19"/>
      <c r="J69" s="68"/>
      <c r="K69" s="68"/>
      <c r="L69" s="68"/>
      <c r="N69" s="37" t="s">
        <v>33</v>
      </c>
      <c r="O69" s="253" t="str">
        <f t="shared" si="26"/>
        <v>F</v>
      </c>
      <c r="P69" s="254">
        <f t="shared" si="27"/>
        <v>0</v>
      </c>
      <c r="Q69" s="255">
        <f t="shared" si="28"/>
        <v>394193</v>
      </c>
      <c r="R69" s="254">
        <f t="shared" si="29"/>
        <v>0</v>
      </c>
      <c r="S69" s="255">
        <f t="shared" si="30"/>
        <v>844877</v>
      </c>
      <c r="T69" s="254">
        <f t="shared" si="31"/>
        <v>0</v>
      </c>
      <c r="U69" s="256">
        <f t="shared" si="32"/>
        <v>53861</v>
      </c>
      <c r="V69" s="14"/>
    </row>
    <row r="70" spans="2:26">
      <c r="B70" s="17">
        <v>37</v>
      </c>
      <c r="C70" s="38" t="s">
        <v>34</v>
      </c>
      <c r="D70" s="66">
        <f>'Datos SIREM TREFIMALLAS'!D70+Dishierros!D70+'Distriacero Figurado'!D70+Figuhierros!D70+Metalcenter!D70</f>
        <v>651058</v>
      </c>
      <c r="E70" s="66">
        <f>'Datos SIREM TREFIMALLAS'!E70+Dishierros!E70+'Distriacero Figurado'!E70+Figuhierros!E70+Metalcenter!E70</f>
        <v>1457826</v>
      </c>
      <c r="F70" s="66">
        <f>'Datos SIREM TREFIMALLAS'!F70+Dishierros!F70+'Distriacero Figurado'!F70+Figuhierros!F70+Metalcenter!F70</f>
        <v>3767458</v>
      </c>
      <c r="G70" s="66">
        <f>'Datos SIREM TREFIMALLAS'!G70+Dishierros!G70+'Distriacero Figurado'!G70+Figuhierros!G70+Metalcenter!G70</f>
        <v>4292785</v>
      </c>
      <c r="N70" s="38" t="s">
        <v>34</v>
      </c>
      <c r="O70" s="253" t="str">
        <f t="shared" si="26"/>
        <v>F</v>
      </c>
      <c r="P70" s="254">
        <f t="shared" si="27"/>
        <v>0</v>
      </c>
      <c r="Q70" s="255">
        <f t="shared" si="28"/>
        <v>806768</v>
      </c>
      <c r="R70" s="254">
        <f t="shared" si="29"/>
        <v>0</v>
      </c>
      <c r="S70" s="255">
        <f t="shared" si="30"/>
        <v>2309632</v>
      </c>
      <c r="T70" s="254">
        <f t="shared" si="31"/>
        <v>0</v>
      </c>
      <c r="U70" s="256">
        <f t="shared" si="32"/>
        <v>525327</v>
      </c>
      <c r="V70" s="14"/>
    </row>
    <row r="71" spans="2:26" ht="13.5" thickBot="1">
      <c r="B71" s="17"/>
      <c r="C71" s="42" t="s">
        <v>36</v>
      </c>
      <c r="D71" s="57">
        <f>+D63+D41</f>
        <v>11760063</v>
      </c>
      <c r="E71" s="57">
        <f>+E63+E41</f>
        <v>13769827</v>
      </c>
      <c r="F71" s="70">
        <f>+F63+F41</f>
        <v>23465313</v>
      </c>
      <c r="G71" s="70">
        <f>+G63+G41</f>
        <v>28748788</v>
      </c>
      <c r="H71" s="244" t="s">
        <v>75</v>
      </c>
      <c r="I71" s="19"/>
      <c r="J71" s="19"/>
      <c r="K71" s="19"/>
      <c r="L71" s="19"/>
      <c r="N71" s="271" t="s">
        <v>109</v>
      </c>
      <c r="O71" s="272"/>
      <c r="P71" s="114">
        <f t="shared" ref="P71:U71" si="33">+SUM(P25:P29)-P27+SUM(P31:P37)+SUM(P42:P50)+SUM(P52:P60)+SUM(P64:P70)</f>
        <v>3580189</v>
      </c>
      <c r="Q71" s="114">
        <f t="shared" si="33"/>
        <v>3233232</v>
      </c>
      <c r="R71" s="114">
        <f t="shared" si="33"/>
        <v>9423749</v>
      </c>
      <c r="S71" s="114">
        <f t="shared" si="33"/>
        <v>9843594</v>
      </c>
      <c r="T71" s="114">
        <f t="shared" si="33"/>
        <v>8482709</v>
      </c>
      <c r="U71" s="114">
        <f t="shared" si="33"/>
        <v>8191736</v>
      </c>
      <c r="V71" s="14"/>
    </row>
    <row r="72" spans="2:26" ht="13.5" thickTop="1">
      <c r="B72" s="22">
        <v>38</v>
      </c>
      <c r="C72" s="39" t="s">
        <v>35</v>
      </c>
      <c r="D72" s="40">
        <f>+D39</f>
        <v>0</v>
      </c>
      <c r="E72" s="79">
        <f>+E39</f>
        <v>0</v>
      </c>
      <c r="F72" s="79">
        <f>+F39</f>
        <v>0</v>
      </c>
      <c r="G72" s="79">
        <f>+G39</f>
        <v>0</v>
      </c>
      <c r="H72" s="252" t="s">
        <v>120</v>
      </c>
      <c r="I72" s="19"/>
      <c r="J72" s="73">
        <f>+((E75-D75)/D75)/((E28-D28)/D28)</f>
        <v>18.731646823153994</v>
      </c>
      <c r="K72" s="74">
        <f>+((F75-E75)/E75)/((F28-E28)/E28)</f>
        <v>0.25979634003648394</v>
      </c>
      <c r="L72" s="74">
        <f>+((G75-F75)/F75)/((G28-F28)/F28)</f>
        <v>-9.6163688225081347E-3</v>
      </c>
      <c r="N72" s="271" t="s">
        <v>108</v>
      </c>
      <c r="O72" s="272"/>
      <c r="P72" s="114">
        <f>IF($Q$71-$P$71&lt;0,ABS($Q$71-$P$71),"")</f>
        <v>346957</v>
      </c>
      <c r="Q72" s="114">
        <f>IF($Q$71-$P$71&gt;0,ABS($Q$71-$P$71),0)</f>
        <v>0</v>
      </c>
      <c r="R72" s="114">
        <f>IF($S$71-$R$71&lt;0,ABS($S$71-$R$71),0)</f>
        <v>0</v>
      </c>
      <c r="S72" s="114">
        <f>IF($S$71-$R$71&gt;0,ABS($S$71-$R$71),0)</f>
        <v>419845</v>
      </c>
      <c r="T72" s="114">
        <f>IF($U$71-$T$71&lt;0,ABS($U$71-$T$71),0)</f>
        <v>290973</v>
      </c>
      <c r="U72" s="114">
        <f>IF($U$71-$T$71&gt;0,ABS($U$71-$T$71),0)</f>
        <v>0</v>
      </c>
      <c r="V72" s="14"/>
    </row>
    <row r="73" spans="2:26" s="77" customFormat="1" ht="22.5">
      <c r="B73" s="75"/>
      <c r="C73" s="76" t="s">
        <v>69</v>
      </c>
      <c r="D73" s="78" t="str">
        <f>+IF(D71=D23,"OK","ERROR")</f>
        <v>OK</v>
      </c>
      <c r="E73" s="78" t="str">
        <f>+IF(E71=E23,"OK","ERROR")</f>
        <v>OK</v>
      </c>
      <c r="F73" s="78" t="str">
        <f>+IF(F71=F23,"OK","ERROR")</f>
        <v>OK</v>
      </c>
      <c r="G73" s="78" t="str">
        <f>+IF(G71=G23,"OK","ERROR")</f>
        <v>OK</v>
      </c>
      <c r="H73" s="252" t="s">
        <v>121</v>
      </c>
      <c r="I73" s="19"/>
      <c r="J73" s="73">
        <f>+((E27-D27)/D27)/((E28-D28)/D28)</f>
        <v>14.287481425953809</v>
      </c>
      <c r="K73" s="74">
        <f>+((F27-E27)/E27)/((F28-E28)/E28)</f>
        <v>-0.24361743935173835</v>
      </c>
      <c r="L73" s="74">
        <f>+((G27-F27)/F27)/((G28-F28)/F28)</f>
        <v>5.4389848911817618</v>
      </c>
      <c r="N73" s="271" t="s">
        <v>104</v>
      </c>
      <c r="O73" s="272"/>
      <c r="P73" s="114">
        <f>IF($E$24-$D$24&lt;0,ABS($E$24-$D$24),"")</f>
        <v>266957</v>
      </c>
      <c r="Q73" s="114">
        <f>IF($E$24-$D$24&gt;0,ABS($E$24-$D$24),0)</f>
        <v>0</v>
      </c>
      <c r="R73" s="114">
        <f>IF($F$24-$E$24&lt;0,ABS($F$24-$E$24),0)</f>
        <v>0</v>
      </c>
      <c r="S73" s="114">
        <f>IF($F$24-$E$24&gt;0,ABS($F$24-$E$24),0)</f>
        <v>502151</v>
      </c>
      <c r="T73" s="114">
        <f>IF($G$24-$F$24&lt;0,ABS($G$24-$F$24),0)</f>
        <v>284565</v>
      </c>
      <c r="U73" s="114">
        <f>IF($G$24-$F$24&gt;0,ABS($G$24-$F$24),0)</f>
        <v>0</v>
      </c>
      <c r="V73" s="315"/>
      <c r="W73" s="142"/>
      <c r="X73" s="142"/>
      <c r="Y73" s="142"/>
      <c r="Z73" s="142"/>
    </row>
    <row r="74" spans="2:26">
      <c r="B74" s="23"/>
      <c r="C74" s="41"/>
      <c r="D74" s="100">
        <f>+D71-D23</f>
        <v>0</v>
      </c>
      <c r="E74" s="100">
        <f>+E71-E23</f>
        <v>0</v>
      </c>
      <c r="F74" s="100">
        <f>+F71-F23</f>
        <v>0</v>
      </c>
      <c r="G74" s="100">
        <f>+G71-G23</f>
        <v>0</v>
      </c>
      <c r="H74" s="252" t="s">
        <v>76</v>
      </c>
      <c r="I74" s="68">
        <f>+I75*I76*I77</f>
        <v>0.18999430147046978</v>
      </c>
      <c r="J74" s="68">
        <f>+J75*J76*J77</f>
        <v>0.21637349915005841</v>
      </c>
      <c r="K74" s="68">
        <f>+K75*K76*K77</f>
        <v>0.21442106499247113</v>
      </c>
      <c r="L74" s="68">
        <f>+L75*L76*L77</f>
        <v>0.19758213760624346</v>
      </c>
      <c r="N74" s="14"/>
      <c r="O74" s="14"/>
      <c r="P74" s="110"/>
      <c r="Q74" s="104"/>
      <c r="R74" s="103"/>
      <c r="S74" s="104"/>
      <c r="T74" s="103"/>
      <c r="U74" s="104"/>
      <c r="W74" s="83"/>
      <c r="X74" s="83"/>
      <c r="Y74" s="83"/>
      <c r="Z74" s="83"/>
    </row>
    <row r="75" spans="2:26" ht="13.5" thickBot="1">
      <c r="B75" s="15">
        <v>41</v>
      </c>
      <c r="C75" s="24" t="s">
        <v>37</v>
      </c>
      <c r="D75" s="44">
        <f>'Datos SIREM TREFIMALLAS'!D75+Dishierros!D75+'Distriacero Figurado'!D75+Figuhierros!D75+Metalcenter!D75</f>
        <v>34414150</v>
      </c>
      <c r="E75" s="44">
        <f>'Datos SIREM TREFIMALLAS'!E75+Dishierros!E75+'Distriacero Figurado'!E75+Figuhierros!E75+Metalcenter!E75</f>
        <v>42832257</v>
      </c>
      <c r="F75" s="44">
        <f>'Datos SIREM TREFIMALLAS'!F75+Dishierros!F75+'Distriacero Figurado'!F75+Figuhierros!F75+Metalcenter!F75</f>
        <v>60364971</v>
      </c>
      <c r="G75" s="44">
        <f>'Datos SIREM TREFIMALLAS'!G75+Dishierros!G75+'Distriacero Figurado'!G75+Figuhierros!G75+Metalcenter!G75</f>
        <v>60258223</v>
      </c>
      <c r="H75" s="252" t="s">
        <v>77</v>
      </c>
      <c r="I75" s="68">
        <f>+D93/D75</f>
        <v>2.570265428610034E-2</v>
      </c>
      <c r="J75" s="68">
        <f>+E93/E75</f>
        <v>2.9854322175924562E-2</v>
      </c>
      <c r="K75" s="68">
        <f>+F93/F75</f>
        <v>3.5179425498274484E-2</v>
      </c>
      <c r="L75" s="68">
        <f>+G93/G75</f>
        <v>3.6135582690515117E-2</v>
      </c>
      <c r="N75" s="275" t="s">
        <v>107</v>
      </c>
      <c r="O75" s="275"/>
      <c r="P75" s="111">
        <f t="shared" ref="P75:U75" si="34">+P72-P73</f>
        <v>80000</v>
      </c>
      <c r="Q75" s="112">
        <f t="shared" si="34"/>
        <v>0</v>
      </c>
      <c r="R75" s="113">
        <f t="shared" si="34"/>
        <v>0</v>
      </c>
      <c r="S75" s="112">
        <f t="shared" si="34"/>
        <v>-82306</v>
      </c>
      <c r="T75" s="113">
        <f t="shared" si="34"/>
        <v>6408</v>
      </c>
      <c r="U75" s="112">
        <f t="shared" si="34"/>
        <v>0</v>
      </c>
    </row>
    <row r="76" spans="2:26" ht="14.25" thickTop="1" thickBot="1">
      <c r="B76" s="17"/>
      <c r="C76" s="25" t="s">
        <v>80</v>
      </c>
      <c r="D76" s="44">
        <f>'Datos SIREM TREFIMALLAS'!D76+Dishierros!D76+'Distriacero Figurado'!D76+Figuhierros!D76+Metalcenter!D76</f>
        <v>0</v>
      </c>
      <c r="E76" s="44">
        <f>'Datos SIREM TREFIMALLAS'!E76+Dishierros!E76+'Distriacero Figurado'!E76+Figuhierros!E76+Metalcenter!E76</f>
        <v>0</v>
      </c>
      <c r="F76" s="44">
        <f>'Datos SIREM TREFIMALLAS'!F76+Dishierros!F76+'Distriacero Figurado'!F76+Figuhierros!F76+Metalcenter!F76</f>
        <v>0</v>
      </c>
      <c r="G76" s="44">
        <f>'Datos SIREM TREFIMALLAS'!G76+Dishierros!G76+'Distriacero Figurado'!G76+Figuhierros!G76+Metalcenter!G76</f>
        <v>0</v>
      </c>
      <c r="H76" s="252" t="s">
        <v>78</v>
      </c>
      <c r="I76" s="313">
        <f>+D75/D23</f>
        <v>2.9263576224038936</v>
      </c>
      <c r="J76" s="313">
        <f>+E75/E23</f>
        <v>3.1105878817504387</v>
      </c>
      <c r="K76" s="313">
        <f>+F75/F23</f>
        <v>2.5725193181953294</v>
      </c>
      <c r="L76" s="313">
        <f>+G75/G23</f>
        <v>2.096026552493274</v>
      </c>
      <c r="N76" s="72"/>
      <c r="O76" s="14"/>
    </row>
    <row r="77" spans="2:26" ht="14.25" thickTop="1" thickBot="1">
      <c r="B77" s="17">
        <v>61</v>
      </c>
      <c r="C77" s="25" t="s">
        <v>38</v>
      </c>
      <c r="D77" s="44">
        <f>'Datos SIREM TREFIMALLAS'!D77+Dishierros!D77+'Distriacero Figurado'!D77+Figuhierros!D77+Metalcenter!D77</f>
        <v>31320916</v>
      </c>
      <c r="E77" s="44">
        <f>'Datos SIREM TREFIMALLAS'!E77+Dishierros!E77+'Distriacero Figurado'!E77+Figuhierros!E77+Metalcenter!E77</f>
        <v>38723204</v>
      </c>
      <c r="F77" s="44">
        <f>'Datos SIREM TREFIMALLAS'!F77+Dishierros!F77+'Distriacero Figurado'!F77+Figuhierros!F77+Metalcenter!F77</f>
        <v>53606028</v>
      </c>
      <c r="G77" s="44">
        <f>'Datos SIREM TREFIMALLAS'!G77+Dishierros!G77+'Distriacero Figurado'!G77+Figuhierros!G77+Metalcenter!G77</f>
        <v>53684430</v>
      </c>
      <c r="H77" s="252" t="s">
        <v>79</v>
      </c>
      <c r="I77" s="313">
        <f>+D23/D63</f>
        <v>2.5260107909056364</v>
      </c>
      <c r="J77" s="313">
        <f>+E23/E63</f>
        <v>2.3299917188651156</v>
      </c>
      <c r="K77" s="313">
        <f>+F23/F63</f>
        <v>2.3693000364199923</v>
      </c>
      <c r="L77" s="313">
        <f>+G23/G63</f>
        <v>2.6086501404057381</v>
      </c>
      <c r="N77" s="276" t="s">
        <v>110</v>
      </c>
      <c r="O77" s="128"/>
      <c r="P77" s="129">
        <f t="shared" ref="P77:U77" si="35">+P30+P51</f>
        <v>3277535</v>
      </c>
      <c r="Q77" s="130">
        <f t="shared" si="35"/>
        <v>1979001</v>
      </c>
      <c r="R77" s="120">
        <f t="shared" si="35"/>
        <v>5933257</v>
      </c>
      <c r="S77" s="121">
        <f t="shared" si="35"/>
        <v>7978215</v>
      </c>
      <c r="T77" s="120">
        <f t="shared" si="35"/>
        <v>10707726</v>
      </c>
      <c r="U77" s="121">
        <f t="shared" si="35"/>
        <v>4616466</v>
      </c>
    </row>
    <row r="78" spans="2:26" ht="14.25" thickTop="1" thickBot="1">
      <c r="B78" s="17"/>
      <c r="C78" s="45" t="s">
        <v>39</v>
      </c>
      <c r="D78" s="46">
        <f>+D75-D77</f>
        <v>3093234</v>
      </c>
      <c r="E78" s="46">
        <f>+E75-E77</f>
        <v>4109053</v>
      </c>
      <c r="F78" s="46">
        <f>+F75-F77</f>
        <v>6758943</v>
      </c>
      <c r="G78" s="71">
        <f>+G75-G77</f>
        <v>6573793</v>
      </c>
      <c r="H78" s="14"/>
      <c r="I78" s="96"/>
      <c r="J78" s="277"/>
      <c r="K78" s="14"/>
      <c r="L78" s="14"/>
      <c r="N78" s="131" t="str">
        <f>+IF(P78&gt;0,"Usos","Fuentes")</f>
        <v>Usos</v>
      </c>
      <c r="O78" s="132"/>
      <c r="P78" s="133">
        <f>IF(P77-Q77&lt;0,0,P77-Q77)</f>
        <v>1298534</v>
      </c>
      <c r="Q78" s="134">
        <f>IF(Q77-P77&lt;0,0,Q77-P77)</f>
        <v>0</v>
      </c>
      <c r="R78" s="122">
        <f>IF(R77-S77&lt;0,0,R77-S77)</f>
        <v>0</v>
      </c>
      <c r="S78" s="123">
        <f>IF(S77-R77&lt;0,0,S77-R77)</f>
        <v>2044958</v>
      </c>
      <c r="T78" s="122">
        <f>IF(T77-U77&lt;0,0,T77-U77)</f>
        <v>6091260</v>
      </c>
      <c r="U78" s="123">
        <f>IF(U77-T77&lt;0,0,U77-T77)</f>
        <v>0</v>
      </c>
    </row>
    <row r="79" spans="2:26" ht="17.25" thickTop="1" thickBot="1">
      <c r="B79" s="17">
        <v>51</v>
      </c>
      <c r="C79" s="26" t="s">
        <v>40</v>
      </c>
      <c r="D79" s="55">
        <f>'Datos SIREM TREFIMALLAS'!D79+Dishierros!D79+'Distriacero Figurado'!D79+Figuhierros!D79+Metalcenter!D79</f>
        <v>567311</v>
      </c>
      <c r="E79" s="55">
        <f>'Datos SIREM TREFIMALLAS'!E79+Dishierros!E79+'Distriacero Figurado'!E79+Figuhierros!E79+Metalcenter!E79</f>
        <v>733547</v>
      </c>
      <c r="F79" s="55">
        <f>'Datos SIREM TREFIMALLAS'!F79+Dishierros!F79+'Distriacero Figurado'!F79+Figuhierros!F79+Metalcenter!F79</f>
        <v>2100755</v>
      </c>
      <c r="G79" s="55">
        <f>'Datos SIREM TREFIMALLAS'!G79+Dishierros!G79+'Distriacero Figurado'!G79+Figuhierros!G79+Metalcenter!G79</f>
        <v>2035687</v>
      </c>
      <c r="H79" s="278" t="s">
        <v>150</v>
      </c>
      <c r="I79" s="278">
        <v>2007</v>
      </c>
      <c r="J79" s="278">
        <v>2008</v>
      </c>
      <c r="K79" s="278">
        <v>2009</v>
      </c>
      <c r="L79" s="278">
        <v>2010</v>
      </c>
      <c r="N79" s="276" t="s">
        <v>111</v>
      </c>
      <c r="O79" s="128"/>
      <c r="P79" s="135">
        <f t="shared" ref="P79:U79" si="36">+P63+P61+P38</f>
        <v>1192019</v>
      </c>
      <c r="Q79" s="136">
        <f t="shared" si="36"/>
        <v>1254231</v>
      </c>
      <c r="R79" s="124">
        <f t="shared" si="36"/>
        <v>3490492</v>
      </c>
      <c r="S79" s="125">
        <f t="shared" si="36"/>
        <v>4036441</v>
      </c>
      <c r="T79" s="124">
        <f t="shared" si="36"/>
        <v>1260696</v>
      </c>
      <c r="U79" s="125">
        <f t="shared" si="36"/>
        <v>3575270</v>
      </c>
    </row>
    <row r="80" spans="2:26" ht="13.5" thickTop="1">
      <c r="B80" s="17">
        <v>5105</v>
      </c>
      <c r="C80" s="25" t="s">
        <v>70</v>
      </c>
      <c r="D80" s="55">
        <f>'Datos SIREM TREFIMALLAS'!D80+Dishierros!D80+'Distriacero Figurado'!D80+Figuhierros!D80+Metalcenter!D80</f>
        <v>0</v>
      </c>
      <c r="E80" s="55">
        <f>'Datos SIREM TREFIMALLAS'!E80+Dishierros!E80+'Distriacero Figurado'!E80+Figuhierros!E80+Metalcenter!E80</f>
        <v>0</v>
      </c>
      <c r="F80" s="55">
        <f>'Datos SIREM TREFIMALLAS'!F80+Dishierros!F80+'Distriacero Figurado'!F80+Figuhierros!F80+Metalcenter!F80</f>
        <v>0</v>
      </c>
      <c r="G80" s="55">
        <f>'Datos SIREM TREFIMALLAS'!G80+Dishierros!G80+'Distriacero Figurado'!G80+Figuhierros!G80+Metalcenter!G80</f>
        <v>0</v>
      </c>
      <c r="H80" t="s">
        <v>122</v>
      </c>
      <c r="I80" s="147">
        <f>+D87</f>
        <v>1463895</v>
      </c>
      <c r="J80" s="147">
        <f>+E87</f>
        <v>2320208</v>
      </c>
      <c r="K80" s="147">
        <f>+F87</f>
        <v>3380991</v>
      </c>
      <c r="L80" s="147">
        <f>+G87</f>
        <v>3314606</v>
      </c>
      <c r="N80" s="137" t="str">
        <f>+IF(P80&gt;0,"Usos","Fuentes")</f>
        <v>Fuentes</v>
      </c>
      <c r="O80" s="138"/>
      <c r="P80" s="139">
        <f>IF(P79-Q79&lt;0,0,P79-Q79)</f>
        <v>0</v>
      </c>
      <c r="Q80" s="140">
        <f>IF(Q79-P79&lt;0,0,Q79-P79)</f>
        <v>62212</v>
      </c>
      <c r="R80" s="126">
        <f>IF(R79-S79&lt;0,0,R79-S79)</f>
        <v>0</v>
      </c>
      <c r="S80" s="127">
        <f>IF(S79-R79&lt;0,0,S79-R79)</f>
        <v>545949</v>
      </c>
      <c r="T80" s="126">
        <f>IF(T79-U79&lt;0,0,T79-U79)</f>
        <v>0</v>
      </c>
      <c r="U80" s="127">
        <f>IF(U79-T79&lt;0,0,U79-T79)</f>
        <v>2314574</v>
      </c>
    </row>
    <row r="81" spans="2:23">
      <c r="B81" s="17">
        <v>5160</v>
      </c>
      <c r="C81" s="25" t="s">
        <v>71</v>
      </c>
      <c r="D81" s="55">
        <f>'Datos SIREM TREFIMALLAS'!D81+Dishierros!D81+'Distriacero Figurado'!D81+Figuhierros!D81+Metalcenter!D81</f>
        <v>29024</v>
      </c>
      <c r="E81" s="55">
        <f>'Datos SIREM TREFIMALLAS'!E81+Dishierros!E81+'Distriacero Figurado'!E81+Figuhierros!E81+Metalcenter!E81</f>
        <v>26736</v>
      </c>
      <c r="F81" s="55">
        <f>'Datos SIREM TREFIMALLAS'!F81+Dishierros!F81+'Distriacero Figurado'!F81+Figuhierros!F81+Metalcenter!F81</f>
        <v>51473</v>
      </c>
      <c r="G81" s="55">
        <f>'Datos SIREM TREFIMALLAS'!G81+Dishierros!G81+'Distriacero Figurado'!G81+Figuhierros!G81+Metalcenter!G81</f>
        <v>48107</v>
      </c>
      <c r="H81" t="s">
        <v>123</v>
      </c>
      <c r="I81" s="96">
        <f t="shared" ref="I81:L82" si="37">+D81+D85</f>
        <v>29024</v>
      </c>
      <c r="J81" s="96">
        <f t="shared" si="37"/>
        <v>26736</v>
      </c>
      <c r="K81" s="96">
        <f t="shared" si="37"/>
        <v>51473</v>
      </c>
      <c r="L81" s="96">
        <f t="shared" si="37"/>
        <v>48107</v>
      </c>
    </row>
    <row r="82" spans="2:23">
      <c r="B82" s="17">
        <v>5165</v>
      </c>
      <c r="C82" s="25" t="s">
        <v>72</v>
      </c>
      <c r="D82" s="55">
        <f>'Datos SIREM TREFIMALLAS'!D82+Dishierros!D82+'Distriacero Figurado'!D82+Figuhierros!D82+Metalcenter!D82</f>
        <v>0</v>
      </c>
      <c r="E82" s="55">
        <f>'Datos SIREM TREFIMALLAS'!E82+Dishierros!E82+'Distriacero Figurado'!E82+Figuhierros!E82+Metalcenter!E82</f>
        <v>0</v>
      </c>
      <c r="F82" s="55">
        <f>'Datos SIREM TREFIMALLAS'!F82+Dishierros!F82+'Distriacero Figurado'!F82+Figuhierros!F82+Metalcenter!F82</f>
        <v>28490</v>
      </c>
      <c r="G82" s="55">
        <f>'Datos SIREM TREFIMALLAS'!G82+Dishierros!G82+'Distriacero Figurado'!G82+Figuhierros!G82+Metalcenter!G82</f>
        <v>31080</v>
      </c>
      <c r="H82" t="s">
        <v>124</v>
      </c>
      <c r="I82" s="96">
        <f t="shared" si="37"/>
        <v>0</v>
      </c>
      <c r="J82" s="96">
        <f t="shared" si="37"/>
        <v>0</v>
      </c>
      <c r="K82" s="96">
        <f t="shared" si="37"/>
        <v>28490</v>
      </c>
      <c r="L82" s="96">
        <f t="shared" si="37"/>
        <v>31080</v>
      </c>
      <c r="N82" s="118" t="s">
        <v>109</v>
      </c>
      <c r="O82" s="119"/>
      <c r="P82" s="126">
        <f>+P77+P79</f>
        <v>4469554</v>
      </c>
      <c r="Q82" s="127">
        <f>+SUM(Q36:Q40)-Q38+SUM(Q42:Q48)+SUM(Q53:Q61)+SUM(Q63:Q71)+SUM(Q75:Q81)</f>
        <v>11016139</v>
      </c>
      <c r="R82" s="126">
        <f>+SUM(R36:R40)-R38+SUM(R42:R48)+SUM(R53:R61)+SUM(R63:R71)+SUM(R75:R81)</f>
        <v>18847498</v>
      </c>
      <c r="S82" s="127">
        <f>+SUM(S36:S40)-S38+SUM(S42:S48)+SUM(S53:S61)+SUM(S63:S71)+SUM(S75:S81)</f>
        <v>37318841</v>
      </c>
      <c r="T82" s="126">
        <f>+SUM(T36:T40)-T38+SUM(T42:T48)+SUM(T53:T61)+SUM(T63:T71)+SUM(T75:T81)</f>
        <v>29712246</v>
      </c>
      <c r="U82" s="127">
        <f>+SUM(U36:U40)-U38+SUM(U42:U48)+SUM(U53:U61)+SUM(U63:U71)+SUM(U75:U81)</f>
        <v>28266481</v>
      </c>
    </row>
    <row r="83" spans="2:23" ht="15">
      <c r="B83" s="17">
        <v>52</v>
      </c>
      <c r="C83" s="27" t="s">
        <v>41</v>
      </c>
      <c r="D83" s="55">
        <f>'Datos SIREM TREFIMALLAS'!D83+Dishierros!D83+'Distriacero Figurado'!D83+Figuhierros!D83+Metalcenter!D83</f>
        <v>1062028</v>
      </c>
      <c r="E83" s="55">
        <f>'Datos SIREM TREFIMALLAS'!E83+Dishierros!E83+'Distriacero Figurado'!E83+Figuhierros!E83+Metalcenter!E83</f>
        <v>1055298</v>
      </c>
      <c r="F83" s="55">
        <f>'Datos SIREM TREFIMALLAS'!F83+Dishierros!F83+'Distriacero Figurado'!F83+Figuhierros!F83+Metalcenter!F83</f>
        <v>1277197</v>
      </c>
      <c r="G83" s="55">
        <f>'Datos SIREM TREFIMALLAS'!G83+Dishierros!G83+'Distriacero Figurado'!G83+Figuhierros!G83+Metalcenter!G83</f>
        <v>1223500</v>
      </c>
      <c r="H83" s="146" t="s">
        <v>18</v>
      </c>
      <c r="I83" s="96">
        <f>+I80+I81+I82</f>
        <v>1492919</v>
      </c>
      <c r="J83" s="96">
        <f>+J80+J81+J82</f>
        <v>2346944</v>
      </c>
      <c r="K83" s="96">
        <f>+K80+K81+K82</f>
        <v>3460954</v>
      </c>
      <c r="L83" s="96">
        <f>+L80+L81+L82</f>
        <v>3393793</v>
      </c>
      <c r="P83" s="83"/>
    </row>
    <row r="84" spans="2:23">
      <c r="B84" s="17">
        <v>5205</v>
      </c>
      <c r="C84" s="25" t="s">
        <v>70</v>
      </c>
      <c r="D84" s="55">
        <f>'Datos SIREM TREFIMALLAS'!D84+Dishierros!D84+'Distriacero Figurado'!D84+Figuhierros!D84+Metalcenter!D84</f>
        <v>0</v>
      </c>
      <c r="E84" s="55">
        <f>'Datos SIREM TREFIMALLAS'!E84+Dishierros!E84+'Distriacero Figurado'!E84+Figuhierros!E84+Metalcenter!E84</f>
        <v>0</v>
      </c>
      <c r="F84" s="55">
        <f>'Datos SIREM TREFIMALLAS'!F84+Dishierros!F84+'Distriacero Figurado'!F84+Figuhierros!F84+Metalcenter!F84</f>
        <v>0</v>
      </c>
      <c r="G84" s="55">
        <f>'Datos SIREM TREFIMALLAS'!G84+Dishierros!G84+'Distriacero Figurado'!G84+Figuhierros!G84+Metalcenter!G84</f>
        <v>0</v>
      </c>
      <c r="H84" t="s">
        <v>125</v>
      </c>
      <c r="I84" s="96">
        <f>+D92</f>
        <v>483733</v>
      </c>
      <c r="J84" s="96">
        <f>+E92</f>
        <v>614722</v>
      </c>
      <c r="K84" s="96">
        <f>+F92</f>
        <v>1152878</v>
      </c>
      <c r="L84" s="96">
        <f>+G92</f>
        <v>939605</v>
      </c>
    </row>
    <row r="85" spans="2:23" ht="15">
      <c r="B85" s="17">
        <v>5260</v>
      </c>
      <c r="C85" s="25" t="s">
        <v>71</v>
      </c>
      <c r="D85" s="55">
        <f>'Datos SIREM TREFIMALLAS'!D85+Dishierros!D85+'Distriacero Figurado'!D85+Figuhierros!D85+Metalcenter!D85</f>
        <v>0</v>
      </c>
      <c r="E85" s="55">
        <f>'Datos SIREM TREFIMALLAS'!E85+Dishierros!E85+'Distriacero Figurado'!E85+Figuhierros!E85+Metalcenter!E85</f>
        <v>0</v>
      </c>
      <c r="F85" s="55">
        <f>'Datos SIREM TREFIMALLAS'!F85+Dishierros!F85+'Distriacero Figurado'!F85+Figuhierros!F85+Metalcenter!F85</f>
        <v>0</v>
      </c>
      <c r="G85" s="55">
        <f>'Datos SIREM TREFIMALLAS'!G85+Dishierros!G85+'Distriacero Figurado'!G85+Figuhierros!G85+Metalcenter!G85</f>
        <v>0</v>
      </c>
      <c r="H85" s="146" t="s">
        <v>126</v>
      </c>
      <c r="I85" s="96">
        <f>+I83-I84</f>
        <v>1009186</v>
      </c>
      <c r="J85" s="96">
        <f>+J83-J84</f>
        <v>1732222</v>
      </c>
      <c r="K85" s="96">
        <f>+K83-K84</f>
        <v>2308076</v>
      </c>
      <c r="L85" s="96">
        <f>+L83-L84</f>
        <v>2454188</v>
      </c>
    </row>
    <row r="86" spans="2:23">
      <c r="B86" s="17">
        <v>5265</v>
      </c>
      <c r="C86" s="25" t="s">
        <v>72</v>
      </c>
      <c r="D86" s="55">
        <f>'Datos SIREM TREFIMALLAS'!D86+Dishierros!D86+'Distriacero Figurado'!D86+Figuhierros!D86+Metalcenter!D86</f>
        <v>0</v>
      </c>
      <c r="E86" s="55">
        <f>'Datos SIREM TREFIMALLAS'!E86+Dishierros!E86+'Distriacero Figurado'!E86+Figuhierros!E86+Metalcenter!E86</f>
        <v>0</v>
      </c>
      <c r="F86" s="55">
        <f>'Datos SIREM TREFIMALLAS'!F86+Dishierros!F86+'Distriacero Figurado'!F86+Figuhierros!F86+Metalcenter!F86</f>
        <v>0</v>
      </c>
      <c r="G86" s="55">
        <f>'Datos SIREM TREFIMALLAS'!G86+Dishierros!G86+'Distriacero Figurado'!G86+Figuhierros!G86+Metalcenter!G86</f>
        <v>0</v>
      </c>
      <c r="H86" t="s">
        <v>127</v>
      </c>
      <c r="I86" s="14"/>
      <c r="J86" s="312">
        <f t="shared" ref="J86:L87" si="38">+X24-W24</f>
        <v>1585443</v>
      </c>
      <c r="K86" s="312">
        <f t="shared" si="38"/>
        <v>944715</v>
      </c>
      <c r="L86" s="312">
        <f t="shared" si="38"/>
        <v>4738598</v>
      </c>
    </row>
    <row r="87" spans="2:23" ht="13.5" thickBot="1">
      <c r="B87" s="17"/>
      <c r="C87" s="45" t="s">
        <v>42</v>
      </c>
      <c r="D87" s="46">
        <f>+D78-D79-D83</f>
        <v>1463895</v>
      </c>
      <c r="E87" s="46">
        <f>+E78-E79-E83</f>
        <v>2320208</v>
      </c>
      <c r="F87" s="46">
        <f>+F78-F79-F83</f>
        <v>3380991</v>
      </c>
      <c r="G87" s="46">
        <f>+G78-G79-G83</f>
        <v>3314606</v>
      </c>
      <c r="H87" t="s">
        <v>128</v>
      </c>
      <c r="I87" s="14"/>
      <c r="J87" s="96">
        <f t="shared" si="38"/>
        <v>189017</v>
      </c>
      <c r="K87" s="96">
        <f t="shared" si="38"/>
        <v>3490492</v>
      </c>
      <c r="L87" s="96">
        <f t="shared" si="38"/>
        <v>956852</v>
      </c>
    </row>
    <row r="88" spans="2:23" ht="18.75" thickTop="1">
      <c r="B88" s="17">
        <v>42</v>
      </c>
      <c r="C88" s="26" t="s">
        <v>43</v>
      </c>
      <c r="D88" s="55">
        <f>'Datos SIREM TREFIMALLAS'!D88+Dishierros!D88+'Distriacero Figurado'!D88+Figuhierros!D88+Metalcenter!D88</f>
        <v>312554</v>
      </c>
      <c r="E88" s="55">
        <f>'Datos SIREM TREFIMALLAS'!E88+Dishierros!E88+'Distriacero Figurado'!E88+Figuhierros!E88+Metalcenter!E88</f>
        <v>219458</v>
      </c>
      <c r="F88" s="55">
        <f>'Datos SIREM TREFIMALLAS'!F88+Dishierros!F88+'Distriacero Figurado'!F88+Figuhierros!F88+Metalcenter!F88</f>
        <v>616847</v>
      </c>
      <c r="G88" s="55">
        <f>'Datos SIREM TREFIMALLAS'!G88+Dishierros!G88+'Distriacero Figurado'!G88+Figuhierros!G88+Metalcenter!G88</f>
        <v>498794</v>
      </c>
      <c r="H88" s="146" t="s">
        <v>129</v>
      </c>
      <c r="I88" s="31"/>
      <c r="J88" s="96">
        <f>+J85-J86-J87</f>
        <v>-42238</v>
      </c>
      <c r="K88" s="96">
        <f>+K85-K86-K87</f>
        <v>-2127131</v>
      </c>
      <c r="L88" s="96">
        <f>+L85-L86-L87</f>
        <v>-3241262</v>
      </c>
    </row>
    <row r="89" spans="2:23">
      <c r="B89" s="17"/>
      <c r="C89" s="25" t="s">
        <v>73</v>
      </c>
      <c r="D89" s="55">
        <f>'Datos SIREM TREFIMALLAS'!D89+Dishierros!D89+'Distriacero Figurado'!D89+Figuhierros!D89+Metalcenter!D89</f>
        <v>0</v>
      </c>
      <c r="E89" s="55">
        <f>'Datos SIREM TREFIMALLAS'!E89+Dishierros!E89+'Distriacero Figurado'!E89+Figuhierros!E89+Metalcenter!E89</f>
        <v>76939.881640000051</v>
      </c>
      <c r="F89" s="55">
        <f>'Datos SIREM TREFIMALLAS'!F89+Dishierros!F89+'Distriacero Figurado'!F89+Figuhierros!F89+Metalcenter!F89</f>
        <v>153575.48922000008</v>
      </c>
      <c r="G89" s="55">
        <f>'Datos SIREM TREFIMALLAS'!G89+Dishierros!G89+'Distriacero Figurado'!G89+Figuhierros!G89+Metalcenter!G89</f>
        <v>231376.81378000014</v>
      </c>
      <c r="H89" t="s">
        <v>130</v>
      </c>
      <c r="J89" s="96">
        <f>-E42-E52+D52+D42</f>
        <v>-440229</v>
      </c>
      <c r="K89" s="96">
        <f>-F42-F52+E52+E42</f>
        <v>-358818</v>
      </c>
      <c r="L89" s="96">
        <f>-G42-G52+F52+F42</f>
        <v>-2375258</v>
      </c>
    </row>
    <row r="90" spans="2:23">
      <c r="B90" s="17">
        <v>53</v>
      </c>
      <c r="C90" s="27" t="s">
        <v>44</v>
      </c>
      <c r="D90" s="55">
        <f>'Datos SIREM TREFIMALLAS'!D90+Dishierros!D90+'Distriacero Figurado'!D90+Figuhierros!D90+Metalcenter!D90</f>
        <v>408181</v>
      </c>
      <c r="E90" s="55">
        <f>'Datos SIREM TREFIMALLAS'!E90+Dishierros!E90+'Distriacero Figurado'!E90+Figuhierros!E90+Metalcenter!E90</f>
        <v>646216</v>
      </c>
      <c r="F90" s="55">
        <f>'Datos SIREM TREFIMALLAS'!F90+Dishierros!F90+'Distriacero Figurado'!F90+Figuhierros!F90+Metalcenter!F90</f>
        <v>721355</v>
      </c>
      <c r="G90" s="55">
        <f>'Datos SIREM TREFIMALLAS'!G90+Dishierros!G90+'Distriacero Figurado'!G90+Figuhierros!G90+Metalcenter!G90</f>
        <v>696329</v>
      </c>
      <c r="H90" t="s">
        <v>131</v>
      </c>
      <c r="J90" s="93">
        <f>+E89</f>
        <v>76939.881640000051</v>
      </c>
      <c r="K90" s="93">
        <f>+F89</f>
        <v>153575.48922000008</v>
      </c>
      <c r="L90" s="93">
        <f>+G89</f>
        <v>231376.81378000014</v>
      </c>
    </row>
    <row r="91" spans="2:23" ht="13.5" thickBot="1">
      <c r="B91" s="17"/>
      <c r="C91" s="45" t="s">
        <v>45</v>
      </c>
      <c r="D91" s="46">
        <f>+D87+D88-D90</f>
        <v>1368268</v>
      </c>
      <c r="E91" s="46">
        <f>+E87+E88-E90</f>
        <v>1893450</v>
      </c>
      <c r="F91" s="46">
        <f>+F87+F88-F90</f>
        <v>3276483</v>
      </c>
      <c r="G91" s="46">
        <f>+G87+G88-G90</f>
        <v>3117071</v>
      </c>
      <c r="H91" s="164" t="s">
        <v>153</v>
      </c>
      <c r="J91" s="311">
        <f>+J88-J89-J90</f>
        <v>321051.11835999996</v>
      </c>
      <c r="K91" s="311">
        <f>+K88-K89-K90</f>
        <v>-1921888.4892200001</v>
      </c>
      <c r="L91" s="311">
        <f>+L88-L89-L90</f>
        <v>-1097380.8137800002</v>
      </c>
    </row>
    <row r="92" spans="2:23" ht="13.5" thickTop="1">
      <c r="B92" s="17">
        <v>54</v>
      </c>
      <c r="C92" s="25" t="s">
        <v>46</v>
      </c>
      <c r="D92" s="54">
        <f>'Datos SIREM TREFIMALLAS'!D92+Dishierros!D92+'Distriacero Figurado'!D92+Figuhierros!D92+Metalcenter!D92</f>
        <v>483733</v>
      </c>
      <c r="E92" s="54">
        <f>'Datos SIREM TREFIMALLAS'!E92+Dishierros!E92+'Distriacero Figurado'!E92+Figuhierros!E92+Metalcenter!E92</f>
        <v>614722</v>
      </c>
      <c r="F92" s="54">
        <f>'Datos SIREM TREFIMALLAS'!F92+Dishierros!F92+'Distriacero Figurado'!F92+Figuhierros!F92+Metalcenter!F92</f>
        <v>1152878</v>
      </c>
      <c r="G92" s="54">
        <f>'Datos SIREM TREFIMALLAS'!G92+Dishierros!G92+'Distriacero Figurado'!G92+Figuhierros!G92+Metalcenter!G92</f>
        <v>939605</v>
      </c>
      <c r="W92" s="270"/>
    </row>
    <row r="93" spans="2:23" ht="13.5" thickBot="1">
      <c r="B93" s="22">
        <v>59</v>
      </c>
      <c r="C93" s="45" t="s">
        <v>47</v>
      </c>
      <c r="D93" s="46">
        <f>+D91-D92</f>
        <v>884535</v>
      </c>
      <c r="E93" s="46">
        <f>+E91-E92</f>
        <v>1278728</v>
      </c>
      <c r="F93" s="46">
        <f>+F91-F92</f>
        <v>2123605</v>
      </c>
      <c r="G93" s="46">
        <f>+G91-G92</f>
        <v>2177466</v>
      </c>
      <c r="H93" s="279"/>
      <c r="I93" s="280"/>
      <c r="J93" s="280"/>
      <c r="K93" s="280"/>
      <c r="L93" s="280"/>
    </row>
    <row r="94" spans="2:23" ht="13.5" thickTop="1">
      <c r="B94" s="43"/>
      <c r="C94" s="411" t="s">
        <v>25</v>
      </c>
      <c r="D94" s="412"/>
      <c r="E94" s="412"/>
      <c r="F94" s="412"/>
      <c r="G94" s="412"/>
    </row>
    <row r="95" spans="2:23">
      <c r="B95" s="43"/>
      <c r="C95" s="413"/>
      <c r="D95" s="414"/>
      <c r="E95" s="414"/>
      <c r="F95" s="414"/>
      <c r="G95" s="414"/>
      <c r="J95" s="304"/>
      <c r="K95" s="304"/>
      <c r="L95" s="304"/>
    </row>
    <row r="97" spans="3:26">
      <c r="C97" s="47" t="s">
        <v>74</v>
      </c>
      <c r="D97" s="49"/>
      <c r="E97" s="50"/>
      <c r="F97" s="50"/>
      <c r="G97" s="51"/>
    </row>
    <row r="98" spans="3:26">
      <c r="C98" s="48" t="s">
        <v>100</v>
      </c>
      <c r="D98" s="52"/>
      <c r="E98" s="67">
        <f>+E77-D28+E28</f>
        <v>38771537</v>
      </c>
      <c r="F98" s="67">
        <f>+F77-E28+F28</f>
        <v>59513778</v>
      </c>
      <c r="G98" s="67">
        <f>+G77-F28+G28</f>
        <v>55460330</v>
      </c>
      <c r="W98" s="83"/>
      <c r="X98" s="83"/>
      <c r="Y98" s="83"/>
      <c r="Z98" s="83"/>
    </row>
    <row r="99" spans="3:26">
      <c r="C99" s="48" t="s">
        <v>113</v>
      </c>
      <c r="D99" s="94"/>
      <c r="E99" s="95"/>
      <c r="F99" s="95"/>
      <c r="G99" s="95"/>
    </row>
    <row r="100" spans="3:26">
      <c r="C100" s="48" t="s">
        <v>152</v>
      </c>
      <c r="D100" s="52"/>
      <c r="E100" s="52"/>
      <c r="F100" s="52"/>
      <c r="G100" s="53"/>
      <c r="W100" s="83"/>
      <c r="X100" s="83"/>
      <c r="Y100" s="83"/>
      <c r="Z100" s="83"/>
    </row>
    <row r="101" spans="3:26">
      <c r="C101" s="48"/>
      <c r="D101" s="52"/>
      <c r="E101" s="52"/>
      <c r="F101" s="52"/>
      <c r="G101" s="53"/>
      <c r="W101" s="83"/>
      <c r="X101" s="83"/>
      <c r="Y101" s="83"/>
      <c r="Z101" s="83"/>
    </row>
    <row r="102" spans="3:26">
      <c r="C102" s="48"/>
      <c r="D102" s="52"/>
      <c r="E102" s="52"/>
      <c r="F102" s="52"/>
      <c r="G102" s="53"/>
      <c r="W102" s="83"/>
      <c r="X102" s="83"/>
      <c r="Y102" s="83"/>
      <c r="Z102" s="83"/>
    </row>
    <row r="103" spans="3:26">
      <c r="C103" s="48"/>
      <c r="D103" s="52"/>
      <c r="E103" s="52"/>
      <c r="F103" s="52"/>
      <c r="G103" s="53"/>
      <c r="W103" s="83"/>
      <c r="X103" s="83"/>
      <c r="Y103" s="83"/>
      <c r="Z103" s="83"/>
    </row>
    <row r="104" spans="3:26">
      <c r="W104" s="83"/>
      <c r="X104" s="83"/>
      <c r="Y104" s="83"/>
      <c r="Z104" s="83"/>
    </row>
    <row r="105" spans="3:26">
      <c r="D105" s="148"/>
      <c r="E105" s="148"/>
      <c r="F105" s="148"/>
      <c r="G105" s="148"/>
    </row>
    <row r="106" spans="3:26">
      <c r="E106" s="149"/>
      <c r="F106" s="149"/>
      <c r="G106" s="149"/>
    </row>
    <row r="107" spans="3:26">
      <c r="E107" s="93"/>
      <c r="F107" s="93"/>
      <c r="G107" s="93"/>
    </row>
    <row r="108" spans="3:26">
      <c r="E108" s="162"/>
      <c r="F108" s="162"/>
      <c r="G108" s="162"/>
    </row>
  </sheetData>
  <mergeCells count="20">
    <mergeCell ref="C94:G95"/>
    <mergeCell ref="J33:L33"/>
    <mergeCell ref="H34:H35"/>
    <mergeCell ref="J45:L45"/>
    <mergeCell ref="V49:V50"/>
    <mergeCell ref="V67:V68"/>
    <mergeCell ref="W49:W50"/>
    <mergeCell ref="J57:L57"/>
    <mergeCell ref="W19:Z19"/>
    <mergeCell ref="P20:Q20"/>
    <mergeCell ref="R20:S20"/>
    <mergeCell ref="T20:U20"/>
    <mergeCell ref="H21:L21"/>
    <mergeCell ref="J23:L23"/>
    <mergeCell ref="P19:U19"/>
    <mergeCell ref="D5:K5"/>
    <mergeCell ref="B13:N14"/>
    <mergeCell ref="B15:N16"/>
    <mergeCell ref="C19:G19"/>
    <mergeCell ref="H19:L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 SIREM TREFIMALLAS</vt:lpstr>
      <vt:lpstr>comp datos trefimallas-sirem </vt:lpstr>
      <vt:lpstr>Dishierros</vt:lpstr>
      <vt:lpstr>Distriacero Figurado</vt:lpstr>
      <vt:lpstr>Figuhierros</vt:lpstr>
      <vt:lpstr>Metalcenter</vt:lpstr>
      <vt:lpstr>Sector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Gonzalo Castellanos</dc:creator>
  <cp:lastModifiedBy>Diego</cp:lastModifiedBy>
  <cp:lastPrinted>2005-05-26T00:59:22Z</cp:lastPrinted>
  <dcterms:created xsi:type="dcterms:W3CDTF">2005-04-11T01:28:53Z</dcterms:created>
  <dcterms:modified xsi:type="dcterms:W3CDTF">2012-07-10T00:06:56Z</dcterms:modified>
</cp:coreProperties>
</file>