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C:\Users\Julis\Downloads\PROYECTO DE INTEGRACIÓN\"/>
    </mc:Choice>
  </mc:AlternateContent>
  <xr:revisionPtr revIDLastSave="0" documentId="13_ncr:1_{FF77BFC2-F8D6-469B-B215-484E06708F99}" xr6:coauthVersionLast="47" xr6:coauthVersionMax="47" xr10:uidLastSave="{00000000-0000-0000-0000-000000000000}"/>
  <bookViews>
    <workbookView xWindow="-120" yWindow="-120" windowWidth="20730" windowHeight="11040" tabRatio="703" activeTab="5" xr2:uid="{00000000-000D-0000-FFFF-FFFF00000000}"/>
  </bookViews>
  <sheets>
    <sheet name="Menú" sheetId="7" r:id="rId1"/>
    <sheet name="1" sheetId="1" r:id="rId2"/>
    <sheet name="2" sheetId="4" r:id="rId3"/>
    <sheet name="3" sheetId="3" r:id="rId4"/>
    <sheet name="4" sheetId="5" r:id="rId5"/>
    <sheet name="5" sheetId="6" r:id="rId6"/>
    <sheet name="0" sheetId="8" r:id="rId7"/>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8" l="1"/>
  <c r="D11" i="8"/>
  <c r="C12" i="8"/>
  <c r="D12" i="8" s="1"/>
  <c r="C11" i="8"/>
  <c r="C10" i="8"/>
  <c r="E10" i="8" s="1"/>
  <c r="C9" i="8"/>
  <c r="C8" i="8"/>
  <c r="D8" i="8" s="1"/>
  <c r="C7" i="8"/>
  <c r="B39" i="6"/>
  <c r="B40" i="6" s="1"/>
  <c r="B41" i="6" s="1"/>
  <c r="B42" i="6" s="1"/>
  <c r="B43" i="6" s="1"/>
  <c r="B44" i="6" s="1"/>
  <c r="B45" i="6" s="1"/>
  <c r="B46" i="6" s="1"/>
  <c r="B47" i="6" s="1"/>
  <c r="C39" i="6"/>
  <c r="C40" i="6"/>
  <c r="C41" i="6"/>
  <c r="C42" i="6"/>
  <c r="C43" i="6"/>
  <c r="C44" i="6"/>
  <c r="C45" i="6"/>
  <c r="C46" i="6"/>
  <c r="C47" i="6"/>
  <c r="C38" i="6"/>
  <c r="E9" i="8" l="1"/>
  <c r="D7" i="8"/>
  <c r="E7" i="8" s="1"/>
  <c r="D9" i="8"/>
  <c r="E12" i="8"/>
  <c r="E11" i="8"/>
  <c r="E8" i="8"/>
  <c r="F11" i="5"/>
  <c r="G11" i="5"/>
  <c r="E13" i="8" l="1"/>
  <c r="E14" i="8" s="1"/>
  <c r="E11" i="5"/>
  <c r="D11" i="5"/>
  <c r="C11" i="5"/>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I2" i="1" s="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D46" i="6" s="1"/>
  <c r="E46" i="6" s="1"/>
  <c r="F23" i="6"/>
  <c r="D47" i="6" s="1"/>
  <c r="E47" i="6" s="1"/>
  <c r="F18" i="6"/>
  <c r="D42" i="6" s="1"/>
  <c r="E42" i="6" s="1"/>
  <c r="F19" i="6"/>
  <c r="D43" i="6" s="1"/>
  <c r="E43" i="6" s="1"/>
  <c r="F15" i="6"/>
  <c r="D39" i="6" s="1"/>
  <c r="E39" i="6" s="1"/>
  <c r="F17" i="6"/>
  <c r="D41" i="6" s="1"/>
  <c r="E41" i="6" s="1"/>
  <c r="F14" i="6"/>
  <c r="D38" i="6" s="1"/>
  <c r="E38" i="6" s="1"/>
  <c r="F16" i="6"/>
  <c r="D40" i="6" s="1"/>
  <c r="E40" i="6" s="1"/>
  <c r="F20" i="6"/>
  <c r="D44" i="6" s="1"/>
  <c r="E44" i="6" s="1"/>
  <c r="F21" i="6"/>
  <c r="D45" i="6" s="1"/>
  <c r="E45" i="6" s="1"/>
  <c r="V13" i="1"/>
  <c r="V27" i="1"/>
  <c r="E33" i="1" s="1"/>
  <c r="F7" i="5" s="1"/>
  <c r="W27" i="1"/>
  <c r="W13" i="1"/>
  <c r="E26" i="5"/>
  <c r="E48" i="5" s="1"/>
  <c r="E50" i="5" s="1"/>
  <c r="G49" i="5"/>
  <c r="C34" i="1"/>
  <c r="D7" i="5"/>
  <c r="D8" i="5" s="1"/>
  <c r="D34" i="1"/>
  <c r="E7" i="5"/>
  <c r="E8" i="5" s="1"/>
  <c r="F31" i="1"/>
  <c r="E13" i="3" s="1"/>
  <c r="E48" i="6" l="1"/>
  <c r="E28" i="6" s="1"/>
  <c r="F43" i="5"/>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I12" i="3" s="1"/>
  <c r="D44" i="5"/>
  <c r="D46" i="5" s="1"/>
  <c r="D52" i="5" s="1"/>
  <c r="E45" i="5"/>
  <c r="E17" i="5"/>
  <c r="E35" i="5" s="1"/>
  <c r="E36" i="5" s="1"/>
  <c r="E31" i="5" l="1"/>
  <c r="E32" i="5" s="1"/>
  <c r="E38" i="5" s="1"/>
  <c r="E22" i="5" s="1"/>
  <c r="E27" i="5" s="1"/>
  <c r="E39" i="5" s="1"/>
  <c r="F12" i="3"/>
  <c r="G12" i="3" s="1"/>
  <c r="F14" i="5" s="1"/>
  <c r="F15" i="5" s="1"/>
  <c r="F16" i="5" s="1"/>
  <c r="F17" i="5" s="1"/>
  <c r="F35" i="5" s="1"/>
  <c r="F36" i="5" s="1"/>
  <c r="D58" i="5"/>
  <c r="D59" i="5" s="1"/>
  <c r="E7" i="6" s="1"/>
  <c r="H12" i="3" l="1"/>
  <c r="J12" i="3" s="1"/>
  <c r="F13" i="3" s="1"/>
  <c r="G13" i="3" s="1"/>
  <c r="G14" i="5" s="1"/>
  <c r="G15" i="5" s="1"/>
  <c r="G16" i="5" s="1"/>
  <c r="G17" i="5" s="1"/>
  <c r="F29" i="5"/>
  <c r="F45" i="5" s="1"/>
  <c r="E44" i="5"/>
  <c r="E46" i="5" s="1"/>
  <c r="E52" i="5" s="1"/>
  <c r="F31" i="5" l="1"/>
  <c r="I13" i="3"/>
  <c r="H13" i="3" s="1"/>
  <c r="J13" i="3" s="1"/>
  <c r="G31" i="5" s="1"/>
  <c r="G29" i="5"/>
  <c r="G30" i="5" s="1"/>
  <c r="F30" i="5"/>
  <c r="E58" i="5"/>
  <c r="E59" i="5" s="1"/>
  <c r="F7" i="6" s="1"/>
  <c r="G35" i="5"/>
  <c r="G36" i="5" s="1"/>
  <c r="G32" i="5" l="1"/>
  <c r="G38" i="5" s="1"/>
  <c r="G22" i="5" s="1"/>
  <c r="F32" i="5"/>
  <c r="F38" i="5" s="1"/>
  <c r="F22" i="5" s="1"/>
  <c r="F44" i="5" s="1"/>
  <c r="F46" i="5" s="1"/>
  <c r="F52" i="5" s="1"/>
  <c r="F58" i="5" s="1"/>
  <c r="F59" i="5" s="1"/>
  <c r="G7" i="6" s="1"/>
  <c r="G45" i="5"/>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42086795-ADE8-447F-8FCB-8851119CD1A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F8928834-060B-411D-B951-F45EE7D2182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04894C30-42FE-4A7C-8E14-96373922CA6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FC22BAD1-5AEF-4FE9-9B9D-D61243D0965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947A1005-5077-4BEE-AF8F-3830F84FC69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2BCF10D3-E7D9-4028-B3BC-486AB08AA2F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6D6724CB-4BF5-4B71-BCBE-A474F9F7459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E229F374-8F6D-4ECE-92BA-208CEEEBB6C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<sst xmlns="http://schemas.openxmlformats.org/spreadsheetml/2006/main" count="193" uniqueCount="183">
  <si>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</si>
  <si>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</si>
  <si>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</si>
  <si>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</si>
  <si>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</si>
  <si>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</si>
  <si>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</si>
  <si>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</si>
  <si>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</si>
  <si>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</si>
  <si>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</si>
  <si>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</si>
  <si>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</si>
  <si>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</si>
  <si>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</si>
  <si>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</si>
  <si>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</si>
  <si>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</si>
  <si>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</si>
  <si>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</si>
  <si>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</si>
  <si>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</si>
  <si>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</si>
  <si>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</si>
  <si>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</si>
  <si>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</si>
  <si>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</si>
  <si>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</si>
  <si>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</si>
  <si>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</si>
  <si>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</si>
  <si>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</si>
  <si>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</si>
  <si>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</si>
  <si>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</si>
  <si>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</si>
  <si>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</si>
  <si>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</si>
  <si>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</si>
  <si>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</si>
  <si>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</si>
  <si>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</si>
  <si>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</si>
  <si>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</si>
  <si>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</si>
  <si>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</si>
  <si>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</si>
  <si>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</si>
  <si>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</si>
  <si>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</si>
  <si>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</si>
  <si>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</si>
  <si>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</si>
  <si>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</si>
  <si>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</si>
  <si>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</si>
  <si>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</si>
  <si>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</si>
  <si>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</si>
  <si>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</si>
  <si>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</si>
  <si>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</si>
  <si>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</si>
  <si>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</si>
  <si>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</si>
  <si>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</si>
  <si>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</si>
  <si>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</si>
  <si>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</si>
  <si>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</si>
  <si>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</si>
  <si>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</si>
  <si>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</si>
  <si>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</si>
  <si>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</si>
  <si>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</si>
  <si>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</si>
  <si>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</si>
  <si>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</si>
  <si>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</si>
  <si>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</si>
  <si>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</si>
  <si>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</si>
  <si>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</si>
  <si>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</si>
  <si>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</si>
  <si>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</si>
  <si>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</si>
  <si>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</si>
  <si>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</si>
  <si>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</si>
  <si>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</si>
  <si>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</si>
  <si>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</si>
  <si>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</si>
  <si>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</si>
  <si>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</si>
  <si>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</si>
  <si>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</si>
  <si>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</si>
  <si>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</si>
  <si>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</si>
  <si>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</si>
  <si>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</si>
  <si>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</si>
  <si>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</si>
  <si>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</si>
  <si>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</si>
  <si>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</si>
  <si>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</si>
  <si>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</si>
  <si>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</si>
  <si>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</si>
  <si>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</si>
  <si>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</si>
  <si>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</si>
  <si>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</si>
  <si>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</si>
  <si>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</si>
  <si>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</si>
  <si>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</si>
  <si>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</si>
  <si>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</si>
  <si>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</si>
  <si>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</si>
  <si>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</si>
  <si>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</si>
  <si>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</si>
  <si>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</si>
  <si>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</si>
  <si>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</si>
  <si>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</si>
  <si>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</si>
  <si>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</si>
  <si>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</si>
  <si>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</si>
  <si>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</si>
  <si>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</si>
  <si>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</si>
  <si>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</si>
  <si>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</si>
  <si>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</si>
  <si>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</si>
  <si>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</si>
  <si>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</si>
  <si>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</si>
  <si>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</si>
  <si>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</si>
  <si>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</si>
  <si>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</si>
  <si>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</si>
  <si>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</si>
  <si>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</si>
  <si>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</si>
  <si>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</si>
  <si>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SOFTWARE DE CONTEOS CÍCLICOS</t>
  </si>
  <si>
    <t xml:space="preserve">VISITA DE ANÁLISIS </t>
  </si>
  <si>
    <t>ACOMPAÑAMIENTOS DE ASESORÍA</t>
  </si>
  <si>
    <t>SOPORTE TÉCNICO PARA REQUERIMIENTOS ADICIONALES</t>
  </si>
  <si>
    <t>INCORPORACIÓN DE FUNCIONES ADICIONALES</t>
  </si>
  <si>
    <t>COSTOS DE SERVICIO</t>
  </si>
  <si>
    <t>Producto</t>
  </si>
  <si>
    <t xml:space="preserve">Descripción </t>
  </si>
  <si>
    <t>Valor total</t>
  </si>
  <si>
    <t>Tipo de costo</t>
  </si>
  <si>
    <t>Valor unitario</t>
  </si>
  <si>
    <t>SUMATORIA DE COSTOS</t>
  </si>
  <si>
    <t>MARGEN DE RENTABILIDAD</t>
  </si>
  <si>
    <t>PRECIO DE VENTA</t>
  </si>
  <si>
    <t>Costo de capacitación al personal en el uso del software desarrollado</t>
  </si>
  <si>
    <t>Costos directos, fijos</t>
  </si>
  <si>
    <t>Costos indirectos, variables</t>
  </si>
  <si>
    <t>Costos indirectos, fijos</t>
  </si>
  <si>
    <t>Costos variables, fijos</t>
  </si>
  <si>
    <t>Costos variables, variables</t>
  </si>
  <si>
    <t>SOFTWARE</t>
  </si>
  <si>
    <t>Unidades</t>
  </si>
  <si>
    <t>Licencias de software, herramientas de desarrollo, etc. (número de software)</t>
  </si>
  <si>
    <t>Nómina trabajadores (días)</t>
  </si>
  <si>
    <t>Costo de la electricidad utilizada durante el desarrollo del software (días por KW)</t>
  </si>
  <si>
    <t>Costo del servicio de internet utilizado durante el desarrollo del software ( mensualidad paquete)</t>
  </si>
  <si>
    <t>Costo del mantenimiento del software después de su entrega (días)</t>
  </si>
  <si>
    <t>Software de Conteos cíclicos (paquete completo)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</si>
</sst>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5" formatCode="_-[$$-409]* #,##0.00_ ;_-[$$-409]* \-#,##0.00\ ;_-[$$-409]* &quot;-&quot;??_ ;_-@_ "/>
    <numFmt numFmtId="188" formatCode="_-[$$-409]* #,##0_ ;_-[$$-409]* \-#,##0\ ;_-[$$-409]* &quot;-&quot;??_ ;_-@_ "/>
  </numFmts>
  <fonts count="53"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b/>
      <sz val="11"/>
      <color theme="0"/>
      <name val="Calibri"/>
      <family val="2"/>
      <scheme val="minor"/>
    </font>
    <font>
      <b/>
      <i/>
      <sz val="11"/>
      <color theme="1"/>
      <name val="Calibri"/>
      <family val="2"/>
      <scheme val="minor"/>
    </font>
  </fonts>
  <fills count="10">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39997558519241921"/>
        <bgColor indexed="64"/>
      </patternFill>
    </fill>
  </fills>
  <borders count="18">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8">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166"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18" fillId="0" borderId="0" xfId="0" applyFont="1" applyAlignment="1" applyProtection="1">
      <alignment horizontal="center"/>
      <protection hidden="1"/>
    </xf>
    <xf numFmtId="166" fontId="51" fillId="0" borderId="0" xfId="1" applyFont="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2" fillId="0" borderId="0" xfId="0" applyFont="1"/>
    <xf numFmtId="0" fontId="2" fillId="0" borderId="0" xfId="0" applyFont="1" applyAlignment="1">
      <alignment horizontal="center"/>
    </xf>
    <xf numFmtId="188" fontId="0" fillId="0" borderId="0" xfId="0" applyNumberFormat="1"/>
    <xf numFmtId="0" fontId="2" fillId="0" borderId="0" xfId="0" applyFont="1"/>
    <xf numFmtId="0" fontId="2" fillId="8" borderId="17" xfId="0" applyFont="1" applyFill="1" applyBorder="1"/>
    <xf numFmtId="0" fontId="0" fillId="0" borderId="17" xfId="0" applyBorder="1"/>
    <xf numFmtId="185" fontId="0" fillId="0" borderId="17" xfId="0" applyNumberFormat="1" applyBorder="1"/>
    <xf numFmtId="188" fontId="0" fillId="0" borderId="17" xfId="0" applyNumberFormat="1" applyBorder="1"/>
    <xf numFmtId="2" fontId="6" fillId="0" borderId="17" xfId="0" applyNumberFormat="1" applyFont="1" applyBorder="1" applyAlignment="1" applyProtection="1">
      <alignment horizontal="center"/>
      <protection hidden="1"/>
    </xf>
    <xf numFmtId="1" fontId="6" fillId="0" borderId="17" xfId="0" applyNumberFormat="1" applyFont="1" applyBorder="1" applyAlignment="1" applyProtection="1">
      <alignment horizontal="center"/>
      <protection hidden="1"/>
    </xf>
    <xf numFmtId="1" fontId="6" fillId="0" borderId="17" xfId="1" applyNumberFormat="1" applyFont="1" applyBorder="1" applyAlignment="1" applyProtection="1">
      <alignment horizontal="center"/>
      <protection hidden="1"/>
    </xf>
    <xf numFmtId="0" fontId="2" fillId="9" borderId="0" xfId="0" applyFont="1" applyFill="1" applyAlignment="1">
      <alignment horizontal="center"/>
    </xf>
    <xf numFmtId="9" fontId="0" fillId="9" borderId="0" xfId="2" applyFont="1" applyFill="1"/>
    <xf numFmtId="0" fontId="0" fillId="0" borderId="0" xfId="0" applyAlignment="1">
      <alignment wrapText="1"/>
    </xf>
    <xf numFmtId="0" fontId="2" fillId="8" borderId="17" xfId="0" applyFont="1" applyFill="1" applyBorder="1" applyAlignment="1">
      <alignment wrapText="1"/>
    </xf>
    <xf numFmtId="0" fontId="0" fillId="0" borderId="17" xfId="0" applyBorder="1" applyAlignment="1">
      <alignment wrapText="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740.67100977198697</c:v>
                </c:pt>
                <c:pt idx="2">
                  <c:v>1481.3420195439739</c:v>
                </c:pt>
              </c:numCache>
            </c:numRef>
          </c:cat>
          <c:val>
            <c:numRef>
              <c:f>'5'!$C$32:$C$34</c:f>
              <c:numCache>
                <c:formatCode>_("$"\ * #,##0.00_);_("$"\ * \(#,##0.00\);_("$"\ * "-"??_);_(@_)</c:formatCode>
                <c:ptCount val="3"/>
                <c:pt idx="0">
                  <c:v>385400000</c:v>
                </c:pt>
                <c:pt idx="1">
                  <c:v>385400000</c:v>
                </c:pt>
                <c:pt idx="2">
                  <c:v>385400000</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740.67100977198697</c:v>
                </c:pt>
                <c:pt idx="2">
                  <c:v>1481.3420195439739</c:v>
                </c:pt>
              </c:numCache>
            </c:numRef>
          </c:cat>
          <c:val>
            <c:numRef>
              <c:f>'5'!$D$32:$D$34</c:f>
              <c:numCache>
                <c:formatCode>_("$"\ * #,##0.00_);_("$"\ * \(#,##0.00\);_("$"\ * "-"??_);_(@_)</c:formatCode>
                <c:ptCount val="3"/>
                <c:pt idx="0" formatCode="General">
                  <c:v>0</c:v>
                </c:pt>
                <c:pt idx="1">
                  <c:v>795907491.85667753</c:v>
                </c:pt>
                <c:pt idx="2">
                  <c:v>1591814983.7133551</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740.67100977198697</c:v>
                </c:pt>
                <c:pt idx="2">
                  <c:v>1481.3420195439739</c:v>
                </c:pt>
              </c:numCache>
            </c:numRef>
          </c:cat>
          <c:val>
            <c:numRef>
              <c:f>'5'!$F$32:$F$34</c:f>
              <c:numCache>
                <c:formatCode>_("$"\ * #,##0.00_);_("$"\ * \(#,##0.00\);_("$"\ * "-"??_);_(@_)</c:formatCode>
                <c:ptCount val="3"/>
                <c:pt idx="0">
                  <c:v>385400000</c:v>
                </c:pt>
                <c:pt idx="1">
                  <c:v>795907491.85667753</c:v>
                </c:pt>
                <c:pt idx="2">
                  <c:v>1206414983.7133551</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E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1</xdr:col>
      <xdr:colOff>1192753</xdr:colOff>
      <xdr:row>3</xdr:row>
      <xdr:rowOff>66673</xdr:rowOff>
    </xdr:to>
    <xdr:pic>
      <xdr:nvPicPr>
        <xdr:cNvPr id="2" name="Picture 1">
          <a:extLst>
            <a:ext uri="{FF2B5EF4-FFF2-40B4-BE49-F238E27FC236}">
              <a16:creationId xmlns:a16="http://schemas.microsoft.com/office/drawing/2014/main" id="{3D0BCD13-1116-A80C-C573-6374877B13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0"/>
          <a:ext cx="1678528" cy="638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x14ac:dyDescent="0.25"/>
  <sheetData>
    <row r="23" spans="7:8" ht="20.25" x14ac:dyDescent="0.3">
      <c r="G23" s="140" t="s">
        <v>136</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70" zoomScaleNormal="70" workbookViewId="0">
      <selection activeCell="G2" sqref="G2"/>
    </sheetView>
  </sheetViews>
  <sheetFormatPr defaultColWidth="11.42578125" defaultRowHeight="15" x14ac:dyDescent="0.25"/>
  <cols>
    <col min="1" max="1" width="22.5703125" style="8" customWidth="1"/>
    <col min="2" max="2" width="66.28515625" style="8"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6" width="9.85546875" style="8" bestFit="1" customWidth="1"/>
    <col min="27"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42" t="s">
        <v>5</v>
      </c>
      <c r="B1" s="142"/>
      <c r="C1" s="142"/>
      <c r="D1" s="142"/>
      <c r="E1" s="142"/>
      <c r="G1" s="143" t="s">
        <v>12</v>
      </c>
      <c r="H1" s="143"/>
      <c r="I1" s="143"/>
      <c r="J1" s="143"/>
      <c r="P1" s="8" t="s">
        <v>16</v>
      </c>
      <c r="Y1" s="15" t="s">
        <v>9</v>
      </c>
      <c r="Z1" s="50">
        <v>2023</v>
      </c>
      <c r="AA1" s="16"/>
    </row>
    <row r="2" spans="1:29" ht="32.25" customHeight="1" thickBot="1" x14ac:dyDescent="0.4">
      <c r="B2" s="17" t="s">
        <v>4</v>
      </c>
      <c r="C2" s="18" t="s">
        <v>0</v>
      </c>
      <c r="D2" s="17" t="s">
        <v>7</v>
      </c>
      <c r="E2" s="18" t="s">
        <v>1</v>
      </c>
      <c r="F2" s="19" t="s">
        <v>27</v>
      </c>
      <c r="G2" s="20">
        <f>'1'!Z1+1</f>
        <v>2024</v>
      </c>
      <c r="H2" s="20">
        <f>G2+1</f>
        <v>2025</v>
      </c>
      <c r="I2" s="20">
        <f t="shared" ref="I2:J2" si="0">H2+1</f>
        <v>2026</v>
      </c>
      <c r="J2" s="20">
        <f t="shared" si="0"/>
        <v>2027</v>
      </c>
      <c r="L2" s="8">
        <f>G2</f>
        <v>2024</v>
      </c>
      <c r="M2" s="8">
        <f>H2</f>
        <v>2025</v>
      </c>
      <c r="N2" s="8">
        <f>M2+1</f>
        <v>2026</v>
      </c>
      <c r="O2" s="8">
        <f>N2+1</f>
        <v>2027</v>
      </c>
      <c r="P2" s="8" t="s">
        <v>13</v>
      </c>
      <c r="Q2" s="8" t="s">
        <v>11</v>
      </c>
      <c r="R2" s="8" t="s">
        <v>23</v>
      </c>
      <c r="S2" s="8" t="s">
        <v>24</v>
      </c>
      <c r="T2" s="8" t="s">
        <v>17</v>
      </c>
      <c r="U2" s="8" t="s">
        <v>18</v>
      </c>
      <c r="V2" s="8" t="s">
        <v>25</v>
      </c>
      <c r="W2" s="8" t="s">
        <v>26</v>
      </c>
      <c r="Y2" s="16"/>
      <c r="Z2" s="16"/>
      <c r="AA2" s="16"/>
    </row>
    <row r="3" spans="1:29" ht="24" thickBot="1" x14ac:dyDescent="0.4">
      <c r="A3" s="21">
        <v>1</v>
      </c>
      <c r="B3" s="13" t="s">
        <v>155</v>
      </c>
      <c r="C3" s="56">
        <v>200</v>
      </c>
      <c r="D3" s="14">
        <v>2000000</v>
      </c>
      <c r="E3" s="22">
        <f>C3*D3</f>
        <v>400000000</v>
      </c>
      <c r="F3" s="23">
        <f>IF($E$13=0,0,E3/$E$13)</f>
        <v>0.33898305084745761</v>
      </c>
      <c r="G3" s="122">
        <v>0.05</v>
      </c>
      <c r="H3" s="122">
        <v>0.1</v>
      </c>
      <c r="I3" s="122">
        <v>0.15</v>
      </c>
      <c r="J3" s="122">
        <v>0.2</v>
      </c>
      <c r="K3" s="24"/>
      <c r="L3" s="8">
        <f t="shared" ref="L3:L12" si="1">C3*(1+G3)</f>
        <v>210</v>
      </c>
      <c r="M3" s="8">
        <f>L3*(1+H3)</f>
        <v>231.00000000000003</v>
      </c>
      <c r="N3" s="8">
        <f t="shared" ref="N3:O3" si="2">M3*(1+I3)</f>
        <v>265.65000000000003</v>
      </c>
      <c r="O3" s="8">
        <f t="shared" si="2"/>
        <v>318.78000000000003</v>
      </c>
      <c r="P3" s="25">
        <f>D3*(1+'1'!$Z$4)</f>
        <v>2134000</v>
      </c>
      <c r="Q3" s="25">
        <f>P3*(1+'1'!$AA$4)</f>
        <v>2227896</v>
      </c>
      <c r="R3" s="25">
        <f>Q3*(1+'1'!$AB$4)</f>
        <v>2312556.048</v>
      </c>
      <c r="S3" s="25">
        <f>R3*(1+'1'!$AC$4)</f>
        <v>2391182.9536319999</v>
      </c>
      <c r="T3" s="26">
        <f>L3*P3</f>
        <v>448140000</v>
      </c>
      <c r="U3" s="26">
        <f>M3*Q3</f>
        <v>514643976.00000006</v>
      </c>
      <c r="V3" s="26">
        <f>N3*R3</f>
        <v>614330514.15120006</v>
      </c>
      <c r="W3" s="26">
        <f>O3*S3</f>
        <v>762261301.95880902</v>
      </c>
      <c r="X3" s="26"/>
      <c r="Y3" s="27" t="s">
        <v>10</v>
      </c>
      <c r="Z3" s="28">
        <f>G2</f>
        <v>2024</v>
      </c>
      <c r="AA3" s="28">
        <f>Z3+1</f>
        <v>2025</v>
      </c>
      <c r="AB3" s="28">
        <f t="shared" ref="AB3:AC3" si="3">AA3+1</f>
        <v>2026</v>
      </c>
      <c r="AC3" s="29">
        <f t="shared" si="3"/>
        <v>2027</v>
      </c>
    </row>
    <row r="4" spans="1:29" ht="23.25" x14ac:dyDescent="0.35">
      <c r="A4" s="21">
        <f>A3+1</f>
        <v>2</v>
      </c>
      <c r="B4" s="13" t="s">
        <v>156</v>
      </c>
      <c r="C4" s="56">
        <v>200</v>
      </c>
      <c r="D4" s="14">
        <v>600000</v>
      </c>
      <c r="E4" s="22">
        <f t="shared" ref="E4:E12" si="4">C4*D4</f>
        <v>120000000</v>
      </c>
      <c r="F4" s="23">
        <f t="shared" ref="F4:F12" si="5">IF($E$13=0,0,E4/$E$13)</f>
        <v>0.10169491525423729</v>
      </c>
      <c r="G4" s="122">
        <v>0.05</v>
      </c>
      <c r="H4" s="122">
        <v>0.1</v>
      </c>
      <c r="I4" s="122">
        <v>0.15</v>
      </c>
      <c r="J4" s="122">
        <v>0.2</v>
      </c>
      <c r="K4" s="24"/>
      <c r="L4" s="8">
        <f t="shared" si="1"/>
        <v>210</v>
      </c>
      <c r="M4" s="8">
        <f t="shared" ref="M4:M12" si="6">L4*(1+H4)</f>
        <v>231.00000000000003</v>
      </c>
      <c r="N4" s="8">
        <f t="shared" ref="N4:N12" si="7">M4*(1+I4)</f>
        <v>265.65000000000003</v>
      </c>
      <c r="O4" s="8">
        <f t="shared" ref="O4:O12" si="8">N4*(1+J4)</f>
        <v>318.78000000000003</v>
      </c>
      <c r="P4" s="25">
        <f>D4*(1+'1'!$Z$4)</f>
        <v>640200</v>
      </c>
      <c r="Q4" s="25">
        <f>P4*(1+'1'!$AA$4)</f>
        <v>668368.80000000005</v>
      </c>
      <c r="R4" s="25">
        <f>Q4*(1+'1'!$AB$4)</f>
        <v>693766.81440000003</v>
      </c>
      <c r="S4" s="25">
        <f>R4*(1+'1'!$AC$4)</f>
        <v>717354.88608960004</v>
      </c>
      <c r="T4" s="26">
        <f t="shared" ref="T4:T12" si="9">L4*P4</f>
        <v>134442000</v>
      </c>
      <c r="U4" s="26">
        <f t="shared" ref="U4:U12" si="10">M4*Q4</f>
        <v>154393192.80000004</v>
      </c>
      <c r="V4" s="26">
        <f t="shared" ref="V4:V12" si="11">N4*R4</f>
        <v>184299154.24536005</v>
      </c>
      <c r="W4" s="26">
        <f t="shared" ref="W4:W12" si="12">O4*S4</f>
        <v>228678390.58764273</v>
      </c>
      <c r="X4" s="26"/>
      <c r="Y4" s="124" t="s">
        <v>14</v>
      </c>
      <c r="Z4" s="51">
        <v>6.7000000000000004E-2</v>
      </c>
      <c r="AA4" s="51">
        <v>4.3999999999999997E-2</v>
      </c>
      <c r="AB4" s="51">
        <v>3.7999999999999999E-2</v>
      </c>
      <c r="AC4" s="52">
        <v>3.4000000000000002E-2</v>
      </c>
    </row>
    <row r="5" spans="1:29" ht="24" thickBot="1" x14ac:dyDescent="0.4">
      <c r="A5" s="21">
        <f t="shared" ref="A5:A12" si="13">A4+1</f>
        <v>3</v>
      </c>
      <c r="B5" s="13" t="s">
        <v>157</v>
      </c>
      <c r="C5" s="56">
        <v>800</v>
      </c>
      <c r="D5" s="14">
        <v>600000</v>
      </c>
      <c r="E5" s="22">
        <f t="shared" si="4"/>
        <v>480000000</v>
      </c>
      <c r="F5" s="23">
        <f t="shared" si="5"/>
        <v>0.40677966101694918</v>
      </c>
      <c r="G5" s="122">
        <v>0.05</v>
      </c>
      <c r="H5" s="122">
        <v>0.1</v>
      </c>
      <c r="I5" s="122">
        <v>0.15</v>
      </c>
      <c r="J5" s="122">
        <v>0.2</v>
      </c>
      <c r="K5" s="24"/>
      <c r="L5" s="8">
        <f t="shared" si="1"/>
        <v>840</v>
      </c>
      <c r="M5" s="8">
        <f t="shared" si="6"/>
        <v>924.00000000000011</v>
      </c>
      <c r="N5" s="8">
        <f t="shared" si="7"/>
        <v>1062.6000000000001</v>
      </c>
      <c r="O5" s="8">
        <f t="shared" si="8"/>
        <v>1275.1200000000001</v>
      </c>
      <c r="P5" s="25">
        <f>D5*(1+'1'!$Z$4)</f>
        <v>640200</v>
      </c>
      <c r="Q5" s="25">
        <f>P5*(1+'1'!$AA$4)</f>
        <v>668368.80000000005</v>
      </c>
      <c r="R5" s="25">
        <f>Q5*(1+'1'!$AB$4)</f>
        <v>693766.81440000003</v>
      </c>
      <c r="S5" s="25">
        <f>R5*(1+'1'!$AC$4)</f>
        <v>717354.88608960004</v>
      </c>
      <c r="T5" s="26">
        <f t="shared" si="9"/>
        <v>537768000</v>
      </c>
      <c r="U5" s="26">
        <f t="shared" si="10"/>
        <v>617572771.20000017</v>
      </c>
      <c r="V5" s="26">
        <f t="shared" si="11"/>
        <v>737196616.98144019</v>
      </c>
      <c r="W5" s="26">
        <f t="shared" si="12"/>
        <v>914713562.35057092</v>
      </c>
      <c r="X5" s="26"/>
      <c r="Y5" s="125" t="s">
        <v>15</v>
      </c>
      <c r="Z5" s="53">
        <v>2.1399999999999999E-2</v>
      </c>
      <c r="AA5" s="53">
        <v>2.4E-2</v>
      </c>
      <c r="AB5" s="53">
        <v>2.7799999999999998E-2</v>
      </c>
      <c r="AC5" s="54">
        <v>3.09E-2</v>
      </c>
    </row>
    <row r="6" spans="1:29" ht="15.75" thickBot="1" x14ac:dyDescent="0.3">
      <c r="A6" s="21">
        <f t="shared" si="13"/>
        <v>4</v>
      </c>
      <c r="B6" s="13" t="s">
        <v>158</v>
      </c>
      <c r="C6" s="56">
        <v>200</v>
      </c>
      <c r="D6" s="14">
        <v>600000</v>
      </c>
      <c r="E6" s="22">
        <f t="shared" si="4"/>
        <v>120000000</v>
      </c>
      <c r="F6" s="23">
        <f t="shared" si="5"/>
        <v>0.10169491525423729</v>
      </c>
      <c r="G6" s="49">
        <v>0</v>
      </c>
      <c r="H6" s="49">
        <v>0</v>
      </c>
      <c r="I6" s="49">
        <v>0</v>
      </c>
      <c r="J6" s="49">
        <v>0</v>
      </c>
      <c r="K6" s="24"/>
      <c r="L6" s="8">
        <f t="shared" si="1"/>
        <v>200</v>
      </c>
      <c r="M6" s="8">
        <f t="shared" si="6"/>
        <v>200</v>
      </c>
      <c r="N6" s="8">
        <f t="shared" si="7"/>
        <v>200</v>
      </c>
      <c r="O6" s="8">
        <f t="shared" si="8"/>
        <v>200</v>
      </c>
      <c r="P6" s="25">
        <f>D6*(1+'1'!$Z$4)</f>
        <v>640200</v>
      </c>
      <c r="Q6" s="25">
        <f>P6*(1+'1'!$AA$4)</f>
        <v>668368.80000000005</v>
      </c>
      <c r="R6" s="25">
        <f>Q6*(1+'1'!$AB$4)</f>
        <v>693766.81440000003</v>
      </c>
      <c r="S6" s="25">
        <f>R6*(1+'1'!$AC$4)</f>
        <v>717354.88608960004</v>
      </c>
      <c r="T6" s="26">
        <f t="shared" si="9"/>
        <v>128040000</v>
      </c>
      <c r="U6" s="26">
        <f t="shared" si="10"/>
        <v>133673760.00000001</v>
      </c>
      <c r="V6" s="26">
        <f t="shared" si="11"/>
        <v>138753362.88</v>
      </c>
      <c r="W6" s="26">
        <f t="shared" si="12"/>
        <v>143470977.21792001</v>
      </c>
      <c r="X6" s="26"/>
    </row>
    <row r="7" spans="1:29" ht="24" thickBot="1" x14ac:dyDescent="0.4">
      <c r="A7" s="21">
        <f t="shared" si="13"/>
        <v>5</v>
      </c>
      <c r="B7" s="13" t="s">
        <v>159</v>
      </c>
      <c r="C7" s="56">
        <v>100</v>
      </c>
      <c r="D7" s="14">
        <v>600000</v>
      </c>
      <c r="E7" s="22">
        <f t="shared" si="4"/>
        <v>60000000</v>
      </c>
      <c r="F7" s="23">
        <f t="shared" si="5"/>
        <v>5.0847457627118647E-2</v>
      </c>
      <c r="G7" s="49">
        <v>0</v>
      </c>
      <c r="H7" s="49">
        <v>0</v>
      </c>
      <c r="I7" s="49">
        <v>0</v>
      </c>
      <c r="J7" s="49">
        <v>0</v>
      </c>
      <c r="K7" s="24"/>
      <c r="L7" s="8">
        <f t="shared" si="1"/>
        <v>100</v>
      </c>
      <c r="M7" s="8">
        <f t="shared" si="6"/>
        <v>100</v>
      </c>
      <c r="N7" s="8">
        <f t="shared" si="7"/>
        <v>100</v>
      </c>
      <c r="O7" s="8">
        <f t="shared" si="8"/>
        <v>100</v>
      </c>
      <c r="P7" s="25">
        <f>D7*(1+'1'!$Z$4)</f>
        <v>640200</v>
      </c>
      <c r="Q7" s="25">
        <f>P7*(1+'1'!$AA$4)</f>
        <v>668368.80000000005</v>
      </c>
      <c r="R7" s="25">
        <f>Q7*(1+'1'!$AB$4)</f>
        <v>693766.81440000003</v>
      </c>
      <c r="S7" s="25">
        <f>R7*(1+'1'!$AC$4)</f>
        <v>717354.88608960004</v>
      </c>
      <c r="T7" s="26">
        <f t="shared" si="9"/>
        <v>64020000</v>
      </c>
      <c r="U7" s="26">
        <f t="shared" si="10"/>
        <v>66836880.000000007</v>
      </c>
      <c r="V7" s="26">
        <f t="shared" si="11"/>
        <v>69376681.439999998</v>
      </c>
      <c r="W7" s="26">
        <f t="shared" si="12"/>
        <v>71735488.608960003</v>
      </c>
      <c r="X7" s="26"/>
      <c r="Y7" s="30" t="s">
        <v>91</v>
      </c>
      <c r="Z7" s="31"/>
      <c r="AA7" s="31"/>
      <c r="AB7" s="55">
        <v>0.34</v>
      </c>
      <c r="AC7" s="32"/>
    </row>
    <row r="8" spans="1:29" x14ac:dyDescent="0.25">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8</v>
      </c>
      <c r="E13" s="33">
        <f>SUM(E3:E12)</f>
        <v>1180000000</v>
      </c>
      <c r="F13" s="34">
        <f>SUM(F3:F12)</f>
        <v>0.99999999999999989</v>
      </c>
      <c r="T13" s="35">
        <f>SUM(T3:T12)</f>
        <v>1312410000</v>
      </c>
      <c r="U13" s="35">
        <f>SUM(U3:U12)</f>
        <v>1487120580.0000002</v>
      </c>
      <c r="V13" s="35">
        <f>SUM(V3:V12)</f>
        <v>1743956329.6980004</v>
      </c>
      <c r="W13" s="35">
        <f>SUM(W3:W12)</f>
        <v>2120859720.7239027</v>
      </c>
      <c r="X13" s="26"/>
    </row>
    <row r="15" spans="1:29" ht="23.25" customHeight="1" x14ac:dyDescent="0.25">
      <c r="A15" s="142" t="s">
        <v>6</v>
      </c>
      <c r="B15" s="142"/>
      <c r="C15" s="142"/>
      <c r="D15" s="142"/>
      <c r="E15" s="142"/>
      <c r="G15" s="36"/>
    </row>
    <row r="16" spans="1:29" ht="25.5" customHeight="1" x14ac:dyDescent="0.25">
      <c r="B16" s="17" t="s">
        <v>3</v>
      </c>
      <c r="C16" s="37" t="s">
        <v>0</v>
      </c>
      <c r="D16" s="116" t="s">
        <v>138</v>
      </c>
      <c r="E16" s="18" t="s">
        <v>2</v>
      </c>
      <c r="L16" s="8">
        <f>L2</f>
        <v>2024</v>
      </c>
      <c r="M16" s="8">
        <f t="shared" ref="M16:W16" si="14">M2</f>
        <v>2025</v>
      </c>
      <c r="N16" s="8">
        <f t="shared" si="14"/>
        <v>2026</v>
      </c>
      <c r="O16" s="8">
        <f t="shared" si="14"/>
        <v>2027</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5" t="str">
        <f>B3</f>
        <v>SOFTWARE DE CONTEOS CÍCLICOS</v>
      </c>
      <c r="C17" s="39">
        <f>C3</f>
        <v>200</v>
      </c>
      <c r="D17" s="14">
        <v>600000</v>
      </c>
      <c r="E17" s="22">
        <f>C17*D17</f>
        <v>120000000</v>
      </c>
      <c r="F17" s="23">
        <f>IF($E$27=0,0,E17/$E$27)</f>
        <v>0.14814814814814814</v>
      </c>
      <c r="L17" s="8">
        <f t="shared" ref="L17:L26" si="15">C17*(1+G3)</f>
        <v>210</v>
      </c>
      <c r="M17" s="8">
        <f>L17*(1+H3)</f>
        <v>231.00000000000003</v>
      </c>
      <c r="N17" s="8">
        <f t="shared" ref="N17:O17" si="16">M17*(1+I3)</f>
        <v>265.65000000000003</v>
      </c>
      <c r="O17" s="8">
        <f t="shared" si="16"/>
        <v>318.78000000000003</v>
      </c>
      <c r="P17" s="40">
        <f>D17*(1+'1'!$Z$5)</f>
        <v>612840</v>
      </c>
      <c r="Q17" s="25">
        <f>P17*(1+'1'!$AA$5)</f>
        <v>627548.16000000003</v>
      </c>
      <c r="R17" s="25">
        <f>Q17*(1+'1'!$AB$5)</f>
        <v>644993.99884800008</v>
      </c>
      <c r="S17" s="25">
        <f>R17*(1+'1'!$AC$5)</f>
        <v>664924.31341240322</v>
      </c>
      <c r="T17" s="40">
        <f t="shared" ref="T17:U19" si="17">L17*P17</f>
        <v>128696400</v>
      </c>
      <c r="U17" s="26">
        <f t="shared" si="17"/>
        <v>144963624.96000004</v>
      </c>
      <c r="V17" s="26">
        <f t="shared" ref="V17:W17" si="18">N17*R17</f>
        <v>171342655.79397124</v>
      </c>
      <c r="W17" s="26">
        <f t="shared" si="18"/>
        <v>211964572.62960592</v>
      </c>
      <c r="X17" s="26"/>
    </row>
    <row r="18" spans="1:24" x14ac:dyDescent="0.25">
      <c r="A18" s="21">
        <f t="shared" ref="A18:B25" si="19">A4</f>
        <v>2</v>
      </c>
      <c r="B18" s="41" t="str">
        <f t="shared" si="19"/>
        <v xml:space="preserve">VISITA DE ANÁLISIS </v>
      </c>
      <c r="C18" s="39">
        <f t="shared" ref="C18:C26" si="20">C4</f>
        <v>200</v>
      </c>
      <c r="D18" s="14">
        <v>300000</v>
      </c>
      <c r="E18" s="22">
        <f t="shared" ref="E18:E26" si="21">C18*D18</f>
        <v>60000000</v>
      </c>
      <c r="F18" s="23">
        <f t="shared" ref="F18:F26" si="22">IF($E$27=0,0,E18/$E$27)</f>
        <v>7.407407407407407E-2</v>
      </c>
      <c r="L18" s="8">
        <f t="shared" si="15"/>
        <v>210</v>
      </c>
      <c r="M18" s="8">
        <f t="shared" ref="M18:M26" si="23">L18*(1+H4)</f>
        <v>231.00000000000003</v>
      </c>
      <c r="N18" s="8">
        <f t="shared" ref="N18:N26" si="24">M18*(1+I4)</f>
        <v>265.65000000000003</v>
      </c>
      <c r="O18" s="8">
        <f t="shared" ref="O18:O26" si="25">N18*(1+J4)</f>
        <v>318.78000000000003</v>
      </c>
      <c r="P18" s="40">
        <f>D18*(1+'1'!$Z$5)</f>
        <v>306420</v>
      </c>
      <c r="Q18" s="25">
        <f>P18*(1+'1'!$AA$5)</f>
        <v>313774.08000000002</v>
      </c>
      <c r="R18" s="25">
        <f>Q18*(1+'1'!$AB$5)</f>
        <v>322496.99942400004</v>
      </c>
      <c r="S18" s="25">
        <f>R18*(1+'1'!$AC$5)</f>
        <v>332462.15670620161</v>
      </c>
      <c r="T18" s="40">
        <f t="shared" si="17"/>
        <v>64348200</v>
      </c>
      <c r="U18" s="26">
        <f t="shared" si="17"/>
        <v>72481812.480000019</v>
      </c>
      <c r="V18" s="26">
        <f t="shared" ref="V18:V26" si="26">N18*R18</f>
        <v>85671327.89698562</v>
      </c>
      <c r="W18" s="26">
        <f t="shared" ref="W18:W26" si="27">O18*S18</f>
        <v>105982286.31480296</v>
      </c>
      <c r="X18" s="26"/>
    </row>
    <row r="19" spans="1:24" x14ac:dyDescent="0.25">
      <c r="A19" s="21">
        <f t="shared" si="19"/>
        <v>3</v>
      </c>
      <c r="B19" s="41" t="str">
        <f t="shared" si="19"/>
        <v>ACOMPAÑAMIENTOS DE ASESORÍA</v>
      </c>
      <c r="C19" s="39">
        <f t="shared" si="20"/>
        <v>800</v>
      </c>
      <c r="D19" s="14">
        <v>600000</v>
      </c>
      <c r="E19" s="22">
        <f t="shared" si="21"/>
        <v>480000000</v>
      </c>
      <c r="F19" s="23">
        <f t="shared" si="22"/>
        <v>0.59259259259259256</v>
      </c>
      <c r="L19" s="8">
        <f t="shared" si="15"/>
        <v>840</v>
      </c>
      <c r="M19" s="8">
        <f t="shared" si="23"/>
        <v>924.00000000000011</v>
      </c>
      <c r="N19" s="8">
        <f t="shared" si="24"/>
        <v>1062.6000000000001</v>
      </c>
      <c r="O19" s="8">
        <f t="shared" si="25"/>
        <v>1275.1200000000001</v>
      </c>
      <c r="P19" s="40">
        <f>D19*(1+'1'!$Z$5)</f>
        <v>612840</v>
      </c>
      <c r="Q19" s="25">
        <f>P19*(1+'1'!$AA$5)</f>
        <v>627548.16000000003</v>
      </c>
      <c r="R19" s="25">
        <f>Q19*(1+'1'!$AB$5)</f>
        <v>644993.99884800008</v>
      </c>
      <c r="S19" s="25">
        <f>R19*(1+'1'!$AC$5)</f>
        <v>664924.31341240322</v>
      </c>
      <c r="T19" s="40">
        <f t="shared" si="17"/>
        <v>514785600</v>
      </c>
      <c r="U19" s="26">
        <f t="shared" si="17"/>
        <v>579854499.84000015</v>
      </c>
      <c r="V19" s="26">
        <f t="shared" si="26"/>
        <v>685370623.17588496</v>
      </c>
      <c r="W19" s="26">
        <f t="shared" si="27"/>
        <v>847858290.51842368</v>
      </c>
      <c r="X19" s="26"/>
    </row>
    <row r="20" spans="1:24" x14ac:dyDescent="0.25">
      <c r="A20" s="21">
        <f t="shared" si="19"/>
        <v>4</v>
      </c>
      <c r="B20" s="41" t="str">
        <f t="shared" si="19"/>
        <v>SOPORTE TÉCNICO PARA REQUERIMIENTOS ADICIONALES</v>
      </c>
      <c r="C20" s="39">
        <f t="shared" si="20"/>
        <v>200</v>
      </c>
      <c r="D20" s="14">
        <v>400000</v>
      </c>
      <c r="E20" s="22">
        <f t="shared" si="21"/>
        <v>80000000</v>
      </c>
      <c r="F20" s="23">
        <f t="shared" si="22"/>
        <v>9.8765432098765427E-2</v>
      </c>
      <c r="L20" s="8">
        <f t="shared" si="15"/>
        <v>200</v>
      </c>
      <c r="M20" s="8">
        <f t="shared" si="23"/>
        <v>200</v>
      </c>
      <c r="N20" s="8">
        <f t="shared" si="24"/>
        <v>200</v>
      </c>
      <c r="O20" s="8">
        <f t="shared" si="25"/>
        <v>200</v>
      </c>
      <c r="P20" s="40">
        <f>D20*(1+'1'!$Z$5)</f>
        <v>408560.00000000006</v>
      </c>
      <c r="Q20" s="25">
        <f>P20*(1+'1'!$AA$5)</f>
        <v>418365.44000000006</v>
      </c>
      <c r="R20" s="25">
        <f>Q20*(1+'1'!$AB$5)</f>
        <v>429995.99923200009</v>
      </c>
      <c r="S20" s="25">
        <f>R20*(1+'1'!$AC$5)</f>
        <v>443282.87560826883</v>
      </c>
      <c r="T20" s="40">
        <f t="shared" ref="T20:T26" si="28">L20*P20</f>
        <v>81712000.000000015</v>
      </c>
      <c r="U20" s="26">
        <f t="shared" ref="U20:U26" si="29">M20*Q20</f>
        <v>83673088.000000015</v>
      </c>
      <c r="V20" s="26">
        <f t="shared" si="26"/>
        <v>85999199.846400023</v>
      </c>
      <c r="W20" s="26">
        <f t="shared" si="27"/>
        <v>88656575.121653765</v>
      </c>
      <c r="X20" s="26"/>
    </row>
    <row r="21" spans="1:24" x14ac:dyDescent="0.25">
      <c r="A21" s="21">
        <f t="shared" si="19"/>
        <v>5</v>
      </c>
      <c r="B21" s="41" t="str">
        <f t="shared" si="19"/>
        <v>INCORPORACIÓN DE FUNCIONES ADICIONALES</v>
      </c>
      <c r="C21" s="39">
        <f t="shared" si="20"/>
        <v>100</v>
      </c>
      <c r="D21" s="14">
        <v>700000</v>
      </c>
      <c r="E21" s="22">
        <f t="shared" si="21"/>
        <v>70000000</v>
      </c>
      <c r="F21" s="23">
        <f t="shared" si="22"/>
        <v>8.6419753086419748E-2</v>
      </c>
      <c r="L21" s="8">
        <f t="shared" si="15"/>
        <v>100</v>
      </c>
      <c r="M21" s="8">
        <f t="shared" si="23"/>
        <v>100</v>
      </c>
      <c r="N21" s="8">
        <f t="shared" si="24"/>
        <v>100</v>
      </c>
      <c r="O21" s="8">
        <f t="shared" si="25"/>
        <v>100</v>
      </c>
      <c r="P21" s="40">
        <f>D21*(1+'1'!$Z$5)</f>
        <v>714980.00000000012</v>
      </c>
      <c r="Q21" s="25">
        <f>P21*(1+'1'!$AA$5)</f>
        <v>732139.52000000014</v>
      </c>
      <c r="R21" s="25">
        <f>Q21*(1+'1'!$AB$5)</f>
        <v>752492.99865600013</v>
      </c>
      <c r="S21" s="25">
        <f>R21*(1+'1'!$AC$5)</f>
        <v>775745.0323144705</v>
      </c>
      <c r="T21" s="40">
        <f t="shared" si="28"/>
        <v>71498000.000000015</v>
      </c>
      <c r="U21" s="26">
        <f t="shared" si="29"/>
        <v>73213952.000000015</v>
      </c>
      <c r="V21" s="26">
        <f t="shared" si="26"/>
        <v>75249299.86560002</v>
      </c>
      <c r="W21" s="26">
        <f t="shared" si="27"/>
        <v>77574503.231447056</v>
      </c>
      <c r="X21" s="26"/>
    </row>
    <row r="22" spans="1:24" x14ac:dyDescent="0.25">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5">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5">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5">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5">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810000000</v>
      </c>
      <c r="F27" s="34">
        <f>SUM(F17:F26)</f>
        <v>1</v>
      </c>
      <c r="T27" s="35">
        <f>SUM(T17:T26)</f>
        <v>861040200</v>
      </c>
      <c r="U27" s="35">
        <f>SUM(U17:U26)</f>
        <v>954186977.28000021</v>
      </c>
      <c r="V27" s="35">
        <f t="shared" ref="V27:W27" si="31">SUM(V17:V26)</f>
        <v>1103633106.5788419</v>
      </c>
      <c r="W27" s="35">
        <f t="shared" si="31"/>
        <v>1332036227.8159332</v>
      </c>
      <c r="X27" s="26"/>
    </row>
    <row r="30" spans="1:24" x14ac:dyDescent="0.25">
      <c r="A30" s="141" t="s">
        <v>19</v>
      </c>
      <c r="B30" s="141"/>
      <c r="C30" s="141"/>
      <c r="D30" s="141"/>
      <c r="E30" s="141"/>
      <c r="F30" s="141"/>
    </row>
    <row r="31" spans="1:24" ht="26.25" x14ac:dyDescent="0.4">
      <c r="A31" s="42" t="s">
        <v>10</v>
      </c>
      <c r="B31" s="43">
        <f>'1'!Z1</f>
        <v>2023</v>
      </c>
      <c r="C31" s="43">
        <f>B31+1</f>
        <v>2024</v>
      </c>
      <c r="D31" s="43">
        <f>C31+1</f>
        <v>2025</v>
      </c>
      <c r="E31" s="43">
        <f>D31+1</f>
        <v>2026</v>
      </c>
      <c r="F31" s="43">
        <f>E31+1</f>
        <v>2027</v>
      </c>
      <c r="H31" s="44"/>
      <c r="I31" s="44"/>
      <c r="J31" s="44"/>
      <c r="K31" s="44"/>
      <c r="L31" s="44"/>
      <c r="M31" s="44"/>
      <c r="N31" s="44"/>
      <c r="O31" s="44"/>
      <c r="P31" s="44"/>
      <c r="Q31" s="44"/>
      <c r="R31" s="44"/>
      <c r="S31" s="44"/>
      <c r="T31" s="44"/>
      <c r="U31" s="44"/>
      <c r="V31" s="44"/>
    </row>
    <row r="32" spans="1:24" x14ac:dyDescent="0.25">
      <c r="A32" s="45" t="s">
        <v>20</v>
      </c>
      <c r="B32" s="46">
        <f>'1'!E13</f>
        <v>1180000000</v>
      </c>
      <c r="C32" s="47">
        <f>'1'!T13</f>
        <v>1312410000</v>
      </c>
      <c r="D32" s="47">
        <f>'1'!U13</f>
        <v>1487120580.0000002</v>
      </c>
      <c r="E32" s="47">
        <f>'1'!V13</f>
        <v>1743956329.6980004</v>
      </c>
      <c r="F32" s="47">
        <f>'1'!W13</f>
        <v>2120859720.7239027</v>
      </c>
    </row>
    <row r="33" spans="1:6" x14ac:dyDescent="0.25">
      <c r="A33" s="45" t="s">
        <v>21</v>
      </c>
      <c r="B33" s="46">
        <f>'1'!E27</f>
        <v>810000000</v>
      </c>
      <c r="C33" s="46">
        <f>'1'!T27</f>
        <v>861040200</v>
      </c>
      <c r="D33" s="46">
        <f>'1'!U27</f>
        <v>954186977.28000021</v>
      </c>
      <c r="E33" s="46">
        <f>'1'!V27</f>
        <v>1103633106.5788419</v>
      </c>
      <c r="F33" s="46">
        <f>'1'!W27</f>
        <v>1332036227.8159332</v>
      </c>
    </row>
    <row r="34" spans="1:6" ht="21" thickBot="1" x14ac:dyDescent="0.35">
      <c r="A34" s="48" t="s">
        <v>22</v>
      </c>
      <c r="B34" s="123">
        <f>B32-B33</f>
        <v>370000000</v>
      </c>
      <c r="C34" s="123">
        <f t="shared" ref="C34:D34" si="32">C32-C33</f>
        <v>451369800</v>
      </c>
      <c r="D34" s="123">
        <f t="shared" si="32"/>
        <v>532933602.72000003</v>
      </c>
      <c r="E34" s="123">
        <f t="shared" ref="E34" si="33">E32-E33</f>
        <v>640323223.11915851</v>
      </c>
      <c r="F34" s="123">
        <f t="shared" ref="F34" si="34">F32-F33</f>
        <v>788823492.90796947</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75" zoomScaleNormal="75" workbookViewId="0">
      <pane ySplit="14" topLeftCell="A20" activePane="bottomLeft" state="frozenSplit"/>
      <selection activeCell="B40" sqref="B40"/>
      <selection pane="bottomLeft" activeCell="J31" sqref="J31"/>
    </sheetView>
  </sheetViews>
  <sheetFormatPr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x14ac:dyDescent="0.25">
      <c r="B1" s="144" t="s">
        <v>134</v>
      </c>
      <c r="C1" s="144"/>
      <c r="D1" s="144"/>
      <c r="E1" s="144"/>
      <c r="F1" s="144"/>
      <c r="G1" s="144"/>
      <c r="H1" s="144"/>
    </row>
    <row r="2" spans="2:8" ht="3.75" customHeight="1" x14ac:dyDescent="0.25">
      <c r="B2" s="144"/>
      <c r="C2" s="144"/>
      <c r="D2" s="144"/>
      <c r="E2" s="144"/>
      <c r="F2" s="144"/>
      <c r="G2" s="144"/>
      <c r="H2" s="144"/>
    </row>
    <row r="3" spans="2:8" x14ac:dyDescent="0.25">
      <c r="C3" s="21" t="s">
        <v>51</v>
      </c>
      <c r="F3" s="74" t="s">
        <v>92</v>
      </c>
      <c r="G3" s="74"/>
    </row>
    <row r="4" spans="2:8" x14ac:dyDescent="0.25">
      <c r="B4" s="48" t="s">
        <v>43</v>
      </c>
      <c r="C4" s="14">
        <v>0</v>
      </c>
      <c r="F4" s="74"/>
      <c r="G4" s="74"/>
    </row>
    <row r="5" spans="2:8" x14ac:dyDescent="0.25">
      <c r="B5" s="48" t="s">
        <v>46</v>
      </c>
      <c r="C5" s="14">
        <v>10000000</v>
      </c>
      <c r="F5" s="74">
        <v>10</v>
      </c>
      <c r="G5" s="75">
        <f t="shared" ref="G5:G11" si="0">C5/F5</f>
        <v>1000000</v>
      </c>
    </row>
    <row r="6" spans="2:8" x14ac:dyDescent="0.25">
      <c r="B6" s="48" t="s">
        <v>44</v>
      </c>
      <c r="C6" s="14">
        <v>1000000</v>
      </c>
      <c r="F6" s="74">
        <v>5</v>
      </c>
      <c r="G6" s="75">
        <f t="shared" si="0"/>
        <v>200000</v>
      </c>
    </row>
    <row r="7" spans="2:8" x14ac:dyDescent="0.25">
      <c r="B7" s="48" t="s">
        <v>45</v>
      </c>
      <c r="C7" s="14">
        <v>0</v>
      </c>
      <c r="F7" s="74">
        <v>5</v>
      </c>
      <c r="G7" s="75">
        <f t="shared" si="0"/>
        <v>0</v>
      </c>
    </row>
    <row r="8" spans="2:8" x14ac:dyDescent="0.25">
      <c r="B8" s="48" t="s">
        <v>47</v>
      </c>
      <c r="C8" s="14">
        <v>0</v>
      </c>
      <c r="F8" s="74">
        <v>5</v>
      </c>
      <c r="G8" s="75">
        <f t="shared" si="0"/>
        <v>0</v>
      </c>
    </row>
    <row r="9" spans="2:8" x14ac:dyDescent="0.25">
      <c r="B9" s="48" t="s">
        <v>48</v>
      </c>
      <c r="C9" s="14"/>
      <c r="F9" s="74">
        <v>5</v>
      </c>
      <c r="G9" s="75">
        <f t="shared" si="0"/>
        <v>0</v>
      </c>
    </row>
    <row r="10" spans="2:8" x14ac:dyDescent="0.25">
      <c r="B10" s="121" t="s">
        <v>143</v>
      </c>
      <c r="C10" s="14">
        <v>5000000</v>
      </c>
      <c r="F10" s="74">
        <v>5</v>
      </c>
      <c r="G10" s="75">
        <f t="shared" si="0"/>
        <v>1000000</v>
      </c>
    </row>
    <row r="11" spans="2:8" x14ac:dyDescent="0.25">
      <c r="B11" s="48" t="s">
        <v>49</v>
      </c>
      <c r="C11" s="14">
        <v>5000000</v>
      </c>
      <c r="F11" s="74">
        <v>5</v>
      </c>
      <c r="G11" s="75">
        <f t="shared" si="0"/>
        <v>1000000</v>
      </c>
    </row>
    <row r="12" spans="2:8" ht="16.5" thickBot="1" x14ac:dyDescent="0.3">
      <c r="B12" s="76" t="s">
        <v>50</v>
      </c>
      <c r="C12" s="77">
        <f>SUM(C4:C11)</f>
        <v>21000000</v>
      </c>
      <c r="F12" s="74"/>
      <c r="G12" s="75">
        <f>SUM(G5:G11)</f>
        <v>3200000</v>
      </c>
    </row>
    <row r="13" spans="2:8" x14ac:dyDescent="0.25">
      <c r="B13" s="145" t="s">
        <v>42</v>
      </c>
      <c r="C13" s="146"/>
      <c r="D13" s="146"/>
      <c r="E13" s="146"/>
      <c r="F13" s="146"/>
      <c r="G13" s="146"/>
      <c r="H13" s="147"/>
    </row>
    <row r="14" spans="2:8" ht="15.75" thickBot="1" x14ac:dyDescent="0.3">
      <c r="B14" s="148"/>
      <c r="C14" s="149"/>
      <c r="D14" s="149"/>
      <c r="E14" s="149"/>
      <c r="F14" s="149"/>
      <c r="G14" s="149"/>
      <c r="H14" s="150"/>
    </row>
    <row r="15" spans="2:8" x14ac:dyDescent="0.25">
      <c r="B15" s="78"/>
      <c r="C15" s="78"/>
      <c r="D15" s="78"/>
      <c r="E15" s="78"/>
      <c r="F15" s="78"/>
      <c r="G15" s="78"/>
      <c r="H15" s="78"/>
    </row>
    <row r="16" spans="2:8" x14ac:dyDescent="0.25">
      <c r="B16" s="76" t="s">
        <v>28</v>
      </c>
      <c r="E16" s="76" t="s">
        <v>34</v>
      </c>
      <c r="F16" s="38"/>
    </row>
    <row r="17" spans="2:6" x14ac:dyDescent="0.25">
      <c r="C17" s="76" t="s">
        <v>30</v>
      </c>
      <c r="F17" s="76" t="str">
        <f>C17</f>
        <v>VALOR AÑO 1</v>
      </c>
    </row>
    <row r="18" spans="2:6" x14ac:dyDescent="0.25">
      <c r="B18" s="79" t="s">
        <v>29</v>
      </c>
      <c r="C18" s="14">
        <v>120000000</v>
      </c>
      <c r="E18" s="118" t="s">
        <v>140</v>
      </c>
      <c r="F18" s="14">
        <v>0</v>
      </c>
    </row>
    <row r="19" spans="2:6" x14ac:dyDescent="0.25">
      <c r="C19" s="81"/>
      <c r="E19" s="80" t="s">
        <v>35</v>
      </c>
      <c r="F19" s="14">
        <v>600000</v>
      </c>
    </row>
    <row r="20" spans="2:6" x14ac:dyDescent="0.25">
      <c r="B20" s="79" t="s">
        <v>32</v>
      </c>
      <c r="C20" s="14">
        <v>120000000</v>
      </c>
      <c r="E20" s="80" t="s">
        <v>36</v>
      </c>
      <c r="F20" s="14">
        <v>0</v>
      </c>
    </row>
    <row r="21" spans="2:6" x14ac:dyDescent="0.25">
      <c r="C21" s="81"/>
      <c r="E21" s="80" t="s">
        <v>37</v>
      </c>
      <c r="F21" s="14">
        <v>3600000</v>
      </c>
    </row>
    <row r="22" spans="2:6" x14ac:dyDescent="0.25">
      <c r="B22" s="117" t="s">
        <v>139</v>
      </c>
      <c r="C22" s="14">
        <v>120000000</v>
      </c>
      <c r="E22" s="80" t="s">
        <v>38</v>
      </c>
      <c r="F22" s="14">
        <v>1200000</v>
      </c>
    </row>
    <row r="23" spans="2:6" ht="15.75" x14ac:dyDescent="0.25">
      <c r="B23" s="8" t="s">
        <v>56</v>
      </c>
      <c r="C23" s="77">
        <f>C18+C20+C22</f>
        <v>360000000</v>
      </c>
      <c r="E23" s="80" t="s">
        <v>39</v>
      </c>
      <c r="F23" s="14"/>
    </row>
    <row r="24" spans="2:6" x14ac:dyDescent="0.25">
      <c r="E24" s="80" t="s">
        <v>40</v>
      </c>
      <c r="F24" s="14">
        <v>0</v>
      </c>
    </row>
    <row r="25" spans="2:6" ht="24.75" x14ac:dyDescent="0.25">
      <c r="B25" s="80" t="s">
        <v>144</v>
      </c>
      <c r="C25" s="14">
        <v>10000000</v>
      </c>
      <c r="E25" s="120" t="s">
        <v>141</v>
      </c>
      <c r="F25" s="14"/>
    </row>
    <row r="26" spans="2:6" x14ac:dyDescent="0.25">
      <c r="E26" s="120" t="s">
        <v>142</v>
      </c>
      <c r="F26" s="14">
        <v>0</v>
      </c>
    </row>
    <row r="27" spans="2:6" x14ac:dyDescent="0.25">
      <c r="B27" s="99" t="s">
        <v>145</v>
      </c>
      <c r="C27" s="99"/>
      <c r="E27" s="102" t="s">
        <v>175</v>
      </c>
      <c r="F27" s="14">
        <v>10000000</v>
      </c>
    </row>
    <row r="28" spans="2:6" x14ac:dyDescent="0.25">
      <c r="B28" s="119">
        <f>'1'!G2</f>
        <v>2024</v>
      </c>
      <c r="C28" s="14">
        <v>12000000</v>
      </c>
      <c r="E28" s="102"/>
      <c r="F28" s="14">
        <v>0</v>
      </c>
    </row>
    <row r="29" spans="2:6" x14ac:dyDescent="0.25">
      <c r="B29" s="119">
        <f>'1'!H2</f>
        <v>2025</v>
      </c>
      <c r="C29" s="14">
        <v>15000000</v>
      </c>
      <c r="E29" s="102"/>
      <c r="F29" s="14">
        <v>0</v>
      </c>
    </row>
    <row r="30" spans="2:6" x14ac:dyDescent="0.25">
      <c r="B30" s="119">
        <f>'1'!I2</f>
        <v>2026</v>
      </c>
      <c r="C30" s="14">
        <v>18000000</v>
      </c>
      <c r="E30" s="102"/>
      <c r="F30" s="14">
        <v>0</v>
      </c>
    </row>
    <row r="31" spans="2:6" ht="15.75" x14ac:dyDescent="0.25">
      <c r="B31" s="119">
        <f>'1'!J2</f>
        <v>2027</v>
      </c>
      <c r="C31" s="14">
        <v>20000000</v>
      </c>
      <c r="E31" s="80" t="s">
        <v>41</v>
      </c>
      <c r="F31" s="77">
        <f>SUM(F18:F30)</f>
        <v>15400000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70" zoomScaleNormal="70" workbookViewId="0">
      <selection activeCell="J14" sqref="E3:J14"/>
    </sheetView>
  </sheetViews>
  <sheetFormatPr defaultColWidth="11.42578125" defaultRowHeight="15" x14ac:dyDescent="0.25"/>
  <cols>
    <col min="1" max="1" width="11.42578125" style="8"/>
    <col min="2" max="2" width="39" style="8" bestFit="1" customWidth="1"/>
    <col min="3" max="3" width="18.5703125" style="8" bestFit="1" customWidth="1"/>
    <col min="4" max="4" width="26.42578125" style="8" customWidth="1"/>
    <col min="5" max="5" width="12.85546875" style="8" customWidth="1"/>
    <col min="6" max="6" width="28.5703125" style="8" customWidth="1"/>
    <col min="7" max="7" width="28.85546875" style="8" customWidth="1"/>
    <col min="8" max="8" width="33" style="8" customWidth="1"/>
    <col min="9" max="9" width="26" style="8" customWidth="1"/>
    <col min="10" max="10" width="18.140625" style="8" customWidth="1"/>
    <col min="11" max="16384" width="11.42578125" style="8"/>
  </cols>
  <sheetData>
    <row r="2" spans="2:12" ht="29.25" customHeight="1" x14ac:dyDescent="0.25">
      <c r="B2" s="142" t="s">
        <v>116</v>
      </c>
      <c r="C2" s="142"/>
      <c r="D2" s="142"/>
      <c r="E2" s="142"/>
      <c r="F2" s="142"/>
      <c r="G2" s="142"/>
      <c r="H2" s="142"/>
      <c r="I2" s="142"/>
      <c r="J2" s="142"/>
    </row>
    <row r="3" spans="2:12" x14ac:dyDescent="0.25">
      <c r="F3" s="151" t="s">
        <v>62</v>
      </c>
      <c r="G3" s="151"/>
    </row>
    <row r="4" spans="2:12" ht="15.75" x14ac:dyDescent="0.25">
      <c r="B4" s="16" t="s">
        <v>50</v>
      </c>
      <c r="C4" s="77">
        <f>'2'!C12</f>
        <v>21000000</v>
      </c>
      <c r="F4" s="152">
        <v>0.11</v>
      </c>
      <c r="G4" s="152"/>
      <c r="I4" s="8" t="s">
        <v>151</v>
      </c>
      <c r="J4" s="137">
        <v>5</v>
      </c>
      <c r="L4" s="74">
        <v>1</v>
      </c>
    </row>
    <row r="5" spans="2:12" x14ac:dyDescent="0.25">
      <c r="L5" s="74">
        <v>2</v>
      </c>
    </row>
    <row r="6" spans="2:12" ht="15.75" thickBot="1" x14ac:dyDescent="0.3">
      <c r="B6" s="16" t="s">
        <v>52</v>
      </c>
      <c r="F6" s="141" t="s">
        <v>117</v>
      </c>
      <c r="G6" s="141"/>
      <c r="H6" s="141"/>
      <c r="I6" s="141"/>
      <c r="J6" s="141"/>
      <c r="L6" s="74">
        <v>3</v>
      </c>
    </row>
    <row r="7" spans="2:12" x14ac:dyDescent="0.25">
      <c r="C7" s="82" t="s">
        <v>54</v>
      </c>
      <c r="D7" s="82" t="s">
        <v>55</v>
      </c>
      <c r="E7" s="126"/>
      <c r="F7" s="127" t="s">
        <v>146</v>
      </c>
      <c r="G7" s="127" t="s">
        <v>147</v>
      </c>
      <c r="H7" s="127" t="s">
        <v>148</v>
      </c>
      <c r="I7" s="127" t="s">
        <v>149</v>
      </c>
      <c r="J7" s="128" t="s">
        <v>150</v>
      </c>
      <c r="L7" s="74">
        <v>4</v>
      </c>
    </row>
    <row r="8" spans="2:12" x14ac:dyDescent="0.25">
      <c r="B8" s="48" t="s">
        <v>53</v>
      </c>
      <c r="C8" s="57">
        <v>1</v>
      </c>
      <c r="D8" s="25">
        <f>('1'!B33/12)*C8</f>
        <v>67500000</v>
      </c>
      <c r="E8" s="129" t="s">
        <v>84</v>
      </c>
      <c r="F8" s="130"/>
      <c r="G8" s="130"/>
      <c r="H8" s="130"/>
      <c r="I8" s="130"/>
      <c r="J8" s="131">
        <f>D16</f>
        <v>105616666.66666666</v>
      </c>
      <c r="L8" s="74">
        <v>5</v>
      </c>
    </row>
    <row r="9" spans="2:12" x14ac:dyDescent="0.25">
      <c r="B9" s="48" t="s">
        <v>57</v>
      </c>
      <c r="C9" s="57">
        <v>1</v>
      </c>
      <c r="D9" s="25">
        <f>('2'!C23/12)*C9</f>
        <v>30000000</v>
      </c>
      <c r="E9" s="129">
        <f>'1'!B31</f>
        <v>2023</v>
      </c>
      <c r="F9" s="133">
        <f t="shared" ref="F9:F13" si="0">IF(J8&gt;0,J8,0)</f>
        <v>105616666.66666666</v>
      </c>
      <c r="G9" s="133">
        <f>F9*$F$4</f>
        <v>11617833.333333332</v>
      </c>
      <c r="H9" s="133">
        <f>IF(J8&lt;1,0,(I9-G9))</f>
        <v>16958900.856581211</v>
      </c>
      <c r="I9" s="133">
        <f>PMT(F4,J4,J8)*-1</f>
        <v>28576734.189914543</v>
      </c>
      <c r="J9" s="134">
        <f>F9-H9</f>
        <v>88657765.810085446</v>
      </c>
    </row>
    <row r="10" spans="2:12" x14ac:dyDescent="0.25">
      <c r="B10" s="48" t="s">
        <v>58</v>
      </c>
      <c r="C10" s="57">
        <v>1</v>
      </c>
      <c r="D10" s="25">
        <f>('2'!C25/12)*C10</f>
        <v>833333.33333333337</v>
      </c>
      <c r="E10" s="129">
        <f>'1'!C31</f>
        <v>2024</v>
      </c>
      <c r="F10" s="133">
        <f t="shared" si="0"/>
        <v>88657765.810085446</v>
      </c>
      <c r="G10" s="133">
        <f t="shared" ref="G10:G13" si="1">F10*$F$4</f>
        <v>9752354.2391093988</v>
      </c>
      <c r="H10" s="133">
        <f t="shared" ref="H10:H13" si="2">IF(J9&lt;1,0,(I10-G10))</f>
        <v>18824379.950805143</v>
      </c>
      <c r="I10" s="133">
        <f>IF(J9&lt;1,0,(I9*(1+$K$7)))</f>
        <v>28576734.189914543</v>
      </c>
      <c r="J10" s="134">
        <f t="shared" ref="J10:J13" si="3">F10-H10</f>
        <v>69833385.859280303</v>
      </c>
    </row>
    <row r="11" spans="2:12" x14ac:dyDescent="0.25">
      <c r="B11" s="48" t="s">
        <v>33</v>
      </c>
      <c r="C11" s="57">
        <v>1</v>
      </c>
      <c r="D11" s="25">
        <f>('2'!F31/12)*C11</f>
        <v>1283333.3333333333</v>
      </c>
      <c r="E11" s="129">
        <f>'1'!D31</f>
        <v>2025</v>
      </c>
      <c r="F11" s="133">
        <f t="shared" si="0"/>
        <v>69833385.859280303</v>
      </c>
      <c r="G11" s="133">
        <f t="shared" si="1"/>
        <v>7681672.444520833</v>
      </c>
      <c r="H11" s="133">
        <f t="shared" si="2"/>
        <v>20895061.745393708</v>
      </c>
      <c r="I11" s="133">
        <f t="shared" ref="I11:I13" si="4">IF(J10&lt;1,0,(I10*(1+$K$7)))</f>
        <v>28576734.189914543</v>
      </c>
      <c r="J11" s="134">
        <f t="shared" si="3"/>
        <v>48938324.113886595</v>
      </c>
    </row>
    <row r="12" spans="2:12" ht="15.75" x14ac:dyDescent="0.25">
      <c r="B12" s="83" t="s">
        <v>8</v>
      </c>
      <c r="C12" s="61"/>
      <c r="D12" s="84">
        <f>SUM(D8:D11)</f>
        <v>99616666.666666657</v>
      </c>
      <c r="E12" s="129">
        <f>'1'!E31</f>
        <v>2026</v>
      </c>
      <c r="F12" s="133">
        <f t="shared" si="0"/>
        <v>48938324.113886595</v>
      </c>
      <c r="G12" s="133">
        <f t="shared" si="1"/>
        <v>5383215.6525275251</v>
      </c>
      <c r="H12" s="133">
        <f t="shared" si="2"/>
        <v>23193518.537387017</v>
      </c>
      <c r="I12" s="133">
        <f t="shared" si="4"/>
        <v>28576734.189914543</v>
      </c>
      <c r="J12" s="134">
        <f t="shared" si="3"/>
        <v>25744805.576499578</v>
      </c>
    </row>
    <row r="13" spans="2:12" ht="15.75" thickBot="1" x14ac:dyDescent="0.3">
      <c r="E13" s="132">
        <f>'1'!F31</f>
        <v>2027</v>
      </c>
      <c r="F13" s="135">
        <f t="shared" si="0"/>
        <v>25744805.576499578</v>
      </c>
      <c r="G13" s="135">
        <f t="shared" si="1"/>
        <v>2831928.6134149535</v>
      </c>
      <c r="H13" s="135">
        <f t="shared" si="2"/>
        <v>25744805.576499589</v>
      </c>
      <c r="I13" s="135">
        <f t="shared" si="4"/>
        <v>28576734.189914543</v>
      </c>
      <c r="J13" s="136">
        <f t="shared" si="3"/>
        <v>0</v>
      </c>
    </row>
    <row r="14" spans="2:12" ht="15.75" x14ac:dyDescent="0.25">
      <c r="B14" s="48" t="s">
        <v>59</v>
      </c>
      <c r="D14" s="77">
        <f>C4+D12</f>
        <v>120616666.66666666</v>
      </c>
    </row>
    <row r="15" spans="2:12" x14ac:dyDescent="0.25">
      <c r="B15" s="48" t="s">
        <v>60</v>
      </c>
      <c r="D15" s="58">
        <v>15000000</v>
      </c>
    </row>
    <row r="16" spans="2:12" ht="15.75" x14ac:dyDescent="0.25">
      <c r="B16" s="48" t="s">
        <v>61</v>
      </c>
      <c r="D16" s="85">
        <f>D14-D15</f>
        <v>105616666.66666666</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0" zoomScaleNormal="80" workbookViewId="0">
      <pane xSplit="7" ySplit="1" topLeftCell="H37" activePane="bottomRight" state="frozenSplit"/>
      <selection pane="topRight" activeCell="E1" sqref="E1"/>
      <selection pane="bottomLeft" activeCell="A12" sqref="A12"/>
      <selection pane="bottomRight" activeCell="A41" sqref="A41:G59"/>
    </sheetView>
  </sheetViews>
  <sheetFormatPr defaultColWidth="11.42578125" defaultRowHeight="15" x14ac:dyDescent="0.25"/>
  <cols>
    <col min="1" max="1" width="26.7109375" style="8" customWidth="1"/>
    <col min="2" max="2" width="20.85546875" style="8" customWidth="1"/>
    <col min="3" max="3" width="16" style="8" customWidth="1"/>
    <col min="4" max="4" width="17.140625" style="8" customWidth="1"/>
    <col min="5" max="5" width="16.5703125" style="8" customWidth="1"/>
    <col min="6" max="6" width="16" style="8" customWidth="1"/>
    <col min="7" max="7" width="16.85546875" style="8" customWidth="1"/>
    <col min="8" max="16384" width="11.42578125" style="8"/>
  </cols>
  <sheetData>
    <row r="1" spans="1:7" ht="34.5" customHeight="1" x14ac:dyDescent="0.25">
      <c r="A1" s="156" t="s">
        <v>118</v>
      </c>
      <c r="B1" s="156"/>
      <c r="C1" s="156"/>
      <c r="D1" s="156"/>
      <c r="E1" s="156"/>
      <c r="F1" s="156"/>
      <c r="G1" s="156"/>
    </row>
    <row r="2" spans="1:7" ht="23.25" x14ac:dyDescent="0.25">
      <c r="A2" s="157" t="s">
        <v>133</v>
      </c>
      <c r="B2" s="157"/>
      <c r="C2" s="157"/>
      <c r="D2" s="157"/>
      <c r="E2" s="157"/>
      <c r="F2" s="157"/>
      <c r="G2" s="157"/>
    </row>
    <row r="3" spans="1:7" ht="8.25" customHeight="1" x14ac:dyDescent="0.25">
      <c r="A3" s="59"/>
      <c r="B3" s="59"/>
      <c r="C3" s="59"/>
      <c r="D3" s="59"/>
      <c r="E3" s="59"/>
      <c r="F3" s="59"/>
      <c r="G3" s="59"/>
    </row>
    <row r="4" spans="1:7" ht="15.75" x14ac:dyDescent="0.25">
      <c r="A4" s="155" t="s">
        <v>89</v>
      </c>
      <c r="B4" s="155"/>
      <c r="C4" s="155"/>
      <c r="D4" s="155"/>
      <c r="E4" s="155"/>
      <c r="F4" s="155"/>
      <c r="G4" s="155"/>
    </row>
    <row r="5" spans="1:7" ht="23.25" x14ac:dyDescent="0.25">
      <c r="C5" s="63">
        <f>'1'!B31</f>
        <v>2023</v>
      </c>
      <c r="D5" s="63">
        <f>'1'!C31</f>
        <v>2024</v>
      </c>
      <c r="E5" s="63">
        <f>'1'!D31</f>
        <v>2025</v>
      </c>
      <c r="F5" s="63">
        <f>'1'!E31</f>
        <v>2026</v>
      </c>
      <c r="G5" s="63">
        <f>'1'!F31</f>
        <v>2027</v>
      </c>
    </row>
    <row r="6" spans="1:7" x14ac:dyDescent="0.25">
      <c r="B6" s="8" t="s">
        <v>31</v>
      </c>
      <c r="C6" s="64">
        <f>'1'!B32</f>
        <v>1180000000</v>
      </c>
      <c r="D6" s="64">
        <f>'1'!C32</f>
        <v>1312410000</v>
      </c>
      <c r="E6" s="64">
        <f>'1'!D32</f>
        <v>1487120580.0000002</v>
      </c>
      <c r="F6" s="64">
        <f>'1'!E32</f>
        <v>1743956329.6980004</v>
      </c>
      <c r="G6" s="64">
        <f>'1'!F32</f>
        <v>2120859720.7239027</v>
      </c>
    </row>
    <row r="7" spans="1:7" x14ac:dyDescent="0.25">
      <c r="B7" s="8" t="s">
        <v>66</v>
      </c>
      <c r="C7" s="64">
        <f>'1'!B33</f>
        <v>810000000</v>
      </c>
      <c r="D7" s="64">
        <f>'1'!C33</f>
        <v>861040200</v>
      </c>
      <c r="E7" s="64">
        <f>'1'!D33</f>
        <v>954186977.28000021</v>
      </c>
      <c r="F7" s="64">
        <f>'1'!E33</f>
        <v>1103633106.5788419</v>
      </c>
      <c r="G7" s="64">
        <f>'1'!F33</f>
        <v>1332036227.8159332</v>
      </c>
    </row>
    <row r="8" spans="1:7" ht="15.75" thickBot="1" x14ac:dyDescent="0.3">
      <c r="B8" s="65" t="s">
        <v>67</v>
      </c>
      <c r="C8" s="66">
        <f>C6-C7</f>
        <v>370000000</v>
      </c>
      <c r="D8" s="66">
        <f t="shared" ref="D8:G8" si="0">D6-D7</f>
        <v>451369800</v>
      </c>
      <c r="E8" s="66">
        <f t="shared" si="0"/>
        <v>532933602.72000003</v>
      </c>
      <c r="F8" s="66">
        <f t="shared" si="0"/>
        <v>640323223.11915851</v>
      </c>
      <c r="G8" s="66">
        <f t="shared" si="0"/>
        <v>788823492.90796947</v>
      </c>
    </row>
    <row r="9" spans="1:7" ht="15.75" thickTop="1" x14ac:dyDescent="0.25">
      <c r="B9" s="8" t="s">
        <v>68</v>
      </c>
      <c r="C9" s="64">
        <f>'2'!C23</f>
        <v>360000000</v>
      </c>
      <c r="D9" s="64">
        <f>C9*(1+'1'!Z4)</f>
        <v>384120000</v>
      </c>
      <c r="E9" s="64">
        <f>D9*(1+'1'!AA4)</f>
        <v>401021280</v>
      </c>
      <c r="F9" s="64">
        <f>E9*(1+'1'!AB4)</f>
        <v>416260088.63999999</v>
      </c>
      <c r="G9" s="64">
        <f>F9*(1+'1'!AC4)</f>
        <v>430412931.65376002</v>
      </c>
    </row>
    <row r="10" spans="1:7" x14ac:dyDescent="0.25">
      <c r="B10" s="8" t="s">
        <v>135</v>
      </c>
      <c r="C10" s="64">
        <f>'2'!F31</f>
        <v>15400000</v>
      </c>
      <c r="D10" s="64">
        <f>C10*(1+'1'!Z4)</f>
        <v>16431800</v>
      </c>
      <c r="E10" s="64">
        <f>D10*(1+'1'!AA4)</f>
        <v>17154799.199999999</v>
      </c>
      <c r="F10" s="64">
        <f>E10*(1+'1'!AB4)</f>
        <v>17806681.569600001</v>
      </c>
      <c r="G10" s="64">
        <f>F10*(1+'1'!AC4)</f>
        <v>18412108.742966402</v>
      </c>
    </row>
    <row r="11" spans="1:7" x14ac:dyDescent="0.25">
      <c r="B11" s="8" t="s">
        <v>69</v>
      </c>
      <c r="C11" s="64">
        <f>'2'!C25</f>
        <v>10000000</v>
      </c>
      <c r="D11" s="64">
        <f>'2'!C28</f>
        <v>12000000</v>
      </c>
      <c r="E11" s="64">
        <f>'2'!C29</f>
        <v>15000000</v>
      </c>
      <c r="F11" s="64">
        <f>'2'!C30</f>
        <v>18000000</v>
      </c>
      <c r="G11" s="64">
        <f>'2'!C31</f>
        <v>20000000</v>
      </c>
    </row>
    <row r="12" spans="1:7" x14ac:dyDescent="0.25">
      <c r="B12" s="8" t="s">
        <v>86</v>
      </c>
      <c r="C12" s="64">
        <f>'2'!G12</f>
        <v>3200000</v>
      </c>
      <c r="D12" s="64">
        <f>C12</f>
        <v>3200000</v>
      </c>
      <c r="E12" s="64">
        <f t="shared" ref="E12:G12" si="1">D12</f>
        <v>3200000</v>
      </c>
      <c r="F12" s="64">
        <f t="shared" si="1"/>
        <v>3200000</v>
      </c>
      <c r="G12" s="64">
        <f t="shared" si="1"/>
        <v>3200000</v>
      </c>
    </row>
    <row r="13" spans="1:7" ht="15.75" thickBot="1" x14ac:dyDescent="0.3">
      <c r="B13" s="65" t="s">
        <v>70</v>
      </c>
      <c r="C13" s="67">
        <f>C8-C9-C10-C11-C12</f>
        <v>-18600000</v>
      </c>
      <c r="D13" s="67">
        <f t="shared" ref="D13:G13" si="2">D8-D9-D10-D11-D12</f>
        <v>35618000</v>
      </c>
      <c r="E13" s="67">
        <f t="shared" si="2"/>
        <v>96557523.520000026</v>
      </c>
      <c r="F13" s="67">
        <f t="shared" si="2"/>
        <v>185056452.90955853</v>
      </c>
      <c r="G13" s="67">
        <f t="shared" si="2"/>
        <v>316798452.51124305</v>
      </c>
    </row>
    <row r="14" spans="1:7" ht="15.75" thickTop="1" x14ac:dyDescent="0.25">
      <c r="B14" s="8" t="s">
        <v>71</v>
      </c>
      <c r="C14" s="64">
        <f>'3'!G9</f>
        <v>11617833.333333332</v>
      </c>
      <c r="D14" s="64">
        <f>'3'!G10</f>
        <v>9752354.2391093988</v>
      </c>
      <c r="E14" s="64">
        <f>'3'!G11</f>
        <v>7681672.444520833</v>
      </c>
      <c r="F14" s="64">
        <f>'3'!G12</f>
        <v>5383215.6525275251</v>
      </c>
      <c r="G14" s="64">
        <f>'3'!G13</f>
        <v>2831928.6134149535</v>
      </c>
    </row>
    <row r="15" spans="1:7" ht="15.75" thickBot="1" x14ac:dyDescent="0.3">
      <c r="B15" s="65" t="s">
        <v>72</v>
      </c>
      <c r="C15" s="67">
        <f>C13-C14</f>
        <v>-30217833.333333332</v>
      </c>
      <c r="D15" s="67">
        <f t="shared" ref="D15:G15" si="3">D13-D14</f>
        <v>25865645.760890603</v>
      </c>
      <c r="E15" s="67">
        <f t="shared" si="3"/>
        <v>88875851.075479195</v>
      </c>
      <c r="F15" s="67">
        <f t="shared" si="3"/>
        <v>179673237.25703102</v>
      </c>
      <c r="G15" s="67">
        <f t="shared" si="3"/>
        <v>313966523.8978281</v>
      </c>
    </row>
    <row r="16" spans="1:7" ht="15.75" thickTop="1" x14ac:dyDescent="0.25">
      <c r="B16" s="8" t="s">
        <v>73</v>
      </c>
      <c r="C16" s="68">
        <f>IF(C15*'1'!$AB$7&lt;0,0,C15*'1'!$AB$7)</f>
        <v>0</v>
      </c>
      <c r="D16" s="68">
        <f>IF(D15*'1'!$AB$7&lt;0,0,D15*'1'!$AB$7)</f>
        <v>8794319.558702806</v>
      </c>
      <c r="E16" s="68">
        <f>IF(E15*'1'!$AB$7&lt;0,0,E15*'1'!$AB$7)</f>
        <v>30217789.365662929</v>
      </c>
      <c r="F16" s="68">
        <f>IF(F15*'1'!$AB$7&lt;0,0,F15*'1'!$AB$7)</f>
        <v>61088900.667390555</v>
      </c>
      <c r="G16" s="68">
        <f>IF(G15*'1'!$AB$7&lt;0,0,G15*'1'!$AB$7)</f>
        <v>106748618.12526156</v>
      </c>
    </row>
    <row r="17" spans="1:8" ht="15.75" thickBot="1" x14ac:dyDescent="0.3">
      <c r="B17" s="69" t="s">
        <v>74</v>
      </c>
      <c r="C17" s="70">
        <f>C15-C16</f>
        <v>-30217833.333333332</v>
      </c>
      <c r="D17" s="70">
        <f t="shared" ref="D17:G17" si="4">D15-D16</f>
        <v>17071326.202187799</v>
      </c>
      <c r="E17" s="70">
        <f t="shared" si="4"/>
        <v>58658061.709816262</v>
      </c>
      <c r="F17" s="70">
        <f t="shared" si="4"/>
        <v>118584336.58964047</v>
      </c>
      <c r="G17" s="70">
        <f t="shared" si="4"/>
        <v>207217905.77256656</v>
      </c>
    </row>
    <row r="19" spans="1:8" ht="15.75" x14ac:dyDescent="0.25">
      <c r="A19" s="155" t="s">
        <v>64</v>
      </c>
      <c r="B19" s="155"/>
      <c r="C19" s="155"/>
      <c r="D19" s="155"/>
      <c r="E19" s="155"/>
      <c r="F19" s="155"/>
      <c r="G19" s="155"/>
    </row>
    <row r="20" spans="1:8" ht="23.25" x14ac:dyDescent="0.25">
      <c r="B20" s="71" t="s">
        <v>84</v>
      </c>
      <c r="C20" s="63">
        <f>C5</f>
        <v>2023</v>
      </c>
      <c r="D20" s="63">
        <f>D5</f>
        <v>2024</v>
      </c>
      <c r="E20" s="63">
        <f>E5</f>
        <v>2025</v>
      </c>
      <c r="F20" s="63">
        <f>F5</f>
        <v>2026</v>
      </c>
      <c r="G20" s="63">
        <f>G5</f>
        <v>2027</v>
      </c>
    </row>
    <row r="21" spans="1:8" x14ac:dyDescent="0.25">
      <c r="A21" s="154" t="s">
        <v>65</v>
      </c>
      <c r="B21" s="154"/>
      <c r="C21" s="154"/>
      <c r="D21" s="154"/>
      <c r="E21" s="154"/>
      <c r="F21" s="154"/>
      <c r="G21" s="154"/>
    </row>
    <row r="22" spans="1:8" x14ac:dyDescent="0.25">
      <c r="A22" s="8" t="s">
        <v>95</v>
      </c>
      <c r="B22" s="26">
        <f>B38-B26</f>
        <v>99616666.666666657</v>
      </c>
      <c r="C22" s="26">
        <f t="shared" ref="C22:G22" si="5">C38-C26</f>
        <v>55639932.476752117</v>
      </c>
      <c r="D22" s="26">
        <f t="shared" si="5"/>
        <v>96099031.620170921</v>
      </c>
      <c r="E22" s="26">
        <f t="shared" si="5"/>
        <v>141414175.1893658</v>
      </c>
      <c r="F22" s="26">
        <f t="shared" si="5"/>
        <v>212218042.8335306</v>
      </c>
      <c r="G22" s="26">
        <f t="shared" si="5"/>
        <v>323966523.8978281</v>
      </c>
    </row>
    <row r="23" spans="1:8" x14ac:dyDescent="0.25">
      <c r="A23" s="8" t="s">
        <v>93</v>
      </c>
      <c r="B23" s="26">
        <f>'2'!C4</f>
        <v>0</v>
      </c>
      <c r="C23" s="26">
        <f>B23</f>
        <v>0</v>
      </c>
      <c r="D23" s="26">
        <f t="shared" ref="D23:G23" si="6">C23</f>
        <v>0</v>
      </c>
      <c r="E23" s="26">
        <f t="shared" si="6"/>
        <v>0</v>
      </c>
      <c r="F23" s="26">
        <f t="shared" si="6"/>
        <v>0</v>
      </c>
      <c r="G23" s="26">
        <f t="shared" si="6"/>
        <v>0</v>
      </c>
      <c r="H23" s="26"/>
    </row>
    <row r="24" spans="1:8" x14ac:dyDescent="0.25">
      <c r="A24" s="8" t="s">
        <v>94</v>
      </c>
      <c r="B24" s="26">
        <f>'2'!C12-'2'!C4</f>
        <v>21000000</v>
      </c>
      <c r="C24" s="26">
        <f>B24</f>
        <v>21000000</v>
      </c>
      <c r="D24" s="26">
        <f t="shared" ref="D24:G24" si="7">C24</f>
        <v>21000000</v>
      </c>
      <c r="E24" s="26">
        <f t="shared" si="7"/>
        <v>21000000</v>
      </c>
      <c r="F24" s="26">
        <f t="shared" si="7"/>
        <v>21000000</v>
      </c>
      <c r="G24" s="26">
        <f t="shared" si="7"/>
        <v>21000000</v>
      </c>
      <c r="H24" s="26"/>
    </row>
    <row r="25" spans="1:8" x14ac:dyDescent="0.25">
      <c r="A25" s="8" t="s">
        <v>87</v>
      </c>
      <c r="B25" s="26">
        <v>0</v>
      </c>
      <c r="C25" s="26">
        <f>C12</f>
        <v>3200000</v>
      </c>
      <c r="D25" s="26">
        <f>D12+C12</f>
        <v>6400000</v>
      </c>
      <c r="E25" s="26">
        <f>E12+D12+C12</f>
        <v>9600000</v>
      </c>
      <c r="F25" s="26">
        <f>F12+E12+D12+C12</f>
        <v>12800000</v>
      </c>
      <c r="G25" s="26">
        <f>F25+G12</f>
        <v>16000000</v>
      </c>
      <c r="H25" s="26"/>
    </row>
    <row r="26" spans="1:8" x14ac:dyDescent="0.25">
      <c r="A26" s="8" t="s">
        <v>88</v>
      </c>
      <c r="B26" s="26">
        <f>B23+(B24-B25)</f>
        <v>21000000</v>
      </c>
      <c r="C26" s="26">
        <f>C23+(C24-C25)</f>
        <v>17800000</v>
      </c>
      <c r="D26" s="26">
        <f t="shared" ref="D26:G26" si="8">D23+(D24-D25)</f>
        <v>14600000</v>
      </c>
      <c r="E26" s="26">
        <f t="shared" si="8"/>
        <v>11400000</v>
      </c>
      <c r="F26" s="26">
        <f t="shared" si="8"/>
        <v>8200000</v>
      </c>
      <c r="G26" s="26">
        <f t="shared" si="8"/>
        <v>5000000</v>
      </c>
      <c r="H26" s="26"/>
    </row>
    <row r="27" spans="1:8" ht="15.75" thickBot="1" x14ac:dyDescent="0.3">
      <c r="A27" s="65" t="s">
        <v>85</v>
      </c>
      <c r="B27" s="72">
        <f>B22+B26</f>
        <v>120616666.66666666</v>
      </c>
      <c r="C27" s="72">
        <f t="shared" ref="C27:G27" si="9">C22+C26</f>
        <v>73439932.476752117</v>
      </c>
      <c r="D27" s="72">
        <f t="shared" si="9"/>
        <v>110699031.62017092</v>
      </c>
      <c r="E27" s="72">
        <f t="shared" si="9"/>
        <v>152814175.1893658</v>
      </c>
      <c r="F27" s="72">
        <f t="shared" si="9"/>
        <v>220418042.8335306</v>
      </c>
      <c r="G27" s="72">
        <f t="shared" si="9"/>
        <v>328966523.8978281</v>
      </c>
      <c r="H27" s="26"/>
    </row>
    <row r="28" spans="1:8" ht="15.75" thickTop="1" x14ac:dyDescent="0.25">
      <c r="A28" s="154" t="s">
        <v>75</v>
      </c>
      <c r="B28" s="154"/>
      <c r="C28" s="154"/>
      <c r="D28" s="154"/>
      <c r="E28" s="154"/>
      <c r="F28" s="154"/>
      <c r="G28" s="154"/>
    </row>
    <row r="29" spans="1:8" x14ac:dyDescent="0.25">
      <c r="A29" s="8" t="s">
        <v>76</v>
      </c>
      <c r="B29" s="8">
        <v>0</v>
      </c>
      <c r="C29" s="68">
        <f>C16</f>
        <v>0</v>
      </c>
      <c r="D29" s="68">
        <f>D16</f>
        <v>8794319.558702806</v>
      </c>
      <c r="E29" s="68">
        <f>E16</f>
        <v>30217789.365662929</v>
      </c>
      <c r="F29" s="68">
        <f>F16</f>
        <v>61088900.667390555</v>
      </c>
      <c r="G29" s="68">
        <f>G16</f>
        <v>106748618.12526156</v>
      </c>
    </row>
    <row r="30" spans="1:8" x14ac:dyDescent="0.25">
      <c r="A30" s="8" t="s">
        <v>77</v>
      </c>
      <c r="B30" s="68">
        <f>B29</f>
        <v>0</v>
      </c>
      <c r="C30" s="68">
        <f t="shared" ref="C30:G30" si="10">C29</f>
        <v>0</v>
      </c>
      <c r="D30" s="68">
        <f t="shared" si="10"/>
        <v>8794319.558702806</v>
      </c>
      <c r="E30" s="68">
        <f t="shared" si="10"/>
        <v>30217789.365662929</v>
      </c>
      <c r="F30" s="68">
        <f t="shared" si="10"/>
        <v>61088900.667390555</v>
      </c>
      <c r="G30" s="68">
        <f t="shared" si="10"/>
        <v>106748618.12526156</v>
      </c>
    </row>
    <row r="31" spans="1:8" x14ac:dyDescent="0.25">
      <c r="A31" s="8" t="s">
        <v>78</v>
      </c>
      <c r="B31" s="25">
        <f>'3'!J8</f>
        <v>105616666.66666666</v>
      </c>
      <c r="C31" s="25">
        <f>'3'!J9</f>
        <v>88657765.810085446</v>
      </c>
      <c r="D31" s="25">
        <f>'3'!J10</f>
        <v>69833385.859280303</v>
      </c>
      <c r="E31" s="25">
        <f>'3'!J11</f>
        <v>48938324.113886595</v>
      </c>
      <c r="F31" s="25">
        <f>'3'!J12</f>
        <v>25744805.576499578</v>
      </c>
      <c r="G31" s="25">
        <f>'3'!J13</f>
        <v>0</v>
      </c>
    </row>
    <row r="32" spans="1:8" ht="15.75" thickBot="1" x14ac:dyDescent="0.3">
      <c r="A32" s="65" t="s">
        <v>75</v>
      </c>
      <c r="B32" s="72">
        <f>B30+B31</f>
        <v>105616666.66666666</v>
      </c>
      <c r="C32" s="72">
        <f t="shared" ref="C32:G32" si="11">C30+C31</f>
        <v>88657765.810085446</v>
      </c>
      <c r="D32" s="72">
        <f t="shared" si="11"/>
        <v>78627705.417983115</v>
      </c>
      <c r="E32" s="72">
        <f t="shared" si="11"/>
        <v>79156113.479549527</v>
      </c>
      <c r="F32" s="72">
        <f t="shared" si="11"/>
        <v>86833706.243890136</v>
      </c>
      <c r="G32" s="72">
        <f t="shared" si="11"/>
        <v>106748618.12526156</v>
      </c>
    </row>
    <row r="33" spans="1:7" ht="15.75" thickTop="1" x14ac:dyDescent="0.25">
      <c r="A33" s="154" t="s">
        <v>79</v>
      </c>
      <c r="B33" s="154"/>
      <c r="C33" s="154"/>
      <c r="D33" s="154"/>
      <c r="E33" s="154"/>
      <c r="F33" s="154"/>
      <c r="G33" s="154"/>
    </row>
    <row r="34" spans="1:7" x14ac:dyDescent="0.25">
      <c r="A34" s="8" t="s">
        <v>80</v>
      </c>
      <c r="B34" s="26">
        <f>'3'!D15</f>
        <v>15000000</v>
      </c>
      <c r="C34" s="26">
        <f>B34</f>
        <v>15000000</v>
      </c>
      <c r="D34" s="26">
        <f t="shared" ref="D34:G34" si="12">C34</f>
        <v>15000000</v>
      </c>
      <c r="E34" s="26">
        <f t="shared" si="12"/>
        <v>15000000</v>
      </c>
      <c r="F34" s="26">
        <f t="shared" si="12"/>
        <v>15000000</v>
      </c>
      <c r="G34" s="26">
        <f t="shared" si="12"/>
        <v>15000000</v>
      </c>
    </row>
    <row r="35" spans="1:7" x14ac:dyDescent="0.25">
      <c r="A35" s="8" t="s">
        <v>81</v>
      </c>
      <c r="B35" s="8">
        <v>0</v>
      </c>
      <c r="C35" s="68">
        <f>C17</f>
        <v>-30217833.333333332</v>
      </c>
      <c r="D35" s="68">
        <f>D17</f>
        <v>17071326.202187799</v>
      </c>
      <c r="E35" s="68">
        <f>E17</f>
        <v>58658061.709816262</v>
      </c>
      <c r="F35" s="68">
        <f>F17</f>
        <v>118584336.58964047</v>
      </c>
      <c r="G35" s="68">
        <f>G17</f>
        <v>207217905.77256656</v>
      </c>
    </row>
    <row r="36" spans="1:7" ht="15.75" thickBot="1" x14ac:dyDescent="0.3">
      <c r="A36" s="65" t="s">
        <v>82</v>
      </c>
      <c r="B36" s="72">
        <f>B34+B35</f>
        <v>15000000</v>
      </c>
      <c r="C36" s="72">
        <f t="shared" ref="C36:G36" si="13">C34+C35</f>
        <v>-15217833.333333332</v>
      </c>
      <c r="D36" s="72">
        <f t="shared" si="13"/>
        <v>32071326.202187799</v>
      </c>
      <c r="E36" s="72">
        <f t="shared" si="13"/>
        <v>73658061.709816262</v>
      </c>
      <c r="F36" s="72">
        <f t="shared" si="13"/>
        <v>133584336.58964047</v>
      </c>
      <c r="G36" s="72">
        <f t="shared" si="13"/>
        <v>222217905.77256656</v>
      </c>
    </row>
    <row r="37" spans="1:7" ht="15.75" thickTop="1" x14ac:dyDescent="0.25"/>
    <row r="38" spans="1:7" ht="15.75" thickBot="1" x14ac:dyDescent="0.3">
      <c r="A38" s="65" t="s">
        <v>83</v>
      </c>
      <c r="B38" s="72">
        <f>B32+B36</f>
        <v>120616666.66666666</v>
      </c>
      <c r="C38" s="72">
        <f t="shared" ref="C38:G38" si="14">C32+C36</f>
        <v>73439932.476752117</v>
      </c>
      <c r="D38" s="72">
        <f t="shared" si="14"/>
        <v>110699031.62017092</v>
      </c>
      <c r="E38" s="72">
        <f t="shared" si="14"/>
        <v>152814175.1893658</v>
      </c>
      <c r="F38" s="72">
        <f t="shared" si="14"/>
        <v>220418042.8335306</v>
      </c>
      <c r="G38" s="72">
        <f t="shared" si="14"/>
        <v>328966523.8978281</v>
      </c>
    </row>
    <row r="39" spans="1:7" ht="15.75" thickTop="1" x14ac:dyDescent="0.25">
      <c r="A39" s="61" t="s">
        <v>90</v>
      </c>
      <c r="B39" s="73">
        <f>B27-B38</f>
        <v>0</v>
      </c>
      <c r="C39" s="73">
        <f t="shared" ref="C39:G39" si="15">C27-C38</f>
        <v>0</v>
      </c>
      <c r="D39" s="73">
        <f t="shared" si="15"/>
        <v>0</v>
      </c>
      <c r="E39" s="73">
        <f t="shared" si="15"/>
        <v>0</v>
      </c>
      <c r="F39" s="73">
        <f t="shared" si="15"/>
        <v>0</v>
      </c>
      <c r="G39" s="73">
        <f t="shared" si="15"/>
        <v>0</v>
      </c>
    </row>
    <row r="41" spans="1:7" ht="15.75" x14ac:dyDescent="0.25">
      <c r="A41" s="155" t="s">
        <v>96</v>
      </c>
      <c r="B41" s="155"/>
      <c r="C41" s="155"/>
      <c r="D41" s="155"/>
      <c r="E41" s="155"/>
      <c r="F41" s="155"/>
      <c r="G41" s="155"/>
    </row>
    <row r="42" spans="1:7" x14ac:dyDescent="0.25">
      <c r="A42" s="154" t="s">
        <v>97</v>
      </c>
      <c r="B42" s="154"/>
      <c r="C42" s="154"/>
      <c r="D42" s="154"/>
      <c r="E42" s="154"/>
      <c r="F42" s="154"/>
      <c r="G42" s="154"/>
    </row>
    <row r="43" spans="1:7" ht="23.25" x14ac:dyDescent="0.25">
      <c r="A43" s="11"/>
      <c r="B43" s="71" t="s">
        <v>84</v>
      </c>
      <c r="C43" s="63">
        <f>C20</f>
        <v>2023</v>
      </c>
      <c r="D43" s="63">
        <f t="shared" ref="D43:G43" si="16">D20</f>
        <v>2024</v>
      </c>
      <c r="E43" s="63">
        <f t="shared" si="16"/>
        <v>2025</v>
      </c>
      <c r="F43" s="63">
        <f t="shared" si="16"/>
        <v>2026</v>
      </c>
      <c r="G43" s="63">
        <f t="shared" si="16"/>
        <v>2027</v>
      </c>
    </row>
    <row r="44" spans="1:7" x14ac:dyDescent="0.25">
      <c r="A44" s="1" t="s">
        <v>98</v>
      </c>
      <c r="B44" s="2">
        <f>B22</f>
        <v>99616666.666666657</v>
      </c>
      <c r="C44" s="2">
        <f t="shared" ref="C44:G44" si="17">C22</f>
        <v>55639932.476752117</v>
      </c>
      <c r="D44" s="2">
        <f t="shared" si="17"/>
        <v>96099031.620170921</v>
      </c>
      <c r="E44" s="2">
        <f t="shared" si="17"/>
        <v>141414175.1893658</v>
      </c>
      <c r="F44" s="2">
        <f t="shared" si="17"/>
        <v>212218042.8335306</v>
      </c>
      <c r="G44" s="2">
        <f t="shared" si="17"/>
        <v>323966523.8978281</v>
      </c>
    </row>
    <row r="45" spans="1:7" ht="15.75" thickBot="1" x14ac:dyDescent="0.3">
      <c r="A45" s="1" t="s">
        <v>99</v>
      </c>
      <c r="B45" s="3">
        <f>B29</f>
        <v>0</v>
      </c>
      <c r="C45" s="3">
        <f t="shared" ref="C45:G45" si="18">C29</f>
        <v>0</v>
      </c>
      <c r="D45" s="3">
        <f t="shared" si="18"/>
        <v>8794319.558702806</v>
      </c>
      <c r="E45" s="3">
        <f t="shared" si="18"/>
        <v>30217789.365662929</v>
      </c>
      <c r="F45" s="3">
        <f t="shared" si="18"/>
        <v>61088900.667390555</v>
      </c>
      <c r="G45" s="3">
        <f t="shared" si="18"/>
        <v>106748618.12526156</v>
      </c>
    </row>
    <row r="46" spans="1:7" ht="15.75" thickTop="1" x14ac:dyDescent="0.25">
      <c r="A46" s="4" t="s">
        <v>100</v>
      </c>
      <c r="B46" s="5">
        <f t="shared" ref="B46:G46" si="19">B44-B45</f>
        <v>99616666.666666657</v>
      </c>
      <c r="C46" s="5">
        <f t="shared" si="19"/>
        <v>55639932.476752117</v>
      </c>
      <c r="D46" s="5">
        <f t="shared" si="19"/>
        <v>87304712.061468109</v>
      </c>
      <c r="E46" s="5">
        <f t="shared" si="19"/>
        <v>111196385.82370287</v>
      </c>
      <c r="F46" s="5">
        <f t="shared" si="19"/>
        <v>151129142.16614005</v>
      </c>
      <c r="G46" s="5">
        <f t="shared" si="19"/>
        <v>217217905.77256656</v>
      </c>
    </row>
    <row r="47" spans="1:7" x14ac:dyDescent="0.25">
      <c r="A47" s="1"/>
      <c r="B47" s="2"/>
      <c r="C47" s="2"/>
      <c r="D47" s="2"/>
      <c r="E47" s="2"/>
      <c r="F47" s="2"/>
      <c r="G47" s="2"/>
    </row>
    <row r="48" spans="1:7" x14ac:dyDescent="0.25">
      <c r="A48" s="4" t="s">
        <v>101</v>
      </c>
      <c r="B48" s="2">
        <f>B26</f>
        <v>21000000</v>
      </c>
      <c r="C48" s="2">
        <f t="shared" ref="C48:G48" si="20">C26</f>
        <v>17800000</v>
      </c>
      <c r="D48" s="2">
        <f t="shared" si="20"/>
        <v>14600000</v>
      </c>
      <c r="E48" s="2">
        <f t="shared" si="20"/>
        <v>11400000</v>
      </c>
      <c r="F48" s="2">
        <f t="shared" si="20"/>
        <v>8200000</v>
      </c>
      <c r="G48" s="2">
        <f t="shared" si="20"/>
        <v>5000000</v>
      </c>
    </row>
    <row r="49" spans="1:7" ht="15.75" thickBot="1" x14ac:dyDescent="0.3">
      <c r="A49" s="1" t="s">
        <v>102</v>
      </c>
      <c r="B49" s="3">
        <f>B25</f>
        <v>0</v>
      </c>
      <c r="C49" s="3">
        <f t="shared" ref="C49:G49" si="21">C25</f>
        <v>3200000</v>
      </c>
      <c r="D49" s="3">
        <f t="shared" si="21"/>
        <v>6400000</v>
      </c>
      <c r="E49" s="3">
        <f t="shared" si="21"/>
        <v>9600000</v>
      </c>
      <c r="F49" s="3">
        <f t="shared" si="21"/>
        <v>12800000</v>
      </c>
      <c r="G49" s="3">
        <f t="shared" si="21"/>
        <v>16000000</v>
      </c>
    </row>
    <row r="50" spans="1:7" ht="15.75" thickTop="1" x14ac:dyDescent="0.25">
      <c r="A50" s="4" t="s">
        <v>103</v>
      </c>
      <c r="B50" s="5">
        <f t="shared" ref="B50:G50" si="22">B48+B49</f>
        <v>21000000</v>
      </c>
      <c r="C50" s="5">
        <f t="shared" si="22"/>
        <v>21000000</v>
      </c>
      <c r="D50" s="5">
        <f t="shared" si="22"/>
        <v>21000000</v>
      </c>
      <c r="E50" s="5">
        <f t="shared" si="22"/>
        <v>21000000</v>
      </c>
      <c r="F50" s="5">
        <f t="shared" si="22"/>
        <v>21000000</v>
      </c>
      <c r="G50" s="5">
        <f t="shared" si="22"/>
        <v>21000000</v>
      </c>
    </row>
    <row r="51" spans="1:7" x14ac:dyDescent="0.25">
      <c r="A51" s="1"/>
      <c r="B51" s="2"/>
      <c r="C51" s="2"/>
      <c r="D51" s="2"/>
      <c r="E51" s="2"/>
      <c r="F51" s="2"/>
      <c r="G51" s="2"/>
    </row>
    <row r="52" spans="1:7" ht="15.75" thickBot="1" x14ac:dyDescent="0.3">
      <c r="A52" s="12" t="s">
        <v>104</v>
      </c>
      <c r="B52" s="6">
        <f t="shared" ref="B52:G52" si="23">B46+B48</f>
        <v>120616666.66666666</v>
      </c>
      <c r="C52" s="6">
        <f t="shared" si="23"/>
        <v>73439932.476752117</v>
      </c>
      <c r="D52" s="6">
        <f t="shared" si="23"/>
        <v>101904712.06146811</v>
      </c>
      <c r="E52" s="6">
        <f t="shared" si="23"/>
        <v>122596385.82370287</v>
      </c>
      <c r="F52" s="6">
        <f t="shared" si="23"/>
        <v>159329142.16614005</v>
      </c>
      <c r="G52" s="6">
        <f t="shared" si="23"/>
        <v>222217905.77256656</v>
      </c>
    </row>
    <row r="53" spans="1:7" ht="15.75" thickTop="1" x14ac:dyDescent="0.25">
      <c r="A53" s="7"/>
      <c r="B53" s="2"/>
      <c r="C53" s="2"/>
      <c r="D53" s="2"/>
      <c r="E53" s="2"/>
      <c r="F53" s="2"/>
      <c r="G53" s="2"/>
    </row>
    <row r="54" spans="1:7" x14ac:dyDescent="0.25">
      <c r="A54" s="153" t="s">
        <v>105</v>
      </c>
      <c r="B54" s="153"/>
      <c r="C54" s="153"/>
      <c r="D54" s="153"/>
      <c r="E54" s="153"/>
      <c r="F54" s="153"/>
      <c r="G54" s="153"/>
    </row>
    <row r="55" spans="1:7" x14ac:dyDescent="0.25">
      <c r="A55" s="1" t="s">
        <v>106</v>
      </c>
      <c r="C55" s="9">
        <f>C13</f>
        <v>-18600000</v>
      </c>
      <c r="D55" s="9">
        <f t="shared" ref="D55:G55" si="24">D13</f>
        <v>35618000</v>
      </c>
      <c r="E55" s="9">
        <f t="shared" si="24"/>
        <v>96557523.520000026</v>
      </c>
      <c r="F55" s="9">
        <f t="shared" si="24"/>
        <v>185056452.90955853</v>
      </c>
      <c r="G55" s="9">
        <f t="shared" si="24"/>
        <v>316798452.51124305</v>
      </c>
    </row>
    <row r="56" spans="1:7" ht="15.75" thickBot="1" x14ac:dyDescent="0.3">
      <c r="A56" s="1" t="s">
        <v>107</v>
      </c>
      <c r="C56" s="10">
        <f>C55*'1'!$AB$7</f>
        <v>-6324000</v>
      </c>
      <c r="D56" s="10">
        <f>D55*'1'!$AB$7</f>
        <v>12110120</v>
      </c>
      <c r="E56" s="10">
        <f>E55*'1'!$AB$7</f>
        <v>32829557.996800013</v>
      </c>
      <c r="F56" s="10">
        <f>F55*'1'!$AB$7</f>
        <v>62919193.989249907</v>
      </c>
      <c r="G56" s="10">
        <f>G55*'1'!$AB$7</f>
        <v>107711473.85382265</v>
      </c>
    </row>
    <row r="57" spans="1:7" ht="15.75" thickTop="1" x14ac:dyDescent="0.25">
      <c r="A57" s="4" t="s">
        <v>108</v>
      </c>
      <c r="C57" s="9">
        <f>C55-C56</f>
        <v>-12276000</v>
      </c>
      <c r="D57" s="9">
        <f>D55-D56</f>
        <v>23507880</v>
      </c>
      <c r="E57" s="9">
        <f>E55-E56</f>
        <v>63727965.523200013</v>
      </c>
      <c r="F57" s="9">
        <f>F55-F56</f>
        <v>122137258.92030862</v>
      </c>
      <c r="G57" s="9">
        <f>G55-G56</f>
        <v>209086978.6574204</v>
      </c>
    </row>
    <row r="58" spans="1:7" ht="15.75" thickBot="1" x14ac:dyDescent="0.3">
      <c r="A58" s="1" t="s">
        <v>109</v>
      </c>
      <c r="C58" s="10">
        <f>-(C52-B52)</f>
        <v>47176734.189914539</v>
      </c>
      <c r="D58" s="10">
        <f t="shared" ref="D58:G58" si="25">-(D52-C52)</f>
        <v>-28464779.584715992</v>
      </c>
      <c r="E58" s="10">
        <f t="shared" si="25"/>
        <v>-20691673.762234762</v>
      </c>
      <c r="F58" s="10">
        <f t="shared" si="25"/>
        <v>-36732756.342437178</v>
      </c>
      <c r="G58" s="10">
        <f t="shared" si="25"/>
        <v>-62888763.606426507</v>
      </c>
    </row>
    <row r="59" spans="1:7" ht="16.5" thickTop="1" thickBot="1" x14ac:dyDescent="0.3">
      <c r="A59" s="60" t="s">
        <v>110</v>
      </c>
      <c r="B59" s="61"/>
      <c r="C59" s="62">
        <f>SUM(C57:C58)</f>
        <v>34900734.189914539</v>
      </c>
      <c r="D59" s="62">
        <f t="shared" ref="D59:G59" si="26">SUM(D57:D58)</f>
        <v>-4956899.5847159922</v>
      </c>
      <c r="E59" s="62">
        <f t="shared" si="26"/>
        <v>43036291.76096525</v>
      </c>
      <c r="F59" s="62">
        <f t="shared" si="26"/>
        <v>85404502.577871442</v>
      </c>
      <c r="G59" s="62">
        <f t="shared" si="26"/>
        <v>146198215.05099389</v>
      </c>
    </row>
    <row r="60" spans="1:7" ht="15.75" thickTop="1" x14ac:dyDescent="0.25"/>
  </sheetData>
  <sheetProtection algorithmName="SHA-512" hashValue="KLBhxYPsWRm/mDONeSdAIiuCHDVzFvjvnXci62rP+PvRkwTfgDMBnUm1lUq9hW+nalA7QvZtDlGH44e1gxba/w==" saltValue="qz8Leb/Kc1kBPTEK+6wHOA=="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54"/>
  <sheetViews>
    <sheetView showGridLines="0" tabSelected="1" zoomScale="80" zoomScaleNormal="80" workbookViewId="0">
      <selection activeCell="L28" sqref="L28"/>
    </sheetView>
  </sheetViews>
  <sheetFormatPr defaultColWidth="11.42578125" defaultRowHeight="15" x14ac:dyDescent="0.25"/>
  <cols>
    <col min="1" max="1" width="11.42578125" style="8"/>
    <col min="2" max="2" width="32.5703125" style="8" customWidth="1"/>
    <col min="3" max="3" width="19.85546875" style="8" customWidth="1"/>
    <col min="4" max="4" width="25.42578125" style="8" customWidth="1"/>
    <col min="5" max="5" width="27.7109375" style="8" customWidth="1"/>
    <col min="6" max="6" width="18.28515625" style="8" customWidth="1"/>
    <col min="7" max="7" width="21" style="8" customWidth="1"/>
    <col min="8" max="8" width="19.5703125" style="8"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42" t="s">
        <v>132</v>
      </c>
      <c r="C2" s="142"/>
      <c r="D2" s="142"/>
      <c r="E2" s="142"/>
      <c r="F2" s="142"/>
      <c r="G2" s="142"/>
      <c r="H2" s="142"/>
    </row>
    <row r="3" spans="2:16" ht="15.75" customHeight="1" x14ac:dyDescent="0.25">
      <c r="B3" s="159" t="s">
        <v>111</v>
      </c>
      <c r="C3" s="159"/>
      <c r="D3" s="159"/>
      <c r="E3" s="160">
        <v>0.11</v>
      </c>
      <c r="F3" s="160"/>
    </row>
    <row r="4" spans="2:16" ht="16.5" customHeight="1" x14ac:dyDescent="0.25">
      <c r="B4" s="159"/>
      <c r="C4" s="159"/>
      <c r="D4" s="159"/>
      <c r="E4" s="160"/>
      <c r="F4" s="160"/>
      <c r="O4" s="104"/>
    </row>
    <row r="5" spans="2:16" ht="15.75" thickBot="1" x14ac:dyDescent="0.3">
      <c r="O5" s="104"/>
      <c r="P5" s="107"/>
    </row>
    <row r="6" spans="2:16" ht="23.25" x14ac:dyDescent="0.25">
      <c r="B6" s="103" t="s">
        <v>112</v>
      </c>
      <c r="C6" s="86" t="s">
        <v>113</v>
      </c>
      <c r="D6" s="87">
        <f>'4'!C20</f>
        <v>2023</v>
      </c>
      <c r="E6" s="87">
        <f>'4'!D20</f>
        <v>2024</v>
      </c>
      <c r="F6" s="87">
        <f>'4'!E20</f>
        <v>2025</v>
      </c>
      <c r="G6" s="87">
        <f>'4'!F20</f>
        <v>2026</v>
      </c>
      <c r="H6" s="88">
        <f>'4'!G20</f>
        <v>2027</v>
      </c>
      <c r="O6" s="104"/>
      <c r="P6" s="106"/>
    </row>
    <row r="7" spans="2:16" ht="19.5" thickBot="1" x14ac:dyDescent="0.35">
      <c r="B7" s="89"/>
      <c r="C7" s="112">
        <f>-'3'!D14</f>
        <v>-120616666.66666666</v>
      </c>
      <c r="D7" s="112">
        <f>'4'!C59</f>
        <v>34900734.189914539</v>
      </c>
      <c r="E7" s="112">
        <f>'4'!D59</f>
        <v>-4956899.5847159922</v>
      </c>
      <c r="F7" s="112">
        <f>'4'!E59</f>
        <v>43036291.76096525</v>
      </c>
      <c r="G7" s="112">
        <f>'4'!F59</f>
        <v>85404502.577871442</v>
      </c>
      <c r="H7" s="113">
        <f>'4'!G59</f>
        <v>146198215.05099389</v>
      </c>
      <c r="O7" s="104"/>
      <c r="P7" s="106"/>
    </row>
    <row r="8" spans="2:16" ht="15.75" thickBot="1" x14ac:dyDescent="0.3">
      <c r="C8" s="74">
        <f>C7/(1+$E$3)^0</f>
        <v>-120616666.66666666</v>
      </c>
      <c r="D8" s="74">
        <f>D7/(1+$E$3)^1</f>
        <v>31442102.87379688</v>
      </c>
      <c r="E8" s="74">
        <f>E7/(1+$E$3)^2</f>
        <v>-4023130.9022936379</v>
      </c>
      <c r="F8" s="74">
        <f>F7/(1+$E$3)^3</f>
        <v>31467765.618770882</v>
      </c>
      <c r="G8" s="74">
        <f>G7/(1+$E$3)^4</f>
        <v>56258591.179490425</v>
      </c>
      <c r="H8" s="74">
        <f>H7/(1+$E$3)^5</f>
        <v>86761524.88180308</v>
      </c>
      <c r="O8" s="104"/>
      <c r="P8" s="106"/>
    </row>
    <row r="9" spans="2:16" ht="24" thickBot="1" x14ac:dyDescent="0.4">
      <c r="B9" s="30" t="s">
        <v>114</v>
      </c>
      <c r="C9" s="31"/>
      <c r="D9" s="114">
        <f>NPV(E3,D7:H7)+$C$7</f>
        <v>81290186.984900951</v>
      </c>
      <c r="O9" s="104"/>
      <c r="P9" s="106"/>
    </row>
    <row r="10" spans="2:16" ht="28.5" thickBot="1" x14ac:dyDescent="0.4">
      <c r="B10" s="111" t="s">
        <v>115</v>
      </c>
      <c r="C10" s="31"/>
      <c r="D10" s="115">
        <f>IF(ISERROR(IRR(C7:H7)),"NO_APLICA",(IRR(C7:H7)))</f>
        <v>0.27553078512698281</v>
      </c>
      <c r="F10" s="108" t="s">
        <v>137</v>
      </c>
      <c r="G10" s="31"/>
      <c r="H10" s="109">
        <f>IF(ISERROR(-C8/AVERAGE(D8:H8)),"NO_APLICA",(-C8/AVERAGE(D8:H8)))</f>
        <v>2.9869383947415642</v>
      </c>
      <c r="I10" s="110" t="s">
        <v>63</v>
      </c>
      <c r="P10" s="105"/>
    </row>
    <row r="12" spans="2:16" ht="18.75" x14ac:dyDescent="0.3">
      <c r="B12" s="161" t="s">
        <v>119</v>
      </c>
      <c r="C12" s="161"/>
      <c r="D12" s="161"/>
      <c r="E12" s="161"/>
      <c r="F12" s="161"/>
      <c r="G12" s="161"/>
      <c r="H12" s="161"/>
    </row>
    <row r="13" spans="2:16" ht="36.75" x14ac:dyDescent="0.25">
      <c r="B13" s="90" t="str">
        <f>'1'!B2</f>
        <v>NOMBRE DEL PRODUCTO O SERVICIO</v>
      </c>
      <c r="C13" s="90" t="s">
        <v>120</v>
      </c>
      <c r="D13" s="90" t="s">
        <v>121</v>
      </c>
      <c r="E13" s="90" t="s">
        <v>122</v>
      </c>
      <c r="F13" s="90" t="s">
        <v>124</v>
      </c>
      <c r="H13" s="74"/>
      <c r="I13" s="74"/>
      <c r="J13" s="74" t="s">
        <v>128</v>
      </c>
    </row>
    <row r="14" spans="2:16" x14ac:dyDescent="0.25">
      <c r="B14" s="38" t="str">
        <f>'1'!B3</f>
        <v>SOFTWARE DE CONTEOS CÍCLICOS</v>
      </c>
      <c r="C14" s="91">
        <f>'1'!D3-'1'!D17</f>
        <v>1400000</v>
      </c>
      <c r="D14" s="92">
        <f>'1'!F3</f>
        <v>0.33898305084745761</v>
      </c>
      <c r="E14" s="91">
        <f>C14*D14</f>
        <v>474576.27118644066</v>
      </c>
      <c r="F14" s="93">
        <f t="shared" ref="F14:F23" si="0">$E$27*D14</f>
        <v>251.07491856677524</v>
      </c>
      <c r="G14" s="38" t="s">
        <v>123</v>
      </c>
      <c r="H14" s="75">
        <f>'1'!D3</f>
        <v>2000000</v>
      </c>
      <c r="I14" s="94">
        <f t="shared" ref="I14:I23" si="1">$B$34*D14</f>
        <v>502.14983713355048</v>
      </c>
      <c r="J14" s="75">
        <f>'1'!D17</f>
        <v>600000</v>
      </c>
    </row>
    <row r="15" spans="2:16" x14ac:dyDescent="0.25">
      <c r="B15" s="95" t="str">
        <f>'1'!B4</f>
        <v xml:space="preserve">VISITA DE ANÁLISIS </v>
      </c>
      <c r="C15" s="91">
        <f>'1'!D4-'1'!D18</f>
        <v>300000</v>
      </c>
      <c r="D15" s="92">
        <f>'1'!F4</f>
        <v>0.10169491525423729</v>
      </c>
      <c r="E15" s="91">
        <f t="shared" ref="E15:E23" si="2">C15*D15</f>
        <v>30508.47457627119</v>
      </c>
      <c r="F15" s="93">
        <f t="shared" si="0"/>
        <v>75.32247557003258</v>
      </c>
      <c r="G15" s="38" t="str">
        <f>G14</f>
        <v>UNIDADES</v>
      </c>
      <c r="H15" s="75">
        <f>'1'!D4</f>
        <v>600000</v>
      </c>
      <c r="I15" s="94">
        <f t="shared" si="1"/>
        <v>150.64495114006516</v>
      </c>
      <c r="J15" s="75">
        <f>'1'!D18</f>
        <v>300000</v>
      </c>
    </row>
    <row r="16" spans="2:16" x14ac:dyDescent="0.25">
      <c r="B16" s="95" t="str">
        <f>'1'!B5</f>
        <v>ACOMPAÑAMIENTOS DE ASESORÍA</v>
      </c>
      <c r="C16" s="91">
        <f>'1'!D5-'1'!D19</f>
        <v>0</v>
      </c>
      <c r="D16" s="92">
        <f>'1'!F5</f>
        <v>0.40677966101694918</v>
      </c>
      <c r="E16" s="91">
        <f t="shared" si="2"/>
        <v>0</v>
      </c>
      <c r="F16" s="93">
        <f t="shared" si="0"/>
        <v>301.28990228013032</v>
      </c>
      <c r="G16" s="38" t="str">
        <f t="shared" ref="G16:G23" si="3">G15</f>
        <v>UNIDADES</v>
      </c>
      <c r="H16" s="75">
        <f>'1'!D5</f>
        <v>600000</v>
      </c>
      <c r="I16" s="94">
        <f t="shared" si="1"/>
        <v>602.57980456026064</v>
      </c>
      <c r="J16" s="75">
        <f>'1'!D19</f>
        <v>600000</v>
      </c>
    </row>
    <row r="17" spans="2:10" x14ac:dyDescent="0.25">
      <c r="B17" s="95" t="str">
        <f>'1'!B6</f>
        <v>SOPORTE TÉCNICO PARA REQUERIMIENTOS ADICIONALES</v>
      </c>
      <c r="C17" s="91">
        <f>'1'!D6-'1'!D20</f>
        <v>200000</v>
      </c>
      <c r="D17" s="92">
        <f>'1'!F6</f>
        <v>0.10169491525423729</v>
      </c>
      <c r="E17" s="91">
        <f t="shared" si="2"/>
        <v>20338.983050847459</v>
      </c>
      <c r="F17" s="93">
        <f t="shared" si="0"/>
        <v>75.32247557003258</v>
      </c>
      <c r="G17" s="38" t="str">
        <f t="shared" si="3"/>
        <v>UNIDADES</v>
      </c>
      <c r="H17" s="75">
        <f>'1'!D6</f>
        <v>600000</v>
      </c>
      <c r="I17" s="94">
        <f t="shared" si="1"/>
        <v>150.64495114006516</v>
      </c>
      <c r="J17" s="75">
        <f>'1'!D20</f>
        <v>400000</v>
      </c>
    </row>
    <row r="18" spans="2:10" x14ac:dyDescent="0.25">
      <c r="B18" s="95" t="str">
        <f>'1'!B7</f>
        <v>INCORPORACIÓN DE FUNCIONES ADICIONALES</v>
      </c>
      <c r="C18" s="91">
        <f>'1'!D7-'1'!D21</f>
        <v>-100000</v>
      </c>
      <c r="D18" s="92">
        <f>'1'!F7</f>
        <v>5.0847457627118647E-2</v>
      </c>
      <c r="E18" s="91">
        <f t="shared" si="2"/>
        <v>-5084.7457627118647</v>
      </c>
      <c r="F18" s="93">
        <f t="shared" si="0"/>
        <v>37.66123778501629</v>
      </c>
      <c r="G18" s="38" t="str">
        <f t="shared" si="3"/>
        <v>UNIDADES</v>
      </c>
      <c r="H18" s="75">
        <f>'1'!D7</f>
        <v>600000</v>
      </c>
      <c r="I18" s="94">
        <f t="shared" si="1"/>
        <v>75.32247557003258</v>
      </c>
      <c r="J18" s="75">
        <f>'1'!D21</f>
        <v>700000</v>
      </c>
    </row>
    <row r="19" spans="2:10" x14ac:dyDescent="0.25">
      <c r="B19" s="95">
        <f>'1'!B8</f>
        <v>0</v>
      </c>
      <c r="C19" s="91">
        <f>'1'!D8-'1'!D22</f>
        <v>0</v>
      </c>
      <c r="D19" s="92">
        <f>'1'!F8</f>
        <v>0</v>
      </c>
      <c r="E19" s="91">
        <f t="shared" si="2"/>
        <v>0</v>
      </c>
      <c r="F19" s="93">
        <f t="shared" si="0"/>
        <v>0</v>
      </c>
      <c r="G19" s="38" t="str">
        <f t="shared" si="3"/>
        <v>UNIDADES</v>
      </c>
      <c r="H19" s="75">
        <f>'1'!D8</f>
        <v>0</v>
      </c>
      <c r="I19" s="94">
        <f t="shared" si="1"/>
        <v>0</v>
      </c>
      <c r="J19" s="75">
        <f>'1'!D22</f>
        <v>0</v>
      </c>
    </row>
    <row r="20" spans="2:10" x14ac:dyDescent="0.25">
      <c r="B20" s="95">
        <f>'1'!B9</f>
        <v>0</v>
      </c>
      <c r="C20" s="91">
        <f>'1'!D9-'1'!D23</f>
        <v>0</v>
      </c>
      <c r="D20" s="92">
        <f>'1'!F9</f>
        <v>0</v>
      </c>
      <c r="E20" s="91">
        <f t="shared" si="2"/>
        <v>0</v>
      </c>
      <c r="F20" s="93">
        <f t="shared" si="0"/>
        <v>0</v>
      </c>
      <c r="G20" s="38" t="str">
        <f t="shared" si="3"/>
        <v>UNIDADES</v>
      </c>
      <c r="H20" s="75">
        <f>'1'!D9</f>
        <v>0</v>
      </c>
      <c r="I20" s="94">
        <f t="shared" si="1"/>
        <v>0</v>
      </c>
      <c r="J20" s="75">
        <f>'1'!D23</f>
        <v>0</v>
      </c>
    </row>
    <row r="21" spans="2:10" x14ac:dyDescent="0.25">
      <c r="B21" s="95">
        <f>'1'!B10</f>
        <v>0</v>
      </c>
      <c r="C21" s="91">
        <f>'1'!D10-'1'!D24</f>
        <v>0</v>
      </c>
      <c r="D21" s="92">
        <f>'1'!F10</f>
        <v>0</v>
      </c>
      <c r="E21" s="91">
        <f t="shared" si="2"/>
        <v>0</v>
      </c>
      <c r="F21" s="93">
        <f t="shared" si="0"/>
        <v>0</v>
      </c>
      <c r="G21" s="38" t="str">
        <f t="shared" si="3"/>
        <v>UNIDADES</v>
      </c>
      <c r="H21" s="75">
        <f>'1'!D10</f>
        <v>0</v>
      </c>
      <c r="I21" s="94">
        <f t="shared" si="1"/>
        <v>0</v>
      </c>
      <c r="J21" s="75">
        <f>'1'!D24</f>
        <v>0</v>
      </c>
    </row>
    <row r="22" spans="2:10" x14ac:dyDescent="0.25">
      <c r="B22" s="95">
        <f>'1'!B11</f>
        <v>0</v>
      </c>
      <c r="C22" s="91">
        <f>'1'!D11-'1'!D25</f>
        <v>0</v>
      </c>
      <c r="D22" s="92">
        <f>'1'!F11</f>
        <v>0</v>
      </c>
      <c r="E22" s="91">
        <f t="shared" si="2"/>
        <v>0</v>
      </c>
      <c r="F22" s="93">
        <f t="shared" si="0"/>
        <v>0</v>
      </c>
      <c r="G22" s="38" t="str">
        <f t="shared" si="3"/>
        <v>UNIDADES</v>
      </c>
      <c r="H22" s="75">
        <f>'1'!D11</f>
        <v>0</v>
      </c>
      <c r="I22" s="94">
        <f t="shared" si="1"/>
        <v>0</v>
      </c>
      <c r="J22" s="75">
        <f>'1'!D25</f>
        <v>0</v>
      </c>
    </row>
    <row r="23" spans="2:10" x14ac:dyDescent="0.25">
      <c r="B23" s="38">
        <f>'1'!B12</f>
        <v>0</v>
      </c>
      <c r="C23" s="91">
        <f>'1'!D12-'1'!D26</f>
        <v>0</v>
      </c>
      <c r="D23" s="92">
        <f>'1'!F12</f>
        <v>0</v>
      </c>
      <c r="E23" s="91">
        <f t="shared" si="2"/>
        <v>0</v>
      </c>
      <c r="F23" s="93">
        <f t="shared" si="0"/>
        <v>0</v>
      </c>
      <c r="G23" s="38" t="str">
        <f t="shared" si="3"/>
        <v>UNIDADES</v>
      </c>
      <c r="H23" s="75">
        <f>'1'!D12</f>
        <v>0</v>
      </c>
      <c r="I23" s="94">
        <f t="shared" si="1"/>
        <v>0</v>
      </c>
      <c r="J23" s="75">
        <f>'1'!D26</f>
        <v>0</v>
      </c>
    </row>
    <row r="24" spans="2:10" ht="26.25" x14ac:dyDescent="0.4">
      <c r="C24" s="26"/>
      <c r="D24" s="96"/>
      <c r="E24" s="26"/>
      <c r="F24" s="97">
        <f>SUM(F14:F23)</f>
        <v>740.67100977198697</v>
      </c>
      <c r="G24" s="8" t="str">
        <f>G23</f>
        <v>UNIDADES</v>
      </c>
      <c r="H24" s="75"/>
      <c r="I24" s="94"/>
      <c r="J24" s="75"/>
    </row>
    <row r="25" spans="2:10" ht="12.75" customHeight="1" x14ac:dyDescent="0.4">
      <c r="C25" s="26"/>
      <c r="D25" s="96"/>
      <c r="E25" s="26"/>
      <c r="F25" s="97"/>
      <c r="H25" s="75"/>
      <c r="I25" s="94"/>
      <c r="J25" s="75"/>
    </row>
    <row r="26" spans="2:10" ht="21" customHeight="1" x14ac:dyDescent="0.4">
      <c r="B26" s="158" t="s">
        <v>131</v>
      </c>
      <c r="C26" s="158"/>
      <c r="D26" s="158"/>
      <c r="E26" s="98">
        <f>SUM(E14:E23)</f>
        <v>520338.98305084743</v>
      </c>
      <c r="H26" s="74"/>
      <c r="I26" s="74"/>
      <c r="J26" s="74"/>
    </row>
    <row r="27" spans="2:10" ht="19.5" customHeight="1" x14ac:dyDescent="0.4">
      <c r="B27" s="158" t="s">
        <v>130</v>
      </c>
      <c r="C27" s="158"/>
      <c r="D27" s="158"/>
      <c r="E27" s="97">
        <f>IF(E26=0,0,('2'!C23+'2'!F31+'2'!C25)/'5'!E26)</f>
        <v>740.67100977198697</v>
      </c>
      <c r="F27" s="99" t="s">
        <v>123</v>
      </c>
      <c r="H27" s="100"/>
    </row>
    <row r="28" spans="2:10" ht="26.25" x14ac:dyDescent="0.4">
      <c r="B28" s="158" t="s">
        <v>154</v>
      </c>
      <c r="C28" s="158"/>
      <c r="D28" s="158"/>
      <c r="E28" s="98">
        <f>E48</f>
        <v>795907491.85667753</v>
      </c>
    </row>
    <row r="30" spans="2:10" x14ac:dyDescent="0.25">
      <c r="B30" s="74"/>
      <c r="C30" s="74"/>
      <c r="D30" s="74"/>
      <c r="E30" s="74"/>
      <c r="F30" s="74"/>
      <c r="G30" s="74"/>
    </row>
    <row r="31" spans="2:10" x14ac:dyDescent="0.25">
      <c r="B31" s="74"/>
      <c r="C31" s="74" t="s">
        <v>125</v>
      </c>
      <c r="D31" s="74" t="s">
        <v>126</v>
      </c>
      <c r="E31" s="74" t="s">
        <v>129</v>
      </c>
      <c r="F31" s="74" t="s">
        <v>127</v>
      </c>
      <c r="G31" s="74"/>
      <c r="H31" s="74"/>
    </row>
    <row r="32" spans="2:10" x14ac:dyDescent="0.25">
      <c r="B32" s="74">
        <v>0</v>
      </c>
      <c r="C32" s="75">
        <f>'2'!C25+'2'!F31+'2'!C23</f>
        <v>385400000</v>
      </c>
      <c r="D32" s="74">
        <f>0</f>
        <v>0</v>
      </c>
      <c r="E32" s="74">
        <v>0</v>
      </c>
      <c r="F32" s="75">
        <f>C32+E32</f>
        <v>385400000</v>
      </c>
      <c r="G32" s="74"/>
      <c r="H32" s="74"/>
    </row>
    <row r="33" spans="2:8" x14ac:dyDescent="0.25">
      <c r="B33" s="94">
        <f>F24</f>
        <v>740.67100977198697</v>
      </c>
      <c r="C33" s="75">
        <f>C32</f>
        <v>385400000</v>
      </c>
      <c r="D33" s="101">
        <f>SUMPRODUCT(F14:F23,H14:H23)</f>
        <v>795907491.85667753</v>
      </c>
      <c r="E33" s="101">
        <f>SUMPRODUCT(F14:F23,J14:J23)</f>
        <v>410507491.85667753</v>
      </c>
      <c r="F33" s="75">
        <f t="shared" ref="F33:F34" si="4">C33+E33</f>
        <v>795907491.85667753</v>
      </c>
      <c r="G33" s="74"/>
      <c r="H33" s="74"/>
    </row>
    <row r="34" spans="2:8" x14ac:dyDescent="0.25">
      <c r="B34" s="94">
        <f>B33*2</f>
        <v>1481.3420195439739</v>
      </c>
      <c r="C34" s="75">
        <f>C33</f>
        <v>385400000</v>
      </c>
      <c r="D34" s="101">
        <f>SUMPRODUCT(H14:H23,I14:I23)</f>
        <v>1591814983.7133551</v>
      </c>
      <c r="E34" s="101">
        <f>SUMPRODUCT(I14:I23,J14:J23)</f>
        <v>821014983.71335506</v>
      </c>
      <c r="F34" s="75">
        <f t="shared" si="4"/>
        <v>1206414983.7133551</v>
      </c>
      <c r="G34" s="74"/>
      <c r="H34" s="74"/>
    </row>
    <row r="35" spans="2:8" x14ac:dyDescent="0.25">
      <c r="B35" s="74"/>
      <c r="C35" s="75"/>
      <c r="D35" s="74"/>
      <c r="E35" s="74"/>
      <c r="F35" s="74"/>
      <c r="G35" s="74"/>
      <c r="H35" s="74"/>
    </row>
    <row r="36" spans="2:8" x14ac:dyDescent="0.25">
      <c r="B36" s="74"/>
      <c r="C36" s="75"/>
      <c r="D36" s="74"/>
      <c r="E36" s="74"/>
      <c r="F36" s="74"/>
      <c r="G36" s="74"/>
      <c r="H36" s="74"/>
    </row>
    <row r="37" spans="2:8" x14ac:dyDescent="0.25">
      <c r="B37" s="74"/>
      <c r="C37" s="138" t="s">
        <v>152</v>
      </c>
      <c r="D37" s="74" t="s">
        <v>123</v>
      </c>
      <c r="E37" s="74" t="s">
        <v>153</v>
      </c>
      <c r="F37" s="74"/>
      <c r="G37" s="74"/>
      <c r="H37" s="74"/>
    </row>
    <row r="38" spans="2:8" x14ac:dyDescent="0.25">
      <c r="B38" s="74">
        <v>1</v>
      </c>
      <c r="C38" s="75">
        <f>'1'!D3</f>
        <v>2000000</v>
      </c>
      <c r="D38" s="94">
        <f>F14</f>
        <v>251.07491856677524</v>
      </c>
      <c r="E38" s="74">
        <f>C38*D38</f>
        <v>502149837.13355047</v>
      </c>
      <c r="F38" s="74"/>
      <c r="G38" s="74"/>
      <c r="H38" s="74"/>
    </row>
    <row r="39" spans="2:8" x14ac:dyDescent="0.25">
      <c r="B39" s="74">
        <f>B38+1</f>
        <v>2</v>
      </c>
      <c r="C39" s="75">
        <f>'1'!D4</f>
        <v>600000</v>
      </c>
      <c r="D39" s="94">
        <f t="shared" ref="D39:D47" si="5">F15</f>
        <v>75.32247557003258</v>
      </c>
      <c r="E39" s="74">
        <f t="shared" ref="E39:E47" si="6">C39*D39</f>
        <v>45193485.342019551</v>
      </c>
      <c r="F39" s="74"/>
      <c r="G39" s="74"/>
      <c r="H39" s="74"/>
    </row>
    <row r="40" spans="2:8" x14ac:dyDescent="0.25">
      <c r="B40" s="74">
        <f t="shared" ref="B40:B47" si="7">B39+1</f>
        <v>3</v>
      </c>
      <c r="C40" s="75">
        <f>'1'!D5</f>
        <v>600000</v>
      </c>
      <c r="D40" s="94">
        <f t="shared" si="5"/>
        <v>301.28990228013032</v>
      </c>
      <c r="E40" s="74">
        <f t="shared" si="6"/>
        <v>180773941.3680782</v>
      </c>
      <c r="F40" s="74"/>
      <c r="G40" s="74"/>
      <c r="H40" s="74"/>
    </row>
    <row r="41" spans="2:8" x14ac:dyDescent="0.25">
      <c r="B41" s="74">
        <f t="shared" si="7"/>
        <v>4</v>
      </c>
      <c r="C41" s="75">
        <f>'1'!D6</f>
        <v>600000</v>
      </c>
      <c r="D41" s="94">
        <f t="shared" si="5"/>
        <v>75.32247557003258</v>
      </c>
      <c r="E41" s="74">
        <f t="shared" si="6"/>
        <v>45193485.342019551</v>
      </c>
      <c r="F41" s="74"/>
      <c r="G41" s="74"/>
      <c r="H41" s="74"/>
    </row>
    <row r="42" spans="2:8" x14ac:dyDescent="0.25">
      <c r="B42" s="74">
        <f t="shared" si="7"/>
        <v>5</v>
      </c>
      <c r="C42" s="75">
        <f>'1'!D7</f>
        <v>600000</v>
      </c>
      <c r="D42" s="94">
        <f t="shared" si="5"/>
        <v>37.66123778501629</v>
      </c>
      <c r="E42" s="74">
        <f t="shared" si="6"/>
        <v>22596742.671009775</v>
      </c>
      <c r="F42" s="74"/>
      <c r="G42" s="74"/>
      <c r="H42" s="74"/>
    </row>
    <row r="43" spans="2:8" x14ac:dyDescent="0.25">
      <c r="B43" s="74">
        <f t="shared" si="7"/>
        <v>6</v>
      </c>
      <c r="C43" s="75">
        <f>'1'!D8</f>
        <v>0</v>
      </c>
      <c r="D43" s="94">
        <f t="shared" si="5"/>
        <v>0</v>
      </c>
      <c r="E43" s="74">
        <f t="shared" si="6"/>
        <v>0</v>
      </c>
      <c r="F43" s="74"/>
      <c r="G43" s="74"/>
      <c r="H43" s="74"/>
    </row>
    <row r="44" spans="2:8" x14ac:dyDescent="0.25">
      <c r="B44" s="74">
        <f t="shared" si="7"/>
        <v>7</v>
      </c>
      <c r="C44" s="75">
        <f>'1'!D9</f>
        <v>0</v>
      </c>
      <c r="D44" s="94">
        <f t="shared" si="5"/>
        <v>0</v>
      </c>
      <c r="E44" s="74">
        <f t="shared" si="6"/>
        <v>0</v>
      </c>
      <c r="F44" s="74"/>
      <c r="G44" s="74"/>
      <c r="H44" s="74"/>
    </row>
    <row r="45" spans="2:8" x14ac:dyDescent="0.25">
      <c r="B45" s="74">
        <f t="shared" si="7"/>
        <v>8</v>
      </c>
      <c r="C45" s="75">
        <f>'1'!D10</f>
        <v>0</v>
      </c>
      <c r="D45" s="94">
        <f t="shared" si="5"/>
        <v>0</v>
      </c>
      <c r="E45" s="74">
        <f t="shared" si="6"/>
        <v>0</v>
      </c>
      <c r="F45" s="74"/>
      <c r="G45" s="74"/>
      <c r="H45" s="74"/>
    </row>
    <row r="46" spans="2:8" x14ac:dyDescent="0.25">
      <c r="B46" s="74">
        <f t="shared" si="7"/>
        <v>9</v>
      </c>
      <c r="C46" s="75">
        <f>'1'!D11</f>
        <v>0</v>
      </c>
      <c r="D46" s="94">
        <f t="shared" si="5"/>
        <v>0</v>
      </c>
      <c r="E46" s="74">
        <f t="shared" si="6"/>
        <v>0</v>
      </c>
      <c r="F46" s="74"/>
      <c r="G46" s="74"/>
      <c r="H46" s="74"/>
    </row>
    <row r="47" spans="2:8" x14ac:dyDescent="0.25">
      <c r="B47" s="74">
        <f t="shared" si="7"/>
        <v>10</v>
      </c>
      <c r="C47" s="75">
        <f>'1'!D12</f>
        <v>0</v>
      </c>
      <c r="D47" s="94">
        <f t="shared" si="5"/>
        <v>0</v>
      </c>
      <c r="E47" s="74">
        <f t="shared" si="6"/>
        <v>0</v>
      </c>
      <c r="F47" s="74"/>
      <c r="G47" s="74"/>
      <c r="H47" s="74"/>
    </row>
    <row r="48" spans="2:8" x14ac:dyDescent="0.25">
      <c r="B48" s="74"/>
      <c r="C48" s="75"/>
      <c r="D48" s="74"/>
      <c r="E48" s="139">
        <f>SUM(E38:E47)</f>
        <v>795907491.85667753</v>
      </c>
      <c r="F48" s="74"/>
      <c r="G48" s="74"/>
      <c r="H48" s="74"/>
    </row>
    <row r="49" spans="2:8" x14ac:dyDescent="0.25">
      <c r="B49" s="74"/>
      <c r="C49" s="74"/>
      <c r="D49" s="74"/>
      <c r="E49" s="74"/>
      <c r="F49" s="74"/>
      <c r="G49" s="74"/>
      <c r="H49" s="74"/>
    </row>
    <row r="50" spans="2:8" x14ac:dyDescent="0.25">
      <c r="B50" s="74"/>
      <c r="C50" s="75"/>
      <c r="D50" s="74"/>
      <c r="E50" s="74"/>
      <c r="F50" s="74"/>
      <c r="G50" s="74"/>
      <c r="H50" s="74"/>
    </row>
    <row r="51" spans="2:8" x14ac:dyDescent="0.25">
      <c r="B51" s="74"/>
      <c r="C51" s="75"/>
      <c r="D51" s="74"/>
      <c r="E51" s="74"/>
      <c r="F51" s="74"/>
      <c r="G51" s="74"/>
      <c r="H51" s="74"/>
    </row>
    <row r="52" spans="2:8" x14ac:dyDescent="0.25">
      <c r="B52" s="74"/>
      <c r="C52" s="75"/>
      <c r="D52" s="74"/>
      <c r="E52" s="74"/>
      <c r="F52" s="74"/>
      <c r="G52" s="74"/>
      <c r="H52" s="74"/>
    </row>
    <row r="53" spans="2:8" x14ac:dyDescent="0.25">
      <c r="B53" s="74"/>
      <c r="C53" s="74"/>
      <c r="D53" s="74"/>
      <c r="E53" s="74"/>
      <c r="F53" s="74"/>
      <c r="G53" s="74"/>
      <c r="H53" s="74"/>
    </row>
    <row r="54" spans="2:8" x14ac:dyDescent="0.25">
      <c r="B54" s="74"/>
      <c r="C54" s="74"/>
      <c r="D54" s="74"/>
      <c r="E54" s="74"/>
      <c r="F54" s="74"/>
      <c r="G54" s="74"/>
      <c r="H54" s="74"/>
    </row>
  </sheetData>
  <sheetProtection algorithmName="SHA-512" hashValue="3+YCEPd7MiOqwxJUwxbw9lH+NZ/deTsqsi74b6CqtvqHoCDjURZmTtZwU3qtErjyzyXe96heae9720a7WTNDKg==" saltValue="8qrNxEUAu0WQgdLevZOh7A==" spinCount="100000" sheet="1" objects="1" scenarios="1" formatCells="0" formatColumns="0" formatRows="0"/>
  <mergeCells count="8">
    <mergeCell ref="B28:D28"/>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CE7DF-2786-4EDD-B58B-6CEFC1C934B4}">
  <dimension ref="B2:F15"/>
  <sheetViews>
    <sheetView showGridLines="0" workbookViewId="0">
      <selection activeCell="B1" sqref="B1:F15"/>
    </sheetView>
  </sheetViews>
  <sheetFormatPr defaultRowHeight="15" x14ac:dyDescent="0.25"/>
  <cols>
    <col min="2" max="2" width="56.7109375" style="175" customWidth="1"/>
    <col min="3" max="3" width="21.7109375" customWidth="1"/>
    <col min="4" max="4" width="16.85546875" customWidth="1"/>
    <col min="5" max="5" width="21" customWidth="1"/>
    <col min="6" max="6" width="31.5703125" customWidth="1"/>
  </cols>
  <sheetData>
    <row r="2" spans="2:6" x14ac:dyDescent="0.25">
      <c r="E2" s="162" t="s">
        <v>160</v>
      </c>
    </row>
    <row r="4" spans="2:6" x14ac:dyDescent="0.25">
      <c r="B4" s="175" t="s">
        <v>161</v>
      </c>
      <c r="C4" s="165" t="s">
        <v>182</v>
      </c>
    </row>
    <row r="6" spans="2:6" x14ac:dyDescent="0.25">
      <c r="B6" s="176" t="s">
        <v>162</v>
      </c>
      <c r="C6" s="166" t="s">
        <v>165</v>
      </c>
      <c r="D6" s="166" t="s">
        <v>176</v>
      </c>
      <c r="E6" s="166" t="s">
        <v>163</v>
      </c>
      <c r="F6" s="166" t="s">
        <v>164</v>
      </c>
    </row>
    <row r="7" spans="2:6" x14ac:dyDescent="0.25">
      <c r="B7" s="177" t="s">
        <v>178</v>
      </c>
      <c r="C7" s="168">
        <f>'2'!C22/(12*30*5)</f>
        <v>66666.666666666672</v>
      </c>
      <c r="D7" s="172">
        <f>C7/(120*30)</f>
        <v>18.518518518518519</v>
      </c>
      <c r="E7" s="169">
        <f>(C7*D7)</f>
        <v>1234567.9012345681</v>
      </c>
      <c r="F7" s="167" t="s">
        <v>170</v>
      </c>
    </row>
    <row r="8" spans="2:6" ht="30" x14ac:dyDescent="0.25">
      <c r="B8" s="177" t="s">
        <v>177</v>
      </c>
      <c r="C8" s="164">
        <f>'2'!F27/12/30</f>
        <v>27777.777777777777</v>
      </c>
      <c r="D8" s="171">
        <f>C8/(730*12)</f>
        <v>3.1709791983764588</v>
      </c>
      <c r="E8" s="169">
        <f>C8*D8</f>
        <v>88082.755510457195</v>
      </c>
      <c r="F8" s="167" t="s">
        <v>170</v>
      </c>
    </row>
    <row r="9" spans="2:6" ht="30" x14ac:dyDescent="0.25">
      <c r="B9" s="177" t="s">
        <v>179</v>
      </c>
      <c r="C9" s="168">
        <f>'2'!F19/12</f>
        <v>50000</v>
      </c>
      <c r="D9" s="171">
        <f>(19*C9/(30*120*12))</f>
        <v>21.99074074074074</v>
      </c>
      <c r="E9" s="169">
        <f>C9*D9/30</f>
        <v>36651.234567901236</v>
      </c>
      <c r="F9" s="167" t="s">
        <v>171</v>
      </c>
    </row>
    <row r="10" spans="2:6" ht="30" x14ac:dyDescent="0.25">
      <c r="B10" s="177" t="s">
        <v>180</v>
      </c>
      <c r="C10" s="168">
        <f>('2'!F21/(12))/2.5</f>
        <v>120000</v>
      </c>
      <c r="D10" s="170">
        <v>1</v>
      </c>
      <c r="E10" s="169">
        <f>(C10*D10)</f>
        <v>120000</v>
      </c>
      <c r="F10" s="167" t="s">
        <v>172</v>
      </c>
    </row>
    <row r="11" spans="2:6" x14ac:dyDescent="0.25">
      <c r="B11" s="177" t="s">
        <v>169</v>
      </c>
      <c r="C11" s="168">
        <f>'2'!C18/(12*30*5)</f>
        <v>66666.666666666672</v>
      </c>
      <c r="D11" s="172">
        <f>C11/(120*30)/2</f>
        <v>9.2592592592592595</v>
      </c>
      <c r="E11" s="169">
        <f t="shared" ref="E9:E12" si="0">C11*D11</f>
        <v>617283.95061728405</v>
      </c>
      <c r="F11" s="167" t="s">
        <v>173</v>
      </c>
    </row>
    <row r="12" spans="2:6" ht="27" customHeight="1" x14ac:dyDescent="0.25">
      <c r="B12" s="177" t="s">
        <v>181</v>
      </c>
      <c r="C12" s="168">
        <f>'2'!C22/(12*30*5)</f>
        <v>66666.666666666672</v>
      </c>
      <c r="D12" s="172">
        <f>C12/(120*30)/2</f>
        <v>9.2592592592592595</v>
      </c>
      <c r="E12" s="169">
        <f t="shared" si="0"/>
        <v>617283.95061728405</v>
      </c>
      <c r="F12" s="167" t="s">
        <v>174</v>
      </c>
    </row>
    <row r="13" spans="2:6" x14ac:dyDescent="0.25">
      <c r="B13" s="163" t="s">
        <v>166</v>
      </c>
      <c r="C13" s="163"/>
      <c r="D13" s="163"/>
      <c r="E13" s="164">
        <f>SUM(E7:E12)</f>
        <v>2713869.7925474946</v>
      </c>
    </row>
    <row r="14" spans="2:6" x14ac:dyDescent="0.25">
      <c r="B14" s="173" t="s">
        <v>167</v>
      </c>
      <c r="C14" s="173"/>
      <c r="D14" s="173"/>
      <c r="E14" s="174">
        <f>(E15-E13)/E15</f>
        <v>0.38321141078466031</v>
      </c>
      <c r="F14" s="164"/>
    </row>
    <row r="15" spans="2:6" x14ac:dyDescent="0.25">
      <c r="B15" s="163" t="s">
        <v>168</v>
      </c>
      <c r="C15" s="163"/>
      <c r="D15" s="163"/>
      <c r="E15" s="164">
        <f>'1'!D3+'1'!D4+'1'!D5+'1'!D6+'1'!D7</f>
        <v>4400000</v>
      </c>
    </row>
  </sheetData>
  <mergeCells count="3">
    <mergeCell ref="B15:D15"/>
    <mergeCell ref="B14:D14"/>
    <mergeCell ref="B13:D1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Menú</vt:lpstr>
      <vt:lpstr>1</vt:lpstr>
      <vt:lpstr>2</vt:lpstr>
      <vt:lpstr>3</vt:lpstr>
      <vt:lpstr>4</vt:lpstr>
      <vt:lpstr>5</vt:lpstr>
      <vt:lpstr>0</vt:lpstr>
      <vt:lpstr>Menú!Print_Area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Julis</cp:lastModifiedBy>
  <dcterms:created xsi:type="dcterms:W3CDTF">2013-07-30T17:19:59Z</dcterms:created>
  <dcterms:modified xsi:type="dcterms:W3CDTF">2023-05-16T18:19:49Z</dcterms:modified>
</cp:coreProperties>
</file>