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avgomez\OneDrive - Grupo Bancolombia\Tesis MBA\"/>
    </mc:Choice>
  </mc:AlternateContent>
  <xr:revisionPtr revIDLastSave="0" documentId="13_ncr:1_{F1AA9BD7-AD05-48CC-8857-FA6DD34760B7}" xr6:coauthVersionLast="45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RESUPUESTO" sheetId="7" r:id="rId1"/>
    <sheet name="OBSERVACIONES" sheetId="6" r:id="rId2"/>
    <sheet name="Costos y gastos" sheetId="1" r:id="rId3"/>
    <sheet name="Ingresos x escenarios" sheetId="2" r:id="rId4"/>
    <sheet name="Flujo de caja (optimista)" sheetId="3" r:id="rId5"/>
    <sheet name="Flujo de caja (intermedio)" sheetId="4" r:id="rId6"/>
    <sheet name="Flujo de caja (pesimista)" sheetId="5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17" i="5" l="1"/>
  <c r="U16" i="5"/>
  <c r="M17" i="5"/>
  <c r="M16" i="5"/>
  <c r="E17" i="5"/>
  <c r="F17" i="5" s="1"/>
  <c r="E16" i="5"/>
  <c r="F16" i="5" s="1"/>
  <c r="F16" i="3"/>
  <c r="V16" i="3" s="1"/>
  <c r="E16" i="4"/>
  <c r="F16" i="4" s="1"/>
  <c r="U16" i="3"/>
  <c r="N16" i="3"/>
  <c r="O16" i="3"/>
  <c r="G16" i="3"/>
  <c r="W16" i="3" s="1"/>
  <c r="E17" i="3"/>
  <c r="M17" i="3" s="1"/>
  <c r="E16" i="3"/>
  <c r="M16" i="3" s="1"/>
  <c r="T13" i="3"/>
  <c r="L13" i="3"/>
  <c r="L16" i="5"/>
  <c r="T16" i="5" s="1"/>
  <c r="D13" i="5"/>
  <c r="D17" i="5"/>
  <c r="L17" i="5" s="1"/>
  <c r="T17" i="5" s="1"/>
  <c r="D16" i="5"/>
  <c r="D17" i="4"/>
  <c r="D16" i="4"/>
  <c r="D16" i="3"/>
  <c r="D17" i="3"/>
  <c r="T13" i="5"/>
  <c r="L13" i="5"/>
  <c r="E13" i="5"/>
  <c r="F13" i="5"/>
  <c r="G13" i="5"/>
  <c r="H13" i="5"/>
  <c r="G9" i="1"/>
  <c r="E17" i="4" l="1"/>
  <c r="H16" i="3"/>
  <c r="U17" i="3"/>
  <c r="F17" i="3"/>
  <c r="G17" i="5"/>
  <c r="N17" i="5"/>
  <c r="V17" i="5"/>
  <c r="V16" i="4"/>
  <c r="N16" i="4"/>
  <c r="G16" i="4"/>
  <c r="V16" i="5"/>
  <c r="N16" i="5"/>
  <c r="G16" i="5"/>
  <c r="M16" i="4"/>
  <c r="U16" i="4"/>
  <c r="L16" i="3"/>
  <c r="L17" i="3"/>
  <c r="L16" i="4"/>
  <c r="L17" i="4"/>
  <c r="C3" i="3"/>
  <c r="C3" i="2"/>
  <c r="G19" i="2"/>
  <c r="F19" i="2"/>
  <c r="E19" i="2"/>
  <c r="G13" i="2"/>
  <c r="F47" i="7"/>
  <c r="N17" i="3" l="1"/>
  <c r="V17" i="3"/>
  <c r="G17" i="3"/>
  <c r="P16" i="3"/>
  <c r="X16" i="3"/>
  <c r="M17" i="4"/>
  <c r="F17" i="4"/>
  <c r="H16" i="4"/>
  <c r="W16" i="4"/>
  <c r="O16" i="4"/>
  <c r="H16" i="5"/>
  <c r="W16" i="5"/>
  <c r="O16" i="5"/>
  <c r="H17" i="5"/>
  <c r="O17" i="5"/>
  <c r="W17" i="5"/>
  <c r="T17" i="3"/>
  <c r="T16" i="3"/>
  <c r="T17" i="4"/>
  <c r="U17" i="4" s="1"/>
  <c r="V17" i="4" s="1"/>
  <c r="W17" i="4" s="1"/>
  <c r="X17" i="4" s="1"/>
  <c r="T16" i="4"/>
  <c r="R6" i="2"/>
  <c r="D2" i="5" s="1"/>
  <c r="S6" i="2"/>
  <c r="E2" i="5" s="1"/>
  <c r="T6" i="2"/>
  <c r="F2" i="5" s="1"/>
  <c r="U6" i="2"/>
  <c r="G2" i="5" s="1"/>
  <c r="Q6" i="2"/>
  <c r="C2" i="5" s="1"/>
  <c r="R5" i="2"/>
  <c r="D2" i="4" s="1"/>
  <c r="S5" i="2"/>
  <c r="E2" i="4" s="1"/>
  <c r="T5" i="2"/>
  <c r="F2" i="4" s="1"/>
  <c r="U5" i="2"/>
  <c r="G2" i="4" s="1"/>
  <c r="Q5" i="2"/>
  <c r="C2" i="4" s="1"/>
  <c r="R4" i="2"/>
  <c r="D2" i="3" s="1"/>
  <c r="S4" i="2"/>
  <c r="E2" i="3" s="1"/>
  <c r="T4" i="2"/>
  <c r="F2" i="3" s="1"/>
  <c r="U4" i="2"/>
  <c r="G2" i="3" s="1"/>
  <c r="Q4" i="2"/>
  <c r="C2" i="3" s="1"/>
  <c r="D4" i="2"/>
  <c r="E4" i="2" s="1"/>
  <c r="D5" i="2"/>
  <c r="E5" i="2" s="1"/>
  <c r="D3" i="2"/>
  <c r="E3" i="2" s="1"/>
  <c r="N17" i="4" l="1"/>
  <c r="G17" i="4"/>
  <c r="H17" i="3"/>
  <c r="O17" i="3"/>
  <c r="W17" i="3"/>
  <c r="X17" i="5"/>
  <c r="P17" i="5"/>
  <c r="X16" i="4"/>
  <c r="P16" i="4"/>
  <c r="P16" i="5"/>
  <c r="X16" i="5"/>
  <c r="D13" i="3"/>
  <c r="D4" i="4"/>
  <c r="M13" i="4" s="1"/>
  <c r="D4" i="3"/>
  <c r="M13" i="3" s="1"/>
  <c r="D4" i="5"/>
  <c r="F4" i="2"/>
  <c r="U13" i="5"/>
  <c r="M13" i="5"/>
  <c r="D3" i="4"/>
  <c r="E13" i="4" s="1"/>
  <c r="D3" i="3"/>
  <c r="E13" i="3" s="1"/>
  <c r="D3" i="5"/>
  <c r="F3" i="2"/>
  <c r="D5" i="5"/>
  <c r="D5" i="3"/>
  <c r="U13" i="3" s="1"/>
  <c r="D5" i="4"/>
  <c r="U13" i="4" s="1"/>
  <c r="F5" i="2"/>
  <c r="X17" i="3" l="1"/>
  <c r="P17" i="3"/>
  <c r="O17" i="4"/>
  <c r="H17" i="4"/>
  <c r="P17" i="4" s="1"/>
  <c r="G5" i="2"/>
  <c r="H5" i="2"/>
  <c r="H3" i="2"/>
  <c r="G3" i="2"/>
  <c r="H4" i="2"/>
  <c r="G4" i="2"/>
  <c r="D25" i="2"/>
  <c r="D19" i="2"/>
  <c r="C4" i="2"/>
  <c r="C5" i="2"/>
  <c r="N13" i="1"/>
  <c r="C13" i="1"/>
  <c r="D13" i="1" s="1"/>
  <c r="C10" i="1"/>
  <c r="D10" i="1" s="1"/>
  <c r="C11" i="1"/>
  <c r="D11" i="1" s="1"/>
  <c r="C12" i="1"/>
  <c r="D12" i="1" s="1"/>
  <c r="N12" i="1"/>
  <c r="N11" i="1"/>
  <c r="L10" i="1"/>
  <c r="N10" i="1" s="1"/>
  <c r="L9" i="1"/>
  <c r="N9" i="1" s="1"/>
  <c r="L8" i="1"/>
  <c r="N8" i="1" s="1"/>
  <c r="L5" i="1"/>
  <c r="N5" i="1" s="1"/>
  <c r="L6" i="1"/>
  <c r="N6" i="1" s="1"/>
  <c r="L7" i="1"/>
  <c r="N7" i="1" s="1"/>
  <c r="I12" i="1"/>
  <c r="I29" i="1" s="1"/>
  <c r="I30" i="1" s="1"/>
  <c r="I11" i="1"/>
  <c r="I9" i="1"/>
  <c r="G8" i="1"/>
  <c r="I8" i="1" s="1"/>
  <c r="I28" i="1" s="1"/>
  <c r="G7" i="1"/>
  <c r="I7" i="1" s="1"/>
  <c r="I26" i="1" s="1"/>
  <c r="L26" i="1"/>
  <c r="N19" i="1"/>
  <c r="G26" i="1"/>
  <c r="N14" i="1" l="1"/>
  <c r="I14" i="1"/>
  <c r="I3" i="2"/>
  <c r="K3" i="2"/>
  <c r="L3" i="2" s="1"/>
  <c r="C4" i="4"/>
  <c r="L13" i="4" s="1"/>
  <c r="C4" i="5"/>
  <c r="C4" i="3"/>
  <c r="E3" i="4"/>
  <c r="F13" i="4" s="1"/>
  <c r="E3" i="5"/>
  <c r="E3" i="3"/>
  <c r="F13" i="3" s="1"/>
  <c r="C3" i="5"/>
  <c r="C3" i="4"/>
  <c r="D13" i="4" s="1"/>
  <c r="E4" i="5"/>
  <c r="N13" i="5" s="1"/>
  <c r="E4" i="3"/>
  <c r="N13" i="3" s="1"/>
  <c r="E4" i="4"/>
  <c r="N13" i="4" s="1"/>
  <c r="K5" i="2"/>
  <c r="L5" i="2" s="1"/>
  <c r="I5" i="2"/>
  <c r="G25" i="2"/>
  <c r="C5" i="4"/>
  <c r="T13" i="4" s="1"/>
  <c r="C5" i="3"/>
  <c r="C5" i="5"/>
  <c r="K4" i="2"/>
  <c r="L4" i="2" s="1"/>
  <c r="I4" i="2"/>
  <c r="E5" i="5"/>
  <c r="V13" i="5" s="1"/>
  <c r="E5" i="4"/>
  <c r="V13" i="4" s="1"/>
  <c r="E5" i="3"/>
  <c r="V13" i="3" s="1"/>
  <c r="E25" i="2"/>
  <c r="F25" i="2"/>
  <c r="N4" i="1"/>
  <c r="N15" i="1" s="1"/>
  <c r="N20" i="1" s="1"/>
  <c r="F32" i="7"/>
  <c r="F30" i="7"/>
  <c r="F29" i="7"/>
  <c r="E14" i="4" l="1"/>
  <c r="E14" i="5"/>
  <c r="L29" i="1"/>
  <c r="E14" i="3"/>
  <c r="M14" i="3" s="1"/>
  <c r="G4" i="4"/>
  <c r="P13" i="4" s="1"/>
  <c r="G4" i="5"/>
  <c r="P13" i="5" s="1"/>
  <c r="G4" i="3"/>
  <c r="P13" i="3" s="1"/>
  <c r="F3" i="3"/>
  <c r="G13" i="3" s="1"/>
  <c r="F3" i="5"/>
  <c r="F3" i="4"/>
  <c r="G13" i="4" s="1"/>
  <c r="F5" i="4"/>
  <c r="W13" i="4" s="1"/>
  <c r="F5" i="5"/>
  <c r="W13" i="5" s="1"/>
  <c r="F5" i="3"/>
  <c r="W13" i="3" s="1"/>
  <c r="G5" i="4"/>
  <c r="X13" i="4" s="1"/>
  <c r="G5" i="3"/>
  <c r="X13" i="3" s="1"/>
  <c r="G5" i="5"/>
  <c r="X13" i="5" s="1"/>
  <c r="F4" i="5"/>
  <c r="O13" i="5" s="1"/>
  <c r="F4" i="4"/>
  <c r="O13" i="4" s="1"/>
  <c r="F4" i="3"/>
  <c r="O13" i="3" s="1"/>
  <c r="G3" i="5"/>
  <c r="G3" i="3"/>
  <c r="H13" i="3" s="1"/>
  <c r="G3" i="4"/>
  <c r="H13" i="4" s="1"/>
  <c r="S27" i="6"/>
  <c r="N22" i="6"/>
  <c r="N20" i="6"/>
  <c r="N23" i="6" s="1"/>
  <c r="N24" i="6" s="1"/>
  <c r="N18" i="6"/>
  <c r="O12" i="6"/>
  <c r="O11" i="6"/>
  <c r="D9" i="1"/>
  <c r="D8" i="1"/>
  <c r="D7" i="1"/>
  <c r="D6" i="1"/>
  <c r="D5" i="1"/>
  <c r="D4" i="1"/>
  <c r="D13" i="2"/>
  <c r="S3" i="2"/>
  <c r="T3" i="2"/>
  <c r="U3" i="2"/>
  <c r="R3" i="2"/>
  <c r="I13" i="1" l="1"/>
  <c r="M14" i="5"/>
  <c r="E15" i="5"/>
  <c r="F14" i="5"/>
  <c r="M14" i="4"/>
  <c r="F14" i="4"/>
  <c r="E15" i="4"/>
  <c r="U14" i="3"/>
  <c r="M15" i="3"/>
  <c r="F14" i="3"/>
  <c r="N14" i="3" s="1"/>
  <c r="E15" i="3"/>
  <c r="E13" i="2"/>
  <c r="F13" i="2"/>
  <c r="G5" i="1"/>
  <c r="I5" i="1" s="1"/>
  <c r="I27" i="1" s="1"/>
  <c r="G10" i="1"/>
  <c r="I10" i="1" s="1"/>
  <c r="G6" i="1"/>
  <c r="I6" i="1" s="1"/>
  <c r="M15" i="5" l="1"/>
  <c r="U14" i="5"/>
  <c r="U15" i="5" s="1"/>
  <c r="E34" i="4"/>
  <c r="E20" i="4"/>
  <c r="N14" i="4"/>
  <c r="G14" i="4"/>
  <c r="F15" i="4"/>
  <c r="U14" i="4"/>
  <c r="U15" i="4" s="1"/>
  <c r="M15" i="4"/>
  <c r="N14" i="5"/>
  <c r="G14" i="5"/>
  <c r="F15" i="5"/>
  <c r="E34" i="5"/>
  <c r="E20" i="5"/>
  <c r="E35" i="5" s="1"/>
  <c r="V14" i="3"/>
  <c r="N15" i="3"/>
  <c r="U15" i="3"/>
  <c r="M34" i="3"/>
  <c r="M20" i="3"/>
  <c r="E20" i="3"/>
  <c r="E34" i="3"/>
  <c r="G14" i="3"/>
  <c r="O14" i="3" s="1"/>
  <c r="F15" i="3"/>
  <c r="C18" i="1"/>
  <c r="I4" i="1"/>
  <c r="H14" i="5" l="1"/>
  <c r="O14" i="5"/>
  <c r="G15" i="5"/>
  <c r="N15" i="5"/>
  <c r="V14" i="5"/>
  <c r="V15" i="5" s="1"/>
  <c r="U34" i="5"/>
  <c r="U20" i="5"/>
  <c r="U35" i="5" s="1"/>
  <c r="M20" i="4"/>
  <c r="M34" i="4"/>
  <c r="M34" i="5"/>
  <c r="M20" i="5"/>
  <c r="M35" i="5" s="1"/>
  <c r="U34" i="4"/>
  <c r="U20" i="4"/>
  <c r="F20" i="4"/>
  <c r="F34" i="4"/>
  <c r="O14" i="4"/>
  <c r="H14" i="4"/>
  <c r="G15" i="4"/>
  <c r="V14" i="4"/>
  <c r="V15" i="4" s="1"/>
  <c r="N15" i="4"/>
  <c r="F20" i="5"/>
  <c r="F35" i="5" s="1"/>
  <c r="F34" i="5"/>
  <c r="E35" i="4"/>
  <c r="E33" i="4"/>
  <c r="W14" i="3"/>
  <c r="O15" i="3"/>
  <c r="U34" i="3"/>
  <c r="U20" i="3"/>
  <c r="M33" i="3"/>
  <c r="M35" i="3"/>
  <c r="N20" i="3"/>
  <c r="N34" i="3"/>
  <c r="V15" i="3"/>
  <c r="H14" i="3"/>
  <c r="G15" i="3"/>
  <c r="F20" i="3"/>
  <c r="F34" i="3"/>
  <c r="E35" i="3"/>
  <c r="E33" i="3"/>
  <c r="D18" i="1"/>
  <c r="I19" i="1"/>
  <c r="D16" i="1"/>
  <c r="D15" i="1"/>
  <c r="D14" i="1"/>
  <c r="I15" i="1"/>
  <c r="W14" i="4" l="1"/>
  <c r="W15" i="4" s="1"/>
  <c r="O15" i="4"/>
  <c r="M33" i="4"/>
  <c r="M35" i="4"/>
  <c r="F35" i="4"/>
  <c r="F33" i="4"/>
  <c r="U33" i="4"/>
  <c r="U35" i="4"/>
  <c r="N20" i="4"/>
  <c r="N34" i="4"/>
  <c r="V20" i="4"/>
  <c r="V34" i="4"/>
  <c r="G20" i="5"/>
  <c r="G35" i="5" s="1"/>
  <c r="G34" i="5"/>
  <c r="G20" i="4"/>
  <c r="G34" i="4"/>
  <c r="W14" i="5"/>
  <c r="W15" i="5" s="1"/>
  <c r="O15" i="5"/>
  <c r="V34" i="5"/>
  <c r="V20" i="5"/>
  <c r="N34" i="5"/>
  <c r="N20" i="5"/>
  <c r="N35" i="5" s="1"/>
  <c r="I20" i="1"/>
  <c r="P14" i="4"/>
  <c r="H15" i="4"/>
  <c r="P14" i="5"/>
  <c r="H15" i="5"/>
  <c r="H15" i="3"/>
  <c r="H20" i="3" s="1"/>
  <c r="P14" i="3"/>
  <c r="U33" i="3"/>
  <c r="U35" i="3"/>
  <c r="O20" i="3"/>
  <c r="O34" i="3"/>
  <c r="W15" i="3"/>
  <c r="V34" i="3"/>
  <c r="V20" i="3"/>
  <c r="N35" i="3"/>
  <c r="N33" i="3"/>
  <c r="F35" i="3"/>
  <c r="F33" i="3"/>
  <c r="G20" i="3"/>
  <c r="G34" i="3"/>
  <c r="H34" i="3" l="1"/>
  <c r="D14" i="4"/>
  <c r="D14" i="5"/>
  <c r="G33" i="4"/>
  <c r="G35" i="4"/>
  <c r="V35" i="5"/>
  <c r="H20" i="5"/>
  <c r="H35" i="5" s="1"/>
  <c r="H34" i="5"/>
  <c r="V33" i="4"/>
  <c r="V35" i="4"/>
  <c r="X14" i="5"/>
  <c r="X15" i="5" s="1"/>
  <c r="P15" i="5"/>
  <c r="O20" i="5"/>
  <c r="O35" i="5" s="1"/>
  <c r="O34" i="5"/>
  <c r="H20" i="4"/>
  <c r="H34" i="4"/>
  <c r="W20" i="5"/>
  <c r="W34" i="5"/>
  <c r="N35" i="4"/>
  <c r="N33" i="4"/>
  <c r="O34" i="4"/>
  <c r="O20" i="4"/>
  <c r="X14" i="4"/>
  <c r="X15" i="4" s="1"/>
  <c r="P15" i="4"/>
  <c r="W34" i="4"/>
  <c r="W20" i="4"/>
  <c r="V33" i="3"/>
  <c r="V35" i="3"/>
  <c r="O35" i="3"/>
  <c r="O33" i="3"/>
  <c r="X14" i="3"/>
  <c r="P15" i="3"/>
  <c r="W20" i="3"/>
  <c r="W34" i="3"/>
  <c r="H33" i="3"/>
  <c r="H35" i="3"/>
  <c r="G29" i="1"/>
  <c r="D14" i="3"/>
  <c r="G33" i="3"/>
  <c r="G35" i="3"/>
  <c r="D19" i="1"/>
  <c r="W35" i="5" l="1"/>
  <c r="L14" i="4"/>
  <c r="D15" i="4"/>
  <c r="P20" i="4"/>
  <c r="P34" i="4"/>
  <c r="X34" i="4"/>
  <c r="X20" i="4"/>
  <c r="H33" i="4"/>
  <c r="H35" i="4"/>
  <c r="D34" i="1"/>
  <c r="C34" i="1" s="1"/>
  <c r="E34" i="1" s="1"/>
  <c r="C43" i="1" s="1"/>
  <c r="K4" i="4"/>
  <c r="C25" i="4" s="1"/>
  <c r="K4" i="5"/>
  <c r="C25" i="5" s="1"/>
  <c r="O35" i="4"/>
  <c r="O33" i="4"/>
  <c r="P20" i="5"/>
  <c r="P35" i="5" s="1"/>
  <c r="P34" i="5"/>
  <c r="X20" i="5"/>
  <c r="X34" i="5"/>
  <c r="W33" i="4"/>
  <c r="W35" i="4"/>
  <c r="D15" i="5"/>
  <c r="L14" i="5"/>
  <c r="X15" i="3"/>
  <c r="W35" i="3"/>
  <c r="W33" i="3"/>
  <c r="P20" i="3"/>
  <c r="P34" i="3"/>
  <c r="D15" i="3"/>
  <c r="L14" i="3"/>
  <c r="D21" i="1"/>
  <c r="D29" i="1"/>
  <c r="K5" i="3" s="1"/>
  <c r="C25" i="3" s="1"/>
  <c r="C44" i="1" l="1"/>
  <c r="T14" i="4"/>
  <c r="T15" i="4" s="1"/>
  <c r="L15" i="4"/>
  <c r="X35" i="5"/>
  <c r="K25" i="3"/>
  <c r="K26" i="3" s="1"/>
  <c r="C26" i="3"/>
  <c r="X35" i="4"/>
  <c r="X33" i="4"/>
  <c r="L15" i="5"/>
  <c r="T14" i="5"/>
  <c r="T15" i="5" s="1"/>
  <c r="D34" i="5"/>
  <c r="D20" i="5"/>
  <c r="D34" i="3"/>
  <c r="D20" i="3"/>
  <c r="D33" i="3" s="1"/>
  <c r="K25" i="5"/>
  <c r="C26" i="5"/>
  <c r="P35" i="4"/>
  <c r="P33" i="4"/>
  <c r="K25" i="4"/>
  <c r="C26" i="4"/>
  <c r="D20" i="4"/>
  <c r="D34" i="4"/>
  <c r="L15" i="3"/>
  <c r="T14" i="3"/>
  <c r="T15" i="3" s="1"/>
  <c r="P33" i="3"/>
  <c r="P35" i="3"/>
  <c r="X20" i="3"/>
  <c r="X34" i="3"/>
  <c r="D35" i="3"/>
  <c r="C37" i="1"/>
  <c r="C51" i="1"/>
  <c r="S25" i="3" l="1"/>
  <c r="S26" i="3" s="1"/>
  <c r="C45" i="1"/>
  <c r="C46" i="1" s="1"/>
  <c r="D43" i="1" s="1"/>
  <c r="S25" i="4"/>
  <c r="S26" i="4" s="1"/>
  <c r="K26" i="4"/>
  <c r="T20" i="5"/>
  <c r="T34" i="5"/>
  <c r="L20" i="4"/>
  <c r="L34" i="4"/>
  <c r="L34" i="5"/>
  <c r="L20" i="5"/>
  <c r="T20" i="4"/>
  <c r="T34" i="4"/>
  <c r="K26" i="5"/>
  <c r="S25" i="5"/>
  <c r="S26" i="5" s="1"/>
  <c r="D33" i="4"/>
  <c r="D35" i="4"/>
  <c r="D35" i="5"/>
  <c r="X35" i="3"/>
  <c r="X33" i="3"/>
  <c r="T20" i="3"/>
  <c r="T34" i="3"/>
  <c r="L34" i="3"/>
  <c r="L20" i="3"/>
  <c r="C38" i="1"/>
  <c r="C52" i="1"/>
  <c r="D44" i="1" l="1"/>
  <c r="D45" i="1" s="1"/>
  <c r="D46" i="1" s="1"/>
  <c r="E43" i="1" s="1"/>
  <c r="L35" i="4"/>
  <c r="L33" i="4"/>
  <c r="T35" i="5"/>
  <c r="T35" i="4"/>
  <c r="T33" i="4"/>
  <c r="L35" i="5"/>
  <c r="E21" i="4"/>
  <c r="L33" i="3"/>
  <c r="L35" i="3"/>
  <c r="T35" i="3"/>
  <c r="T33" i="3"/>
  <c r="E21" i="3"/>
  <c r="M21" i="3" s="1"/>
  <c r="C53" i="1"/>
  <c r="C54" i="1" s="1"/>
  <c r="D51" i="1" s="1"/>
  <c r="D52" i="1" s="1"/>
  <c r="D53" i="1" s="1"/>
  <c r="D54" i="1" s="1"/>
  <c r="E51" i="1" s="1"/>
  <c r="E52" i="1" s="1"/>
  <c r="E53" i="1" s="1"/>
  <c r="E54" i="1" s="1"/>
  <c r="F51" i="1" s="1"/>
  <c r="F52" i="1" s="1"/>
  <c r="F53" i="1" s="1"/>
  <c r="F54" i="1" s="1"/>
  <c r="G51" i="1" s="1"/>
  <c r="G52" i="1" s="1"/>
  <c r="G53" i="1" s="1"/>
  <c r="G54" i="1" s="1"/>
  <c r="E21" i="5" l="1"/>
  <c r="M21" i="5" s="1"/>
  <c r="E44" i="1"/>
  <c r="E45" i="1" s="1"/>
  <c r="E46" i="1"/>
  <c r="F43" i="1" s="1"/>
  <c r="D21" i="3"/>
  <c r="D22" i="3" s="1"/>
  <c r="D25" i="3" s="1"/>
  <c r="D26" i="3" s="1"/>
  <c r="D21" i="5"/>
  <c r="D21" i="4"/>
  <c r="M21" i="4"/>
  <c r="E22" i="4"/>
  <c r="E25" i="4" s="1"/>
  <c r="F21" i="5"/>
  <c r="F21" i="4"/>
  <c r="U21" i="3"/>
  <c r="M22" i="3"/>
  <c r="D36" i="3"/>
  <c r="E22" i="3"/>
  <c r="F21" i="3"/>
  <c r="E22" i="5" l="1"/>
  <c r="E33" i="5"/>
  <c r="F44" i="1"/>
  <c r="F45" i="1" s="1"/>
  <c r="F46" i="1" s="1"/>
  <c r="G43" i="1" s="1"/>
  <c r="L21" i="4"/>
  <c r="D22" i="4"/>
  <c r="L21" i="5"/>
  <c r="D33" i="5"/>
  <c r="D22" i="5"/>
  <c r="N21" i="3"/>
  <c r="N22" i="3" s="1"/>
  <c r="F22" i="3"/>
  <c r="F25" i="3" s="1"/>
  <c r="E36" i="3"/>
  <c r="E25" i="3"/>
  <c r="C31" i="3" s="1"/>
  <c r="L21" i="3"/>
  <c r="T21" i="3" s="1"/>
  <c r="T22" i="3" s="1"/>
  <c r="T25" i="3" s="1"/>
  <c r="T26" i="3" s="1"/>
  <c r="S31" i="3" s="1"/>
  <c r="M36" i="3"/>
  <c r="M25" i="3"/>
  <c r="N21" i="4"/>
  <c r="F22" i="4"/>
  <c r="F25" i="4" s="1"/>
  <c r="G21" i="4"/>
  <c r="E36" i="5"/>
  <c r="E25" i="5"/>
  <c r="N21" i="5"/>
  <c r="F33" i="5"/>
  <c r="F22" i="5"/>
  <c r="F25" i="5" s="1"/>
  <c r="E36" i="4"/>
  <c r="M33" i="5"/>
  <c r="U21" i="5"/>
  <c r="M22" i="5"/>
  <c r="M25" i="5" s="1"/>
  <c r="U21" i="4"/>
  <c r="U22" i="4" s="1"/>
  <c r="M22" i="4"/>
  <c r="M25" i="4" s="1"/>
  <c r="V21" i="3"/>
  <c r="U22" i="3"/>
  <c r="G21" i="3"/>
  <c r="G44" i="1" l="1"/>
  <c r="G45" i="1" s="1"/>
  <c r="G46" i="1" s="1"/>
  <c r="H43" i="1" s="1"/>
  <c r="G21" i="5"/>
  <c r="L22" i="3"/>
  <c r="L25" i="3" s="1"/>
  <c r="N36" i="3"/>
  <c r="N25" i="3"/>
  <c r="D36" i="5"/>
  <c r="D25" i="5"/>
  <c r="D26" i="5" s="1"/>
  <c r="E26" i="5" s="1"/>
  <c r="L33" i="5"/>
  <c r="T21" i="5"/>
  <c r="L22" i="5"/>
  <c r="F36" i="3"/>
  <c r="D25" i="4"/>
  <c r="D26" i="4" s="1"/>
  <c r="E26" i="4" s="1"/>
  <c r="F26" i="4" s="1"/>
  <c r="D36" i="4"/>
  <c r="U36" i="3"/>
  <c r="U25" i="3"/>
  <c r="T21" i="4"/>
  <c r="T22" i="4" s="1"/>
  <c r="L22" i="4"/>
  <c r="U33" i="5"/>
  <c r="U22" i="5"/>
  <c r="M36" i="4"/>
  <c r="O21" i="4"/>
  <c r="G22" i="4"/>
  <c r="G25" i="4" s="1"/>
  <c r="U25" i="4"/>
  <c r="U36" i="4"/>
  <c r="N33" i="5"/>
  <c r="V21" i="5"/>
  <c r="V22" i="5" s="1"/>
  <c r="N22" i="5"/>
  <c r="G33" i="5"/>
  <c r="O21" i="5"/>
  <c r="G22" i="5"/>
  <c r="M36" i="5"/>
  <c r="F36" i="4"/>
  <c r="E26" i="3"/>
  <c r="F36" i="5"/>
  <c r="V21" i="4"/>
  <c r="V22" i="4" s="1"/>
  <c r="N22" i="4"/>
  <c r="G22" i="3"/>
  <c r="G25" i="3" s="1"/>
  <c r="O21" i="3"/>
  <c r="T36" i="3"/>
  <c r="L36" i="3"/>
  <c r="L26" i="3"/>
  <c r="V22" i="3"/>
  <c r="H21" i="3"/>
  <c r="P21" i="3" s="1"/>
  <c r="H44" i="1" l="1"/>
  <c r="H45" i="1" s="1"/>
  <c r="H46" i="1" s="1"/>
  <c r="V36" i="3"/>
  <c r="V25" i="3"/>
  <c r="M26" i="3"/>
  <c r="K31" i="3"/>
  <c r="L36" i="5"/>
  <c r="L25" i="5"/>
  <c r="L26" i="5" s="1"/>
  <c r="L36" i="4"/>
  <c r="L25" i="4"/>
  <c r="L26" i="4" s="1"/>
  <c r="M26" i="4" s="1"/>
  <c r="T33" i="5"/>
  <c r="T22" i="5"/>
  <c r="T36" i="4"/>
  <c r="T25" i="4"/>
  <c r="T26" i="4" s="1"/>
  <c r="U26" i="4" s="1"/>
  <c r="C31" i="4"/>
  <c r="U26" i="3"/>
  <c r="F26" i="3"/>
  <c r="G26" i="3" s="1"/>
  <c r="N36" i="4"/>
  <c r="N25" i="4"/>
  <c r="F26" i="5"/>
  <c r="G36" i="5"/>
  <c r="G25" i="5"/>
  <c r="V33" i="5"/>
  <c r="G36" i="3"/>
  <c r="V36" i="4"/>
  <c r="V25" i="4"/>
  <c r="O33" i="5"/>
  <c r="W21" i="5"/>
  <c r="W22" i="5" s="1"/>
  <c r="O22" i="5"/>
  <c r="H21" i="4"/>
  <c r="H21" i="5"/>
  <c r="G36" i="4"/>
  <c r="U25" i="5"/>
  <c r="U36" i="5"/>
  <c r="M26" i="5"/>
  <c r="N25" i="5"/>
  <c r="N36" i="5"/>
  <c r="W21" i="4"/>
  <c r="W22" i="4" s="1"/>
  <c r="O22" i="4"/>
  <c r="W21" i="3"/>
  <c r="W22" i="3" s="1"/>
  <c r="W25" i="3" s="1"/>
  <c r="O22" i="3"/>
  <c r="X21" i="3"/>
  <c r="X22" i="3" s="1"/>
  <c r="X25" i="3" s="1"/>
  <c r="P22" i="3"/>
  <c r="H22" i="3"/>
  <c r="S31" i="4" l="1"/>
  <c r="O36" i="3"/>
  <c r="O25" i="3"/>
  <c r="T36" i="5"/>
  <c r="T25" i="5"/>
  <c r="T26" i="5" s="1"/>
  <c r="H36" i="3"/>
  <c r="H25" i="3"/>
  <c r="P36" i="3"/>
  <c r="P25" i="3"/>
  <c r="N26" i="5"/>
  <c r="G26" i="5"/>
  <c r="K31" i="4"/>
  <c r="U26" i="5"/>
  <c r="W33" i="5"/>
  <c r="O36" i="4"/>
  <c r="O25" i="4"/>
  <c r="G26" i="4"/>
  <c r="H33" i="5"/>
  <c r="P21" i="5"/>
  <c r="H22" i="5"/>
  <c r="H25" i="5" s="1"/>
  <c r="C28" i="5" s="1"/>
  <c r="V25" i="5"/>
  <c r="V36" i="5"/>
  <c r="V26" i="3"/>
  <c r="N26" i="3"/>
  <c r="W36" i="4"/>
  <c r="W25" i="4"/>
  <c r="P21" i="4"/>
  <c r="H22" i="4"/>
  <c r="H25" i="4" s="1"/>
  <c r="C29" i="4" s="1"/>
  <c r="C30" i="4" s="1"/>
  <c r="K28" i="3"/>
  <c r="O25" i="5"/>
  <c r="O36" i="5"/>
  <c r="V26" i="4"/>
  <c r="N26" i="4"/>
  <c r="X36" i="3"/>
  <c r="W36" i="3"/>
  <c r="K29" i="3" l="1"/>
  <c r="K30" i="3" s="1"/>
  <c r="V26" i="5"/>
  <c r="O26" i="5"/>
  <c r="W26" i="3"/>
  <c r="X26" i="3" s="1"/>
  <c r="X21" i="4"/>
  <c r="X22" i="4" s="1"/>
  <c r="P22" i="4"/>
  <c r="O26" i="3"/>
  <c r="P26" i="3" s="1"/>
  <c r="H36" i="5"/>
  <c r="W36" i="5"/>
  <c r="W25" i="5"/>
  <c r="C29" i="3"/>
  <c r="C30" i="3" s="1"/>
  <c r="H26" i="3"/>
  <c r="W26" i="4"/>
  <c r="H36" i="4"/>
  <c r="H26" i="4"/>
  <c r="X21" i="5"/>
  <c r="X22" i="5" s="1"/>
  <c r="P33" i="5"/>
  <c r="P22" i="5"/>
  <c r="P25" i="5" s="1"/>
  <c r="K28" i="5" s="1"/>
  <c r="O26" i="4"/>
  <c r="S29" i="3"/>
  <c r="S30" i="3" s="1"/>
  <c r="S28" i="3"/>
  <c r="C28" i="3"/>
  <c r="W26" i="5" l="1"/>
  <c r="X25" i="4"/>
  <c r="X26" i="4" s="1"/>
  <c r="X36" i="4"/>
  <c r="P36" i="5"/>
  <c r="X33" i="5"/>
  <c r="C28" i="4"/>
  <c r="C29" i="5"/>
  <c r="C30" i="5" s="1"/>
  <c r="H26" i="5"/>
  <c r="C31" i="5" s="1"/>
  <c r="P36" i="4"/>
  <c r="P25" i="4"/>
  <c r="K29" i="5" l="1"/>
  <c r="K30" i="5" s="1"/>
  <c r="P26" i="5"/>
  <c r="K31" i="5" s="1"/>
  <c r="S29" i="4"/>
  <c r="S30" i="4" s="1"/>
  <c r="S28" i="4"/>
  <c r="K29" i="4"/>
  <c r="K30" i="4" s="1"/>
  <c r="K28" i="4"/>
  <c r="X36" i="5"/>
  <c r="X25" i="5"/>
  <c r="P26" i="4"/>
  <c r="S31" i="5" l="1"/>
  <c r="S29" i="5"/>
  <c r="S30" i="5" s="1"/>
  <c r="X26" i="5"/>
  <c r="S28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LEIDY JHOANA FERNANDEZ CARRANZA</author>
  </authors>
  <commentList>
    <comment ref="F1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LEIDY JHOANA FERNANDEZ CARRANZA:</t>
        </r>
        <r>
          <rPr>
            <sz val="9"/>
            <color indexed="81"/>
            <rFont val="Tahoma"/>
            <family val="2"/>
          </rPr>
          <t xml:space="preserve">
De estos costos, el 50% se tuvi en cuenta en la inversión para tener lo de los primeros 6 meses.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LEIDY JHOANA FERNANDEZ CARRANZA</author>
  </authors>
  <commentList>
    <comment ref="D1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LEIDY JHOANA FERNANDEZ CARRANZA:</t>
        </r>
        <r>
          <rPr>
            <sz val="9"/>
            <color indexed="81"/>
            <rFont val="Tahoma"/>
            <family val="2"/>
          </rPr>
          <t xml:space="preserve">
Incremento del 5%</t>
        </r>
      </text>
    </comment>
    <comment ref="F1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LEIDY JHOANA FERNANDEZ CARRANZA:</t>
        </r>
        <r>
          <rPr>
            <sz val="9"/>
            <color indexed="81"/>
            <rFont val="Tahoma"/>
            <family val="2"/>
          </rPr>
          <t xml:space="preserve">
Incremento del 5%</t>
        </r>
      </text>
    </comment>
    <comment ref="H1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LEIDY JHOANA FERNANDEZ CARRANZA:</t>
        </r>
        <r>
          <rPr>
            <sz val="9"/>
            <color indexed="81"/>
            <rFont val="Tahoma"/>
            <family val="2"/>
          </rPr>
          <t xml:space="preserve">
Incremento del 5%</t>
        </r>
      </text>
    </comment>
    <comment ref="K1" authorId="0" shapeId="0" xr:uid="{00000000-0006-0000-0300-000004000000}">
      <text>
        <r>
          <rPr>
            <b/>
            <sz val="9"/>
            <color indexed="81"/>
            <rFont val="Tahoma"/>
            <family val="2"/>
          </rPr>
          <t>LEIDY JHOANA FERNANDEZ CARRANZA:</t>
        </r>
        <r>
          <rPr>
            <sz val="9"/>
            <color indexed="81"/>
            <rFont val="Tahoma"/>
            <family val="2"/>
          </rPr>
          <t xml:space="preserve">
Incremento del 5%</t>
        </r>
      </text>
    </comment>
  </commentList>
</comments>
</file>

<file path=xl/sharedStrings.xml><?xml version="1.0" encoding="utf-8"?>
<sst xmlns="http://schemas.openxmlformats.org/spreadsheetml/2006/main" count="539" uniqueCount="196">
  <si>
    <t>Amazon simple Storage Service</t>
  </si>
  <si>
    <t>AWS Data transfer</t>
  </si>
  <si>
    <t>Amazon Elastic compute Cloud</t>
  </si>
  <si>
    <t>Backups o Snapchops</t>
  </si>
  <si>
    <t>Plataforma de pagos</t>
  </si>
  <si>
    <t>Computadores MAC Diseñadores</t>
  </si>
  <si>
    <t>Computadores de programadores</t>
  </si>
  <si>
    <t>Costo Total</t>
  </si>
  <si>
    <t>ITEM</t>
  </si>
  <si>
    <t>Total Inversiones</t>
  </si>
  <si>
    <t>INVERSIONES</t>
  </si>
  <si>
    <t>COSTOS OPERACIONALES</t>
  </si>
  <si>
    <t>Costos Fijos</t>
  </si>
  <si>
    <t>Salarios</t>
  </si>
  <si>
    <t>Costo</t>
  </si>
  <si>
    <t>Costo Unit</t>
  </si>
  <si>
    <t>Cant</t>
  </si>
  <si>
    <t>Costo unit</t>
  </si>
  <si>
    <t>Profesores virtuales</t>
  </si>
  <si>
    <t>Profesores presenciales</t>
  </si>
  <si>
    <t>Coordinador pedagógico</t>
  </si>
  <si>
    <t>Construcción plan de estudios</t>
  </si>
  <si>
    <t>Publicidad</t>
  </si>
  <si>
    <t>Total costos fijos</t>
  </si>
  <si>
    <t>Costos Variables</t>
  </si>
  <si>
    <t>Administrador de contenido</t>
  </si>
  <si>
    <t>Director de proyecto</t>
  </si>
  <si>
    <t>Desarrolladores</t>
  </si>
  <si>
    <t>Diseñadores</t>
  </si>
  <si>
    <t>DEVEOPS</t>
  </si>
  <si>
    <t>Material docente</t>
  </si>
  <si>
    <t>Total costos variables</t>
  </si>
  <si>
    <t xml:space="preserve">Total costos </t>
  </si>
  <si>
    <t>Gastos de administración</t>
  </si>
  <si>
    <t>Item</t>
  </si>
  <si>
    <t>Gastos de admon y ventas</t>
  </si>
  <si>
    <t>Total gastos de admon</t>
  </si>
  <si>
    <t>Concepto</t>
  </si>
  <si>
    <t>Compra del programa</t>
  </si>
  <si>
    <t>Participación en %</t>
  </si>
  <si>
    <t># estudiantes</t>
  </si>
  <si>
    <t>Total Ingresos Escenario Optimista</t>
  </si>
  <si>
    <t>Total Ingresos Escenario Intermedio</t>
  </si>
  <si>
    <t>Total Ingresos Escenario Pesimista</t>
  </si>
  <si>
    <t>Total población Objetivo</t>
  </si>
  <si>
    <t>Año 0</t>
  </si>
  <si>
    <t>Año 2022</t>
  </si>
  <si>
    <t>Año 2023</t>
  </si>
  <si>
    <t>Año 2024</t>
  </si>
  <si>
    <t>Año 2025</t>
  </si>
  <si>
    <t>Año 2026</t>
  </si>
  <si>
    <t>Rubros</t>
  </si>
  <si>
    <t>Ingresos</t>
  </si>
  <si>
    <t xml:space="preserve"># De estudiantes </t>
  </si>
  <si>
    <t>Inversión</t>
  </si>
  <si>
    <t>Tecnología</t>
  </si>
  <si>
    <t>Año1</t>
  </si>
  <si>
    <t>Año 3</t>
  </si>
  <si>
    <t>Año 2</t>
  </si>
  <si>
    <t>Año 4</t>
  </si>
  <si>
    <t>Año 5</t>
  </si>
  <si>
    <t>Periodo</t>
  </si>
  <si>
    <t>Crecimiento %</t>
  </si>
  <si>
    <t>Tasa de interes del 12% efectivo anual Pagaderos en 5 años</t>
  </si>
  <si>
    <t>Si el costo es de $60.000</t>
  </si>
  <si>
    <t>Si el costo es de $75.000</t>
  </si>
  <si>
    <t>Si el costo es de $100.000</t>
  </si>
  <si>
    <t>Barnber Ads</t>
  </si>
  <si>
    <t>Landing Page</t>
  </si>
  <si>
    <t>Facebook-Instagram</t>
  </si>
  <si>
    <t>YouTube</t>
  </si>
  <si>
    <t>Publicidad online x pieza</t>
  </si>
  <si>
    <t>Servicios Publicidad</t>
  </si>
  <si>
    <t>Equipo Marketing</t>
  </si>
  <si>
    <t>Observaciones</t>
  </si>
  <si>
    <t>Equipo Pedagógico</t>
  </si>
  <si>
    <t>* Pensando que fuera por el momento sólo matemáticas de 10° y 11°.
** Un docente podría atender presencialmente 4 grupos, en sesiones de 2 horas, cada grupo entre 5 y 7 estudiantes.
*** Dos para que se repartan la atención de los cursos de manera sincrónica de 1:00 p.m. a 10:00 p.m. entre semana y de 8:00 a.m. a 6:00 p.m. domingos y festivos. 
- Número de profesores presenciales: 12 sitios propios Colsubsidio y 5 en convenio, 2 docentes por sede, propongo el pago de $25.000,oo por hora.
- Propondríamos tener 4 docentes de tiempo completo, repartidos en distintos horarios, de manera que el aula virtual siempre  tuviera a alguien respondiendo requerimientos. Proponemos un salario de $2.500.000,oo mensual.</t>
  </si>
  <si>
    <t>Encuentros presenciales</t>
  </si>
  <si>
    <t>Capacidad de atención encuentro presencial</t>
  </si>
  <si>
    <t>Equipo Tecnológico</t>
  </si>
  <si>
    <t>Clubes colsubsidio</t>
  </si>
  <si>
    <t>Colegios</t>
  </si>
  <si>
    <t>Colegios convenio</t>
  </si>
  <si>
    <t>Sesión 1 de 8:00am a 10:00 am</t>
  </si>
  <si>
    <t>Max 7 estudiantes</t>
  </si>
  <si>
    <t>cap 315 estudiantes</t>
  </si>
  <si>
    <t>Sesión 2 de 10:00am a 12:00 m</t>
  </si>
  <si>
    <t>Docentes</t>
  </si>
  <si>
    <t>Sabados</t>
  </si>
  <si>
    <t>Total de horas</t>
  </si>
  <si>
    <t>Valor hora</t>
  </si>
  <si>
    <t>Valor mensual por profesor</t>
  </si>
  <si>
    <t>Equipo financiero</t>
  </si>
  <si>
    <t>Valor anual por profesor</t>
  </si>
  <si>
    <t>Valor total profesores presencial</t>
  </si>
  <si>
    <t>Atención a estudiantes virtual</t>
  </si>
  <si>
    <t>Docentes Virtuales</t>
  </si>
  <si>
    <t>16 sesiones al dia (C/U 30 MIN)</t>
  </si>
  <si>
    <t>80 estudiantes al día</t>
  </si>
  <si>
    <t>L-V  disponibilidad de 2:00pm a 10:00pm</t>
  </si>
  <si>
    <t>2.992 sesiones (en el año)</t>
  </si>
  <si>
    <t>Sesiones grupales de 30 minutos</t>
  </si>
  <si>
    <t>187 sesiones en el año/ 14.960 estudiantes en el año</t>
  </si>
  <si>
    <t>Grupos de máximo 5 estudiantes</t>
  </si>
  <si>
    <t>4 docentes en total</t>
  </si>
  <si>
    <t>Salario mensual de $2.500.000 x Docente</t>
  </si>
  <si>
    <t>Total de $10.000.000 al mes</t>
  </si>
  <si>
    <t>Total de $90.000.000 al año  (9 meses)</t>
  </si>
  <si>
    <t>Salario</t>
  </si>
  <si>
    <t>Honorarios</t>
  </si>
  <si>
    <t>Costos fijos (mensual)</t>
  </si>
  <si>
    <t>Costos variables (mensual)</t>
  </si>
  <si>
    <t># de veces (al año)</t>
  </si>
  <si>
    <t>Barner Ads</t>
  </si>
  <si>
    <t>Publicidad-Online x pieza</t>
  </si>
  <si>
    <t>Subtotal Equipo Marketing</t>
  </si>
  <si>
    <t>Coordinador Pedagógico [1]</t>
  </si>
  <si>
    <t>Se encarga de orientar la elaboración de los módulos, la supervisión del servicio, liderar el trabajo pedagógico.</t>
  </si>
  <si>
    <t>Elaboración de plan de trabajo área-grado [2]*</t>
  </si>
  <si>
    <t>Elaboración base de la estructura general de los proyectos (ABP), guías, evaluaciones, ejercicios por área y por grado.</t>
  </si>
  <si>
    <t>Docentes presenciales (sábados)**</t>
  </si>
  <si>
    <t>Asisten los días sábados a acompañar el trabajo presencial de los estudiantes.</t>
  </si>
  <si>
    <t>Docentes acompañamiento virtual [4]***</t>
  </si>
  <si>
    <t>Atienden las inquietudes que a través de la página formulen los estudiantes</t>
  </si>
  <si>
    <t>Subtotal Equipo Pedagógico</t>
  </si>
  <si>
    <t>Equipo Tecnologico</t>
  </si>
  <si>
    <t>Amazon Cloud Watch</t>
  </si>
  <si>
    <t>Director de Proyecto</t>
  </si>
  <si>
    <t>Desarrollador Back End</t>
  </si>
  <si>
    <t>Desarrollador Front End</t>
  </si>
  <si>
    <t>Diseñador Jr</t>
  </si>
  <si>
    <t>Diseñador Jr 2</t>
  </si>
  <si>
    <t>Subtotal Equipo Tecnológico</t>
  </si>
  <si>
    <t>Equipo Financiero</t>
  </si>
  <si>
    <t>Subtotal Equipo Financiero</t>
  </si>
  <si>
    <t>TOTAL</t>
  </si>
  <si>
    <t>Solo para año 1</t>
  </si>
  <si>
    <t>Salarios primeros 6 meses</t>
  </si>
  <si>
    <t>Mensual</t>
  </si>
  <si>
    <t>Anual</t>
  </si>
  <si>
    <t>Total costos y gastos año 1</t>
  </si>
  <si>
    <t>Total inversión</t>
  </si>
  <si>
    <t>Total costos y gastos año 2</t>
  </si>
  <si>
    <t>Ingreso si es $60.000</t>
  </si>
  <si>
    <t>Ingreso si es $75.000</t>
  </si>
  <si>
    <t>Ingreso si es $100.000</t>
  </si>
  <si>
    <t>Ingresos Escenario Intermedio 50%</t>
  </si>
  <si>
    <t>Ingresos Escenario Pesimista 25%</t>
  </si>
  <si>
    <t>Ingresos Escenario Optimista 70%</t>
  </si>
  <si>
    <t>Financiación del 50% de inversión inicial</t>
  </si>
  <si>
    <t>Ingreso x estudiante Año 1</t>
  </si>
  <si>
    <t>Ingreso x estudiante Año 2</t>
  </si>
  <si>
    <t>Ingreso x estudiante Año 3</t>
  </si>
  <si>
    <t>Ingreso x estudiante Año 4</t>
  </si>
  <si>
    <t>Ingreso x estudiante Año 5</t>
  </si>
  <si>
    <t># de estudiantes META</t>
  </si>
  <si>
    <t># de estudiantes escenario optimista</t>
  </si>
  <si>
    <t># de estudiantes escenario intermedio</t>
  </si>
  <si>
    <t># de estudiantes escenario pesimista</t>
  </si>
  <si>
    <t>Ingreso x estudiante op1</t>
  </si>
  <si>
    <t>Ingreso x estudiante op2</t>
  </si>
  <si>
    <t>Ingreso x estudiante op3</t>
  </si>
  <si>
    <t xml:space="preserve"> </t>
  </si>
  <si>
    <t>SALDO INICIAL</t>
  </si>
  <si>
    <t>INTERES</t>
  </si>
  <si>
    <t>AMORTIZACION</t>
  </si>
  <si>
    <t>SALDO FINAL</t>
  </si>
  <si>
    <t>AMORTIZACION CREDITO</t>
  </si>
  <si>
    <t>INVERSION</t>
  </si>
  <si>
    <t>TASA</t>
  </si>
  <si>
    <t xml:space="preserve">TIEMPO </t>
  </si>
  <si>
    <t>años</t>
  </si>
  <si>
    <t>CUOTA</t>
  </si>
  <si>
    <t>PERIODICA</t>
  </si>
  <si>
    <t xml:space="preserve">Flujo de caja </t>
  </si>
  <si>
    <t>TIR</t>
  </si>
  <si>
    <t>VPN</t>
  </si>
  <si>
    <t>VNA</t>
  </si>
  <si>
    <t>IPC</t>
  </si>
  <si>
    <t>TASA DE DESCUENTO</t>
  </si>
  <si>
    <t>PERIDOS</t>
  </si>
  <si>
    <t>Costos</t>
  </si>
  <si>
    <t>Utilidad (perdida) bruta</t>
  </si>
  <si>
    <t>Gastos de venta</t>
  </si>
  <si>
    <t xml:space="preserve">Gastos administrativos </t>
  </si>
  <si>
    <t>Utilidad (perdida) operación</t>
  </si>
  <si>
    <t>Gastos finaniceros</t>
  </si>
  <si>
    <t>Utilidad (perdida) antes de impuestos</t>
  </si>
  <si>
    <t>Amortizaciones</t>
  </si>
  <si>
    <t>EBITDA</t>
  </si>
  <si>
    <t>Margen Operacional</t>
  </si>
  <si>
    <t>Margen utilidad Bruta</t>
  </si>
  <si>
    <t>Margen Utilidad Antes de impuestos</t>
  </si>
  <si>
    <t>Depreciaciones</t>
  </si>
  <si>
    <t>PAYBACK</t>
  </si>
  <si>
    <t>Flujo Acumulado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</si>
</sst>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\ #,##0;[Red]\-&quot;$&quot;\ #,##0"/>
    <numFmt numFmtId="41" formatCode="_-* #,##0_-;\-* #,##0_-;_-* &quot;-&quot;_-;_-@_-"/>
    <numFmt numFmtId="164" formatCode="&quot;$&quot;#,##0;[Red]\-&quot;$&quot;#,##0"/>
    <numFmt numFmtId="165" formatCode="_-&quot;$&quot;* #,##0_-;\-&quot;$&quot;* #,##0_-;_-&quot;$&quot;* &quot;-&quot;_-;_-@_-"/>
    <numFmt numFmtId="166" formatCode="&quot;$&quot;\ #,##0"/>
    <numFmt numFmtId="167" formatCode="&quot;$&quot;#,##0.00_);[Red]\(&quot;$&quot;#,##0.00\)"/>
    <numFmt numFmtId="168" formatCode="&quot;$&quot;#,##0_);[Red]\(&quot;$&quot;#,##0\)"/>
    <numFmt numFmtId="169" formatCode="#,##0_ ;[Red]\-#,##0\ "/>
    <numFmt numFmtId="170" formatCode="[$$-240A]\ #,##0"/>
    <numFmt numFmtId="171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0"/>
      <name val="Times New Roman"/>
      <family val="1"/>
    </font>
    <font>
      <b/>
      <sz val="12"/>
      <color theme="0"/>
      <name val="Times New Roman"/>
      <family val="1"/>
    </font>
    <font>
      <sz val="12"/>
      <color rgb="FF444444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83">
    <xf numFmtId="0" fontId="0" fillId="0" borderId="0" xfId="0"/>
    <xf numFmtId="41" fontId="0" fillId="0" borderId="0" xfId="0" applyNumberFormat="1"/>
    <xf numFmtId="0" fontId="0" fillId="0" borderId="0" xfId="0" applyBorder="1" applyAlignment="1">
      <alignment horizontal="center"/>
    </xf>
    <xf numFmtId="41" fontId="0" fillId="0" borderId="0" xfId="1" applyFont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41" fontId="0" fillId="0" borderId="16" xfId="1" applyFont="1" applyBorder="1"/>
    <xf numFmtId="0" fontId="0" fillId="2" borderId="0" xfId="0" applyFill="1"/>
    <xf numFmtId="0" fontId="5" fillId="2" borderId="0" xfId="0" applyFont="1" applyFill="1"/>
    <xf numFmtId="0" fontId="5" fillId="3" borderId="0" xfId="0" applyFont="1" applyFill="1"/>
    <xf numFmtId="0" fontId="5" fillId="0" borderId="0" xfId="0" applyFont="1" applyAlignment="1">
      <alignment horizontal="center"/>
    </xf>
    <xf numFmtId="9" fontId="5" fillId="0" borderId="0" xfId="2" applyFont="1"/>
    <xf numFmtId="0" fontId="5" fillId="0" borderId="0" xfId="0" applyFont="1"/>
    <xf numFmtId="41" fontId="5" fillId="0" borderId="0" xfId="0" applyNumberFormat="1" applyFont="1"/>
    <xf numFmtId="6" fontId="5" fillId="0" borderId="0" xfId="0" applyNumberFormat="1" applyFont="1"/>
    <xf numFmtId="0" fontId="5" fillId="0" borderId="0" xfId="2" applyNumberFormat="1" applyFont="1"/>
    <xf numFmtId="165" fontId="5" fillId="0" borderId="0" xfId="3" applyFont="1"/>
    <xf numFmtId="0" fontId="6" fillId="0" borderId="1" xfId="0" applyFont="1" applyBorder="1"/>
    <xf numFmtId="0" fontId="5" fillId="0" borderId="1" xfId="0" applyFont="1" applyBorder="1"/>
    <xf numFmtId="166" fontId="5" fillId="0" borderId="1" xfId="0" applyNumberFormat="1" applyFont="1" applyBorder="1"/>
    <xf numFmtId="165" fontId="5" fillId="0" borderId="1" xfId="3" applyFont="1" applyBorder="1"/>
    <xf numFmtId="0" fontId="5" fillId="10" borderId="1" xfId="0" applyFont="1" applyFill="1" applyBorder="1"/>
    <xf numFmtId="165" fontId="5" fillId="10" borderId="1" xfId="3" applyFont="1" applyFill="1" applyBorder="1"/>
    <xf numFmtId="0" fontId="5" fillId="12" borderId="1" xfId="0" applyFont="1" applyFill="1" applyBorder="1"/>
    <xf numFmtId="165" fontId="5" fillId="12" borderId="1" xfId="3" applyFont="1" applyFill="1" applyBorder="1"/>
    <xf numFmtId="0" fontId="5" fillId="13" borderId="1" xfId="0" applyFont="1" applyFill="1" applyBorder="1"/>
    <xf numFmtId="165" fontId="5" fillId="13" borderId="1" xfId="3" applyFont="1" applyFill="1" applyBorder="1"/>
    <xf numFmtId="0" fontId="5" fillId="0" borderId="1" xfId="0" applyFont="1" applyFill="1" applyBorder="1"/>
    <xf numFmtId="165" fontId="5" fillId="0" borderId="1" xfId="0" applyNumberFormat="1" applyFont="1" applyBorder="1"/>
    <xf numFmtId="0" fontId="7" fillId="0" borderId="1" xfId="0" applyFont="1" applyBorder="1"/>
    <xf numFmtId="9" fontId="7" fillId="0" borderId="3" xfId="0" applyNumberFormat="1" applyFont="1" applyBorder="1"/>
    <xf numFmtId="0" fontId="7" fillId="0" borderId="20" xfId="0" applyFont="1" applyBorder="1"/>
    <xf numFmtId="164" fontId="7" fillId="0" borderId="11" xfId="0" applyNumberFormat="1" applyFont="1" applyBorder="1"/>
    <xf numFmtId="2" fontId="5" fillId="0" borderId="1" xfId="3" applyNumberFormat="1" applyFont="1" applyBorder="1"/>
    <xf numFmtId="171" fontId="5" fillId="0" borderId="1" xfId="0" applyNumberFormat="1" applyFont="1" applyBorder="1"/>
    <xf numFmtId="165" fontId="7" fillId="0" borderId="3" xfId="0" applyNumberFormat="1" applyFont="1" applyBorder="1"/>
    <xf numFmtId="0" fontId="7" fillId="0" borderId="11" xfId="0" applyFont="1" applyBorder="1"/>
    <xf numFmtId="9" fontId="7" fillId="0" borderId="11" xfId="0" applyNumberFormat="1" applyFont="1" applyBorder="1"/>
    <xf numFmtId="0" fontId="6" fillId="0" borderId="0" xfId="0" applyFont="1"/>
    <xf numFmtId="0" fontId="5" fillId="2" borderId="1" xfId="0" applyFont="1" applyFill="1" applyBorder="1"/>
    <xf numFmtId="0" fontId="9" fillId="11" borderId="1" xfId="0" applyFont="1" applyFill="1" applyBorder="1" applyAlignment="1">
      <alignment horizontal="center" vertical="center"/>
    </xf>
    <xf numFmtId="166" fontId="9" fillId="11" borderId="1" xfId="0" applyNumberFormat="1" applyFont="1" applyFill="1" applyBorder="1" applyAlignment="1">
      <alignment horizontal="center" vertical="center"/>
    </xf>
    <xf numFmtId="166" fontId="9" fillId="11" borderId="1" xfId="0" applyNumberFormat="1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center" vertical="center" wrapText="1"/>
    </xf>
    <xf numFmtId="167" fontId="7" fillId="0" borderId="1" xfId="0" applyNumberFormat="1" applyFont="1" applyBorder="1"/>
    <xf numFmtId="168" fontId="7" fillId="0" borderId="3" xfId="0" applyNumberFormat="1" applyFont="1" applyBorder="1"/>
    <xf numFmtId="0" fontId="7" fillId="0" borderId="1" xfId="0" applyFont="1" applyBorder="1" applyAlignment="1">
      <alignment wrapText="1"/>
    </xf>
    <xf numFmtId="167" fontId="7" fillId="0" borderId="20" xfId="0" applyNumberFormat="1" applyFont="1" applyBorder="1"/>
    <xf numFmtId="168" fontId="7" fillId="0" borderId="11" xfId="0" applyNumberFormat="1" applyFont="1" applyBorder="1"/>
    <xf numFmtId="0" fontId="7" fillId="0" borderId="20" xfId="0" applyFont="1" applyBorder="1" applyAlignment="1">
      <alignment wrapText="1"/>
    </xf>
    <xf numFmtId="166" fontId="5" fillId="6" borderId="1" xfId="0" applyNumberFormat="1" applyFont="1" applyFill="1" applyBorder="1"/>
    <xf numFmtId="0" fontId="5" fillId="6" borderId="1" xfId="0" applyFont="1" applyFill="1" applyBorder="1"/>
    <xf numFmtId="166" fontId="5" fillId="8" borderId="1" xfId="0" applyNumberFormat="1" applyFont="1" applyFill="1" applyBorder="1"/>
    <xf numFmtId="0" fontId="5" fillId="8" borderId="1" xfId="0" applyFont="1" applyFill="1" applyBorder="1"/>
    <xf numFmtId="166" fontId="5" fillId="10" borderId="1" xfId="0" applyNumberFormat="1" applyFont="1" applyFill="1" applyBorder="1"/>
    <xf numFmtId="166" fontId="5" fillId="2" borderId="1" xfId="0" applyNumberFormat="1" applyFont="1" applyFill="1" applyBorder="1"/>
    <xf numFmtId="166" fontId="5" fillId="7" borderId="1" xfId="0" applyNumberFormat="1" applyFont="1" applyFill="1" applyBorder="1"/>
    <xf numFmtId="0" fontId="5" fillId="7" borderId="1" xfId="0" applyFont="1" applyFill="1" applyBorder="1"/>
    <xf numFmtId="0" fontId="10" fillId="2" borderId="0" xfId="0" applyFont="1" applyFill="1"/>
    <xf numFmtId="166" fontId="5" fillId="2" borderId="0" xfId="0" applyNumberFormat="1" applyFont="1" applyFill="1"/>
    <xf numFmtId="0" fontId="2" fillId="2" borderId="0" xfId="0" applyFont="1" applyFill="1" applyAlignment="1"/>
    <xf numFmtId="0" fontId="6" fillId="3" borderId="1" xfId="0" applyFont="1" applyFill="1" applyBorder="1" applyAlignment="1">
      <alignment horizontal="center"/>
    </xf>
    <xf numFmtId="166" fontId="6" fillId="3" borderId="1" xfId="0" applyNumberFormat="1" applyFont="1" applyFill="1" applyBorder="1" applyAlignment="1">
      <alignment horizontal="center"/>
    </xf>
    <xf numFmtId="0" fontId="7" fillId="0" borderId="1" xfId="0" applyFont="1" applyFill="1" applyBorder="1"/>
    <xf numFmtId="166" fontId="7" fillId="0" borderId="1" xfId="0" applyNumberFormat="1" applyFont="1" applyBorder="1"/>
    <xf numFmtId="0" fontId="5" fillId="0" borderId="1" xfId="0" applyFont="1" applyBorder="1" applyAlignment="1">
      <alignment horizontal="center"/>
    </xf>
    <xf numFmtId="166" fontId="5" fillId="5" borderId="1" xfId="0" applyNumberFormat="1" applyFont="1" applyFill="1" applyBorder="1"/>
    <xf numFmtId="0" fontId="6" fillId="0" borderId="1" xfId="0" applyFont="1" applyBorder="1" applyAlignment="1">
      <alignment horizontal="center"/>
    </xf>
    <xf numFmtId="166" fontId="6" fillId="0" borderId="1" xfId="0" applyNumberFormat="1" applyFont="1" applyBorder="1"/>
    <xf numFmtId="0" fontId="5" fillId="4" borderId="1" xfId="0" applyFont="1" applyFill="1" applyBorder="1"/>
    <xf numFmtId="166" fontId="5" fillId="4" borderId="1" xfId="0" applyNumberFormat="1" applyFont="1" applyFill="1" applyBorder="1"/>
    <xf numFmtId="0" fontId="5" fillId="4" borderId="1" xfId="0" applyFont="1" applyFill="1" applyBorder="1" applyAlignment="1">
      <alignment horizontal="center"/>
    </xf>
    <xf numFmtId="0" fontId="6" fillId="3" borderId="1" xfId="0" applyFont="1" applyFill="1" applyBorder="1"/>
    <xf numFmtId="166" fontId="6" fillId="3" borderId="1" xfId="0" applyNumberFormat="1" applyFont="1" applyFill="1" applyBorder="1"/>
    <xf numFmtId="166" fontId="6" fillId="0" borderId="1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166" fontId="6" fillId="2" borderId="1" xfId="0" applyNumberFormat="1" applyFont="1" applyFill="1" applyBorder="1"/>
    <xf numFmtId="166" fontId="5" fillId="0" borderId="0" xfId="0" applyNumberFormat="1" applyFont="1"/>
    <xf numFmtId="0" fontId="6" fillId="2" borderId="1" xfId="0" applyFont="1" applyFill="1" applyBorder="1"/>
    <xf numFmtId="166" fontId="6" fillId="0" borderId="0" xfId="0" applyNumberFormat="1" applyFont="1"/>
    <xf numFmtId="0" fontId="6" fillId="0" borderId="0" xfId="0" applyFont="1" applyFill="1" applyBorder="1"/>
    <xf numFmtId="166" fontId="6" fillId="0" borderId="0" xfId="0" applyNumberFormat="1" applyFont="1" applyFill="1" applyBorder="1"/>
    <xf numFmtId="9" fontId="6" fillId="3" borderId="1" xfId="0" applyNumberFormat="1" applyFont="1" applyFill="1" applyBorder="1" applyAlignment="1">
      <alignment horizontal="center"/>
    </xf>
    <xf numFmtId="166" fontId="5" fillId="0" borderId="1" xfId="3" applyNumberFormat="1" applyFont="1" applyBorder="1"/>
    <xf numFmtId="9" fontId="5" fillId="0" borderId="1" xfId="2" applyFont="1" applyBorder="1"/>
    <xf numFmtId="170" fontId="5" fillId="0" borderId="1" xfId="0" applyNumberFormat="1" applyFont="1" applyBorder="1"/>
    <xf numFmtId="165" fontId="5" fillId="2" borderId="1" xfId="0" applyNumberFormat="1" applyFont="1" applyFill="1" applyBorder="1"/>
    <xf numFmtId="170" fontId="5" fillId="2" borderId="1" xfId="0" applyNumberFormat="1" applyFont="1" applyFill="1" applyBorder="1"/>
    <xf numFmtId="0" fontId="5" fillId="2" borderId="0" xfId="0" applyFont="1" applyFill="1" applyBorder="1"/>
    <xf numFmtId="165" fontId="5" fillId="2" borderId="0" xfId="3" applyFont="1" applyFill="1"/>
    <xf numFmtId="9" fontId="5" fillId="2" borderId="0" xfId="2" applyFont="1" applyFill="1"/>
    <xf numFmtId="170" fontId="5" fillId="4" borderId="1" xfId="0" applyNumberFormat="1" applyFont="1" applyFill="1" applyBorder="1"/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166" fontId="5" fillId="0" borderId="0" xfId="0" applyNumberFormat="1" applyFont="1" applyBorder="1" applyAlignment="1">
      <alignment horizontal="center"/>
    </xf>
    <xf numFmtId="9" fontId="5" fillId="0" borderId="1" xfId="2" applyFont="1" applyBorder="1" applyAlignment="1">
      <alignment horizontal="center"/>
    </xf>
    <xf numFmtId="169" fontId="5" fillId="0" borderId="1" xfId="0" applyNumberFormat="1" applyFont="1" applyBorder="1" applyAlignment="1">
      <alignment horizontal="center"/>
    </xf>
    <xf numFmtId="0" fontId="6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6" fontId="6" fillId="0" borderId="0" xfId="0" applyNumberFormat="1" applyFont="1" applyAlignment="1">
      <alignment horizontal="center" vertical="center"/>
    </xf>
    <xf numFmtId="6" fontId="6" fillId="0" borderId="0" xfId="0" applyNumberFormat="1" applyFont="1" applyAlignment="1">
      <alignment horizontal="center"/>
    </xf>
    <xf numFmtId="9" fontId="5" fillId="0" borderId="1" xfId="0" applyNumberFormat="1" applyFont="1" applyBorder="1" applyAlignment="1">
      <alignment horizontal="center"/>
    </xf>
    <xf numFmtId="41" fontId="5" fillId="0" borderId="1" xfId="1" applyFont="1" applyBorder="1"/>
    <xf numFmtId="41" fontId="5" fillId="0" borderId="1" xfId="0" applyNumberFormat="1" applyFont="1" applyBorder="1"/>
    <xf numFmtId="9" fontId="5" fillId="0" borderId="0" xfId="0" applyNumberFormat="1" applyFont="1"/>
    <xf numFmtId="9" fontId="5" fillId="0" borderId="1" xfId="0" applyNumberFormat="1" applyFont="1" applyBorder="1"/>
    <xf numFmtId="164" fontId="5" fillId="0" borderId="1" xfId="3" applyNumberFormat="1" applyFont="1" applyBorder="1"/>
    <xf numFmtId="165" fontId="5" fillId="0" borderId="0" xfId="0" applyNumberFormat="1" applyFont="1"/>
    <xf numFmtId="9" fontId="5" fillId="0" borderId="1" xfId="2" applyNumberFormat="1" applyFont="1" applyBorder="1"/>
    <xf numFmtId="0" fontId="7" fillId="0" borderId="0" xfId="0" applyFont="1"/>
    <xf numFmtId="9" fontId="7" fillId="0" borderId="0" xfId="0" applyNumberFormat="1" applyFont="1"/>
    <xf numFmtId="165" fontId="7" fillId="0" borderId="0" xfId="0" applyNumberFormat="1" applyFont="1"/>
    <xf numFmtId="0" fontId="6" fillId="2" borderId="1" xfId="0" applyFont="1" applyFill="1" applyBorder="1" applyAlignment="1">
      <alignment horizontal="center" vertical="center" textRotation="90"/>
    </xf>
    <xf numFmtId="0" fontId="6" fillId="2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 vertical="center" textRotation="90"/>
    </xf>
    <xf numFmtId="0" fontId="6" fillId="6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 vertical="center" textRotation="90"/>
    </xf>
    <xf numFmtId="0" fontId="6" fillId="8" borderId="1" xfId="0" applyFont="1" applyFill="1" applyBorder="1" applyAlignment="1">
      <alignment horizontal="center"/>
    </xf>
    <xf numFmtId="0" fontId="6" fillId="10" borderId="1" xfId="0" applyFont="1" applyFill="1" applyBorder="1" applyAlignment="1">
      <alignment horizontal="center" vertical="center" textRotation="90"/>
    </xf>
    <xf numFmtId="0" fontId="6" fillId="10" borderId="1" xfId="0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10" borderId="1" xfId="0" applyFont="1" applyFill="1" applyBorder="1" applyAlignment="1">
      <alignment horizontal="center" vertical="center" textRotation="90"/>
    </xf>
    <xf numFmtId="0" fontId="0" fillId="0" borderId="1" xfId="0" applyBorder="1" applyAlignment="1">
      <alignment horizontal="center"/>
    </xf>
    <xf numFmtId="6" fontId="0" fillId="0" borderId="15" xfId="0" applyNumberFormat="1" applyBorder="1" applyAlignment="1">
      <alignment horizontal="center"/>
    </xf>
    <xf numFmtId="6" fontId="0" fillId="0" borderId="17" xfId="0" applyNumberFormat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 textRotation="90"/>
    </xf>
    <xf numFmtId="6" fontId="0" fillId="0" borderId="0" xfId="0" applyNumberFormat="1" applyBorder="1" applyAlignment="1">
      <alignment horizontal="center"/>
    </xf>
    <xf numFmtId="0" fontId="2" fillId="6" borderId="1" xfId="0" applyFont="1" applyFill="1" applyBorder="1" applyAlignment="1">
      <alignment horizontal="center" vertical="center" textRotation="90"/>
    </xf>
    <xf numFmtId="0" fontId="2" fillId="7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 vertical="center" textRotation="90"/>
    </xf>
    <xf numFmtId="0" fontId="0" fillId="0" borderId="5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14" borderId="0" xfId="0" applyFont="1" applyFill="1" applyAlignment="1">
      <alignment horizontal="center"/>
    </xf>
    <xf numFmtId="0" fontId="8" fillId="2" borderId="1" xfId="0" applyFont="1" applyFill="1" applyBorder="1"/>
  </cellXfs>
  <cellStyles count="4">
    <cellStyle name="Millares [0]" xfId="1" builtinId="6"/>
    <cellStyle name="Moneda [0]" xfId="3" builtinId="7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I59"/>
  <sheetViews>
    <sheetView tabSelected="1" topLeftCell="A31" workbookViewId="0">
      <selection activeCell="B13" sqref="B13:B28"/>
    </sheetView>
  </sheetViews>
  <sheetFormatPr baseColWidth="10" defaultColWidth="11.453125" defaultRowHeight="15.5" x14ac:dyDescent="0.35"/>
  <cols>
    <col min="1" max="1" width="1.1796875" style="17" customWidth="1"/>
    <col min="2" max="2" width="16.36328125" style="17" customWidth="1"/>
    <col min="3" max="3" width="42.6328125" style="17" bestFit="1" customWidth="1"/>
    <col min="4" max="4" width="16.36328125" style="68" customWidth="1"/>
    <col min="5" max="5" width="13.453125" style="68" customWidth="1"/>
    <col min="6" max="6" width="14.6328125" style="68" bestFit="1" customWidth="1"/>
    <col min="7" max="7" width="15.453125" style="68" customWidth="1"/>
    <col min="8" max="8" width="11.453125" style="17"/>
    <col min="9" max="9" width="99.08984375" style="17" bestFit="1" customWidth="1"/>
    <col min="10" max="16384" width="11.453125" style="17"/>
  </cols>
  <sheetData>
    <row r="3" spans="2:9" ht="45" x14ac:dyDescent="0.35">
      <c r="B3" s="182"/>
      <c r="C3" s="49" t="s">
        <v>37</v>
      </c>
      <c r="D3" s="50" t="s">
        <v>108</v>
      </c>
      <c r="E3" s="50" t="s">
        <v>109</v>
      </c>
      <c r="F3" s="51" t="s">
        <v>110</v>
      </c>
      <c r="G3" s="51" t="s">
        <v>111</v>
      </c>
      <c r="H3" s="52" t="s">
        <v>112</v>
      </c>
      <c r="I3" s="52" t="s">
        <v>74</v>
      </c>
    </row>
    <row r="4" spans="2:9" x14ac:dyDescent="0.35">
      <c r="B4" s="131" t="s">
        <v>73</v>
      </c>
      <c r="C4" s="38" t="s">
        <v>113</v>
      </c>
      <c r="D4" s="28"/>
      <c r="E4" s="28"/>
      <c r="F4" s="53"/>
      <c r="G4" s="54">
        <v>1200000</v>
      </c>
      <c r="H4" s="27">
        <v>1</v>
      </c>
      <c r="I4" s="55"/>
    </row>
    <row r="5" spans="2:9" x14ac:dyDescent="0.35">
      <c r="B5" s="131"/>
      <c r="C5" s="40" t="s">
        <v>68</v>
      </c>
      <c r="D5" s="28"/>
      <c r="E5" s="28"/>
      <c r="F5" s="56"/>
      <c r="G5" s="57">
        <v>400000</v>
      </c>
      <c r="H5" s="27">
        <v>1</v>
      </c>
      <c r="I5" s="58"/>
    </row>
    <row r="6" spans="2:9" x14ac:dyDescent="0.35">
      <c r="B6" s="131"/>
      <c r="C6" s="40" t="s">
        <v>69</v>
      </c>
      <c r="D6" s="28"/>
      <c r="E6" s="28"/>
      <c r="F6" s="56"/>
      <c r="G6" s="57">
        <v>4000000</v>
      </c>
      <c r="H6" s="27">
        <v>1</v>
      </c>
      <c r="I6" s="58"/>
    </row>
    <row r="7" spans="2:9" x14ac:dyDescent="0.35">
      <c r="B7" s="131"/>
      <c r="C7" s="40" t="s">
        <v>70</v>
      </c>
      <c r="D7" s="28"/>
      <c r="E7" s="28"/>
      <c r="F7" s="56"/>
      <c r="G7" s="57">
        <v>4000000</v>
      </c>
      <c r="H7" s="27">
        <v>1</v>
      </c>
      <c r="I7" s="58"/>
    </row>
    <row r="8" spans="2:9" x14ac:dyDescent="0.35">
      <c r="B8" s="131"/>
      <c r="C8" s="40" t="s">
        <v>114</v>
      </c>
      <c r="D8" s="28"/>
      <c r="E8" s="28"/>
      <c r="F8" s="40"/>
      <c r="G8" s="57">
        <v>240000</v>
      </c>
      <c r="H8" s="27">
        <v>1</v>
      </c>
      <c r="I8" s="58"/>
    </row>
    <row r="9" spans="2:9" x14ac:dyDescent="0.35">
      <c r="B9" s="131"/>
      <c r="C9" s="40" t="s">
        <v>72</v>
      </c>
      <c r="D9" s="28"/>
      <c r="E9" s="28"/>
      <c r="F9" s="40"/>
      <c r="G9" s="57">
        <v>800000</v>
      </c>
      <c r="H9" s="27">
        <v>12</v>
      </c>
      <c r="I9" s="58"/>
    </row>
    <row r="10" spans="2:9" x14ac:dyDescent="0.35">
      <c r="B10" s="131"/>
      <c r="C10" s="40"/>
      <c r="D10" s="28"/>
      <c r="E10" s="28"/>
      <c r="F10" s="40"/>
      <c r="G10" s="45"/>
      <c r="H10" s="27"/>
      <c r="I10" s="58"/>
    </row>
    <row r="11" spans="2:9" x14ac:dyDescent="0.35">
      <c r="B11" s="131"/>
      <c r="C11" s="27"/>
      <c r="D11" s="28"/>
      <c r="E11" s="28"/>
      <c r="F11" s="28"/>
      <c r="G11" s="28"/>
      <c r="H11" s="27"/>
      <c r="I11" s="27"/>
    </row>
    <row r="12" spans="2:9" x14ac:dyDescent="0.35">
      <c r="B12" s="131"/>
      <c r="C12" s="132" t="s">
        <v>115</v>
      </c>
      <c r="D12" s="132"/>
      <c r="E12" s="132"/>
      <c r="F12" s="59"/>
      <c r="G12" s="59"/>
      <c r="H12" s="60"/>
      <c r="I12" s="60"/>
    </row>
    <row r="13" spans="2:9" x14ac:dyDescent="0.35">
      <c r="B13" s="133" t="s">
        <v>75</v>
      </c>
      <c r="C13" s="27" t="s">
        <v>116</v>
      </c>
      <c r="D13" s="28">
        <v>4000000</v>
      </c>
      <c r="E13" s="28"/>
      <c r="F13" s="28">
        <v>4000000</v>
      </c>
      <c r="G13" s="28"/>
      <c r="H13" s="27">
        <v>12</v>
      </c>
      <c r="I13" s="27" t="s">
        <v>117</v>
      </c>
    </row>
    <row r="14" spans="2:9" x14ac:dyDescent="0.35">
      <c r="B14" s="133"/>
      <c r="C14" s="27" t="s">
        <v>118</v>
      </c>
      <c r="D14" s="28"/>
      <c r="E14" s="28">
        <v>3000000</v>
      </c>
      <c r="F14" s="28">
        <v>3000000</v>
      </c>
      <c r="G14" s="28"/>
      <c r="H14" s="27">
        <v>1</v>
      </c>
      <c r="I14" s="27" t="s">
        <v>119</v>
      </c>
    </row>
    <row r="15" spans="2:9" x14ac:dyDescent="0.35">
      <c r="B15" s="133"/>
      <c r="C15" s="27" t="s">
        <v>120</v>
      </c>
      <c r="D15" s="28"/>
      <c r="E15" s="28">
        <v>200000</v>
      </c>
      <c r="F15" s="28"/>
      <c r="G15" s="28">
        <v>200000</v>
      </c>
      <c r="H15" s="27">
        <v>45</v>
      </c>
      <c r="I15" s="27" t="s">
        <v>121</v>
      </c>
    </row>
    <row r="16" spans="2:9" x14ac:dyDescent="0.35">
      <c r="B16" s="133"/>
      <c r="C16" s="27" t="s">
        <v>122</v>
      </c>
      <c r="D16" s="28">
        <v>2500000</v>
      </c>
      <c r="E16" s="28"/>
      <c r="F16" s="28">
        <v>2500000</v>
      </c>
      <c r="G16" s="28"/>
      <c r="H16" s="27">
        <v>12</v>
      </c>
      <c r="I16" s="27" t="s">
        <v>123</v>
      </c>
    </row>
    <row r="17" spans="2:9" x14ac:dyDescent="0.35">
      <c r="B17" s="133"/>
      <c r="C17" s="27"/>
      <c r="D17" s="28"/>
      <c r="E17" s="28"/>
      <c r="F17" s="28"/>
      <c r="G17" s="28"/>
      <c r="H17" s="27"/>
      <c r="I17" s="27"/>
    </row>
    <row r="18" spans="2:9" x14ac:dyDescent="0.35">
      <c r="B18" s="133"/>
      <c r="C18" s="27"/>
      <c r="D18" s="28"/>
      <c r="E18" s="28"/>
      <c r="F18" s="28"/>
      <c r="G18" s="28"/>
      <c r="H18" s="27"/>
      <c r="I18" s="27"/>
    </row>
    <row r="19" spans="2:9" x14ac:dyDescent="0.35">
      <c r="B19" s="133"/>
      <c r="C19" s="27"/>
      <c r="D19" s="28"/>
      <c r="E19" s="28"/>
      <c r="F19" s="28"/>
      <c r="G19" s="28"/>
      <c r="H19" s="27"/>
      <c r="I19" s="27"/>
    </row>
    <row r="20" spans="2:9" x14ac:dyDescent="0.35">
      <c r="B20" s="133"/>
      <c r="C20" s="27"/>
      <c r="D20" s="28"/>
      <c r="E20" s="28"/>
      <c r="F20" s="28"/>
      <c r="G20" s="28"/>
      <c r="H20" s="27"/>
      <c r="I20" s="27"/>
    </row>
    <row r="21" spans="2:9" x14ac:dyDescent="0.35">
      <c r="B21" s="133"/>
      <c r="C21" s="27"/>
      <c r="D21" s="28"/>
      <c r="E21" s="28"/>
      <c r="F21" s="28"/>
      <c r="G21" s="28"/>
      <c r="H21" s="27"/>
      <c r="I21" s="27"/>
    </row>
    <row r="22" spans="2:9" x14ac:dyDescent="0.35">
      <c r="B22" s="133"/>
      <c r="C22" s="27"/>
      <c r="D22" s="28"/>
      <c r="E22" s="28"/>
      <c r="F22" s="28"/>
      <c r="G22" s="28"/>
      <c r="H22" s="27"/>
      <c r="I22" s="27"/>
    </row>
    <row r="23" spans="2:9" x14ac:dyDescent="0.35">
      <c r="B23" s="133"/>
      <c r="C23" s="27"/>
      <c r="D23" s="28"/>
      <c r="E23" s="28"/>
      <c r="F23" s="28"/>
      <c r="G23" s="28"/>
      <c r="H23" s="27"/>
      <c r="I23" s="27"/>
    </row>
    <row r="24" spans="2:9" x14ac:dyDescent="0.35">
      <c r="B24" s="133"/>
      <c r="C24" s="27"/>
      <c r="D24" s="28"/>
      <c r="E24" s="28"/>
      <c r="F24" s="28"/>
      <c r="G24" s="28"/>
      <c r="H24" s="27"/>
      <c r="I24" s="27"/>
    </row>
    <row r="25" spans="2:9" x14ac:dyDescent="0.35">
      <c r="B25" s="133"/>
      <c r="C25" s="27"/>
      <c r="D25" s="28"/>
      <c r="E25" s="28"/>
      <c r="F25" s="28"/>
      <c r="G25" s="28"/>
      <c r="H25" s="27"/>
      <c r="I25" s="27"/>
    </row>
    <row r="26" spans="2:9" x14ac:dyDescent="0.35">
      <c r="B26" s="133"/>
      <c r="C26" s="27"/>
      <c r="D26" s="28"/>
      <c r="E26" s="28"/>
      <c r="F26" s="28"/>
      <c r="G26" s="28"/>
      <c r="H26" s="27"/>
      <c r="I26" s="27"/>
    </row>
    <row r="27" spans="2:9" x14ac:dyDescent="0.35">
      <c r="B27" s="133"/>
      <c r="C27" s="27"/>
      <c r="D27" s="28"/>
      <c r="E27" s="28"/>
      <c r="F27" s="28"/>
      <c r="G27" s="28"/>
      <c r="H27" s="27"/>
      <c r="I27" s="27"/>
    </row>
    <row r="28" spans="2:9" x14ac:dyDescent="0.35">
      <c r="B28" s="133"/>
      <c r="C28" s="134" t="s">
        <v>124</v>
      </c>
      <c r="D28" s="134"/>
      <c r="E28" s="134"/>
      <c r="F28" s="61"/>
      <c r="G28" s="61"/>
      <c r="H28" s="62"/>
      <c r="I28" s="62"/>
    </row>
    <row r="29" spans="2:9" x14ac:dyDescent="0.35">
      <c r="B29" s="135" t="s">
        <v>125</v>
      </c>
      <c r="C29" s="27" t="s">
        <v>0</v>
      </c>
      <c r="D29" s="28"/>
      <c r="E29" s="28"/>
      <c r="F29" s="28">
        <f>28*3966</f>
        <v>111048</v>
      </c>
      <c r="G29" s="28"/>
      <c r="H29" s="27">
        <v>12</v>
      </c>
      <c r="I29" s="27"/>
    </row>
    <row r="30" spans="2:9" x14ac:dyDescent="0.35">
      <c r="B30" s="135"/>
      <c r="C30" s="21" t="s">
        <v>1</v>
      </c>
      <c r="D30" s="28"/>
      <c r="E30" s="28"/>
      <c r="F30" s="28">
        <f>100*3966</f>
        <v>396600</v>
      </c>
      <c r="G30" s="28"/>
      <c r="H30" s="27">
        <v>12</v>
      </c>
      <c r="I30" s="27"/>
    </row>
    <row r="31" spans="2:9" x14ac:dyDescent="0.35">
      <c r="B31" s="135"/>
      <c r="C31" s="21" t="s">
        <v>126</v>
      </c>
      <c r="D31" s="28"/>
      <c r="E31" s="28"/>
      <c r="F31" s="28">
        <v>0</v>
      </c>
      <c r="G31" s="28"/>
      <c r="H31" s="27">
        <v>12</v>
      </c>
      <c r="I31" s="27"/>
    </row>
    <row r="32" spans="2:9" x14ac:dyDescent="0.35">
      <c r="B32" s="135"/>
      <c r="C32" s="27" t="s">
        <v>2</v>
      </c>
      <c r="D32" s="28"/>
      <c r="E32" s="28"/>
      <c r="F32" s="28">
        <f>1653*3966</f>
        <v>6555798</v>
      </c>
      <c r="G32" s="28"/>
      <c r="H32" s="27">
        <v>12</v>
      </c>
      <c r="I32" s="27"/>
    </row>
    <row r="33" spans="2:9" x14ac:dyDescent="0.35">
      <c r="B33" s="135"/>
      <c r="C33" s="27" t="s">
        <v>3</v>
      </c>
      <c r="D33" s="28"/>
      <c r="E33" s="28"/>
      <c r="F33" s="28">
        <v>200000</v>
      </c>
      <c r="G33" s="28"/>
      <c r="H33" s="27">
        <v>12</v>
      </c>
      <c r="I33" s="27"/>
    </row>
    <row r="34" spans="2:9" x14ac:dyDescent="0.35">
      <c r="B34" s="135"/>
      <c r="C34" s="27" t="s">
        <v>4</v>
      </c>
      <c r="D34" s="28"/>
      <c r="E34" s="28"/>
      <c r="F34" s="28">
        <v>250000</v>
      </c>
      <c r="G34" s="28"/>
      <c r="H34" s="27">
        <v>1</v>
      </c>
      <c r="I34" s="27"/>
    </row>
    <row r="35" spans="2:9" x14ac:dyDescent="0.35">
      <c r="B35" s="135"/>
      <c r="C35" s="27" t="s">
        <v>25</v>
      </c>
      <c r="D35" s="28"/>
      <c r="E35" s="28"/>
      <c r="F35" s="28">
        <v>5000000</v>
      </c>
      <c r="G35" s="28"/>
      <c r="H35" s="27">
        <v>12</v>
      </c>
      <c r="I35" s="27"/>
    </row>
    <row r="36" spans="2:9" x14ac:dyDescent="0.35">
      <c r="B36" s="135"/>
      <c r="C36" s="27" t="s">
        <v>127</v>
      </c>
      <c r="D36" s="28"/>
      <c r="E36" s="28"/>
      <c r="F36" s="28">
        <v>14000000</v>
      </c>
      <c r="G36" s="28"/>
      <c r="H36" s="27">
        <v>12</v>
      </c>
      <c r="I36" s="27"/>
    </row>
    <row r="37" spans="2:9" x14ac:dyDescent="0.35">
      <c r="B37" s="135"/>
      <c r="C37" s="27" t="s">
        <v>128</v>
      </c>
      <c r="D37" s="28"/>
      <c r="E37" s="28"/>
      <c r="F37" s="28">
        <v>5000000</v>
      </c>
      <c r="G37" s="28"/>
      <c r="H37" s="27">
        <v>12</v>
      </c>
      <c r="I37" s="27"/>
    </row>
    <row r="38" spans="2:9" x14ac:dyDescent="0.35">
      <c r="B38" s="135"/>
      <c r="C38" s="27" t="s">
        <v>129</v>
      </c>
      <c r="D38" s="28"/>
      <c r="E38" s="28"/>
      <c r="F38" s="28">
        <v>5000000</v>
      </c>
      <c r="G38" s="28"/>
      <c r="H38" s="27">
        <v>12</v>
      </c>
      <c r="I38" s="27"/>
    </row>
    <row r="39" spans="2:9" x14ac:dyDescent="0.35">
      <c r="B39" s="135"/>
      <c r="C39" s="27" t="s">
        <v>29</v>
      </c>
      <c r="D39" s="28"/>
      <c r="E39" s="28"/>
      <c r="F39" s="28">
        <v>5000000</v>
      </c>
      <c r="G39" s="28"/>
      <c r="H39" s="27">
        <v>12</v>
      </c>
      <c r="I39" s="27"/>
    </row>
    <row r="40" spans="2:9" x14ac:dyDescent="0.35">
      <c r="B40" s="135"/>
      <c r="C40" s="27" t="s">
        <v>130</v>
      </c>
      <c r="D40" s="28"/>
      <c r="E40" s="28"/>
      <c r="F40" s="28">
        <v>3500000</v>
      </c>
      <c r="G40" s="28"/>
      <c r="H40" s="27">
        <v>12</v>
      </c>
      <c r="I40" s="27"/>
    </row>
    <row r="41" spans="2:9" x14ac:dyDescent="0.35">
      <c r="B41" s="135"/>
      <c r="C41" s="27" t="s">
        <v>131</v>
      </c>
      <c r="D41" s="28"/>
      <c r="E41" s="28"/>
      <c r="F41" s="28">
        <v>3500000</v>
      </c>
      <c r="G41" s="28"/>
      <c r="H41" s="27">
        <v>12</v>
      </c>
      <c r="I41" s="27"/>
    </row>
    <row r="42" spans="2:9" x14ac:dyDescent="0.35">
      <c r="B42" s="135"/>
      <c r="C42" s="27" t="s">
        <v>5</v>
      </c>
      <c r="D42" s="28"/>
      <c r="E42" s="28"/>
      <c r="F42" s="28">
        <v>16000000</v>
      </c>
      <c r="G42" s="28"/>
      <c r="H42" s="27">
        <v>1</v>
      </c>
      <c r="I42" s="27"/>
    </row>
    <row r="43" spans="2:9" x14ac:dyDescent="0.35">
      <c r="B43" s="135"/>
      <c r="C43" s="27" t="s">
        <v>6</v>
      </c>
      <c r="D43" s="28"/>
      <c r="E43" s="28"/>
      <c r="F43" s="28">
        <v>15000000</v>
      </c>
      <c r="G43" s="28"/>
      <c r="H43" s="27">
        <v>1</v>
      </c>
      <c r="I43" s="27"/>
    </row>
    <row r="44" spans="2:9" x14ac:dyDescent="0.35">
      <c r="B44" s="135"/>
      <c r="C44" s="27"/>
      <c r="D44" s="28"/>
      <c r="E44" s="28"/>
      <c r="F44" s="28"/>
      <c r="G44" s="28"/>
      <c r="H44" s="27"/>
      <c r="I44" s="27"/>
    </row>
    <row r="45" spans="2:9" x14ac:dyDescent="0.35">
      <c r="B45" s="135"/>
      <c r="C45" s="27"/>
      <c r="D45" s="28"/>
      <c r="E45" s="28"/>
      <c r="F45" s="28"/>
      <c r="G45" s="28"/>
      <c r="H45" s="27"/>
      <c r="I45" s="27"/>
    </row>
    <row r="46" spans="2:9" x14ac:dyDescent="0.35">
      <c r="B46" s="135"/>
      <c r="C46" s="27"/>
      <c r="D46" s="28"/>
      <c r="E46" s="28"/>
      <c r="F46" s="28"/>
      <c r="G46" s="28"/>
      <c r="H46" s="27"/>
      <c r="I46" s="27"/>
    </row>
    <row r="47" spans="2:9" x14ac:dyDescent="0.35">
      <c r="B47" s="135"/>
      <c r="C47" s="136" t="s">
        <v>132</v>
      </c>
      <c r="D47" s="136"/>
      <c r="E47" s="136"/>
      <c r="F47" s="63">
        <f>SUM(F29:F46)</f>
        <v>79513446</v>
      </c>
      <c r="G47" s="63"/>
      <c r="H47" s="30"/>
      <c r="I47" s="30"/>
    </row>
    <row r="48" spans="2:9" x14ac:dyDescent="0.35">
      <c r="B48" s="128" t="s">
        <v>133</v>
      </c>
      <c r="C48" s="27"/>
      <c r="D48" s="28"/>
      <c r="E48" s="28"/>
      <c r="F48" s="28"/>
      <c r="G48" s="28"/>
      <c r="H48" s="27"/>
      <c r="I48" s="27"/>
    </row>
    <row r="49" spans="2:9" x14ac:dyDescent="0.35">
      <c r="B49" s="128"/>
      <c r="C49" s="27"/>
      <c r="D49" s="28"/>
      <c r="E49" s="28"/>
      <c r="F49" s="28"/>
      <c r="G49" s="28"/>
      <c r="H49" s="27"/>
      <c r="I49" s="27"/>
    </row>
    <row r="50" spans="2:9" x14ac:dyDescent="0.35">
      <c r="B50" s="128"/>
      <c r="C50" s="27"/>
      <c r="D50" s="28"/>
      <c r="E50" s="28"/>
      <c r="F50" s="28"/>
      <c r="G50" s="28"/>
      <c r="H50" s="27"/>
      <c r="I50" s="27"/>
    </row>
    <row r="51" spans="2:9" x14ac:dyDescent="0.35">
      <c r="B51" s="128"/>
      <c r="C51" s="27"/>
      <c r="D51" s="28"/>
      <c r="E51" s="28"/>
      <c r="F51" s="28"/>
      <c r="G51" s="28"/>
      <c r="H51" s="27"/>
      <c r="I51" s="27"/>
    </row>
    <row r="52" spans="2:9" x14ac:dyDescent="0.35">
      <c r="B52" s="128"/>
      <c r="C52" s="27"/>
      <c r="D52" s="28"/>
      <c r="E52" s="28"/>
      <c r="F52" s="28"/>
      <c r="G52" s="28"/>
      <c r="H52" s="27"/>
      <c r="I52" s="27"/>
    </row>
    <row r="53" spans="2:9" x14ac:dyDescent="0.35">
      <c r="B53" s="128"/>
      <c r="C53" s="27"/>
      <c r="D53" s="28"/>
      <c r="E53" s="28"/>
      <c r="F53" s="28"/>
      <c r="G53" s="28"/>
      <c r="H53" s="27"/>
      <c r="I53" s="27"/>
    </row>
    <row r="54" spans="2:9" x14ac:dyDescent="0.35">
      <c r="B54" s="128"/>
      <c r="C54" s="27"/>
      <c r="D54" s="28"/>
      <c r="E54" s="28"/>
      <c r="F54" s="28"/>
      <c r="G54" s="28"/>
      <c r="H54" s="27"/>
      <c r="I54" s="27"/>
    </row>
    <row r="55" spans="2:9" x14ac:dyDescent="0.35">
      <c r="B55" s="128"/>
      <c r="C55" s="27"/>
      <c r="D55" s="28"/>
      <c r="E55" s="28"/>
      <c r="F55" s="28"/>
      <c r="G55" s="28"/>
      <c r="H55" s="27"/>
      <c r="I55" s="27"/>
    </row>
    <row r="56" spans="2:9" x14ac:dyDescent="0.35">
      <c r="B56" s="128"/>
      <c r="C56" s="27"/>
      <c r="D56" s="28"/>
      <c r="E56" s="28"/>
      <c r="F56" s="28"/>
      <c r="G56" s="28"/>
      <c r="H56" s="27"/>
      <c r="I56" s="27"/>
    </row>
    <row r="57" spans="2:9" x14ac:dyDescent="0.35">
      <c r="B57" s="128"/>
      <c r="C57" s="129" t="s">
        <v>134</v>
      </c>
      <c r="D57" s="129"/>
      <c r="E57" s="129"/>
      <c r="F57" s="64"/>
      <c r="G57" s="64"/>
      <c r="H57" s="48"/>
      <c r="I57" s="48"/>
    </row>
    <row r="58" spans="2:9" x14ac:dyDescent="0.35">
      <c r="B58" s="130" t="s">
        <v>135</v>
      </c>
      <c r="C58" s="130"/>
      <c r="D58" s="130"/>
      <c r="E58" s="130"/>
      <c r="F58" s="65"/>
      <c r="G58" s="65"/>
      <c r="H58" s="66"/>
      <c r="I58" s="66"/>
    </row>
    <row r="59" spans="2:9" x14ac:dyDescent="0.35">
      <c r="B59" s="67"/>
    </row>
  </sheetData>
  <mergeCells count="9">
    <mergeCell ref="B48:B57"/>
    <mergeCell ref="C57:E57"/>
    <mergeCell ref="B58:E58"/>
    <mergeCell ref="B4:B12"/>
    <mergeCell ref="C12:E12"/>
    <mergeCell ref="B13:B28"/>
    <mergeCell ref="C28:E28"/>
    <mergeCell ref="B29:B47"/>
    <mergeCell ref="C47:E4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T33"/>
  <sheetViews>
    <sheetView topLeftCell="H10" workbookViewId="0">
      <selection activeCell="T25" sqref="T25:T29"/>
    </sheetView>
  </sheetViews>
  <sheetFormatPr baseColWidth="10" defaultColWidth="11.453125" defaultRowHeight="14.5" x14ac:dyDescent="0.35"/>
  <cols>
    <col min="1" max="1" width="4.453125" style="16" customWidth="1"/>
    <col min="2" max="2" width="16.81640625" style="16" customWidth="1"/>
    <col min="3" max="12" width="11.453125" style="16"/>
    <col min="13" max="13" width="3.1796875" style="16" customWidth="1"/>
    <col min="14" max="14" width="17.453125" style="16" customWidth="1"/>
    <col min="15" max="15" width="16.81640625" style="16" customWidth="1"/>
    <col min="16" max="16" width="32.36328125" style="16" customWidth="1"/>
    <col min="17" max="17" width="4.1796875" style="16" customWidth="1"/>
    <col min="18" max="18" width="28.81640625" style="16" customWidth="1"/>
    <col min="19" max="19" width="19.1796875" style="16" customWidth="1"/>
    <col min="20" max="20" width="19.81640625" style="16" customWidth="1"/>
    <col min="21" max="16384" width="11.453125" style="16"/>
  </cols>
  <sheetData>
    <row r="2" spans="2:20" x14ac:dyDescent="0.35">
      <c r="B2" s="155" t="s">
        <v>73</v>
      </c>
      <c r="C2" s="156" t="s">
        <v>74</v>
      </c>
      <c r="D2" s="156"/>
      <c r="E2" s="156"/>
      <c r="F2" s="156"/>
      <c r="G2" s="156"/>
      <c r="H2" s="156"/>
      <c r="I2" s="156"/>
      <c r="J2" s="156"/>
      <c r="K2" s="156"/>
      <c r="L2" s="156"/>
    </row>
    <row r="3" spans="2:20" x14ac:dyDescent="0.35">
      <c r="B3" s="155"/>
      <c r="C3" s="144"/>
      <c r="D3" s="144"/>
      <c r="E3" s="144"/>
      <c r="F3" s="144"/>
      <c r="G3" s="144"/>
      <c r="H3" s="144"/>
      <c r="I3" s="144"/>
      <c r="J3" s="144"/>
      <c r="K3" s="144"/>
      <c r="L3" s="144"/>
    </row>
    <row r="4" spans="2:20" x14ac:dyDescent="0.35">
      <c r="B4" s="155"/>
      <c r="C4" s="144"/>
      <c r="D4" s="144"/>
      <c r="E4" s="144"/>
      <c r="F4" s="144"/>
      <c r="G4" s="144"/>
      <c r="H4" s="144"/>
      <c r="I4" s="144"/>
      <c r="J4" s="144"/>
      <c r="K4" s="144"/>
      <c r="L4" s="144"/>
    </row>
    <row r="5" spans="2:20" x14ac:dyDescent="0.35">
      <c r="B5" s="155"/>
      <c r="C5" s="144"/>
      <c r="D5" s="144"/>
      <c r="E5" s="144"/>
      <c r="F5" s="144"/>
      <c r="G5" s="144"/>
      <c r="H5" s="144"/>
      <c r="I5" s="144"/>
      <c r="J5" s="144"/>
      <c r="K5" s="144"/>
      <c r="L5" s="144"/>
    </row>
    <row r="6" spans="2:20" x14ac:dyDescent="0.35">
      <c r="B6" s="155"/>
      <c r="C6" s="144"/>
      <c r="D6" s="144"/>
      <c r="E6" s="144"/>
      <c r="F6" s="144"/>
      <c r="G6" s="144"/>
      <c r="H6" s="144"/>
      <c r="I6" s="144"/>
      <c r="J6" s="144"/>
      <c r="K6" s="144"/>
      <c r="L6" s="144"/>
    </row>
    <row r="7" spans="2:20" x14ac:dyDescent="0.35">
      <c r="B7" s="155"/>
      <c r="C7" s="144"/>
      <c r="D7" s="144"/>
      <c r="E7" s="144"/>
      <c r="F7" s="144"/>
      <c r="G7" s="144"/>
      <c r="H7" s="144"/>
      <c r="I7" s="144"/>
      <c r="J7" s="144"/>
      <c r="K7" s="144"/>
      <c r="L7" s="144"/>
    </row>
    <row r="8" spans="2:20" x14ac:dyDescent="0.35">
      <c r="B8" s="155"/>
      <c r="C8" s="144"/>
      <c r="D8" s="144"/>
      <c r="E8" s="144"/>
      <c r="F8" s="144"/>
      <c r="G8" s="144"/>
      <c r="H8" s="144"/>
      <c r="I8" s="144"/>
      <c r="J8" s="144"/>
      <c r="K8" s="144"/>
      <c r="L8" s="144"/>
    </row>
    <row r="9" spans="2:20" ht="15" customHeight="1" x14ac:dyDescent="0.35">
      <c r="B9" s="157" t="s">
        <v>75</v>
      </c>
      <c r="C9" s="158" t="s">
        <v>76</v>
      </c>
      <c r="D9" s="159"/>
      <c r="E9" s="159"/>
      <c r="F9" s="159"/>
      <c r="G9" s="159"/>
      <c r="H9" s="159"/>
      <c r="I9" s="159"/>
      <c r="J9" s="159"/>
      <c r="K9" s="159"/>
      <c r="L9" s="160"/>
    </row>
    <row r="10" spans="2:20" x14ac:dyDescent="0.35">
      <c r="B10" s="157"/>
      <c r="C10" s="161"/>
      <c r="D10" s="162"/>
      <c r="E10" s="162"/>
      <c r="F10" s="162"/>
      <c r="G10" s="162"/>
      <c r="H10" s="162"/>
      <c r="I10" s="162"/>
      <c r="J10" s="162"/>
      <c r="K10" s="162"/>
      <c r="L10" s="163"/>
    </row>
    <row r="11" spans="2:20" x14ac:dyDescent="0.35">
      <c r="B11" s="157"/>
      <c r="C11" s="161"/>
      <c r="D11" s="162"/>
      <c r="E11" s="162"/>
      <c r="F11" s="162"/>
      <c r="G11" s="162"/>
      <c r="H11" s="162"/>
      <c r="I11" s="162"/>
      <c r="J11" s="162"/>
      <c r="K11" s="162"/>
      <c r="L11" s="163"/>
      <c r="N11" s="3">
        <v>403375</v>
      </c>
      <c r="O11" s="1">
        <f>+N11*N12</f>
        <v>24202500000</v>
      </c>
    </row>
    <row r="12" spans="2:20" x14ac:dyDescent="0.35">
      <c r="B12" s="157"/>
      <c r="C12" s="161"/>
      <c r="D12" s="162"/>
      <c r="E12" s="162"/>
      <c r="F12" s="162"/>
      <c r="G12" s="162"/>
      <c r="H12" s="162"/>
      <c r="I12" s="162"/>
      <c r="J12" s="162"/>
      <c r="K12" s="162"/>
      <c r="L12" s="163"/>
      <c r="N12" s="3">
        <v>60000</v>
      </c>
      <c r="O12" s="3">
        <f>+N11*N13</f>
        <v>40337500000</v>
      </c>
    </row>
    <row r="13" spans="2:20" x14ac:dyDescent="0.35">
      <c r="B13" s="157"/>
      <c r="C13" s="161"/>
      <c r="D13" s="162"/>
      <c r="E13" s="162"/>
      <c r="F13" s="162"/>
      <c r="G13" s="162"/>
      <c r="H13" s="162"/>
      <c r="I13" s="162"/>
      <c r="J13" s="162"/>
      <c r="K13" s="162"/>
      <c r="L13" s="163"/>
      <c r="N13" s="3">
        <v>100000</v>
      </c>
      <c r="O13"/>
    </row>
    <row r="14" spans="2:20" ht="15" thickBot="1" x14ac:dyDescent="0.4">
      <c r="B14" s="157"/>
      <c r="C14" s="161"/>
      <c r="D14" s="162"/>
      <c r="E14" s="162"/>
      <c r="F14" s="162"/>
      <c r="G14" s="162"/>
      <c r="H14" s="162"/>
      <c r="I14" s="162"/>
      <c r="J14" s="162"/>
      <c r="K14" s="162"/>
      <c r="L14" s="163"/>
    </row>
    <row r="15" spans="2:20" ht="44.5" customHeight="1" x14ac:dyDescent="0.35">
      <c r="B15" s="157"/>
      <c r="C15" s="164"/>
      <c r="D15" s="165"/>
      <c r="E15" s="165"/>
      <c r="F15" s="165"/>
      <c r="G15" s="165"/>
      <c r="H15" s="165"/>
      <c r="I15" s="165"/>
      <c r="J15" s="165"/>
      <c r="K15" s="165"/>
      <c r="L15" s="166"/>
      <c r="N15" s="150" t="s">
        <v>77</v>
      </c>
      <c r="O15" s="151"/>
      <c r="P15" s="152"/>
      <c r="R15" s="150" t="s">
        <v>78</v>
      </c>
      <c r="S15" s="151"/>
      <c r="T15" s="152"/>
    </row>
    <row r="16" spans="2:20" x14ac:dyDescent="0.35">
      <c r="B16" s="153" t="s">
        <v>79</v>
      </c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N16" s="4" t="s">
        <v>80</v>
      </c>
      <c r="O16" s="2" t="s">
        <v>81</v>
      </c>
      <c r="P16" s="5" t="s">
        <v>82</v>
      </c>
      <c r="R16" s="6" t="s">
        <v>83</v>
      </c>
      <c r="S16" s="7" t="s">
        <v>84</v>
      </c>
      <c r="T16" s="8" t="s">
        <v>85</v>
      </c>
    </row>
    <row r="17" spans="2:20" ht="15" thickBot="1" x14ac:dyDescent="0.4">
      <c r="B17" s="153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N17" s="4">
        <v>6</v>
      </c>
      <c r="O17" s="2">
        <v>4</v>
      </c>
      <c r="P17" s="5">
        <v>5</v>
      </c>
      <c r="R17" s="9" t="s">
        <v>86</v>
      </c>
      <c r="S17" s="10" t="s">
        <v>84</v>
      </c>
      <c r="T17" s="11" t="s">
        <v>85</v>
      </c>
    </row>
    <row r="18" spans="2:20" x14ac:dyDescent="0.35">
      <c r="B18" s="153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N18" s="137">
        <f>3*15</f>
        <v>45</v>
      </c>
      <c r="O18" s="138"/>
      <c r="P18" s="5" t="s">
        <v>87</v>
      </c>
    </row>
    <row r="19" spans="2:20" x14ac:dyDescent="0.35">
      <c r="B19" s="153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N19" s="137">
        <v>36</v>
      </c>
      <c r="O19" s="138"/>
      <c r="P19" s="5" t="s">
        <v>88</v>
      </c>
    </row>
    <row r="20" spans="2:20" x14ac:dyDescent="0.35">
      <c r="B20" s="15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N20" s="137">
        <f>+N19*4</f>
        <v>144</v>
      </c>
      <c r="O20" s="138"/>
      <c r="P20" s="5" t="s">
        <v>89</v>
      </c>
    </row>
    <row r="21" spans="2:20" x14ac:dyDescent="0.35">
      <c r="B21" s="153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N21" s="145">
        <v>25000</v>
      </c>
      <c r="O21" s="138"/>
      <c r="P21" s="5" t="s">
        <v>90</v>
      </c>
    </row>
    <row r="22" spans="2:20" x14ac:dyDescent="0.35">
      <c r="B22" s="153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N22" s="145">
        <f>+(4*N21)*4</f>
        <v>400000</v>
      </c>
      <c r="O22" s="154"/>
      <c r="P22" s="5" t="s">
        <v>91</v>
      </c>
    </row>
    <row r="23" spans="2:20" x14ac:dyDescent="0.35">
      <c r="B23" s="143" t="s">
        <v>92</v>
      </c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N23" s="145">
        <f>+N20*N21</f>
        <v>3600000</v>
      </c>
      <c r="O23" s="138"/>
      <c r="P23" s="5" t="s">
        <v>93</v>
      </c>
    </row>
    <row r="24" spans="2:20" ht="15" thickBot="1" x14ac:dyDescent="0.4">
      <c r="B24" s="143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N24" s="146">
        <f>+N23*N18</f>
        <v>162000000</v>
      </c>
      <c r="O24" s="141"/>
      <c r="P24" s="12" t="s">
        <v>94</v>
      </c>
    </row>
    <row r="25" spans="2:20" ht="15" thickBot="1" x14ac:dyDescent="0.4">
      <c r="B25" s="143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R25" s="147" t="s">
        <v>95</v>
      </c>
      <c r="S25" s="148"/>
      <c r="T25" s="69"/>
    </row>
    <row r="26" spans="2:20" x14ac:dyDescent="0.35">
      <c r="B26" s="143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N26" s="147" t="s">
        <v>96</v>
      </c>
      <c r="O26" s="149"/>
      <c r="P26" s="148"/>
      <c r="R26" s="13" t="s">
        <v>97</v>
      </c>
      <c r="S26" s="14" t="s">
        <v>98</v>
      </c>
    </row>
    <row r="27" spans="2:20" x14ac:dyDescent="0.35">
      <c r="B27" s="143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N27" s="137" t="s">
        <v>99</v>
      </c>
      <c r="O27" s="138"/>
      <c r="P27" s="139"/>
      <c r="R27" s="13" t="s">
        <v>100</v>
      </c>
      <c r="S27" s="15">
        <f>187*80</f>
        <v>14960</v>
      </c>
    </row>
    <row r="28" spans="2:20" ht="15" thickBot="1" x14ac:dyDescent="0.4">
      <c r="B28" s="143"/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N28" s="137" t="s">
        <v>101</v>
      </c>
      <c r="O28" s="138"/>
      <c r="P28" s="139"/>
      <c r="R28" s="140" t="s">
        <v>102</v>
      </c>
      <c r="S28" s="142"/>
    </row>
    <row r="29" spans="2:20" x14ac:dyDescent="0.35">
      <c r="B29" s="143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N29" s="137" t="s">
        <v>103</v>
      </c>
      <c r="O29" s="138"/>
      <c r="P29" s="139"/>
    </row>
    <row r="30" spans="2:20" x14ac:dyDescent="0.35">
      <c r="N30" s="137" t="s">
        <v>104</v>
      </c>
      <c r="O30" s="138"/>
      <c r="P30" s="139"/>
    </row>
    <row r="31" spans="2:20" x14ac:dyDescent="0.35">
      <c r="N31" s="137" t="s">
        <v>105</v>
      </c>
      <c r="O31" s="138"/>
      <c r="P31" s="139"/>
    </row>
    <row r="32" spans="2:20" x14ac:dyDescent="0.35">
      <c r="N32" s="137" t="s">
        <v>106</v>
      </c>
      <c r="O32" s="138"/>
      <c r="P32" s="139"/>
    </row>
    <row r="33" spans="14:16" ht="15" thickBot="1" x14ac:dyDescent="0.4">
      <c r="N33" s="140" t="s">
        <v>107</v>
      </c>
      <c r="O33" s="141"/>
      <c r="P33" s="142"/>
    </row>
  </sheetData>
  <mergeCells count="28">
    <mergeCell ref="B2:B8"/>
    <mergeCell ref="C2:L2"/>
    <mergeCell ref="C3:L8"/>
    <mergeCell ref="B9:B15"/>
    <mergeCell ref="C9:L15"/>
    <mergeCell ref="R15:T15"/>
    <mergeCell ref="B16:B22"/>
    <mergeCell ref="C16:L22"/>
    <mergeCell ref="N18:O18"/>
    <mergeCell ref="N19:O19"/>
    <mergeCell ref="N20:O20"/>
    <mergeCell ref="N21:O21"/>
    <mergeCell ref="N22:O22"/>
    <mergeCell ref="N15:P15"/>
    <mergeCell ref="R25:S25"/>
    <mergeCell ref="N26:P26"/>
    <mergeCell ref="N27:P27"/>
    <mergeCell ref="N28:P28"/>
    <mergeCell ref="R28:S28"/>
    <mergeCell ref="N30:P30"/>
    <mergeCell ref="N31:P31"/>
    <mergeCell ref="N32:P32"/>
    <mergeCell ref="N33:P33"/>
    <mergeCell ref="B23:B29"/>
    <mergeCell ref="C23:L29"/>
    <mergeCell ref="N23:O23"/>
    <mergeCell ref="N24:O24"/>
    <mergeCell ref="N29:P2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P54"/>
  <sheetViews>
    <sheetView topLeftCell="G1" workbookViewId="0">
      <selection activeCell="F21" sqref="F21:G22"/>
    </sheetView>
  </sheetViews>
  <sheetFormatPr baseColWidth="10" defaultRowHeight="15.5" x14ac:dyDescent="0.35"/>
  <cols>
    <col min="1" max="1" width="2.36328125" style="17" customWidth="1"/>
    <col min="2" max="2" width="37.453125" style="17" customWidth="1"/>
    <col min="3" max="3" width="22.90625" style="17" bestFit="1" customWidth="1"/>
    <col min="4" max="4" width="13.36328125" style="17" bestFit="1" customWidth="1"/>
    <col min="5" max="5" width="21.81640625" style="17" customWidth="1"/>
    <col min="6" max="6" width="25.81640625" style="17" customWidth="1"/>
    <col min="7" max="7" width="15.54296875" style="68" customWidth="1"/>
    <col min="8" max="8" width="22.1796875" style="17" customWidth="1"/>
    <col min="9" max="9" width="14.26953125" style="68" bestFit="1" customWidth="1"/>
    <col min="10" max="10" width="8.453125" style="17" customWidth="1"/>
    <col min="11" max="11" width="24.453125" style="98" customWidth="1"/>
    <col min="12" max="12" width="16.6328125" style="98" customWidth="1"/>
    <col min="13" max="13" width="11" style="17" bestFit="1" customWidth="1"/>
    <col min="14" max="14" width="13.81640625" style="17" customWidth="1"/>
    <col min="15" max="15" width="10.90625" style="17"/>
    <col min="16" max="16" width="13.1796875" style="17" bestFit="1" customWidth="1"/>
    <col min="17" max="16384" width="10.90625" style="17"/>
  </cols>
  <sheetData>
    <row r="1" spans="2:16" x14ac:dyDescent="0.35">
      <c r="F1" s="167" t="s">
        <v>136</v>
      </c>
      <c r="G1" s="167"/>
      <c r="H1" s="167"/>
      <c r="I1" s="167"/>
    </row>
    <row r="2" spans="2:16" x14ac:dyDescent="0.35">
      <c r="B2" s="129" t="s">
        <v>10</v>
      </c>
      <c r="C2" s="129"/>
      <c r="D2" s="129"/>
      <c r="F2" s="129" t="s">
        <v>11</v>
      </c>
      <c r="G2" s="129"/>
      <c r="H2" s="129"/>
      <c r="I2" s="129"/>
      <c r="K2" s="129" t="s">
        <v>11</v>
      </c>
      <c r="L2" s="129"/>
      <c r="M2" s="129"/>
      <c r="N2" s="129"/>
    </row>
    <row r="3" spans="2:16" x14ac:dyDescent="0.35">
      <c r="B3" s="70" t="s">
        <v>8</v>
      </c>
      <c r="C3" s="70" t="s">
        <v>15</v>
      </c>
      <c r="D3" s="70" t="s">
        <v>7</v>
      </c>
      <c r="F3" s="70" t="s">
        <v>12</v>
      </c>
      <c r="G3" s="71" t="s">
        <v>17</v>
      </c>
      <c r="H3" s="70" t="s">
        <v>16</v>
      </c>
      <c r="I3" s="71" t="s">
        <v>7</v>
      </c>
      <c r="K3" s="70" t="s">
        <v>12</v>
      </c>
      <c r="L3" s="71" t="s">
        <v>17</v>
      </c>
      <c r="M3" s="70" t="s">
        <v>16</v>
      </c>
      <c r="N3" s="71" t="s">
        <v>7</v>
      </c>
    </row>
    <row r="4" spans="2:16" x14ac:dyDescent="0.35">
      <c r="B4" s="72" t="s">
        <v>67</v>
      </c>
      <c r="C4" s="73">
        <v>3600000</v>
      </c>
      <c r="D4" s="28">
        <f t="shared" ref="D4:D9" si="0">+C4/2</f>
        <v>1800000</v>
      </c>
      <c r="F4" s="26" t="s">
        <v>13</v>
      </c>
      <c r="G4" s="28"/>
      <c r="H4" s="27"/>
      <c r="I4" s="28">
        <f>+SUM(I5:I12)</f>
        <v>396000000</v>
      </c>
      <c r="K4" s="26" t="s">
        <v>13</v>
      </c>
      <c r="L4" s="28"/>
      <c r="M4" s="27"/>
      <c r="N4" s="28">
        <f>+SUM(N5:N12)</f>
        <v>792000000</v>
      </c>
    </row>
    <row r="5" spans="2:16" x14ac:dyDescent="0.35">
      <c r="B5" s="72" t="s">
        <v>68</v>
      </c>
      <c r="C5" s="73">
        <v>1200000</v>
      </c>
      <c r="D5" s="28">
        <f t="shared" si="0"/>
        <v>600000</v>
      </c>
      <c r="F5" s="27" t="s">
        <v>20</v>
      </c>
      <c r="G5" s="28">
        <f>+(4000000*12)*H5</f>
        <v>48000000</v>
      </c>
      <c r="H5" s="74">
        <v>1</v>
      </c>
      <c r="I5" s="28">
        <f>+(G5*H5)/2</f>
        <v>24000000</v>
      </c>
      <c r="K5" s="27" t="s">
        <v>20</v>
      </c>
      <c r="L5" s="28">
        <f>+(4000000*12)</f>
        <v>48000000</v>
      </c>
      <c r="M5" s="74">
        <v>1</v>
      </c>
      <c r="N5" s="28">
        <f>+L5*M5</f>
        <v>48000000</v>
      </c>
    </row>
    <row r="6" spans="2:16" x14ac:dyDescent="0.35">
      <c r="B6" s="72" t="s">
        <v>69</v>
      </c>
      <c r="C6" s="73">
        <v>12000000</v>
      </c>
      <c r="D6" s="28">
        <f t="shared" si="0"/>
        <v>6000000</v>
      </c>
      <c r="F6" s="27" t="s">
        <v>25</v>
      </c>
      <c r="G6" s="28">
        <f>(5000000*12)*H6</f>
        <v>60000000</v>
      </c>
      <c r="H6" s="74">
        <v>1</v>
      </c>
      <c r="I6" s="28">
        <f>+(G6*H6)/2</f>
        <v>30000000</v>
      </c>
      <c r="K6" s="27" t="s">
        <v>25</v>
      </c>
      <c r="L6" s="28">
        <f>(5000000*12)</f>
        <v>60000000</v>
      </c>
      <c r="M6" s="74">
        <v>1</v>
      </c>
      <c r="N6" s="28">
        <f>+L6*M6</f>
        <v>60000000</v>
      </c>
    </row>
    <row r="7" spans="2:16" x14ac:dyDescent="0.35">
      <c r="B7" s="72" t="s">
        <v>70</v>
      </c>
      <c r="C7" s="73">
        <v>12000000</v>
      </c>
      <c r="D7" s="28">
        <f t="shared" si="0"/>
        <v>6000000</v>
      </c>
      <c r="F7" s="27" t="s">
        <v>26</v>
      </c>
      <c r="G7" s="28">
        <f>(14000000*12)</f>
        <v>168000000</v>
      </c>
      <c r="H7" s="74">
        <v>1</v>
      </c>
      <c r="I7" s="28">
        <f>+(G7*H7)/2</f>
        <v>84000000</v>
      </c>
      <c r="K7" s="27" t="s">
        <v>26</v>
      </c>
      <c r="L7" s="28">
        <f>(14000000*12)</f>
        <v>168000000</v>
      </c>
      <c r="M7" s="74">
        <v>1</v>
      </c>
      <c r="N7" s="28">
        <f t="shared" ref="N7:N10" si="1">+L7*M7</f>
        <v>168000000</v>
      </c>
    </row>
    <row r="8" spans="2:16" x14ac:dyDescent="0.35">
      <c r="B8" s="72" t="s">
        <v>71</v>
      </c>
      <c r="C8" s="73">
        <v>720000</v>
      </c>
      <c r="D8" s="28">
        <f t="shared" si="0"/>
        <v>360000</v>
      </c>
      <c r="F8" s="27" t="s">
        <v>27</v>
      </c>
      <c r="G8" s="28">
        <f>+(5000000*12)*H8</f>
        <v>120000000</v>
      </c>
      <c r="H8" s="74">
        <v>2</v>
      </c>
      <c r="I8" s="75">
        <f>+G8/2</f>
        <v>60000000</v>
      </c>
      <c r="K8" s="27" t="s">
        <v>27</v>
      </c>
      <c r="L8" s="28">
        <f>+(5000000*12)</f>
        <v>60000000</v>
      </c>
      <c r="M8" s="74">
        <v>2</v>
      </c>
      <c r="N8" s="28">
        <f t="shared" si="1"/>
        <v>120000000</v>
      </c>
    </row>
    <row r="9" spans="2:16" x14ac:dyDescent="0.35">
      <c r="B9" s="72" t="s">
        <v>72</v>
      </c>
      <c r="C9" s="73">
        <v>2400000</v>
      </c>
      <c r="D9" s="28">
        <f t="shared" si="0"/>
        <v>1200000</v>
      </c>
      <c r="F9" s="27" t="s">
        <v>28</v>
      </c>
      <c r="G9" s="28">
        <f>+(3500000*12)*H9</f>
        <v>84000000</v>
      </c>
      <c r="H9" s="74">
        <v>2</v>
      </c>
      <c r="I9" s="75">
        <f>+G9/2</f>
        <v>42000000</v>
      </c>
      <c r="K9" s="27" t="s">
        <v>28</v>
      </c>
      <c r="L9" s="28">
        <f>+(3500000*12)</f>
        <v>42000000</v>
      </c>
      <c r="M9" s="74">
        <v>2</v>
      </c>
      <c r="N9" s="28">
        <f>+L9*M9</f>
        <v>84000000</v>
      </c>
    </row>
    <row r="10" spans="2:16" x14ac:dyDescent="0.35">
      <c r="B10" s="36" t="s">
        <v>0</v>
      </c>
      <c r="C10" s="73">
        <f>111048*12</f>
        <v>1332576</v>
      </c>
      <c r="D10" s="28">
        <f>+C10/2</f>
        <v>666288</v>
      </c>
      <c r="F10" s="27" t="s">
        <v>29</v>
      </c>
      <c r="G10" s="28">
        <f>+(5000000*12)*H10</f>
        <v>60000000</v>
      </c>
      <c r="H10" s="74">
        <v>1</v>
      </c>
      <c r="I10" s="75">
        <f>+(G10*H10)/2</f>
        <v>30000000</v>
      </c>
      <c r="K10" s="27" t="s">
        <v>29</v>
      </c>
      <c r="L10" s="28">
        <f>+(5000000*12)</f>
        <v>60000000</v>
      </c>
      <c r="M10" s="74">
        <v>1</v>
      </c>
      <c r="N10" s="28">
        <f t="shared" si="1"/>
        <v>60000000</v>
      </c>
    </row>
    <row r="11" spans="2:16" x14ac:dyDescent="0.35">
      <c r="B11" s="36" t="s">
        <v>1</v>
      </c>
      <c r="C11" s="73">
        <f>396600*12</f>
        <v>4759200</v>
      </c>
      <c r="D11" s="28">
        <f t="shared" ref="D11:D13" si="2">+C11/2</f>
        <v>2379600</v>
      </c>
      <c r="F11" s="27" t="s">
        <v>19</v>
      </c>
      <c r="G11" s="28">
        <v>3600000</v>
      </c>
      <c r="H11" s="74">
        <v>45</v>
      </c>
      <c r="I11" s="75">
        <f>+(G11*H11)/2</f>
        <v>81000000</v>
      </c>
      <c r="K11" s="27" t="s">
        <v>19</v>
      </c>
      <c r="L11" s="28">
        <v>3600000</v>
      </c>
      <c r="M11" s="74">
        <v>45</v>
      </c>
      <c r="N11" s="28">
        <f>+L11*M11</f>
        <v>162000000</v>
      </c>
    </row>
    <row r="12" spans="2:16" x14ac:dyDescent="0.35">
      <c r="B12" s="36" t="s">
        <v>2</v>
      </c>
      <c r="C12" s="73">
        <f>6555798*12</f>
        <v>78669576</v>
      </c>
      <c r="D12" s="28">
        <f t="shared" si="2"/>
        <v>39334788</v>
      </c>
      <c r="F12" s="27" t="s">
        <v>18</v>
      </c>
      <c r="G12" s="28">
        <v>22500000</v>
      </c>
      <c r="H12" s="74">
        <v>4</v>
      </c>
      <c r="I12" s="75">
        <f>+(G12*H12)/2</f>
        <v>45000000</v>
      </c>
      <c r="K12" s="27" t="s">
        <v>18</v>
      </c>
      <c r="L12" s="28">
        <v>22500000</v>
      </c>
      <c r="M12" s="74">
        <v>4</v>
      </c>
      <c r="N12" s="28">
        <f>+L12*M12</f>
        <v>90000000</v>
      </c>
    </row>
    <row r="13" spans="2:16" x14ac:dyDescent="0.35">
      <c r="B13" s="36" t="s">
        <v>3</v>
      </c>
      <c r="C13" s="73">
        <f>200000*12</f>
        <v>2400000</v>
      </c>
      <c r="D13" s="28">
        <f t="shared" si="2"/>
        <v>1200000</v>
      </c>
      <c r="F13" s="26" t="s">
        <v>22</v>
      </c>
      <c r="G13" s="28"/>
      <c r="H13" s="74"/>
      <c r="I13" s="28">
        <f>+D4+D5+D6+D7+D8+D9</f>
        <v>15960000</v>
      </c>
      <c r="K13" s="26" t="s">
        <v>22</v>
      </c>
      <c r="L13" s="28"/>
      <c r="M13" s="74"/>
      <c r="N13" s="28">
        <f>+SUM(C4:C9)</f>
        <v>31920000</v>
      </c>
    </row>
    <row r="14" spans="2:16" x14ac:dyDescent="0.35">
      <c r="B14" s="36" t="s">
        <v>4</v>
      </c>
      <c r="C14" s="73">
        <v>250000</v>
      </c>
      <c r="D14" s="28">
        <f>+C14</f>
        <v>250000</v>
      </c>
      <c r="F14" s="26" t="s">
        <v>55</v>
      </c>
      <c r="G14" s="28"/>
      <c r="H14" s="74"/>
      <c r="I14" s="28">
        <f>+D10+D11+D12+D13</f>
        <v>43580676</v>
      </c>
      <c r="K14" s="26" t="s">
        <v>55</v>
      </c>
      <c r="L14" s="28"/>
      <c r="M14" s="74"/>
      <c r="N14" s="28">
        <f>+C10+C11+C12+C13</f>
        <v>87161352</v>
      </c>
      <c r="P14" s="99"/>
    </row>
    <row r="15" spans="2:16" x14ac:dyDescent="0.35">
      <c r="B15" s="36" t="s">
        <v>5</v>
      </c>
      <c r="C15" s="73">
        <v>16000000</v>
      </c>
      <c r="D15" s="28">
        <f>+C15</f>
        <v>16000000</v>
      </c>
      <c r="F15" s="76" t="s">
        <v>23</v>
      </c>
      <c r="G15" s="77"/>
      <c r="H15" s="76"/>
      <c r="I15" s="77">
        <f>+I4+I13+I14</f>
        <v>455540676</v>
      </c>
      <c r="K15" s="76" t="s">
        <v>23</v>
      </c>
      <c r="L15" s="77"/>
      <c r="M15" s="76"/>
      <c r="N15" s="77">
        <f>+N4+N13+N14</f>
        <v>911081352</v>
      </c>
    </row>
    <row r="16" spans="2:16" x14ac:dyDescent="0.35">
      <c r="B16" s="36" t="s">
        <v>6</v>
      </c>
      <c r="C16" s="73">
        <v>15000000</v>
      </c>
      <c r="D16" s="28">
        <f>+C16</f>
        <v>15000000</v>
      </c>
      <c r="F16" s="78"/>
      <c r="G16" s="79"/>
      <c r="H16" s="80"/>
      <c r="I16" s="79"/>
      <c r="K16" s="78"/>
      <c r="L16" s="79"/>
      <c r="M16" s="80"/>
      <c r="N16" s="79"/>
    </row>
    <row r="17" spans="2:14" x14ac:dyDescent="0.35">
      <c r="B17" s="36" t="s">
        <v>21</v>
      </c>
      <c r="C17" s="73">
        <v>3000000</v>
      </c>
      <c r="D17" s="28">
        <v>3000000</v>
      </c>
      <c r="F17" s="70" t="s">
        <v>24</v>
      </c>
      <c r="G17" s="71" t="s">
        <v>17</v>
      </c>
      <c r="H17" s="70" t="s">
        <v>16</v>
      </c>
      <c r="I17" s="71" t="s">
        <v>7</v>
      </c>
      <c r="K17" s="70" t="s">
        <v>24</v>
      </c>
      <c r="L17" s="71" t="s">
        <v>17</v>
      </c>
      <c r="M17" s="70" t="s">
        <v>16</v>
      </c>
      <c r="N17" s="71" t="s">
        <v>7</v>
      </c>
    </row>
    <row r="18" spans="2:14" x14ac:dyDescent="0.35">
      <c r="B18" s="36" t="s">
        <v>137</v>
      </c>
      <c r="C18" s="73">
        <f>+I5+I6+I7+I8+I9+I10+I11+I12</f>
        <v>396000000</v>
      </c>
      <c r="D18" s="28">
        <f>+C18</f>
        <v>396000000</v>
      </c>
      <c r="F18" s="27" t="s">
        <v>30</v>
      </c>
      <c r="G18" s="28"/>
      <c r="H18" s="74"/>
      <c r="I18" s="28">
        <v>5000000</v>
      </c>
      <c r="K18" s="27" t="s">
        <v>30</v>
      </c>
      <c r="L18" s="28"/>
      <c r="M18" s="74"/>
      <c r="N18" s="28">
        <v>5000000</v>
      </c>
    </row>
    <row r="19" spans="2:14" x14ac:dyDescent="0.35">
      <c r="B19" s="70" t="s">
        <v>9</v>
      </c>
      <c r="C19" s="81"/>
      <c r="D19" s="82">
        <f>SUM(D4:D18)</f>
        <v>489790676</v>
      </c>
      <c r="F19" s="76" t="s">
        <v>31</v>
      </c>
      <c r="G19" s="28"/>
      <c r="H19" s="74"/>
      <c r="I19" s="83">
        <f>+I18</f>
        <v>5000000</v>
      </c>
      <c r="K19" s="76" t="s">
        <v>31</v>
      </c>
      <c r="L19" s="28"/>
      <c r="M19" s="74"/>
      <c r="N19" s="83">
        <f>+N18</f>
        <v>5000000</v>
      </c>
    </row>
    <row r="20" spans="2:14" x14ac:dyDescent="0.35">
      <c r="F20" s="84" t="s">
        <v>32</v>
      </c>
      <c r="G20" s="64"/>
      <c r="H20" s="85"/>
      <c r="I20" s="86">
        <f>+I19+I15</f>
        <v>460540676</v>
      </c>
      <c r="K20" s="84" t="s">
        <v>32</v>
      </c>
      <c r="L20" s="64"/>
      <c r="M20" s="85"/>
      <c r="N20" s="86">
        <f>+N19+N15</f>
        <v>916081352</v>
      </c>
    </row>
    <row r="21" spans="2:14" x14ac:dyDescent="0.35">
      <c r="B21" s="168" t="s">
        <v>149</v>
      </c>
      <c r="C21" s="169"/>
      <c r="D21" s="28">
        <f>+D19*50%</f>
        <v>244895338</v>
      </c>
      <c r="K21" s="17"/>
      <c r="L21" s="68"/>
      <c r="N21" s="68"/>
    </row>
    <row r="22" spans="2:14" x14ac:dyDescent="0.35">
      <c r="B22" s="170" t="s">
        <v>63</v>
      </c>
      <c r="C22" s="170"/>
      <c r="D22" s="170"/>
      <c r="K22" s="17"/>
      <c r="L22" s="68"/>
      <c r="N22" s="68"/>
    </row>
    <row r="23" spans="2:14" x14ac:dyDescent="0.35">
      <c r="F23" s="129" t="s">
        <v>33</v>
      </c>
      <c r="G23" s="129"/>
      <c r="K23" s="129" t="s">
        <v>33</v>
      </c>
      <c r="L23" s="129"/>
      <c r="N23" s="68"/>
    </row>
    <row r="24" spans="2:14" x14ac:dyDescent="0.35">
      <c r="F24" s="70" t="s">
        <v>34</v>
      </c>
      <c r="G24" s="71" t="s">
        <v>14</v>
      </c>
      <c r="K24" s="70" t="s">
        <v>34</v>
      </c>
      <c r="L24" s="71" t="s">
        <v>14</v>
      </c>
      <c r="N24" s="68"/>
    </row>
    <row r="25" spans="2:14" x14ac:dyDescent="0.35">
      <c r="F25" s="27" t="s">
        <v>35</v>
      </c>
      <c r="G25" s="28">
        <v>12000000</v>
      </c>
      <c r="K25" s="27" t="s">
        <v>35</v>
      </c>
      <c r="L25" s="28">
        <v>12000000</v>
      </c>
      <c r="N25" s="68"/>
    </row>
    <row r="26" spans="2:14" x14ac:dyDescent="0.35">
      <c r="F26" s="88" t="s">
        <v>36</v>
      </c>
      <c r="G26" s="64">
        <f>+G25</f>
        <v>12000000</v>
      </c>
      <c r="I26" s="87">
        <f>+I7/6</f>
        <v>14000000</v>
      </c>
      <c r="K26" s="88" t="s">
        <v>36</v>
      </c>
      <c r="L26" s="64">
        <f>+L25</f>
        <v>12000000</v>
      </c>
      <c r="N26" s="68"/>
    </row>
    <row r="27" spans="2:14" x14ac:dyDescent="0.35">
      <c r="I27" s="87">
        <f>+I5/6</f>
        <v>4000000</v>
      </c>
    </row>
    <row r="28" spans="2:14" x14ac:dyDescent="0.35">
      <c r="C28" s="68"/>
      <c r="I28" s="87">
        <f>+I8/6</f>
        <v>10000000</v>
      </c>
    </row>
    <row r="29" spans="2:14" x14ac:dyDescent="0.35">
      <c r="B29" s="47" t="s">
        <v>141</v>
      </c>
      <c r="C29" s="68"/>
      <c r="D29" s="87">
        <f>+D19</f>
        <v>489790676</v>
      </c>
      <c r="F29" s="47" t="s">
        <v>140</v>
      </c>
      <c r="G29" s="89">
        <f>+G26+I20</f>
        <v>472540676</v>
      </c>
      <c r="I29" s="87">
        <f>+I12/6</f>
        <v>7500000</v>
      </c>
      <c r="K29" s="90" t="s">
        <v>142</v>
      </c>
      <c r="L29" s="91">
        <f>+L26+N20</f>
        <v>928081352</v>
      </c>
    </row>
    <row r="30" spans="2:14" x14ac:dyDescent="0.35">
      <c r="C30" s="68"/>
      <c r="I30" s="87">
        <f>+I29/4</f>
        <v>1875000</v>
      </c>
    </row>
    <row r="31" spans="2:14" x14ac:dyDescent="0.35">
      <c r="C31" s="68"/>
    </row>
    <row r="32" spans="2:14" x14ac:dyDescent="0.35">
      <c r="C32" s="68"/>
    </row>
    <row r="33" spans="2:12" x14ac:dyDescent="0.35">
      <c r="B33" s="27"/>
      <c r="C33" s="92">
        <v>0.5</v>
      </c>
      <c r="D33" s="70" t="s">
        <v>135</v>
      </c>
      <c r="E33" s="84" t="s">
        <v>168</v>
      </c>
      <c r="F33" s="100"/>
    </row>
    <row r="34" spans="2:12" x14ac:dyDescent="0.35">
      <c r="B34" s="78" t="s">
        <v>168</v>
      </c>
      <c r="C34" s="93">
        <f>+D34*C33</f>
        <v>244895338</v>
      </c>
      <c r="D34" s="93">
        <f>+D19</f>
        <v>489790676</v>
      </c>
      <c r="E34" s="96">
        <f>+D34-C34</f>
        <v>244895338</v>
      </c>
    </row>
    <row r="35" spans="2:12" x14ac:dyDescent="0.35">
      <c r="B35" s="78" t="s">
        <v>169</v>
      </c>
      <c r="C35" s="94">
        <v>0.12</v>
      </c>
      <c r="D35" s="27"/>
      <c r="E35" s="48"/>
    </row>
    <row r="36" spans="2:12" x14ac:dyDescent="0.35">
      <c r="B36" s="78" t="s">
        <v>170</v>
      </c>
      <c r="C36" s="27">
        <v>5</v>
      </c>
      <c r="D36" s="27" t="s">
        <v>171</v>
      </c>
      <c r="E36" s="48"/>
    </row>
    <row r="37" spans="2:12" x14ac:dyDescent="0.35">
      <c r="B37" s="78" t="s">
        <v>172</v>
      </c>
      <c r="C37" s="29">
        <f>+(E34*C35)/(1-1/(1+C35)^C36)</f>
        <v>67936350.068192527</v>
      </c>
      <c r="D37" s="27"/>
      <c r="E37" s="48"/>
    </row>
    <row r="38" spans="2:12" x14ac:dyDescent="0.35">
      <c r="B38" s="78" t="s">
        <v>173</v>
      </c>
      <c r="C38" s="29">
        <f>+C37/12</f>
        <v>5661362.5056827106</v>
      </c>
      <c r="D38" s="27"/>
      <c r="E38" s="48"/>
    </row>
    <row r="39" spans="2:12" x14ac:dyDescent="0.35">
      <c r="C39" s="68"/>
    </row>
    <row r="40" spans="2:12" ht="28" customHeight="1" x14ac:dyDescent="0.35">
      <c r="C40" s="68"/>
    </row>
    <row r="41" spans="2:12" x14ac:dyDescent="0.35">
      <c r="B41" s="84" t="s">
        <v>167</v>
      </c>
      <c r="G41" s="17"/>
      <c r="I41" s="17"/>
      <c r="K41" s="17"/>
    </row>
    <row r="42" spans="2:12" x14ac:dyDescent="0.35">
      <c r="B42" s="48"/>
      <c r="C42" s="48">
        <v>1</v>
      </c>
      <c r="D42" s="48">
        <v>2</v>
      </c>
      <c r="E42" s="48">
        <v>3</v>
      </c>
      <c r="F42" s="48">
        <v>4</v>
      </c>
      <c r="G42" s="48">
        <v>5</v>
      </c>
      <c r="H42" s="48">
        <v>6</v>
      </c>
      <c r="I42" s="98"/>
      <c r="K42" s="17"/>
      <c r="L42" s="17"/>
    </row>
    <row r="43" spans="2:12" x14ac:dyDescent="0.35">
      <c r="B43" s="48" t="s">
        <v>163</v>
      </c>
      <c r="C43" s="97">
        <f>+E34</f>
        <v>244895338</v>
      </c>
      <c r="D43" s="97">
        <f>+C46</f>
        <v>225620883.24590373</v>
      </c>
      <c r="E43" s="97">
        <f t="shared" ref="E43:G43" si="3">+D46</f>
        <v>184759039.16721964</v>
      </c>
      <c r="F43" s="97">
        <f t="shared" si="3"/>
        <v>138993773.79909348</v>
      </c>
      <c r="G43" s="97">
        <f t="shared" si="3"/>
        <v>87736676.586792171</v>
      </c>
      <c r="H43" s="97">
        <f>+G46</f>
        <v>30328727.709014706</v>
      </c>
      <c r="I43" s="98"/>
      <c r="K43" s="17"/>
      <c r="L43" s="17"/>
    </row>
    <row r="44" spans="2:12" x14ac:dyDescent="0.35">
      <c r="B44" s="48" t="s">
        <v>164</v>
      </c>
      <c r="C44" s="97">
        <f>(C43*$C$35)/2</f>
        <v>14693720.279999999</v>
      </c>
      <c r="D44" s="97">
        <f>+D43*$C$35</f>
        <v>27074505.989508446</v>
      </c>
      <c r="E44" s="97">
        <f>+E43*$C$35</f>
        <v>22171084.700066354</v>
      </c>
      <c r="F44" s="97">
        <f>+F43*$C$35</f>
        <v>16679252.855891218</v>
      </c>
      <c r="G44" s="97">
        <f t="shared" ref="G44" si="4">+G43*$C$35</f>
        <v>10528401.19041506</v>
      </c>
      <c r="H44" s="97">
        <f>+H43*$C$35/2</f>
        <v>1819723.6625408824</v>
      </c>
      <c r="I44" s="98"/>
      <c r="K44" s="17"/>
      <c r="L44" s="17"/>
    </row>
    <row r="45" spans="2:12" x14ac:dyDescent="0.35">
      <c r="B45" s="48" t="s">
        <v>165</v>
      </c>
      <c r="C45" s="97">
        <f>($C$37/2)-C44</f>
        <v>19274454.754096262</v>
      </c>
      <c r="D45" s="97">
        <f t="shared" ref="D45:G45" si="5">+$C$37-D44</f>
        <v>40861844.078684077</v>
      </c>
      <c r="E45" s="97">
        <f t="shared" si="5"/>
        <v>45765265.368126169</v>
      </c>
      <c r="F45" s="97">
        <f t="shared" si="5"/>
        <v>51257097.212301306</v>
      </c>
      <c r="G45" s="97">
        <f t="shared" si="5"/>
        <v>57407948.877777465</v>
      </c>
      <c r="H45" s="97">
        <f>+($C$37/2)-H44-H44</f>
        <v>30328727.709014498</v>
      </c>
      <c r="I45" s="98"/>
      <c r="K45" s="17"/>
      <c r="L45" s="17"/>
    </row>
    <row r="46" spans="2:12" x14ac:dyDescent="0.35">
      <c r="B46" s="48" t="s">
        <v>166</v>
      </c>
      <c r="C46" s="97">
        <f>+C43-C45</f>
        <v>225620883.24590373</v>
      </c>
      <c r="D46" s="97">
        <f>+D43-D45</f>
        <v>184759039.16721964</v>
      </c>
      <c r="E46" s="97">
        <f t="shared" ref="E46:F46" si="6">+E43-E45</f>
        <v>138993773.79909348</v>
      </c>
      <c r="F46" s="97">
        <f t="shared" si="6"/>
        <v>87736676.586792171</v>
      </c>
      <c r="G46" s="97">
        <f>+G43-G45</f>
        <v>30328727.709014706</v>
      </c>
      <c r="H46" s="97">
        <f>+H43-H45</f>
        <v>2.0861625671386719E-7</v>
      </c>
      <c r="I46" s="98"/>
      <c r="K46" s="17"/>
      <c r="L46" s="17"/>
    </row>
    <row r="49" spans="2:12" x14ac:dyDescent="0.35">
      <c r="B49" s="70" t="s">
        <v>167</v>
      </c>
      <c r="G49" s="17"/>
    </row>
    <row r="50" spans="2:12" x14ac:dyDescent="0.35">
      <c r="B50" s="27"/>
      <c r="C50" s="27">
        <v>1</v>
      </c>
      <c r="D50" s="27">
        <v>2</v>
      </c>
      <c r="E50" s="78">
        <v>3</v>
      </c>
      <c r="F50" s="27">
        <v>4</v>
      </c>
      <c r="G50" s="27">
        <v>5</v>
      </c>
      <c r="H50" s="68"/>
      <c r="I50" s="17"/>
      <c r="J50" s="98"/>
      <c r="L50" s="17"/>
    </row>
    <row r="51" spans="2:12" x14ac:dyDescent="0.35">
      <c r="B51" s="27" t="s">
        <v>163</v>
      </c>
      <c r="C51" s="95">
        <f>+E34</f>
        <v>244895338</v>
      </c>
      <c r="D51" s="95">
        <f>+C54</f>
        <v>206346428.49180746</v>
      </c>
      <c r="E51" s="101">
        <f t="shared" ref="E51" si="7">+D54</f>
        <v>163171649.84263182</v>
      </c>
      <c r="F51" s="95">
        <f t="shared" ref="F51" si="8">+E54</f>
        <v>114815897.75555511</v>
      </c>
      <c r="G51" s="95">
        <f t="shared" ref="G51" si="9">+F54</f>
        <v>60657455.418029197</v>
      </c>
      <c r="H51" s="68"/>
      <c r="I51" s="17"/>
      <c r="J51" s="98"/>
      <c r="L51" s="17"/>
    </row>
    <row r="52" spans="2:12" x14ac:dyDescent="0.35">
      <c r="B52" s="27" t="s">
        <v>164</v>
      </c>
      <c r="C52" s="95">
        <f>(C51*$C$35)</f>
        <v>29387440.559999999</v>
      </c>
      <c r="D52" s="95">
        <f>+D51*$C$35</f>
        <v>24761571.419016894</v>
      </c>
      <c r="E52" s="101">
        <f>+E51*$C$35</f>
        <v>19580597.981115818</v>
      </c>
      <c r="F52" s="95">
        <f>+F51*$C$35</f>
        <v>13777907.730666613</v>
      </c>
      <c r="G52" s="95">
        <f t="shared" ref="G52" si="10">+G51*$C$35</f>
        <v>7278894.6501635034</v>
      </c>
      <c r="H52" s="68"/>
      <c r="I52" s="17"/>
      <c r="J52" s="98"/>
      <c r="L52" s="17"/>
    </row>
    <row r="53" spans="2:12" x14ac:dyDescent="0.35">
      <c r="B53" s="27" t="s">
        <v>165</v>
      </c>
      <c r="C53" s="95">
        <f>($C$37-C$52)</f>
        <v>38548909.508192524</v>
      </c>
      <c r="D53" s="95">
        <f t="shared" ref="D53" si="11">+$C$37-D52</f>
        <v>43174778.649175629</v>
      </c>
      <c r="E53" s="101">
        <f t="shared" ref="E53" si="12">+$C$37-E52</f>
        <v>48355752.087076709</v>
      </c>
      <c r="F53" s="95">
        <f t="shared" ref="F53" si="13">+$C$37-F52</f>
        <v>54158442.337525912</v>
      </c>
      <c r="G53" s="95">
        <f t="shared" ref="G53" si="14">+$C$37-G52</f>
        <v>60657455.418029025</v>
      </c>
      <c r="H53" s="68"/>
      <c r="I53" s="17"/>
      <c r="J53" s="98"/>
      <c r="L53" s="17"/>
    </row>
    <row r="54" spans="2:12" x14ac:dyDescent="0.35">
      <c r="B54" s="27" t="s">
        <v>166</v>
      </c>
      <c r="C54" s="95">
        <f>+C51-C53</f>
        <v>206346428.49180746</v>
      </c>
      <c r="D54" s="95">
        <f>+D51-D53</f>
        <v>163171649.84263182</v>
      </c>
      <c r="E54" s="101">
        <f t="shared" ref="E54:G54" si="15">+E51-E53</f>
        <v>114815897.75555511</v>
      </c>
      <c r="F54" s="95">
        <f t="shared" si="15"/>
        <v>60657455.418029197</v>
      </c>
      <c r="G54" s="95">
        <f t="shared" si="15"/>
        <v>1.7136335372924805E-7</v>
      </c>
      <c r="H54" s="68"/>
      <c r="I54" s="17"/>
      <c r="J54" s="98"/>
      <c r="L54" s="17"/>
    </row>
  </sheetData>
  <mergeCells count="8">
    <mergeCell ref="F23:G23"/>
    <mergeCell ref="F1:I1"/>
    <mergeCell ref="K2:N2"/>
    <mergeCell ref="K23:L23"/>
    <mergeCell ref="B2:D2"/>
    <mergeCell ref="F2:I2"/>
    <mergeCell ref="B21:C21"/>
    <mergeCell ref="B22:D22"/>
  </mergeCell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U26"/>
  <sheetViews>
    <sheetView workbookViewId="0">
      <selection activeCell="K12" sqref="K12"/>
    </sheetView>
  </sheetViews>
  <sheetFormatPr baseColWidth="10" defaultRowHeight="15.5" x14ac:dyDescent="0.35"/>
  <cols>
    <col min="1" max="1" width="1.81640625" style="21" customWidth="1"/>
    <col min="2" max="2" width="22" style="21" customWidth="1"/>
    <col min="3" max="3" width="19.1796875" style="21" customWidth="1"/>
    <col min="4" max="4" width="14" style="21" customWidth="1"/>
    <col min="5" max="5" width="14.81640625" style="21" bestFit="1" customWidth="1"/>
    <col min="6" max="6" width="15" style="21" customWidth="1"/>
    <col min="7" max="7" width="15" style="21" bestFit="1" customWidth="1"/>
    <col min="8" max="8" width="14.36328125" style="21" bestFit="1" customWidth="1"/>
    <col min="9" max="9" width="11.36328125" style="21" customWidth="1"/>
    <col min="10" max="10" width="2.453125" style="21" customWidth="1"/>
    <col min="11" max="12" width="15.36328125" style="21" bestFit="1" customWidth="1"/>
    <col min="13" max="15" width="14.1796875" style="21" bestFit="1" customWidth="1"/>
    <col min="16" max="16" width="10.90625" style="21"/>
    <col min="17" max="21" width="11.08984375" style="21" bestFit="1" customWidth="1"/>
    <col min="22" max="16384" width="10.90625" style="21"/>
  </cols>
  <sheetData>
    <row r="1" spans="2:21" x14ac:dyDescent="0.35">
      <c r="B1" s="171" t="s">
        <v>150</v>
      </c>
      <c r="C1" s="171"/>
      <c r="D1" s="171" t="s">
        <v>151</v>
      </c>
      <c r="E1" s="171"/>
      <c r="F1" s="171" t="s">
        <v>152</v>
      </c>
      <c r="G1" s="171"/>
      <c r="H1" s="171" t="s">
        <v>153</v>
      </c>
      <c r="I1" s="171"/>
      <c r="J1" s="102"/>
      <c r="K1" s="171" t="s">
        <v>154</v>
      </c>
      <c r="L1" s="171"/>
      <c r="N1" s="171" t="s">
        <v>61</v>
      </c>
      <c r="O1" s="171"/>
      <c r="P1" s="171"/>
      <c r="Q1" s="76" t="s">
        <v>56</v>
      </c>
      <c r="R1" s="76" t="s">
        <v>58</v>
      </c>
      <c r="S1" s="76" t="s">
        <v>57</v>
      </c>
      <c r="T1" s="76" t="s">
        <v>59</v>
      </c>
      <c r="U1" s="76" t="s">
        <v>60</v>
      </c>
    </row>
    <row r="2" spans="2:21" x14ac:dyDescent="0.35">
      <c r="B2" s="74" t="s">
        <v>138</v>
      </c>
      <c r="C2" s="74" t="s">
        <v>139</v>
      </c>
      <c r="D2" s="74" t="s">
        <v>138</v>
      </c>
      <c r="E2" s="74" t="s">
        <v>139</v>
      </c>
      <c r="F2" s="74" t="s">
        <v>138</v>
      </c>
      <c r="G2" s="74" t="s">
        <v>139</v>
      </c>
      <c r="H2" s="74" t="s">
        <v>138</v>
      </c>
      <c r="I2" s="74" t="s">
        <v>139</v>
      </c>
      <c r="J2" s="103"/>
      <c r="K2" s="74" t="s">
        <v>138</v>
      </c>
      <c r="L2" s="74" t="s">
        <v>139</v>
      </c>
      <c r="N2" s="171" t="s">
        <v>155</v>
      </c>
      <c r="O2" s="171"/>
      <c r="P2" s="171"/>
      <c r="Q2" s="104">
        <v>2371</v>
      </c>
      <c r="R2" s="104">
        <v>3157</v>
      </c>
      <c r="S2" s="104">
        <v>3863</v>
      </c>
      <c r="T2" s="104">
        <v>4782</v>
      </c>
      <c r="U2" s="104">
        <v>5977</v>
      </c>
    </row>
    <row r="3" spans="2:21" x14ac:dyDescent="0.35">
      <c r="B3" s="105">
        <v>60000</v>
      </c>
      <c r="C3" s="105">
        <f>+B3*12</f>
        <v>720000</v>
      </c>
      <c r="D3" s="105">
        <f>+B3*5%+B3</f>
        <v>63000</v>
      </c>
      <c r="E3" s="105">
        <f>+D3*12</f>
        <v>756000</v>
      </c>
      <c r="F3" s="105">
        <f>+D3*5%+D3</f>
        <v>66150</v>
      </c>
      <c r="G3" s="105">
        <f>+F3*12</f>
        <v>793800</v>
      </c>
      <c r="H3" s="105">
        <f>+F3*5%+F3</f>
        <v>69457.5</v>
      </c>
      <c r="I3" s="105">
        <f>+H3*12</f>
        <v>833490</v>
      </c>
      <c r="J3" s="106"/>
      <c r="K3" s="105">
        <f>+H3*5%+H3</f>
        <v>72930.375</v>
      </c>
      <c r="L3" s="105">
        <f>+K3*12</f>
        <v>875164.5</v>
      </c>
      <c r="N3" s="171" t="s">
        <v>62</v>
      </c>
      <c r="O3" s="171"/>
      <c r="P3" s="171"/>
      <c r="Q3" s="74"/>
      <c r="R3" s="107">
        <f>+(R2/Q2)-1</f>
        <v>0.33150569380008443</v>
      </c>
      <c r="S3" s="107">
        <f t="shared" ref="S3:U3" si="0">+(S2/R2)-1</f>
        <v>0.22363002850807723</v>
      </c>
      <c r="T3" s="107">
        <f t="shared" si="0"/>
        <v>0.23789800673052031</v>
      </c>
      <c r="U3" s="107">
        <f t="shared" si="0"/>
        <v>0.24989544123797569</v>
      </c>
    </row>
    <row r="4" spans="2:21" x14ac:dyDescent="0.35">
      <c r="B4" s="105">
        <v>75000</v>
      </c>
      <c r="C4" s="105">
        <f t="shared" ref="C4:C5" si="1">+B4*12</f>
        <v>900000</v>
      </c>
      <c r="D4" s="105">
        <f t="shared" ref="D4:D5" si="2">+B4*5%+B4</f>
        <v>78750</v>
      </c>
      <c r="E4" s="105">
        <f t="shared" ref="E4:E5" si="3">+D4*12</f>
        <v>945000</v>
      </c>
      <c r="F4" s="105">
        <f t="shared" ref="F4:F5" si="4">+D4*5%+D4</f>
        <v>82687.5</v>
      </c>
      <c r="G4" s="105">
        <f t="shared" ref="G4:G5" si="5">+F4*12</f>
        <v>992250</v>
      </c>
      <c r="H4" s="105">
        <f t="shared" ref="H4:H5" si="6">+F4*5%+F4</f>
        <v>86821.875</v>
      </c>
      <c r="I4" s="105">
        <f t="shared" ref="I4:I5" si="7">+H4*12</f>
        <v>1041862.5</v>
      </c>
      <c r="J4" s="106"/>
      <c r="K4" s="105">
        <f t="shared" ref="K4:K5" si="8">+H4*5%+H4</f>
        <v>91162.96875</v>
      </c>
      <c r="L4" s="105">
        <f t="shared" ref="L4:L5" si="9">+K4*12</f>
        <v>1093955.625</v>
      </c>
      <c r="N4" s="171" t="s">
        <v>156</v>
      </c>
      <c r="O4" s="171"/>
      <c r="P4" s="171"/>
      <c r="Q4" s="108">
        <f>+Q2*70%</f>
        <v>1659.6999999999998</v>
      </c>
      <c r="R4" s="108">
        <f t="shared" ref="R4:U4" si="10">+R2*70%</f>
        <v>2209.8999999999996</v>
      </c>
      <c r="S4" s="108">
        <f t="shared" si="10"/>
        <v>2704.1</v>
      </c>
      <c r="T4" s="108">
        <f t="shared" si="10"/>
        <v>3347.3999999999996</v>
      </c>
      <c r="U4" s="108">
        <f t="shared" si="10"/>
        <v>4183.8999999999996</v>
      </c>
    </row>
    <row r="5" spans="2:21" x14ac:dyDescent="0.35">
      <c r="B5" s="105">
        <v>100000</v>
      </c>
      <c r="C5" s="105">
        <f t="shared" si="1"/>
        <v>1200000</v>
      </c>
      <c r="D5" s="105">
        <f t="shared" si="2"/>
        <v>105000</v>
      </c>
      <c r="E5" s="105">
        <f t="shared" si="3"/>
        <v>1260000</v>
      </c>
      <c r="F5" s="105">
        <f t="shared" si="4"/>
        <v>110250</v>
      </c>
      <c r="G5" s="105">
        <f t="shared" si="5"/>
        <v>1323000</v>
      </c>
      <c r="H5" s="105">
        <f t="shared" si="6"/>
        <v>115762.5</v>
      </c>
      <c r="I5" s="105">
        <f t="shared" si="7"/>
        <v>1389150</v>
      </c>
      <c r="J5" s="106"/>
      <c r="K5" s="105">
        <f t="shared" si="8"/>
        <v>121550.625</v>
      </c>
      <c r="L5" s="105">
        <f t="shared" si="9"/>
        <v>1458607.5</v>
      </c>
      <c r="N5" s="171" t="s">
        <v>157</v>
      </c>
      <c r="O5" s="171"/>
      <c r="P5" s="171"/>
      <c r="Q5" s="108">
        <f>+Q2*50%</f>
        <v>1185.5</v>
      </c>
      <c r="R5" s="108">
        <f t="shared" ref="R5:U5" si="11">+R2*50%</f>
        <v>1578.5</v>
      </c>
      <c r="S5" s="108">
        <f t="shared" si="11"/>
        <v>1931.5</v>
      </c>
      <c r="T5" s="108">
        <f t="shared" si="11"/>
        <v>2391</v>
      </c>
      <c r="U5" s="108">
        <f t="shared" si="11"/>
        <v>2988.5</v>
      </c>
    </row>
    <row r="6" spans="2:21" x14ac:dyDescent="0.35">
      <c r="N6" s="171" t="s">
        <v>158</v>
      </c>
      <c r="O6" s="171"/>
      <c r="P6" s="171"/>
      <c r="Q6" s="108">
        <f>+Q2*25%</f>
        <v>592.75</v>
      </c>
      <c r="R6" s="108">
        <f t="shared" ref="R6:U6" si="12">+R2*25%</f>
        <v>789.25</v>
      </c>
      <c r="S6" s="108">
        <f t="shared" si="12"/>
        <v>965.75</v>
      </c>
      <c r="T6" s="108">
        <f t="shared" si="12"/>
        <v>1195.5</v>
      </c>
      <c r="U6" s="108">
        <f t="shared" si="12"/>
        <v>1494.25</v>
      </c>
    </row>
    <row r="8" spans="2:21" x14ac:dyDescent="0.35">
      <c r="H8" s="174" t="s">
        <v>44</v>
      </c>
      <c r="I8" s="174"/>
      <c r="J8" s="174"/>
      <c r="K8" s="175">
        <v>2371</v>
      </c>
    </row>
    <row r="9" spans="2:21" x14ac:dyDescent="0.35">
      <c r="H9" s="174"/>
      <c r="I9" s="174"/>
      <c r="J9" s="174"/>
      <c r="K9" s="176"/>
    </row>
    <row r="11" spans="2:21" x14ac:dyDescent="0.35">
      <c r="B11" s="172" t="s">
        <v>148</v>
      </c>
      <c r="C11" s="173"/>
      <c r="D11" s="173"/>
      <c r="E11" s="173"/>
      <c r="F11" s="173"/>
      <c r="G11" s="173"/>
      <c r="H11" s="109"/>
      <c r="I11" s="109"/>
      <c r="J11" s="109"/>
      <c r="K11" s="110"/>
    </row>
    <row r="12" spans="2:21" ht="30" x14ac:dyDescent="0.35">
      <c r="B12" s="111" t="s">
        <v>37</v>
      </c>
      <c r="C12" s="111" t="s">
        <v>39</v>
      </c>
      <c r="D12" s="111" t="s">
        <v>40</v>
      </c>
      <c r="E12" s="112" t="s">
        <v>143</v>
      </c>
      <c r="F12" s="112" t="s">
        <v>144</v>
      </c>
      <c r="G12" s="112" t="s">
        <v>145</v>
      </c>
      <c r="H12" s="113"/>
      <c r="I12" s="113"/>
      <c r="J12" s="114"/>
      <c r="K12" s="115"/>
      <c r="L12" s="116"/>
    </row>
    <row r="13" spans="2:21" x14ac:dyDescent="0.35">
      <c r="B13" s="27" t="s">
        <v>38</v>
      </c>
      <c r="C13" s="117">
        <v>0.7</v>
      </c>
      <c r="D13" s="118">
        <f>+K8*C13</f>
        <v>1659.6999999999998</v>
      </c>
      <c r="E13" s="119">
        <f>+C3*D13</f>
        <v>1194983999.9999998</v>
      </c>
      <c r="F13" s="119">
        <f>+C4*D13</f>
        <v>1493729999.9999998</v>
      </c>
      <c r="G13" s="28">
        <f>+C5*D13</f>
        <v>1991639999.9999998</v>
      </c>
      <c r="H13" s="22"/>
      <c r="K13" s="22"/>
      <c r="L13" s="23"/>
    </row>
    <row r="14" spans="2:21" x14ac:dyDescent="0.35">
      <c r="B14" s="177" t="s">
        <v>41</v>
      </c>
      <c r="C14" s="178"/>
      <c r="D14" s="178"/>
      <c r="E14" s="178"/>
      <c r="F14" s="178"/>
      <c r="G14" s="179"/>
      <c r="H14" s="22"/>
    </row>
    <row r="17" spans="2:12" x14ac:dyDescent="0.35">
      <c r="B17" s="172" t="s">
        <v>146</v>
      </c>
      <c r="C17" s="173"/>
      <c r="D17" s="173"/>
      <c r="E17" s="173"/>
      <c r="F17" s="173"/>
      <c r="G17" s="173"/>
      <c r="H17" s="109"/>
      <c r="I17" s="109"/>
    </row>
    <row r="18" spans="2:12" ht="30" x14ac:dyDescent="0.35">
      <c r="B18" s="111" t="s">
        <v>37</v>
      </c>
      <c r="C18" s="111" t="s">
        <v>39</v>
      </c>
      <c r="D18" s="111" t="s">
        <v>40</v>
      </c>
      <c r="E18" s="112" t="s">
        <v>143</v>
      </c>
      <c r="F18" s="112" t="s">
        <v>144</v>
      </c>
      <c r="G18" s="112" t="s">
        <v>145</v>
      </c>
      <c r="H18" s="115"/>
      <c r="I18" s="114"/>
      <c r="J18" s="114"/>
      <c r="K18" s="115"/>
      <c r="L18" s="116"/>
    </row>
    <row r="19" spans="2:12" x14ac:dyDescent="0.35">
      <c r="B19" s="27" t="s">
        <v>38</v>
      </c>
      <c r="C19" s="117">
        <v>0.5</v>
      </c>
      <c r="D19" s="118">
        <f>+K8*C19</f>
        <v>1185.5</v>
      </c>
      <c r="E19" s="119">
        <f>+C3*D19</f>
        <v>853560000</v>
      </c>
      <c r="F19" s="119">
        <f>+C4*D19</f>
        <v>1066950000</v>
      </c>
      <c r="G19" s="28">
        <f>+C5*D19</f>
        <v>1422600000</v>
      </c>
      <c r="H19" s="23"/>
      <c r="K19" s="22"/>
      <c r="L19" s="22"/>
    </row>
    <row r="20" spans="2:12" x14ac:dyDescent="0.35">
      <c r="B20" s="177" t="s">
        <v>42</v>
      </c>
      <c r="C20" s="178"/>
      <c r="D20" s="178"/>
      <c r="E20" s="178"/>
      <c r="F20" s="178"/>
      <c r="G20" s="179"/>
    </row>
    <row r="23" spans="2:12" x14ac:dyDescent="0.35">
      <c r="B23" s="172" t="s">
        <v>147</v>
      </c>
      <c r="C23" s="173"/>
      <c r="D23" s="173"/>
      <c r="E23" s="173"/>
      <c r="F23" s="173"/>
      <c r="G23" s="173"/>
    </row>
    <row r="24" spans="2:12" ht="30" x14ac:dyDescent="0.35">
      <c r="B24" s="111" t="s">
        <v>37</v>
      </c>
      <c r="C24" s="111" t="s">
        <v>39</v>
      </c>
      <c r="D24" s="111" t="s">
        <v>40</v>
      </c>
      <c r="E24" s="112" t="s">
        <v>143</v>
      </c>
      <c r="F24" s="112" t="s">
        <v>144</v>
      </c>
      <c r="G24" s="112" t="s">
        <v>145</v>
      </c>
      <c r="H24" s="115"/>
      <c r="I24" s="114"/>
      <c r="J24" s="114"/>
      <c r="K24" s="115"/>
      <c r="L24" s="116"/>
    </row>
    <row r="25" spans="2:12" x14ac:dyDescent="0.35">
      <c r="B25" s="27" t="s">
        <v>38</v>
      </c>
      <c r="C25" s="117">
        <v>0.25</v>
      </c>
      <c r="D25" s="118">
        <f>+K8*C25</f>
        <v>592.75</v>
      </c>
      <c r="E25" s="119">
        <f>+C3*D25</f>
        <v>426780000</v>
      </c>
      <c r="F25" s="119">
        <f>+C4*D25</f>
        <v>533475000</v>
      </c>
      <c r="G25" s="28">
        <f>+C5*D25</f>
        <v>711300000</v>
      </c>
      <c r="H25" s="22"/>
      <c r="K25" s="23"/>
      <c r="L25" s="22"/>
    </row>
    <row r="26" spans="2:12" x14ac:dyDescent="0.35">
      <c r="B26" s="177" t="s">
        <v>43</v>
      </c>
      <c r="C26" s="178"/>
      <c r="D26" s="178"/>
      <c r="E26" s="178"/>
      <c r="F26" s="178"/>
      <c r="G26" s="179"/>
    </row>
  </sheetData>
  <mergeCells count="19">
    <mergeCell ref="B23:G23"/>
    <mergeCell ref="B26:G26"/>
    <mergeCell ref="N4:P4"/>
    <mergeCell ref="N5:P5"/>
    <mergeCell ref="N6:P6"/>
    <mergeCell ref="B14:G14"/>
    <mergeCell ref="B17:G17"/>
    <mergeCell ref="B20:G20"/>
    <mergeCell ref="N1:P1"/>
    <mergeCell ref="N2:P2"/>
    <mergeCell ref="N3:P3"/>
    <mergeCell ref="B1:C1"/>
    <mergeCell ref="B11:G11"/>
    <mergeCell ref="H8:J9"/>
    <mergeCell ref="D1:E1"/>
    <mergeCell ref="F1:G1"/>
    <mergeCell ref="H1:I1"/>
    <mergeCell ref="K1:L1"/>
    <mergeCell ref="K8:K9"/>
  </mergeCells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X36"/>
  <sheetViews>
    <sheetView topLeftCell="A10" zoomScale="90" zoomScaleNormal="90" workbookViewId="0">
      <selection activeCell="A10" sqref="A1:XFD1048576"/>
    </sheetView>
  </sheetViews>
  <sheetFormatPr baseColWidth="10" defaultRowHeight="15.5" x14ac:dyDescent="0.35"/>
  <cols>
    <col min="1" max="1" width="5.81640625" style="17" customWidth="1"/>
    <col min="2" max="2" width="29.6328125" style="21" bestFit="1" customWidth="1"/>
    <col min="3" max="3" width="17.453125" style="21" bestFit="1" customWidth="1"/>
    <col min="4" max="4" width="14.453125" style="21" bestFit="1" customWidth="1"/>
    <col min="5" max="5" width="15.26953125" style="21" bestFit="1" customWidth="1"/>
    <col min="6" max="6" width="16.1796875" style="21" customWidth="1"/>
    <col min="7" max="7" width="16.36328125" style="21" customWidth="1"/>
    <col min="8" max="8" width="16.1796875" style="21" bestFit="1" customWidth="1"/>
    <col min="9" max="9" width="10.90625" style="17"/>
    <col min="10" max="10" width="29.6328125" style="21" bestFit="1" customWidth="1"/>
    <col min="11" max="11" width="17.1796875" style="21" customWidth="1"/>
    <col min="12" max="12" width="14.7265625" style="21" bestFit="1" customWidth="1"/>
    <col min="13" max="13" width="14.453125" style="21" customWidth="1"/>
    <col min="14" max="14" width="14.81640625" style="21" customWidth="1"/>
    <col min="15" max="15" width="16.453125" style="21" customWidth="1"/>
    <col min="16" max="16" width="16.1796875" style="21" bestFit="1" customWidth="1"/>
    <col min="17" max="17" width="10.90625" style="17"/>
    <col min="18" max="18" width="29.6328125" style="21" bestFit="1" customWidth="1"/>
    <col min="19" max="19" width="17.453125" style="21" bestFit="1" customWidth="1"/>
    <col min="20" max="20" width="14.7265625" style="21" bestFit="1" customWidth="1"/>
    <col min="21" max="21" width="15.6328125" style="21" customWidth="1"/>
    <col min="22" max="23" width="16.1796875" style="21" bestFit="1" customWidth="1"/>
    <col min="24" max="24" width="17.26953125" style="21" bestFit="1" customWidth="1"/>
    <col min="25" max="16384" width="10.90625" style="17"/>
  </cols>
  <sheetData>
    <row r="1" spans="2:24" x14ac:dyDescent="0.35">
      <c r="C1" s="21" t="s">
        <v>56</v>
      </c>
      <c r="D1" s="21" t="s">
        <v>58</v>
      </c>
      <c r="E1" s="21" t="s">
        <v>57</v>
      </c>
      <c r="F1" s="21" t="s">
        <v>59</v>
      </c>
      <c r="G1" s="21" t="s">
        <v>60</v>
      </c>
      <c r="H1" s="17"/>
    </row>
    <row r="2" spans="2:24" x14ac:dyDescent="0.35">
      <c r="B2" s="21" t="s">
        <v>53</v>
      </c>
      <c r="C2" s="22">
        <f>+'Ingresos x escenarios'!Q4</f>
        <v>1659.6999999999998</v>
      </c>
      <c r="D2" s="22">
        <f>+'Ingresos x escenarios'!R4</f>
        <v>2209.8999999999996</v>
      </c>
      <c r="E2" s="22">
        <f>+'Ingresos x escenarios'!S4</f>
        <v>2704.1</v>
      </c>
      <c r="F2" s="22">
        <f>+'Ingresos x escenarios'!T4</f>
        <v>3347.3999999999996</v>
      </c>
      <c r="G2" s="22">
        <f>+'Ingresos x escenarios'!U4</f>
        <v>4183.8999999999996</v>
      </c>
      <c r="H2" s="17"/>
      <c r="J2" s="21" t="s">
        <v>178</v>
      </c>
      <c r="K2" s="120">
        <v>0.04</v>
      </c>
    </row>
    <row r="3" spans="2:24" x14ac:dyDescent="0.35">
      <c r="B3" s="21" t="s">
        <v>159</v>
      </c>
      <c r="C3" s="23">
        <f>+'Ingresos x escenarios'!C3</f>
        <v>720000</v>
      </c>
      <c r="D3" s="23">
        <f>+'Ingresos x escenarios'!E3</f>
        <v>756000</v>
      </c>
      <c r="E3" s="23">
        <f>+'Ingresos x escenarios'!G3</f>
        <v>793800</v>
      </c>
      <c r="F3" s="23">
        <f>+'Ingresos x escenarios'!I3</f>
        <v>833490</v>
      </c>
      <c r="G3" s="23">
        <f>+'Ingresos x escenarios'!L3</f>
        <v>875164.5</v>
      </c>
      <c r="H3" s="17"/>
      <c r="J3" s="21" t="s">
        <v>179</v>
      </c>
      <c r="K3" s="120">
        <v>0.08</v>
      </c>
    </row>
    <row r="4" spans="2:24" x14ac:dyDescent="0.35">
      <c r="B4" s="21" t="s">
        <v>160</v>
      </c>
      <c r="C4" s="23">
        <f>+'Ingresos x escenarios'!C4</f>
        <v>900000</v>
      </c>
      <c r="D4" s="23">
        <f>+'Ingresos x escenarios'!E4</f>
        <v>945000</v>
      </c>
      <c r="E4" s="23">
        <f>+'Ingresos x escenarios'!G4</f>
        <v>992250</v>
      </c>
      <c r="F4" s="23">
        <f>+'Ingresos x escenarios'!I4</f>
        <v>1041862.5</v>
      </c>
      <c r="G4" s="23">
        <f>+'Ingresos x escenarios'!L4</f>
        <v>1093955.625</v>
      </c>
      <c r="H4" s="17"/>
      <c r="J4" s="21" t="s">
        <v>180</v>
      </c>
      <c r="K4" s="21">
        <v>5</v>
      </c>
    </row>
    <row r="5" spans="2:24" x14ac:dyDescent="0.35">
      <c r="B5" s="21" t="s">
        <v>161</v>
      </c>
      <c r="C5" s="23">
        <f>+'Ingresos x escenarios'!C5</f>
        <v>1200000</v>
      </c>
      <c r="D5" s="23">
        <f>+'Ingresos x escenarios'!E5</f>
        <v>1260000</v>
      </c>
      <c r="E5" s="23">
        <f>+'Ingresos x escenarios'!G5</f>
        <v>1323000</v>
      </c>
      <c r="F5" s="23">
        <f>+'Ingresos x escenarios'!I5</f>
        <v>1389150</v>
      </c>
      <c r="G5" s="23">
        <f>+'Ingresos x escenarios'!L5</f>
        <v>1458607.5</v>
      </c>
      <c r="H5" s="17"/>
      <c r="J5" s="21" t="s">
        <v>168</v>
      </c>
      <c r="K5" s="25">
        <f>+'Costos y gastos'!D29</f>
        <v>489790676</v>
      </c>
    </row>
    <row r="6" spans="2:24" x14ac:dyDescent="0.35">
      <c r="B6" s="21" t="s">
        <v>12</v>
      </c>
      <c r="H6" s="17"/>
    </row>
    <row r="7" spans="2:24" x14ac:dyDescent="0.35">
      <c r="B7" s="21" t="s">
        <v>24</v>
      </c>
      <c r="H7" s="17"/>
    </row>
    <row r="8" spans="2:24" x14ac:dyDescent="0.35">
      <c r="B8" s="21" t="s">
        <v>54</v>
      </c>
      <c r="H8" s="17"/>
    </row>
    <row r="9" spans="2:24" x14ac:dyDescent="0.35">
      <c r="H9" s="17"/>
    </row>
    <row r="10" spans="2:24" x14ac:dyDescent="0.35">
      <c r="B10" s="180" t="s">
        <v>64</v>
      </c>
      <c r="C10" s="180"/>
      <c r="D10" s="180"/>
      <c r="E10" s="180"/>
      <c r="F10" s="180"/>
      <c r="G10" s="180"/>
      <c r="H10" s="180"/>
      <c r="J10" s="180" t="s">
        <v>65</v>
      </c>
      <c r="K10" s="180"/>
      <c r="L10" s="180"/>
      <c r="M10" s="180"/>
      <c r="N10" s="180"/>
      <c r="O10" s="180"/>
      <c r="P10" s="180"/>
      <c r="R10" s="180" t="s">
        <v>66</v>
      </c>
      <c r="S10" s="180"/>
      <c r="T10" s="180"/>
      <c r="U10" s="180"/>
      <c r="V10" s="180"/>
      <c r="W10" s="180"/>
      <c r="X10" s="180"/>
    </row>
    <row r="11" spans="2:24" x14ac:dyDescent="0.35">
      <c r="B11" s="26" t="s">
        <v>51</v>
      </c>
      <c r="C11" s="26" t="s">
        <v>45</v>
      </c>
      <c r="D11" s="26" t="s">
        <v>46</v>
      </c>
      <c r="E11" s="26" t="s">
        <v>47</v>
      </c>
      <c r="F11" s="26" t="s">
        <v>48</v>
      </c>
      <c r="G11" s="26" t="s">
        <v>49</v>
      </c>
      <c r="H11" s="26" t="s">
        <v>50</v>
      </c>
      <c r="J11" s="26" t="s">
        <v>51</v>
      </c>
      <c r="K11" s="26" t="s">
        <v>45</v>
      </c>
      <c r="L11" s="26" t="s">
        <v>46</v>
      </c>
      <c r="M11" s="26" t="s">
        <v>47</v>
      </c>
      <c r="N11" s="26" t="s">
        <v>48</v>
      </c>
      <c r="O11" s="26" t="s">
        <v>49</v>
      </c>
      <c r="P11" s="26" t="s">
        <v>50</v>
      </c>
      <c r="R11" s="26" t="s">
        <v>51</v>
      </c>
      <c r="S11" s="26" t="s">
        <v>45</v>
      </c>
      <c r="T11" s="26" t="s">
        <v>46</v>
      </c>
      <c r="U11" s="26" t="s">
        <v>47</v>
      </c>
      <c r="V11" s="26" t="s">
        <v>48</v>
      </c>
      <c r="W11" s="26" t="s">
        <v>49</v>
      </c>
      <c r="X11" s="26" t="s">
        <v>50</v>
      </c>
    </row>
    <row r="12" spans="2:24" x14ac:dyDescent="0.35">
      <c r="B12" s="27"/>
      <c r="C12" s="27"/>
      <c r="D12" s="27"/>
      <c r="E12" s="27"/>
      <c r="F12" s="27"/>
      <c r="G12" s="27"/>
      <c r="H12" s="27"/>
      <c r="J12" s="27"/>
      <c r="K12" s="27"/>
      <c r="L12" s="27"/>
      <c r="M12" s="27"/>
      <c r="N12" s="27"/>
      <c r="O12" s="27"/>
      <c r="P12" s="27"/>
      <c r="R12" s="27"/>
      <c r="S12" s="27"/>
      <c r="T12" s="27"/>
      <c r="U12" s="27"/>
      <c r="V12" s="27"/>
      <c r="W12" s="27"/>
      <c r="X12" s="27"/>
    </row>
    <row r="13" spans="2:24" x14ac:dyDescent="0.35">
      <c r="B13" s="27" t="s">
        <v>52</v>
      </c>
      <c r="C13" s="28">
        <v>0</v>
      </c>
      <c r="D13" s="29">
        <f>(C3*C2)/2</f>
        <v>597491999.99999988</v>
      </c>
      <c r="E13" s="28">
        <f>+D3*D2</f>
        <v>1670684399.9999998</v>
      </c>
      <c r="F13" s="28">
        <f t="shared" ref="F13:H13" si="0">+E3*E2</f>
        <v>2146514580</v>
      </c>
      <c r="G13" s="28">
        <f t="shared" si="0"/>
        <v>2790024425.9999995</v>
      </c>
      <c r="H13" s="28">
        <f t="shared" si="0"/>
        <v>3661600751.5499997</v>
      </c>
      <c r="J13" s="27" t="s">
        <v>52</v>
      </c>
      <c r="K13" s="28">
        <v>0</v>
      </c>
      <c r="L13" s="29">
        <f>+(C4*C2)/2</f>
        <v>746864999.99999988</v>
      </c>
      <c r="M13" s="28">
        <f t="shared" ref="M13:P13" si="1">+D4*D2</f>
        <v>2088355499.9999998</v>
      </c>
      <c r="N13" s="28">
        <f t="shared" si="1"/>
        <v>2683143225</v>
      </c>
      <c r="O13" s="28">
        <f t="shared" si="1"/>
        <v>3487530532.4999995</v>
      </c>
      <c r="P13" s="28">
        <f t="shared" si="1"/>
        <v>4577000939.4375</v>
      </c>
      <c r="R13" s="27" t="s">
        <v>52</v>
      </c>
      <c r="S13" s="28">
        <v>0</v>
      </c>
      <c r="T13" s="29">
        <f>+(C5*C2)/2</f>
        <v>995819999.99999988</v>
      </c>
      <c r="U13" s="28">
        <f t="shared" ref="U13:X13" si="2">+D5*D2</f>
        <v>2784473999.9999995</v>
      </c>
      <c r="V13" s="28">
        <f t="shared" si="2"/>
        <v>3577524300</v>
      </c>
      <c r="W13" s="28">
        <f t="shared" si="2"/>
        <v>4650040709.999999</v>
      </c>
      <c r="X13" s="28">
        <f t="shared" si="2"/>
        <v>6102667919.249999</v>
      </c>
    </row>
    <row r="14" spans="2:24" x14ac:dyDescent="0.35">
      <c r="B14" s="27" t="s">
        <v>181</v>
      </c>
      <c r="C14" s="27"/>
      <c r="D14" s="29">
        <f>+'Costos y gastos'!I20</f>
        <v>460540676</v>
      </c>
      <c r="E14" s="29">
        <f>('Costos y gastos'!N20*$K$2)+'Costos y gastos'!N20</f>
        <v>952724606.08000004</v>
      </c>
      <c r="F14" s="29">
        <f>(E14*$K$2)+E14</f>
        <v>990833590.32319999</v>
      </c>
      <c r="G14" s="29">
        <f t="shared" ref="G14:H14" si="3">(F14*$K$2)+F14</f>
        <v>1030466933.936128</v>
      </c>
      <c r="H14" s="29">
        <f t="shared" si="3"/>
        <v>1071685611.2935731</v>
      </c>
      <c r="J14" s="27" t="s">
        <v>181</v>
      </c>
      <c r="K14" s="27"/>
      <c r="L14" s="29">
        <f>+D14</f>
        <v>460540676</v>
      </c>
      <c r="M14" s="29">
        <f t="shared" ref="M14:P14" si="4">+E14</f>
        <v>952724606.08000004</v>
      </c>
      <c r="N14" s="29">
        <f t="shared" si="4"/>
        <v>990833590.32319999</v>
      </c>
      <c r="O14" s="29">
        <f t="shared" si="4"/>
        <v>1030466933.936128</v>
      </c>
      <c r="P14" s="29">
        <f t="shared" si="4"/>
        <v>1071685611.2935731</v>
      </c>
      <c r="R14" s="27" t="s">
        <v>181</v>
      </c>
      <c r="S14" s="27"/>
      <c r="T14" s="29">
        <f>+L14</f>
        <v>460540676</v>
      </c>
      <c r="U14" s="29">
        <f t="shared" ref="U14" si="5">+M14</f>
        <v>952724606.08000004</v>
      </c>
      <c r="V14" s="29">
        <f t="shared" ref="V14" si="6">+N14</f>
        <v>990833590.32319999</v>
      </c>
      <c r="W14" s="29">
        <f t="shared" ref="W14" si="7">+O14</f>
        <v>1030466933.936128</v>
      </c>
      <c r="X14" s="29">
        <f t="shared" ref="X14" si="8">+P14</f>
        <v>1071685611.2935731</v>
      </c>
    </row>
    <row r="15" spans="2:24" x14ac:dyDescent="0.35">
      <c r="B15" s="30" t="s">
        <v>182</v>
      </c>
      <c r="C15" s="30"/>
      <c r="D15" s="31">
        <f>+D13-D14</f>
        <v>136951323.99999988</v>
      </c>
      <c r="E15" s="31">
        <f t="shared" ref="E15:H15" si="9">+E13-E14</f>
        <v>717959793.91999972</v>
      </c>
      <c r="F15" s="31">
        <f t="shared" si="9"/>
        <v>1155680989.6768</v>
      </c>
      <c r="G15" s="31">
        <f t="shared" si="9"/>
        <v>1759557492.0638714</v>
      </c>
      <c r="H15" s="31">
        <f t="shared" si="9"/>
        <v>2589915140.2564268</v>
      </c>
      <c r="J15" s="30" t="s">
        <v>182</v>
      </c>
      <c r="K15" s="30"/>
      <c r="L15" s="31">
        <f>+L13-L14</f>
        <v>286324323.99999988</v>
      </c>
      <c r="M15" s="31">
        <f t="shared" ref="M15" si="10">+M13-M14</f>
        <v>1135630893.9199996</v>
      </c>
      <c r="N15" s="31">
        <f t="shared" ref="N15" si="11">+N13-N14</f>
        <v>1692309634.6768</v>
      </c>
      <c r="O15" s="31">
        <f t="shared" ref="O15" si="12">+O13-O14</f>
        <v>2457063598.5638714</v>
      </c>
      <c r="P15" s="31">
        <f t="shared" ref="P15" si="13">+P13-P14</f>
        <v>3505315328.1439266</v>
      </c>
      <c r="R15" s="30" t="s">
        <v>182</v>
      </c>
      <c r="S15" s="30"/>
      <c r="T15" s="31">
        <f>+T13-T14</f>
        <v>535279323.99999988</v>
      </c>
      <c r="U15" s="31">
        <f t="shared" ref="U15" si="14">+U13-U14</f>
        <v>1831749393.9199996</v>
      </c>
      <c r="V15" s="31">
        <f t="shared" ref="V15" si="15">+V13-V14</f>
        <v>2586690709.6767998</v>
      </c>
      <c r="W15" s="31">
        <f t="shared" ref="W15" si="16">+W13-W14</f>
        <v>3619573776.0638709</v>
      </c>
      <c r="X15" s="31">
        <f t="shared" ref="X15" si="17">+X13-X14</f>
        <v>5030982307.9564257</v>
      </c>
    </row>
    <row r="16" spans="2:24" x14ac:dyDescent="0.35">
      <c r="B16" s="27" t="s">
        <v>184</v>
      </c>
      <c r="C16" s="27"/>
      <c r="D16" s="29">
        <f>+'Costos y gastos'!G25/4</f>
        <v>3000000</v>
      </c>
      <c r="E16" s="29">
        <f>+('Costos y gastos'!G25/2)*K2+'Costos y gastos'!G25/2</f>
        <v>6240000</v>
      </c>
      <c r="F16" s="29">
        <f t="shared" ref="F16:H17" si="18">+(E16*$K$2)+E16</f>
        <v>6489600</v>
      </c>
      <c r="G16" s="29">
        <f t="shared" si="18"/>
        <v>6749184</v>
      </c>
      <c r="H16" s="29">
        <f t="shared" si="18"/>
        <v>7019151.3600000003</v>
      </c>
      <c r="J16" s="27" t="s">
        <v>184</v>
      </c>
      <c r="K16" s="27"/>
      <c r="L16" s="29">
        <f>+D16</f>
        <v>3000000</v>
      </c>
      <c r="M16" s="29">
        <f>+E16</f>
        <v>6240000</v>
      </c>
      <c r="N16" s="29">
        <f t="shared" ref="N16:P17" si="19">+F16</f>
        <v>6489600</v>
      </c>
      <c r="O16" s="29">
        <f t="shared" si="19"/>
        <v>6749184</v>
      </c>
      <c r="P16" s="29">
        <f t="shared" si="19"/>
        <v>7019151.3600000003</v>
      </c>
      <c r="R16" s="27" t="s">
        <v>184</v>
      </c>
      <c r="S16" s="27"/>
      <c r="T16" s="29">
        <f>+L16</f>
        <v>3000000</v>
      </c>
      <c r="U16" s="29">
        <f>+E16</f>
        <v>6240000</v>
      </c>
      <c r="V16" s="29">
        <f t="shared" ref="V16:X17" si="20">+F16</f>
        <v>6489600</v>
      </c>
      <c r="W16" s="29">
        <f t="shared" si="20"/>
        <v>6749184</v>
      </c>
      <c r="X16" s="29">
        <f t="shared" si="20"/>
        <v>7019151.3600000003</v>
      </c>
    </row>
    <row r="17" spans="2:24" x14ac:dyDescent="0.35">
      <c r="B17" s="27" t="s">
        <v>183</v>
      </c>
      <c r="C17" s="27"/>
      <c r="D17" s="29">
        <f>+'Costos y gastos'!G25/4</f>
        <v>3000000</v>
      </c>
      <c r="E17" s="29">
        <f>+('Costos y gastos'!G25/2)*K2+'Costos y gastos'!G25/2</f>
        <v>6240000</v>
      </c>
      <c r="F17" s="29">
        <f t="shared" si="18"/>
        <v>6489600</v>
      </c>
      <c r="G17" s="29">
        <f t="shared" si="18"/>
        <v>6749184</v>
      </c>
      <c r="H17" s="29">
        <f t="shared" si="18"/>
        <v>7019151.3600000003</v>
      </c>
      <c r="J17" s="27" t="s">
        <v>183</v>
      </c>
      <c r="K17" s="27"/>
      <c r="L17" s="29">
        <f>+D17</f>
        <v>3000000</v>
      </c>
      <c r="M17" s="29">
        <f>+E17</f>
        <v>6240000</v>
      </c>
      <c r="N17" s="29">
        <f t="shared" si="19"/>
        <v>6489600</v>
      </c>
      <c r="O17" s="29">
        <f t="shared" si="19"/>
        <v>6749184</v>
      </c>
      <c r="P17" s="29">
        <f t="shared" si="19"/>
        <v>7019151.3600000003</v>
      </c>
      <c r="R17" s="27" t="s">
        <v>183</v>
      </c>
      <c r="S17" s="27"/>
      <c r="T17" s="29">
        <f>+L17</f>
        <v>3000000</v>
      </c>
      <c r="U17" s="29">
        <f>+E17</f>
        <v>6240000</v>
      </c>
      <c r="V17" s="29">
        <f t="shared" si="20"/>
        <v>6489600</v>
      </c>
      <c r="W17" s="29">
        <f t="shared" si="20"/>
        <v>6749184</v>
      </c>
      <c r="X17" s="29">
        <f t="shared" si="20"/>
        <v>7019151.3600000003</v>
      </c>
    </row>
    <row r="18" spans="2:24" x14ac:dyDescent="0.35">
      <c r="B18" s="27" t="s">
        <v>188</v>
      </c>
      <c r="C18" s="27"/>
      <c r="D18" s="29">
        <v>0</v>
      </c>
      <c r="E18" s="29">
        <v>0</v>
      </c>
      <c r="F18" s="29">
        <v>0</v>
      </c>
      <c r="G18" s="29">
        <v>0</v>
      </c>
      <c r="H18" s="29">
        <v>0</v>
      </c>
      <c r="J18" s="27" t="s">
        <v>188</v>
      </c>
      <c r="K18" s="27"/>
      <c r="L18" s="29">
        <v>0</v>
      </c>
      <c r="M18" s="29">
        <v>0</v>
      </c>
      <c r="N18" s="29">
        <v>0</v>
      </c>
      <c r="O18" s="29">
        <v>0</v>
      </c>
      <c r="P18" s="29">
        <v>0</v>
      </c>
      <c r="R18" s="27" t="s">
        <v>188</v>
      </c>
      <c r="S18" s="27"/>
      <c r="T18" s="29">
        <v>0</v>
      </c>
      <c r="U18" s="29">
        <v>0</v>
      </c>
      <c r="V18" s="29">
        <v>0</v>
      </c>
      <c r="W18" s="29">
        <v>0</v>
      </c>
      <c r="X18" s="29">
        <v>0</v>
      </c>
    </row>
    <row r="19" spans="2:24" x14ac:dyDescent="0.35">
      <c r="B19" s="27" t="s">
        <v>193</v>
      </c>
      <c r="C19" s="27"/>
      <c r="D19" s="29">
        <v>0</v>
      </c>
      <c r="E19" s="29">
        <v>0</v>
      </c>
      <c r="F19" s="29">
        <v>0</v>
      </c>
      <c r="G19" s="29">
        <v>0</v>
      </c>
      <c r="H19" s="29">
        <v>0</v>
      </c>
      <c r="J19" s="27" t="s">
        <v>193</v>
      </c>
      <c r="K19" s="27"/>
      <c r="L19" s="29">
        <v>0</v>
      </c>
      <c r="M19" s="29">
        <v>0</v>
      </c>
      <c r="N19" s="29">
        <v>0</v>
      </c>
      <c r="O19" s="29">
        <v>0</v>
      </c>
      <c r="P19" s="29">
        <v>0</v>
      </c>
      <c r="R19" s="27" t="s">
        <v>193</v>
      </c>
      <c r="S19" s="27"/>
      <c r="T19" s="29">
        <v>0</v>
      </c>
      <c r="U19" s="29">
        <v>0</v>
      </c>
      <c r="V19" s="29">
        <v>0</v>
      </c>
      <c r="W19" s="29">
        <v>0</v>
      </c>
      <c r="X19" s="29">
        <v>0</v>
      </c>
    </row>
    <row r="20" spans="2:24" x14ac:dyDescent="0.35">
      <c r="B20" s="32" t="s">
        <v>185</v>
      </c>
      <c r="C20" s="32"/>
      <c r="D20" s="33">
        <f>+D15-D16-D17</f>
        <v>130951323.99999988</v>
      </c>
      <c r="E20" s="33">
        <f t="shared" ref="E20:H20" si="21">+E15-E16-E17</f>
        <v>705479793.91999972</v>
      </c>
      <c r="F20" s="33">
        <f t="shared" si="21"/>
        <v>1142701789.6768</v>
      </c>
      <c r="G20" s="33">
        <f t="shared" si="21"/>
        <v>1746059124.0638714</v>
      </c>
      <c r="H20" s="33">
        <f t="shared" si="21"/>
        <v>2575876837.5364265</v>
      </c>
      <c r="J20" s="32" t="s">
        <v>185</v>
      </c>
      <c r="K20" s="32"/>
      <c r="L20" s="33">
        <f>+L15-L16-L17</f>
        <v>280324323.99999988</v>
      </c>
      <c r="M20" s="33">
        <f t="shared" ref="M20:P20" si="22">+M15-M16-M17</f>
        <v>1123150893.9199996</v>
      </c>
      <c r="N20" s="33">
        <f t="shared" si="22"/>
        <v>1679330434.6768</v>
      </c>
      <c r="O20" s="33">
        <f t="shared" si="22"/>
        <v>2443565230.5638714</v>
      </c>
      <c r="P20" s="33">
        <f t="shared" si="22"/>
        <v>3491277025.4239264</v>
      </c>
      <c r="R20" s="32" t="s">
        <v>185</v>
      </c>
      <c r="S20" s="32"/>
      <c r="T20" s="33">
        <f>+T15-T16-T17</f>
        <v>529279323.99999988</v>
      </c>
      <c r="U20" s="33">
        <f t="shared" ref="U20:X20" si="23">+U15-U16-U17</f>
        <v>1819269393.9199996</v>
      </c>
      <c r="V20" s="33">
        <f t="shared" si="23"/>
        <v>2573711509.6767998</v>
      </c>
      <c r="W20" s="33">
        <f t="shared" si="23"/>
        <v>3606075408.0638709</v>
      </c>
      <c r="X20" s="33">
        <f t="shared" si="23"/>
        <v>5016944005.2364264</v>
      </c>
    </row>
    <row r="21" spans="2:24" x14ac:dyDescent="0.35">
      <c r="B21" s="27" t="s">
        <v>186</v>
      </c>
      <c r="C21" s="27"/>
      <c r="D21" s="29">
        <f>+('Costos y gastos'!C52+'Costos y gastos'!C53)/2</f>
        <v>33968175.034096263</v>
      </c>
      <c r="E21" s="29">
        <f>+'Costos y gastos'!D45+'Costos y gastos'!D44</f>
        <v>67936350.068192527</v>
      </c>
      <c r="F21" s="29">
        <f>+'Costos y gastos'!E45+'Costos y gastos'!E44</f>
        <v>67936350.068192527</v>
      </c>
      <c r="G21" s="29">
        <f>+'Costos y gastos'!F45+'Costos y gastos'!F44</f>
        <v>67936350.068192527</v>
      </c>
      <c r="H21" s="29">
        <f>+'Costos y gastos'!G45+'Costos y gastos'!G44</f>
        <v>67936350.068192527</v>
      </c>
      <c r="J21" s="27" t="s">
        <v>186</v>
      </c>
      <c r="K21" s="27"/>
      <c r="L21" s="29">
        <f>+D21</f>
        <v>33968175.034096263</v>
      </c>
      <c r="M21" s="29">
        <f t="shared" ref="M21:P21" si="24">+E21</f>
        <v>67936350.068192527</v>
      </c>
      <c r="N21" s="29">
        <f t="shared" si="24"/>
        <v>67936350.068192527</v>
      </c>
      <c r="O21" s="29">
        <f t="shared" si="24"/>
        <v>67936350.068192527</v>
      </c>
      <c r="P21" s="29">
        <f t="shared" si="24"/>
        <v>67936350.068192527</v>
      </c>
      <c r="R21" s="27" t="s">
        <v>186</v>
      </c>
      <c r="S21" s="27"/>
      <c r="T21" s="29">
        <f>+L21</f>
        <v>33968175.034096263</v>
      </c>
      <c r="U21" s="29">
        <f t="shared" ref="U21" si="25">+M21</f>
        <v>67936350.068192527</v>
      </c>
      <c r="V21" s="29">
        <f t="shared" ref="V21" si="26">+N21</f>
        <v>67936350.068192527</v>
      </c>
      <c r="W21" s="29">
        <f t="shared" ref="W21" si="27">+O21</f>
        <v>67936350.068192527</v>
      </c>
      <c r="X21" s="29">
        <f t="shared" ref="X21" si="28">+P21</f>
        <v>67936350.068192527</v>
      </c>
    </row>
    <row r="22" spans="2:24" x14ac:dyDescent="0.35">
      <c r="B22" s="34" t="s">
        <v>187</v>
      </c>
      <c r="C22" s="34"/>
      <c r="D22" s="35">
        <f>+D20-D21</f>
        <v>96983148.96590361</v>
      </c>
      <c r="E22" s="35">
        <f t="shared" ref="E22:H22" si="29">+E20-E21</f>
        <v>637543443.85180724</v>
      </c>
      <c r="F22" s="35">
        <f>+F20-F21</f>
        <v>1074765439.6086075</v>
      </c>
      <c r="G22" s="35">
        <f t="shared" si="29"/>
        <v>1678122773.9956789</v>
      </c>
      <c r="H22" s="35">
        <f t="shared" si="29"/>
        <v>2507940487.4682341</v>
      </c>
      <c r="J22" s="34" t="s">
        <v>187</v>
      </c>
      <c r="K22" s="34"/>
      <c r="L22" s="35">
        <f>+L20-L21</f>
        <v>246356148.96590361</v>
      </c>
      <c r="M22" s="35">
        <f t="shared" ref="M22" si="30">+M20-M21</f>
        <v>1055214543.8518071</v>
      </c>
      <c r="N22" s="35">
        <f t="shared" ref="N22" si="31">+N20-N21</f>
        <v>1611394084.6086075</v>
      </c>
      <c r="O22" s="35">
        <f t="shared" ref="O22" si="32">+O20-O21</f>
        <v>2375628880.4956789</v>
      </c>
      <c r="P22" s="35">
        <f t="shared" ref="P22" si="33">+P20-P21</f>
        <v>3423340675.3557339</v>
      </c>
      <c r="R22" s="34" t="s">
        <v>187</v>
      </c>
      <c r="S22" s="34"/>
      <c r="T22" s="35">
        <f>+T20-T21</f>
        <v>495311148.96590364</v>
      </c>
      <c r="U22" s="35">
        <f t="shared" ref="U22" si="34">+U20-U21</f>
        <v>1751333043.8518071</v>
      </c>
      <c r="V22" s="35">
        <f t="shared" ref="V22" si="35">+V20-V21</f>
        <v>2505775159.6086073</v>
      </c>
      <c r="W22" s="35">
        <f t="shared" ref="W22" si="36">+W20-W21</f>
        <v>3538139057.9956784</v>
      </c>
      <c r="X22" s="35">
        <f t="shared" ref="X22" si="37">+X20-X21</f>
        <v>4949007655.1682339</v>
      </c>
    </row>
    <row r="23" spans="2:24" x14ac:dyDescent="0.35">
      <c r="C23" s="25"/>
    </row>
    <row r="24" spans="2:24" x14ac:dyDescent="0.35">
      <c r="C24" s="21">
        <v>0</v>
      </c>
      <c r="D24" s="21">
        <v>1</v>
      </c>
      <c r="E24" s="21">
        <v>2</v>
      </c>
      <c r="F24" s="21">
        <v>3</v>
      </c>
      <c r="G24" s="21">
        <v>4</v>
      </c>
      <c r="H24" s="21">
        <v>5</v>
      </c>
      <c r="K24" s="21">
        <v>0</v>
      </c>
      <c r="L24" s="21">
        <v>1</v>
      </c>
      <c r="M24" s="21">
        <v>2</v>
      </c>
      <c r="N24" s="21">
        <v>3</v>
      </c>
      <c r="O24" s="21">
        <v>4</v>
      </c>
      <c r="P24" s="21">
        <v>5</v>
      </c>
      <c r="S24" s="21">
        <v>0</v>
      </c>
      <c r="T24" s="21">
        <v>1</v>
      </c>
      <c r="U24" s="21">
        <v>2</v>
      </c>
      <c r="V24" s="21">
        <v>3</v>
      </c>
      <c r="W24" s="21">
        <v>4</v>
      </c>
      <c r="X24" s="21">
        <v>5</v>
      </c>
    </row>
    <row r="25" spans="2:24" x14ac:dyDescent="0.35">
      <c r="B25" s="27" t="s">
        <v>174</v>
      </c>
      <c r="C25" s="29">
        <f>-K5</f>
        <v>-489790676</v>
      </c>
      <c r="D25" s="29">
        <f>+D22</f>
        <v>96983148.96590361</v>
      </c>
      <c r="E25" s="29">
        <f t="shared" ref="E25:H25" si="38">+E22</f>
        <v>637543443.85180724</v>
      </c>
      <c r="F25" s="29">
        <f t="shared" si="38"/>
        <v>1074765439.6086075</v>
      </c>
      <c r="G25" s="29">
        <f t="shared" si="38"/>
        <v>1678122773.9956789</v>
      </c>
      <c r="H25" s="29">
        <f t="shared" si="38"/>
        <v>2507940487.4682341</v>
      </c>
      <c r="J25" s="27" t="s">
        <v>174</v>
      </c>
      <c r="K25" s="29">
        <f>+C25</f>
        <v>-489790676</v>
      </c>
      <c r="L25" s="29">
        <f>+L22</f>
        <v>246356148.96590361</v>
      </c>
      <c r="M25" s="29">
        <f>+M22</f>
        <v>1055214543.8518071</v>
      </c>
      <c r="N25" s="29">
        <f t="shared" ref="N25:P25" si="39">+N22</f>
        <v>1611394084.6086075</v>
      </c>
      <c r="O25" s="29">
        <f t="shared" si="39"/>
        <v>2375628880.4956789</v>
      </c>
      <c r="P25" s="29">
        <f t="shared" si="39"/>
        <v>3423340675.3557339</v>
      </c>
      <c r="R25" s="27" t="s">
        <v>174</v>
      </c>
      <c r="S25" s="29">
        <f>+K25</f>
        <v>-489790676</v>
      </c>
      <c r="T25" s="29">
        <f>+T22</f>
        <v>495311148.96590364</v>
      </c>
      <c r="U25" s="29">
        <f t="shared" ref="U25:X25" si="40">+U22</f>
        <v>1751333043.8518071</v>
      </c>
      <c r="V25" s="29">
        <f t="shared" si="40"/>
        <v>2505775159.6086073</v>
      </c>
      <c r="W25" s="29">
        <f t="shared" si="40"/>
        <v>3538139057.9956784</v>
      </c>
      <c r="X25" s="29">
        <f t="shared" si="40"/>
        <v>4949007655.1682339</v>
      </c>
    </row>
    <row r="26" spans="2:24" x14ac:dyDescent="0.35">
      <c r="B26" s="36" t="s">
        <v>195</v>
      </c>
      <c r="C26" s="37">
        <f>+C25</f>
        <v>-489790676</v>
      </c>
      <c r="D26" s="37">
        <f>+C26+D25</f>
        <v>-392807527.03409636</v>
      </c>
      <c r="E26" s="37">
        <f>+E25+D26</f>
        <v>244735916.81771088</v>
      </c>
      <c r="F26" s="37">
        <f t="shared" ref="F26:H26" si="41">+F25+E26</f>
        <v>1319501356.4263184</v>
      </c>
      <c r="G26" s="37">
        <f t="shared" si="41"/>
        <v>2997624130.4219971</v>
      </c>
      <c r="H26" s="37">
        <f t="shared" si="41"/>
        <v>5505564617.8902311</v>
      </c>
      <c r="J26" s="36" t="s">
        <v>195</v>
      </c>
      <c r="K26" s="37">
        <f>+K25</f>
        <v>-489790676</v>
      </c>
      <c r="L26" s="37">
        <f>+L25+K26</f>
        <v>-243434527.03409639</v>
      </c>
      <c r="M26" s="37">
        <f>+M25+L26</f>
        <v>811780016.81771076</v>
      </c>
      <c r="N26" s="37">
        <f t="shared" ref="N26:O26" si="42">+N25+M26</f>
        <v>2423174101.4263182</v>
      </c>
      <c r="O26" s="37">
        <f t="shared" si="42"/>
        <v>4798802981.9219971</v>
      </c>
      <c r="P26" s="37">
        <f>+P25+O26</f>
        <v>8222143657.2777309</v>
      </c>
      <c r="R26" s="36" t="s">
        <v>195</v>
      </c>
      <c r="S26" s="37">
        <f>+S25</f>
        <v>-489790676</v>
      </c>
      <c r="T26" s="37">
        <f>+T25+S26</f>
        <v>5520472.9659036398</v>
      </c>
      <c r="U26" s="37">
        <f>+U25+T26</f>
        <v>1756853516.8177109</v>
      </c>
      <c r="V26" s="37">
        <f t="shared" ref="V26:W26" si="43">+V25+U26</f>
        <v>4262628676.4263182</v>
      </c>
      <c r="W26" s="37">
        <f t="shared" si="43"/>
        <v>7800767734.4219971</v>
      </c>
      <c r="X26" s="37">
        <f>+X25+W26</f>
        <v>12749775389.590231</v>
      </c>
    </row>
    <row r="27" spans="2:24" x14ac:dyDescent="0.35">
      <c r="E27" s="25"/>
    </row>
    <row r="28" spans="2:24" x14ac:dyDescent="0.35">
      <c r="B28" s="27" t="s">
        <v>175</v>
      </c>
      <c r="C28" s="121">
        <f>IRR(C25:H25)</f>
        <v>1.047557673057522</v>
      </c>
      <c r="J28" s="27" t="s">
        <v>175</v>
      </c>
      <c r="K28" s="121">
        <f>IRR(K25:P25)</f>
        <v>1.4516788217336156</v>
      </c>
      <c r="R28" s="27" t="s">
        <v>175</v>
      </c>
      <c r="S28" s="121">
        <f>IRR(S25:X25)</f>
        <v>2.0757572421340389</v>
      </c>
    </row>
    <row r="29" spans="2:24" x14ac:dyDescent="0.35">
      <c r="B29" s="27" t="s">
        <v>176</v>
      </c>
      <c r="C29" s="122">
        <f>NPV(K3,D25:H25)</f>
        <v>4429905904.0199785</v>
      </c>
      <c r="E29" s="25"/>
      <c r="J29" s="27" t="s">
        <v>176</v>
      </c>
      <c r="K29" s="122">
        <f>NPV(K3,L25:P25)</f>
        <v>6487986802.5805225</v>
      </c>
      <c r="R29" s="27" t="s">
        <v>176</v>
      </c>
      <c r="S29" s="122">
        <f>NPV(K3,T25:X25)</f>
        <v>9918121633.514761</v>
      </c>
    </row>
    <row r="30" spans="2:24" x14ac:dyDescent="0.35">
      <c r="B30" s="27" t="s">
        <v>177</v>
      </c>
      <c r="C30" s="122">
        <f>+C29+C25</f>
        <v>3940115228.0199785</v>
      </c>
      <c r="E30" s="123"/>
      <c r="J30" s="27" t="s">
        <v>177</v>
      </c>
      <c r="K30" s="122">
        <f>+K29+K25</f>
        <v>5998196126.5805225</v>
      </c>
      <c r="R30" s="27" t="s">
        <v>177</v>
      </c>
      <c r="S30" s="122">
        <f>+S29+S25</f>
        <v>9428330957.514761</v>
      </c>
    </row>
    <row r="31" spans="2:24" x14ac:dyDescent="0.35">
      <c r="B31" s="36" t="s">
        <v>194</v>
      </c>
      <c r="C31" s="42">
        <f>+D24-D26/E25</f>
        <v>1.6161266825377343</v>
      </c>
      <c r="E31" s="123"/>
      <c r="J31" s="36" t="s">
        <v>194</v>
      </c>
      <c r="K31" s="42">
        <f>+L24-L26/M25</f>
        <v>1.2306967132442064</v>
      </c>
      <c r="R31" s="36" t="s">
        <v>194</v>
      </c>
      <c r="S31" s="42">
        <f>+T24-T26/T25</f>
        <v>0.98885453522007505</v>
      </c>
    </row>
    <row r="32" spans="2:24" x14ac:dyDescent="0.35">
      <c r="E32" s="123"/>
    </row>
    <row r="33" spans="2:24" x14ac:dyDescent="0.35">
      <c r="B33" s="27" t="s">
        <v>189</v>
      </c>
      <c r="C33" s="37"/>
      <c r="D33" s="37">
        <f>+D20+D18+D19</f>
        <v>130951323.99999988</v>
      </c>
      <c r="E33" s="37">
        <f t="shared" ref="E33:H33" si="44">+E20</f>
        <v>705479793.91999972</v>
      </c>
      <c r="F33" s="37">
        <f t="shared" si="44"/>
        <v>1142701789.6768</v>
      </c>
      <c r="G33" s="37">
        <f t="shared" si="44"/>
        <v>1746059124.0638714</v>
      </c>
      <c r="H33" s="37">
        <f t="shared" si="44"/>
        <v>2575876837.5364265</v>
      </c>
      <c r="J33" s="27" t="s">
        <v>189</v>
      </c>
      <c r="K33" s="37"/>
      <c r="L33" s="37">
        <f>+L20+L18+L19</f>
        <v>280324323.99999988</v>
      </c>
      <c r="M33" s="37">
        <f t="shared" ref="M33:P33" si="45">+M20</f>
        <v>1123150893.9199996</v>
      </c>
      <c r="N33" s="37">
        <f t="shared" si="45"/>
        <v>1679330434.6768</v>
      </c>
      <c r="O33" s="37">
        <f t="shared" si="45"/>
        <v>2443565230.5638714</v>
      </c>
      <c r="P33" s="37">
        <f t="shared" si="45"/>
        <v>3491277025.4239264</v>
      </c>
      <c r="R33" s="27" t="s">
        <v>189</v>
      </c>
      <c r="S33" s="37"/>
      <c r="T33" s="37">
        <f>+T20+T18+T19</f>
        <v>529279323.99999988</v>
      </c>
      <c r="U33" s="37">
        <f t="shared" ref="U33:X33" si="46">+U20</f>
        <v>1819269393.9199996</v>
      </c>
      <c r="V33" s="37">
        <f t="shared" si="46"/>
        <v>2573711509.6767998</v>
      </c>
      <c r="W33" s="37">
        <f t="shared" si="46"/>
        <v>3606075408.0638709</v>
      </c>
      <c r="X33" s="37">
        <f t="shared" si="46"/>
        <v>5016944005.2364264</v>
      </c>
    </row>
    <row r="34" spans="2:24" x14ac:dyDescent="0.35">
      <c r="B34" s="27" t="s">
        <v>191</v>
      </c>
      <c r="C34" s="27"/>
      <c r="D34" s="94">
        <f>+D15/D13</f>
        <v>0.22921030574467927</v>
      </c>
      <c r="E34" s="94">
        <f t="shared" ref="E34:H34" si="47">+E15/E13</f>
        <v>0.42973992809174483</v>
      </c>
      <c r="F34" s="94">
        <f t="shared" si="47"/>
        <v>0.5383988538651342</v>
      </c>
      <c r="G34" s="94">
        <f t="shared" si="47"/>
        <v>0.63066024643609042</v>
      </c>
      <c r="H34" s="94">
        <f t="shared" si="47"/>
        <v>0.70731773232242334</v>
      </c>
      <c r="J34" s="27" t="s">
        <v>191</v>
      </c>
      <c r="K34" s="27"/>
      <c r="L34" s="94">
        <f>+L15/L13</f>
        <v>0.38336824459574342</v>
      </c>
      <c r="M34" s="94">
        <f t="shared" ref="M34:P34" si="48">+M15/M13</f>
        <v>0.5437919424733958</v>
      </c>
      <c r="N34" s="94">
        <f t="shared" si="48"/>
        <v>0.63071908309210745</v>
      </c>
      <c r="O34" s="94">
        <f t="shared" si="48"/>
        <v>0.70452819714887238</v>
      </c>
      <c r="P34" s="94">
        <f t="shared" si="48"/>
        <v>0.76585418585793863</v>
      </c>
      <c r="R34" s="27" t="s">
        <v>191</v>
      </c>
      <c r="S34" s="27"/>
      <c r="T34" s="94">
        <f>+T15/T13</f>
        <v>0.53752618344680758</v>
      </c>
      <c r="U34" s="94">
        <f t="shared" ref="U34:X34" si="49">+U15/U13</f>
        <v>0.65784395685504693</v>
      </c>
      <c r="V34" s="94">
        <f t="shared" si="49"/>
        <v>0.72303931231908047</v>
      </c>
      <c r="W34" s="94">
        <f t="shared" si="49"/>
        <v>0.77839614786165423</v>
      </c>
      <c r="X34" s="94">
        <f t="shared" si="49"/>
        <v>0.82439063939345392</v>
      </c>
    </row>
    <row r="35" spans="2:24" x14ac:dyDescent="0.35">
      <c r="B35" s="27" t="s">
        <v>190</v>
      </c>
      <c r="C35" s="27"/>
      <c r="D35" s="124">
        <f>+D20/D13</f>
        <v>0.21916833028726729</v>
      </c>
      <c r="E35" s="124">
        <f>+E20/E13</f>
        <v>0.42226993555455467</v>
      </c>
      <c r="F35" s="124">
        <f>+F20/F13</f>
        <v>0.53235221429374124</v>
      </c>
      <c r="G35" s="124">
        <f>+G20/G13</f>
        <v>0.62582216406153846</v>
      </c>
      <c r="H35" s="124">
        <f>+H20/H13</f>
        <v>0.70348380730641558</v>
      </c>
      <c r="J35" s="27" t="s">
        <v>190</v>
      </c>
      <c r="K35" s="27"/>
      <c r="L35" s="124">
        <f>+L20/L13</f>
        <v>0.37533466422981387</v>
      </c>
      <c r="M35" s="124">
        <f>+M20/M13</f>
        <v>0.53781594844364367</v>
      </c>
      <c r="N35" s="124">
        <f>+N20/N13</f>
        <v>0.62588177143499302</v>
      </c>
      <c r="O35" s="124">
        <f>+O20/O13</f>
        <v>0.70065773124923081</v>
      </c>
      <c r="P35" s="124">
        <f>+P20/P13</f>
        <v>0.76278704584513235</v>
      </c>
      <c r="R35" s="27" t="s">
        <v>190</v>
      </c>
      <c r="S35" s="27"/>
      <c r="T35" s="124">
        <f>+T20/T13</f>
        <v>0.53150099817236041</v>
      </c>
      <c r="U35" s="124">
        <f>+U20/U13</f>
        <v>0.65336196133273283</v>
      </c>
      <c r="V35" s="124">
        <f>+V20/V13</f>
        <v>0.71941132857624468</v>
      </c>
      <c r="W35" s="124">
        <f>+W20/W13</f>
        <v>0.77549329843692305</v>
      </c>
      <c r="X35" s="124">
        <f>+X20/X13</f>
        <v>0.82209028438384946</v>
      </c>
    </row>
    <row r="36" spans="2:24" x14ac:dyDescent="0.35">
      <c r="B36" s="27" t="s">
        <v>192</v>
      </c>
      <c r="C36" s="27"/>
      <c r="D36" s="94">
        <f>+D22/D13</f>
        <v>0.16231706694968909</v>
      </c>
      <c r="E36" s="94">
        <f t="shared" ref="E36:H36" si="50">+E22/E13</f>
        <v>0.38160615125861436</v>
      </c>
      <c r="F36" s="94">
        <f t="shared" si="50"/>
        <v>0.50070260394346244</v>
      </c>
      <c r="G36" s="94">
        <f t="shared" si="50"/>
        <v>0.60147243097852332</v>
      </c>
      <c r="H36" s="94">
        <f t="shared" si="50"/>
        <v>0.68493007775536219</v>
      </c>
      <c r="J36" s="27" t="s">
        <v>192</v>
      </c>
      <c r="K36" s="27"/>
      <c r="L36" s="94">
        <f>+L22/L13</f>
        <v>0.32985365355975127</v>
      </c>
      <c r="M36" s="94">
        <f t="shared" ref="M36:P36" si="51">+M22/M13</f>
        <v>0.50528492100689137</v>
      </c>
      <c r="N36" s="94">
        <f t="shared" si="51"/>
        <v>0.60056208315476989</v>
      </c>
      <c r="O36" s="94">
        <f t="shared" si="51"/>
        <v>0.68117794478281868</v>
      </c>
      <c r="P36" s="94">
        <f t="shared" si="51"/>
        <v>0.74794406220428966</v>
      </c>
      <c r="R36" s="27" t="s">
        <v>192</v>
      </c>
      <c r="S36" s="27"/>
      <c r="T36" s="94">
        <f>+T22/T13</f>
        <v>0.49739024016981354</v>
      </c>
      <c r="U36" s="94">
        <f t="shared" ref="U36:X36" si="52">+U22/U13</f>
        <v>0.62896369075516867</v>
      </c>
      <c r="V36" s="94">
        <f t="shared" si="52"/>
        <v>0.70042156236607733</v>
      </c>
      <c r="W36" s="94">
        <f t="shared" si="52"/>
        <v>0.76088345858711404</v>
      </c>
      <c r="X36" s="94">
        <f t="shared" si="52"/>
        <v>0.81095804665321736</v>
      </c>
    </row>
  </sheetData>
  <mergeCells count="3">
    <mergeCell ref="B10:H10"/>
    <mergeCell ref="J10:P10"/>
    <mergeCell ref="R10:X10"/>
  </mergeCells>
  <pageMargins left="0.7" right="0.7" top="0.75" bottom="0.75" header="0.3" footer="0.3"/>
  <pageSetup orientation="portrait" r:id="rId1"/>
  <ignoredErrors>
    <ignoredError sqref="L15 T15 P15 M15:O15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X36"/>
  <sheetViews>
    <sheetView workbookViewId="0">
      <selection activeCell="C7" sqref="C7"/>
    </sheetView>
  </sheetViews>
  <sheetFormatPr baseColWidth="10" defaultRowHeight="15.5" x14ac:dyDescent="0.35"/>
  <cols>
    <col min="1" max="1" width="10.90625" style="21"/>
    <col min="2" max="2" width="23.453125" style="21" customWidth="1"/>
    <col min="3" max="3" width="17.81640625" style="21" customWidth="1"/>
    <col min="4" max="4" width="15.81640625" style="21" customWidth="1"/>
    <col min="5" max="5" width="15" style="21" bestFit="1" customWidth="1"/>
    <col min="6" max="6" width="14.81640625" style="21" customWidth="1"/>
    <col min="7" max="7" width="14.453125" style="21" customWidth="1"/>
    <col min="8" max="8" width="16" style="21" bestFit="1" customWidth="1"/>
    <col min="9" max="9" width="10.90625" style="21"/>
    <col min="10" max="10" width="29.6328125" style="21" bestFit="1" customWidth="1"/>
    <col min="11" max="11" width="16.453125" style="21" bestFit="1" customWidth="1"/>
    <col min="12" max="12" width="14.26953125" style="21" bestFit="1" customWidth="1"/>
    <col min="13" max="13" width="14.1796875" style="21" customWidth="1"/>
    <col min="14" max="14" width="14.453125" style="21" customWidth="1"/>
    <col min="15" max="16" width="16" style="21" bestFit="1" customWidth="1"/>
    <col min="17" max="17" width="10.90625" style="21"/>
    <col min="18" max="18" width="29.6328125" style="21" bestFit="1" customWidth="1"/>
    <col min="19" max="19" width="16.453125" style="21" bestFit="1" customWidth="1"/>
    <col min="20" max="20" width="14.26953125" style="21" bestFit="1" customWidth="1"/>
    <col min="21" max="21" width="14.453125" style="21" customWidth="1"/>
    <col min="22" max="22" width="14.36328125" style="21" customWidth="1"/>
    <col min="23" max="23" width="16" style="21" bestFit="1" customWidth="1"/>
    <col min="24" max="24" width="14.6328125" style="21" customWidth="1"/>
    <col min="25" max="16384" width="10.90625" style="21"/>
  </cols>
  <sheetData>
    <row r="1" spans="2:24" x14ac:dyDescent="0.35">
      <c r="C1" s="21" t="s">
        <v>56</v>
      </c>
      <c r="D1" s="21" t="s">
        <v>58</v>
      </c>
      <c r="E1" s="21" t="s">
        <v>57</v>
      </c>
      <c r="F1" s="21" t="s">
        <v>59</v>
      </c>
      <c r="G1" s="21" t="s">
        <v>60</v>
      </c>
      <c r="J1" s="27" t="s">
        <v>178</v>
      </c>
      <c r="K1" s="121">
        <v>0.04</v>
      </c>
    </row>
    <row r="2" spans="2:24" x14ac:dyDescent="0.35">
      <c r="B2" s="21" t="s">
        <v>53</v>
      </c>
      <c r="C2" s="22">
        <f>+'Ingresos x escenarios'!Q5</f>
        <v>1185.5</v>
      </c>
      <c r="D2" s="22">
        <f>+'Ingresos x escenarios'!R5</f>
        <v>1578.5</v>
      </c>
      <c r="E2" s="22">
        <f>+'Ingresos x escenarios'!S5</f>
        <v>1931.5</v>
      </c>
      <c r="F2" s="22">
        <f>+'Ingresos x escenarios'!T5</f>
        <v>2391</v>
      </c>
      <c r="G2" s="22">
        <f>+'Ingresos x escenarios'!U5</f>
        <v>2988.5</v>
      </c>
      <c r="J2" s="27" t="s">
        <v>179</v>
      </c>
      <c r="K2" s="121">
        <v>0.08</v>
      </c>
    </row>
    <row r="3" spans="2:24" x14ac:dyDescent="0.35">
      <c r="B3" s="21" t="s">
        <v>159</v>
      </c>
      <c r="C3" s="23">
        <f>+'Ingresos x escenarios'!C3</f>
        <v>720000</v>
      </c>
      <c r="D3" s="23">
        <f>+'Ingresos x escenarios'!E3</f>
        <v>756000</v>
      </c>
      <c r="E3" s="23">
        <f>+'Ingresos x escenarios'!G3</f>
        <v>793800</v>
      </c>
      <c r="F3" s="23">
        <f>+'Ingresos x escenarios'!I3</f>
        <v>833490</v>
      </c>
      <c r="G3" s="23">
        <f>+'Ingresos x escenarios'!L3</f>
        <v>875164.5</v>
      </c>
      <c r="J3" s="27" t="s">
        <v>180</v>
      </c>
      <c r="K3" s="27">
        <v>5</v>
      </c>
    </row>
    <row r="4" spans="2:24" x14ac:dyDescent="0.35">
      <c r="B4" s="21" t="s">
        <v>160</v>
      </c>
      <c r="C4" s="23">
        <f>+'Ingresos x escenarios'!C4</f>
        <v>900000</v>
      </c>
      <c r="D4" s="23">
        <f>+'Ingresos x escenarios'!E4</f>
        <v>945000</v>
      </c>
      <c r="E4" s="23">
        <f>+'Ingresos x escenarios'!G4</f>
        <v>992250</v>
      </c>
      <c r="F4" s="23">
        <f>+'Ingresos x escenarios'!I4</f>
        <v>1041862.5</v>
      </c>
      <c r="G4" s="23">
        <f>+'Ingresos x escenarios'!L4</f>
        <v>1093955.625</v>
      </c>
      <c r="J4" s="27" t="s">
        <v>168</v>
      </c>
      <c r="K4" s="29">
        <f>+'Costos y gastos'!D19</f>
        <v>489790676</v>
      </c>
    </row>
    <row r="5" spans="2:24" x14ac:dyDescent="0.35">
      <c r="B5" s="21" t="s">
        <v>161</v>
      </c>
      <c r="C5" s="23">
        <f>+'Ingresos x escenarios'!C5</f>
        <v>1200000</v>
      </c>
      <c r="D5" s="23">
        <f>+'Ingresos x escenarios'!E5</f>
        <v>1260000</v>
      </c>
      <c r="E5" s="23">
        <f>+'Ingresos x escenarios'!G5</f>
        <v>1323000</v>
      </c>
      <c r="F5" s="23">
        <f>+'Ingresos x escenarios'!I5</f>
        <v>1389150</v>
      </c>
      <c r="G5" s="23">
        <f>+'Ingresos x escenarios'!L5</f>
        <v>1458607.5</v>
      </c>
    </row>
    <row r="6" spans="2:24" x14ac:dyDescent="0.35">
      <c r="B6" s="21" t="s">
        <v>12</v>
      </c>
    </row>
    <row r="7" spans="2:24" x14ac:dyDescent="0.35">
      <c r="B7" s="21" t="s">
        <v>24</v>
      </c>
    </row>
    <row r="8" spans="2:24" x14ac:dyDescent="0.35">
      <c r="B8" s="21" t="s">
        <v>54</v>
      </c>
    </row>
    <row r="10" spans="2:24" x14ac:dyDescent="0.35">
      <c r="B10" s="180" t="s">
        <v>64</v>
      </c>
      <c r="C10" s="180"/>
      <c r="D10" s="180"/>
      <c r="E10" s="180"/>
      <c r="F10" s="180"/>
      <c r="G10" s="180"/>
      <c r="H10" s="180"/>
      <c r="J10" s="180" t="s">
        <v>65</v>
      </c>
      <c r="K10" s="180"/>
      <c r="L10" s="180"/>
      <c r="M10" s="180"/>
      <c r="N10" s="180"/>
      <c r="O10" s="180"/>
      <c r="P10" s="180"/>
      <c r="R10" s="180" t="s">
        <v>66</v>
      </c>
      <c r="S10" s="180"/>
      <c r="T10" s="180"/>
      <c r="U10" s="180"/>
      <c r="V10" s="180"/>
      <c r="W10" s="180"/>
      <c r="X10" s="180"/>
    </row>
    <row r="11" spans="2:24" x14ac:dyDescent="0.35">
      <c r="B11" s="26" t="s">
        <v>51</v>
      </c>
      <c r="C11" s="26" t="s">
        <v>45</v>
      </c>
      <c r="D11" s="26" t="s">
        <v>46</v>
      </c>
      <c r="E11" s="26" t="s">
        <v>47</v>
      </c>
      <c r="F11" s="26" t="s">
        <v>48</v>
      </c>
      <c r="G11" s="26" t="s">
        <v>49</v>
      </c>
      <c r="H11" s="26" t="s">
        <v>50</v>
      </c>
      <c r="J11" s="26" t="s">
        <v>51</v>
      </c>
      <c r="K11" s="26" t="s">
        <v>45</v>
      </c>
      <c r="L11" s="26" t="s">
        <v>46</v>
      </c>
      <c r="M11" s="26" t="s">
        <v>47</v>
      </c>
      <c r="N11" s="26" t="s">
        <v>48</v>
      </c>
      <c r="O11" s="26" t="s">
        <v>49</v>
      </c>
      <c r="P11" s="26" t="s">
        <v>50</v>
      </c>
      <c r="R11" s="26" t="s">
        <v>51</v>
      </c>
      <c r="S11" s="26" t="s">
        <v>45</v>
      </c>
      <c r="T11" s="26" t="s">
        <v>46</v>
      </c>
      <c r="U11" s="26" t="s">
        <v>47</v>
      </c>
      <c r="V11" s="26" t="s">
        <v>48</v>
      </c>
      <c r="W11" s="26" t="s">
        <v>49</v>
      </c>
      <c r="X11" s="26" t="s">
        <v>50</v>
      </c>
    </row>
    <row r="12" spans="2:24" x14ac:dyDescent="0.35">
      <c r="B12" s="27"/>
      <c r="C12" s="27"/>
      <c r="D12" s="27"/>
      <c r="E12" s="27"/>
      <c r="F12" s="27"/>
      <c r="G12" s="27"/>
      <c r="H12" s="27"/>
      <c r="J12" s="27"/>
      <c r="K12" s="27"/>
      <c r="L12" s="27"/>
      <c r="M12" s="27"/>
      <c r="N12" s="27"/>
      <c r="O12" s="27"/>
      <c r="P12" s="27"/>
      <c r="R12" s="27"/>
      <c r="S12" s="27"/>
      <c r="T12" s="27"/>
      <c r="U12" s="27"/>
      <c r="V12" s="27"/>
      <c r="W12" s="27"/>
      <c r="X12" s="27"/>
    </row>
    <row r="13" spans="2:24" x14ac:dyDescent="0.35">
      <c r="B13" s="27" t="s">
        <v>52</v>
      </c>
      <c r="C13" s="28">
        <v>0</v>
      </c>
      <c r="D13" s="29">
        <f>+C3*C2/2</f>
        <v>426780000</v>
      </c>
      <c r="E13" s="28">
        <f t="shared" ref="E13:H13" si="0">+D3*D2</f>
        <v>1193346000</v>
      </c>
      <c r="F13" s="28">
        <f t="shared" si="0"/>
        <v>1533224700</v>
      </c>
      <c r="G13" s="28">
        <f t="shared" si="0"/>
        <v>1992874590</v>
      </c>
      <c r="H13" s="28">
        <f t="shared" si="0"/>
        <v>2615429108.25</v>
      </c>
      <c r="J13" s="27" t="s">
        <v>52</v>
      </c>
      <c r="K13" s="28">
        <v>0</v>
      </c>
      <c r="L13" s="29">
        <f>+C2*C4/2</f>
        <v>533475000</v>
      </c>
      <c r="M13" s="28">
        <f t="shared" ref="M13:P13" si="1">+D2*D4</f>
        <v>1491682500</v>
      </c>
      <c r="N13" s="28">
        <f t="shared" si="1"/>
        <v>1916530875</v>
      </c>
      <c r="O13" s="28">
        <f t="shared" si="1"/>
        <v>2491093237.5</v>
      </c>
      <c r="P13" s="28">
        <f t="shared" si="1"/>
        <v>3269286385.3125</v>
      </c>
      <c r="R13" s="27" t="s">
        <v>52</v>
      </c>
      <c r="S13" s="28">
        <v>0</v>
      </c>
      <c r="T13" s="29">
        <f>+C2*C5/2</f>
        <v>711300000</v>
      </c>
      <c r="U13" s="28">
        <f t="shared" ref="U13:X13" si="2">+D2*D5</f>
        <v>1988910000</v>
      </c>
      <c r="V13" s="28">
        <f t="shared" si="2"/>
        <v>2555374500</v>
      </c>
      <c r="W13" s="28">
        <f t="shared" si="2"/>
        <v>3321457650</v>
      </c>
      <c r="X13" s="28">
        <f t="shared" si="2"/>
        <v>4359048513.75</v>
      </c>
    </row>
    <row r="14" spans="2:24" x14ac:dyDescent="0.35">
      <c r="B14" s="27" t="s">
        <v>181</v>
      </c>
      <c r="C14" s="27"/>
      <c r="D14" s="29">
        <f>+'Costos y gastos'!I20</f>
        <v>460540676</v>
      </c>
      <c r="E14" s="29">
        <f>('Costos y gastos'!N20*$K$2)+'Costos y gastos'!N20</f>
        <v>989367860.15999997</v>
      </c>
      <c r="F14" s="29">
        <f>(E14*$K$2)+E14</f>
        <v>1068517288.9728</v>
      </c>
      <c r="G14" s="29">
        <f t="shared" ref="G14:H14" si="3">(F14*$K$2)+F14</f>
        <v>1153998672.0906241</v>
      </c>
      <c r="H14" s="29">
        <f t="shared" si="3"/>
        <v>1246318565.8578739</v>
      </c>
      <c r="J14" s="27" t="s">
        <v>181</v>
      </c>
      <c r="K14" s="27"/>
      <c r="L14" s="29">
        <f>+D14</f>
        <v>460540676</v>
      </c>
      <c r="M14" s="29">
        <f t="shared" ref="M14:P14" si="4">+E14</f>
        <v>989367860.15999997</v>
      </c>
      <c r="N14" s="29">
        <f t="shared" si="4"/>
        <v>1068517288.9728</v>
      </c>
      <c r="O14" s="29">
        <f t="shared" si="4"/>
        <v>1153998672.0906241</v>
      </c>
      <c r="P14" s="29">
        <f t="shared" si="4"/>
        <v>1246318565.8578739</v>
      </c>
      <c r="R14" s="27" t="s">
        <v>181</v>
      </c>
      <c r="S14" s="27"/>
      <c r="T14" s="29">
        <f>+L14</f>
        <v>460540676</v>
      </c>
      <c r="U14" s="29">
        <f t="shared" ref="U14" si="5">+M14</f>
        <v>989367860.15999997</v>
      </c>
      <c r="V14" s="29">
        <f t="shared" ref="V14" si="6">+N14</f>
        <v>1068517288.9728</v>
      </c>
      <c r="W14" s="29">
        <f t="shared" ref="W14" si="7">+O14</f>
        <v>1153998672.0906241</v>
      </c>
      <c r="X14" s="29">
        <f t="shared" ref="X14" si="8">+P14</f>
        <v>1246318565.8578739</v>
      </c>
    </row>
    <row r="15" spans="2:24" x14ac:dyDescent="0.35">
      <c r="B15" s="30" t="s">
        <v>182</v>
      </c>
      <c r="C15" s="30"/>
      <c r="D15" s="31">
        <f>+D13-D14</f>
        <v>-33760676</v>
      </c>
      <c r="E15" s="31">
        <f t="shared" ref="E15:H15" si="9">+E13-E14</f>
        <v>203978139.84000003</v>
      </c>
      <c r="F15" s="31">
        <f t="shared" si="9"/>
        <v>464707411.02719998</v>
      </c>
      <c r="G15" s="31">
        <f t="shared" si="9"/>
        <v>838875917.90937591</v>
      </c>
      <c r="H15" s="31">
        <f t="shared" si="9"/>
        <v>1369110542.3921261</v>
      </c>
      <c r="J15" s="30" t="s">
        <v>182</v>
      </c>
      <c r="K15" s="30"/>
      <c r="L15" s="31">
        <f>+L13-L14</f>
        <v>72934324</v>
      </c>
      <c r="M15" s="31">
        <f t="shared" ref="M15" si="10">+M13-M14</f>
        <v>502314639.84000003</v>
      </c>
      <c r="N15" s="31">
        <f t="shared" ref="N15" si="11">+N13-N14</f>
        <v>848013586.02719998</v>
      </c>
      <c r="O15" s="31">
        <f t="shared" ref="O15" si="12">+O13-O14</f>
        <v>1337094565.4093759</v>
      </c>
      <c r="P15" s="31">
        <f t="shared" ref="P15" si="13">+P13-P14</f>
        <v>2022967819.4546261</v>
      </c>
      <c r="R15" s="30" t="s">
        <v>182</v>
      </c>
      <c r="S15" s="30"/>
      <c r="T15" s="31">
        <f>+T13-T14</f>
        <v>250759324</v>
      </c>
      <c r="U15" s="31">
        <f t="shared" ref="U15" si="14">+U13-U14</f>
        <v>999542139.84000003</v>
      </c>
      <c r="V15" s="31">
        <f t="shared" ref="V15" si="15">+V13-V14</f>
        <v>1486857211.0272</v>
      </c>
      <c r="W15" s="31">
        <f t="shared" ref="W15" si="16">+W13-W14</f>
        <v>2167458977.9093761</v>
      </c>
      <c r="X15" s="31">
        <f t="shared" ref="X15" si="17">+X13-X14</f>
        <v>3112729947.8921261</v>
      </c>
    </row>
    <row r="16" spans="2:24" x14ac:dyDescent="0.35">
      <c r="B16" s="27" t="s">
        <v>184</v>
      </c>
      <c r="C16" s="27"/>
      <c r="D16" s="29">
        <f>+'Costos y gastos'!G25/4</f>
        <v>3000000</v>
      </c>
      <c r="E16" s="29">
        <f>+('Costos y gastos'!$G$25/2)*$K$1+'Costos y gastos'!$G$25/2</f>
        <v>6240000</v>
      </c>
      <c r="F16" s="29">
        <f>+(E16*$K$1)+E16</f>
        <v>6489600</v>
      </c>
      <c r="G16" s="29">
        <f t="shared" ref="G16" si="18">+(F16*$K$1)+F16</f>
        <v>6749184</v>
      </c>
      <c r="H16" s="29">
        <f>+(G16*$K$1)+G16</f>
        <v>7019151.3600000003</v>
      </c>
      <c r="J16" s="27" t="s">
        <v>184</v>
      </c>
      <c r="K16" s="27"/>
      <c r="L16" s="29">
        <f>+D16</f>
        <v>3000000</v>
      </c>
      <c r="M16" s="29">
        <f>+E16</f>
        <v>6240000</v>
      </c>
      <c r="N16" s="29">
        <f t="shared" ref="N16:P17" si="19">+F16</f>
        <v>6489600</v>
      </c>
      <c r="O16" s="29">
        <f t="shared" si="19"/>
        <v>6749184</v>
      </c>
      <c r="P16" s="29">
        <f t="shared" si="19"/>
        <v>7019151.3600000003</v>
      </c>
      <c r="R16" s="27" t="s">
        <v>184</v>
      </c>
      <c r="S16" s="27"/>
      <c r="T16" s="29">
        <f>+L16</f>
        <v>3000000</v>
      </c>
      <c r="U16" s="29">
        <f>+E16</f>
        <v>6240000</v>
      </c>
      <c r="V16" s="29">
        <f t="shared" ref="V16:X16" si="20">+F16</f>
        <v>6489600</v>
      </c>
      <c r="W16" s="29">
        <f t="shared" si="20"/>
        <v>6749184</v>
      </c>
      <c r="X16" s="29">
        <f t="shared" si="20"/>
        <v>7019151.3600000003</v>
      </c>
    </row>
    <row r="17" spans="2:24" x14ac:dyDescent="0.35">
      <c r="B17" s="27" t="s">
        <v>183</v>
      </c>
      <c r="C17" s="27"/>
      <c r="D17" s="29">
        <f>+'Costos y gastos'!G25/4</f>
        <v>3000000</v>
      </c>
      <c r="E17" s="29">
        <f>+'Flujo de caja (optimista)'!E17</f>
        <v>6240000</v>
      </c>
      <c r="F17" s="29">
        <f>+(E17*$K$1)+E17</f>
        <v>6489600</v>
      </c>
      <c r="G17" s="29">
        <f>+(F17*$K$1)+F17</f>
        <v>6749184</v>
      </c>
      <c r="H17" s="29">
        <f>+(G17*$K$1)+G17</f>
        <v>7019151.3600000003</v>
      </c>
      <c r="J17" s="27" t="s">
        <v>183</v>
      </c>
      <c r="K17" s="27"/>
      <c r="L17" s="29">
        <f>+D17</f>
        <v>3000000</v>
      </c>
      <c r="M17" s="29">
        <f>+E17</f>
        <v>6240000</v>
      </c>
      <c r="N17" s="29">
        <f t="shared" si="19"/>
        <v>6489600</v>
      </c>
      <c r="O17" s="29">
        <f t="shared" si="19"/>
        <v>6749184</v>
      </c>
      <c r="P17" s="29">
        <f t="shared" si="19"/>
        <v>7019151.3600000003</v>
      </c>
      <c r="R17" s="27" t="s">
        <v>183</v>
      </c>
      <c r="S17" s="27"/>
      <c r="T17" s="29">
        <f>+L17</f>
        <v>3000000</v>
      </c>
      <c r="U17" s="29">
        <f>+(T17*$K$2)+T17</f>
        <v>3240000</v>
      </c>
      <c r="V17" s="29">
        <f t="shared" ref="V17:X17" si="21">+(U17*$K$2)+U17</f>
        <v>3499200</v>
      </c>
      <c r="W17" s="29">
        <f t="shared" si="21"/>
        <v>3779136</v>
      </c>
      <c r="X17" s="29">
        <f t="shared" si="21"/>
        <v>4081466.88</v>
      </c>
    </row>
    <row r="18" spans="2:24" x14ac:dyDescent="0.35">
      <c r="B18" s="27" t="s">
        <v>188</v>
      </c>
      <c r="C18" s="27"/>
      <c r="D18" s="29">
        <v>0</v>
      </c>
      <c r="E18" s="29">
        <v>0</v>
      </c>
      <c r="F18" s="29">
        <v>0</v>
      </c>
      <c r="G18" s="29">
        <v>0</v>
      </c>
      <c r="H18" s="29">
        <v>0</v>
      </c>
      <c r="J18" s="27" t="s">
        <v>188</v>
      </c>
      <c r="K18" s="27"/>
      <c r="L18" s="29">
        <v>0</v>
      </c>
      <c r="M18" s="29">
        <v>0</v>
      </c>
      <c r="N18" s="29">
        <v>0</v>
      </c>
      <c r="O18" s="29">
        <v>0</v>
      </c>
      <c r="P18" s="29">
        <v>0</v>
      </c>
      <c r="R18" s="27" t="s">
        <v>188</v>
      </c>
      <c r="S18" s="27"/>
      <c r="T18" s="29">
        <v>0</v>
      </c>
      <c r="U18" s="29">
        <v>0</v>
      </c>
      <c r="V18" s="29">
        <v>0</v>
      </c>
      <c r="W18" s="29">
        <v>0</v>
      </c>
      <c r="X18" s="29">
        <v>0</v>
      </c>
    </row>
    <row r="19" spans="2:24" x14ac:dyDescent="0.35">
      <c r="B19" s="27" t="s">
        <v>193</v>
      </c>
      <c r="C19" s="27"/>
      <c r="D19" s="29">
        <v>0</v>
      </c>
      <c r="E19" s="29">
        <v>0</v>
      </c>
      <c r="F19" s="29">
        <v>0</v>
      </c>
      <c r="G19" s="29">
        <v>0</v>
      </c>
      <c r="H19" s="29">
        <v>0</v>
      </c>
      <c r="J19" s="27" t="s">
        <v>193</v>
      </c>
      <c r="K19" s="27"/>
      <c r="L19" s="29">
        <v>0</v>
      </c>
      <c r="M19" s="29">
        <v>0</v>
      </c>
      <c r="N19" s="29">
        <v>0</v>
      </c>
      <c r="O19" s="29">
        <v>0</v>
      </c>
      <c r="P19" s="29">
        <v>0</v>
      </c>
      <c r="R19" s="27" t="s">
        <v>193</v>
      </c>
      <c r="S19" s="27"/>
      <c r="T19" s="29">
        <v>0</v>
      </c>
      <c r="U19" s="29">
        <v>0</v>
      </c>
      <c r="V19" s="29">
        <v>0</v>
      </c>
      <c r="W19" s="29">
        <v>0</v>
      </c>
      <c r="X19" s="29">
        <v>0</v>
      </c>
    </row>
    <row r="20" spans="2:24" x14ac:dyDescent="0.35">
      <c r="B20" s="32" t="s">
        <v>185</v>
      </c>
      <c r="C20" s="32"/>
      <c r="D20" s="33">
        <f>+D15-D16-D17</f>
        <v>-39760676</v>
      </c>
      <c r="E20" s="33">
        <f t="shared" ref="E20:H20" si="22">+E15-E16-E17</f>
        <v>191498139.84000003</v>
      </c>
      <c r="F20" s="33">
        <f t="shared" si="22"/>
        <v>451728211.02719998</v>
      </c>
      <c r="G20" s="33">
        <f t="shared" si="22"/>
        <v>825377549.90937591</v>
      </c>
      <c r="H20" s="33">
        <f t="shared" si="22"/>
        <v>1355072239.6721263</v>
      </c>
      <c r="J20" s="32" t="s">
        <v>185</v>
      </c>
      <c r="K20" s="32"/>
      <c r="L20" s="33">
        <f>+L15-L16-L17</f>
        <v>66934324</v>
      </c>
      <c r="M20" s="33">
        <f t="shared" ref="M20:P20" si="23">+M15-M16-M17</f>
        <v>489834639.84000003</v>
      </c>
      <c r="N20" s="33">
        <f t="shared" si="23"/>
        <v>835034386.02719998</v>
      </c>
      <c r="O20" s="33">
        <f t="shared" si="23"/>
        <v>1323596197.4093759</v>
      </c>
      <c r="P20" s="33">
        <f t="shared" si="23"/>
        <v>2008929516.7346263</v>
      </c>
      <c r="R20" s="32" t="s">
        <v>185</v>
      </c>
      <c r="S20" s="32"/>
      <c r="T20" s="33">
        <f>+T15-T16-T17</f>
        <v>244759324</v>
      </c>
      <c r="U20" s="33">
        <f t="shared" ref="U20:X20" si="24">+U15-U16-U17</f>
        <v>990062139.84000003</v>
      </c>
      <c r="V20" s="33">
        <f t="shared" si="24"/>
        <v>1476868411.0272</v>
      </c>
      <c r="W20" s="33">
        <f t="shared" si="24"/>
        <v>2156930657.9093761</v>
      </c>
      <c r="X20" s="33">
        <f t="shared" si="24"/>
        <v>3101629329.6521258</v>
      </c>
    </row>
    <row r="21" spans="2:24" x14ac:dyDescent="0.35">
      <c r="B21" s="27" t="s">
        <v>186</v>
      </c>
      <c r="C21" s="27"/>
      <c r="D21" s="29">
        <f>+('Costos y gastos'!C52+'Costos y gastos'!C53)/2</f>
        <v>33968175.034096263</v>
      </c>
      <c r="E21" s="29">
        <f>+'Costos y gastos'!D45+'Costos y gastos'!D44</f>
        <v>67936350.068192527</v>
      </c>
      <c r="F21" s="29">
        <f>+'Costos y gastos'!E45+'Costos y gastos'!E44</f>
        <v>67936350.068192527</v>
      </c>
      <c r="G21" s="29">
        <f>+'Costos y gastos'!F45+'Costos y gastos'!F44</f>
        <v>67936350.068192527</v>
      </c>
      <c r="H21" s="29">
        <f>+'Costos y gastos'!G45+'Costos y gastos'!G44</f>
        <v>67936350.068192527</v>
      </c>
      <c r="J21" s="27" t="s">
        <v>186</v>
      </c>
      <c r="K21" s="27"/>
      <c r="L21" s="29">
        <f>+D21</f>
        <v>33968175.034096263</v>
      </c>
      <c r="M21" s="29">
        <f t="shared" ref="M21:P21" si="25">+E21</f>
        <v>67936350.068192527</v>
      </c>
      <c r="N21" s="29">
        <f t="shared" si="25"/>
        <v>67936350.068192527</v>
      </c>
      <c r="O21" s="29">
        <f t="shared" si="25"/>
        <v>67936350.068192527</v>
      </c>
      <c r="P21" s="29">
        <f t="shared" si="25"/>
        <v>67936350.068192527</v>
      </c>
      <c r="R21" s="27" t="s">
        <v>186</v>
      </c>
      <c r="S21" s="27"/>
      <c r="T21" s="29">
        <f>+L21</f>
        <v>33968175.034096263</v>
      </c>
      <c r="U21" s="29">
        <f t="shared" ref="U21" si="26">+M21</f>
        <v>67936350.068192527</v>
      </c>
      <c r="V21" s="29">
        <f t="shared" ref="V21" si="27">+N21</f>
        <v>67936350.068192527</v>
      </c>
      <c r="W21" s="29">
        <f t="shared" ref="W21" si="28">+O21</f>
        <v>67936350.068192527</v>
      </c>
      <c r="X21" s="29">
        <f t="shared" ref="X21" si="29">+P21</f>
        <v>67936350.068192527</v>
      </c>
    </row>
    <row r="22" spans="2:24" x14ac:dyDescent="0.35">
      <c r="B22" s="34" t="s">
        <v>187</v>
      </c>
      <c r="C22" s="34"/>
      <c r="D22" s="35">
        <f>+D20-D21</f>
        <v>-73728851.034096271</v>
      </c>
      <c r="E22" s="35">
        <f t="shared" ref="E22:H22" si="30">+E20-E21</f>
        <v>123561789.77180751</v>
      </c>
      <c r="F22" s="35">
        <f t="shared" si="30"/>
        <v>383791860.95900744</v>
      </c>
      <c r="G22" s="35">
        <f t="shared" si="30"/>
        <v>757441199.84118342</v>
      </c>
      <c r="H22" s="35">
        <f t="shared" si="30"/>
        <v>1287135889.6039338</v>
      </c>
      <c r="J22" s="34" t="s">
        <v>187</v>
      </c>
      <c r="K22" s="34"/>
      <c r="L22" s="35">
        <f>+L20-L21</f>
        <v>32966148.965903737</v>
      </c>
      <c r="M22" s="35">
        <f t="shared" ref="M22" si="31">+M20-M21</f>
        <v>421898289.77180749</v>
      </c>
      <c r="N22" s="35">
        <f t="shared" ref="N22" si="32">+N20-N21</f>
        <v>767098035.9590075</v>
      </c>
      <c r="O22" s="35">
        <f t="shared" ref="O22" si="33">+O20-O21</f>
        <v>1255659847.3411834</v>
      </c>
      <c r="P22" s="35">
        <f t="shared" ref="P22" si="34">+P20-P21</f>
        <v>1940993166.6664338</v>
      </c>
      <c r="R22" s="34" t="s">
        <v>187</v>
      </c>
      <c r="S22" s="34"/>
      <c r="T22" s="35">
        <f>+T20-T21</f>
        <v>210791148.96590373</v>
      </c>
      <c r="U22" s="35">
        <f t="shared" ref="U22" si="35">+U20-U21</f>
        <v>922125789.77180755</v>
      </c>
      <c r="V22" s="35">
        <f t="shared" ref="V22" si="36">+V20-V21</f>
        <v>1408932060.9590075</v>
      </c>
      <c r="W22" s="35">
        <f t="shared" ref="W22" si="37">+W20-W21</f>
        <v>2088994307.8411837</v>
      </c>
      <c r="X22" s="35">
        <f t="shared" ref="X22" si="38">+X20-X21</f>
        <v>3033692979.5839334</v>
      </c>
    </row>
    <row r="24" spans="2:24" x14ac:dyDescent="0.35">
      <c r="C24" s="21">
        <v>0</v>
      </c>
      <c r="D24" s="21">
        <v>1</v>
      </c>
      <c r="E24" s="21">
        <v>2</v>
      </c>
      <c r="F24" s="21">
        <v>3</v>
      </c>
      <c r="G24" s="21">
        <v>4</v>
      </c>
      <c r="H24" s="21">
        <v>5</v>
      </c>
      <c r="K24" s="21">
        <v>0</v>
      </c>
      <c r="L24" s="21">
        <v>1</v>
      </c>
      <c r="M24" s="21">
        <v>2</v>
      </c>
      <c r="N24" s="21">
        <v>3</v>
      </c>
      <c r="O24" s="21">
        <v>4</v>
      </c>
      <c r="P24" s="21">
        <v>5</v>
      </c>
      <c r="S24" s="21">
        <v>0</v>
      </c>
      <c r="T24" s="21">
        <v>1</v>
      </c>
      <c r="U24" s="21">
        <v>2</v>
      </c>
      <c r="V24" s="21">
        <v>3</v>
      </c>
      <c r="W24" s="21">
        <v>4</v>
      </c>
      <c r="X24" s="21">
        <v>5</v>
      </c>
    </row>
    <row r="25" spans="2:24" x14ac:dyDescent="0.35">
      <c r="B25" s="27" t="s">
        <v>174</v>
      </c>
      <c r="C25" s="29">
        <f>-K4</f>
        <v>-489790676</v>
      </c>
      <c r="D25" s="29">
        <f>+D22</f>
        <v>-73728851.034096271</v>
      </c>
      <c r="E25" s="29">
        <f>+E22</f>
        <v>123561789.77180751</v>
      </c>
      <c r="F25" s="29">
        <f>+F22</f>
        <v>383791860.95900744</v>
      </c>
      <c r="G25" s="29">
        <f>+G22</f>
        <v>757441199.84118342</v>
      </c>
      <c r="H25" s="29">
        <f>+H22</f>
        <v>1287135889.6039338</v>
      </c>
      <c r="J25" s="27" t="s">
        <v>174</v>
      </c>
      <c r="K25" s="29">
        <f>+C25</f>
        <v>-489790676</v>
      </c>
      <c r="L25" s="29">
        <f>+L22</f>
        <v>32966148.965903737</v>
      </c>
      <c r="M25" s="29">
        <f>+M22</f>
        <v>421898289.77180749</v>
      </c>
      <c r="N25" s="29">
        <f>+N22</f>
        <v>767098035.9590075</v>
      </c>
      <c r="O25" s="29">
        <f>+O22</f>
        <v>1255659847.3411834</v>
      </c>
      <c r="P25" s="29">
        <f>+P22</f>
        <v>1940993166.6664338</v>
      </c>
      <c r="R25" s="27" t="s">
        <v>174</v>
      </c>
      <c r="S25" s="29">
        <f>+K25</f>
        <v>-489790676</v>
      </c>
      <c r="T25" s="29">
        <f>+T22</f>
        <v>210791148.96590373</v>
      </c>
      <c r="U25" s="29">
        <f>+U22</f>
        <v>922125789.77180755</v>
      </c>
      <c r="V25" s="29">
        <f>+V22</f>
        <v>1408932060.9590075</v>
      </c>
      <c r="W25" s="29">
        <f>+W22</f>
        <v>2088994307.8411837</v>
      </c>
      <c r="X25" s="29">
        <f>+X22</f>
        <v>3033692979.5839334</v>
      </c>
    </row>
    <row r="26" spans="2:24" x14ac:dyDescent="0.35">
      <c r="B26" s="36" t="s">
        <v>195</v>
      </c>
      <c r="C26" s="37">
        <f>+C25</f>
        <v>-489790676</v>
      </c>
      <c r="D26" s="37">
        <f>+C26+D25</f>
        <v>-563519527.03409624</v>
      </c>
      <c r="E26" s="37">
        <f>+E25+D26</f>
        <v>-439957737.26228875</v>
      </c>
      <c r="F26" s="37">
        <f t="shared" ref="F26:H26" si="39">+F25+E26</f>
        <v>-56165876.303281307</v>
      </c>
      <c r="G26" s="37">
        <f t="shared" si="39"/>
        <v>701275323.53790212</v>
      </c>
      <c r="H26" s="37">
        <f t="shared" si="39"/>
        <v>1988411213.1418359</v>
      </c>
      <c r="J26" s="36" t="s">
        <v>195</v>
      </c>
      <c r="K26" s="37">
        <f>+K25</f>
        <v>-489790676</v>
      </c>
      <c r="L26" s="37">
        <f>+K26+L25</f>
        <v>-456824527.03409624</v>
      </c>
      <c r="M26" s="37">
        <f>+M25+L26</f>
        <v>-34926237.262288749</v>
      </c>
      <c r="N26" s="37">
        <f t="shared" ref="N26:P26" si="40">+N25+M26</f>
        <v>732171798.69671869</v>
      </c>
      <c r="O26" s="37">
        <f t="shared" si="40"/>
        <v>1987831646.0379021</v>
      </c>
      <c r="P26" s="37">
        <f t="shared" si="40"/>
        <v>3928824812.7043362</v>
      </c>
      <c r="R26" s="36" t="s">
        <v>195</v>
      </c>
      <c r="S26" s="37">
        <f>+S25</f>
        <v>-489790676</v>
      </c>
      <c r="T26" s="37">
        <f>+S26+T25</f>
        <v>-278999527.03409624</v>
      </c>
      <c r="U26" s="37">
        <f>+U25+T26</f>
        <v>643126262.73771131</v>
      </c>
      <c r="V26" s="37">
        <f t="shared" ref="V26:X26" si="41">+V25+U26</f>
        <v>2052058323.6967187</v>
      </c>
      <c r="W26" s="37">
        <f t="shared" si="41"/>
        <v>4141052631.5379024</v>
      </c>
      <c r="X26" s="37">
        <f t="shared" si="41"/>
        <v>7174745611.1218357</v>
      </c>
    </row>
    <row r="27" spans="2:24" x14ac:dyDescent="0.35">
      <c r="B27" s="125"/>
      <c r="C27" s="125"/>
      <c r="D27" s="125"/>
      <c r="E27" s="125"/>
      <c r="F27" s="125"/>
      <c r="G27" s="125"/>
      <c r="H27" s="125"/>
    </row>
    <row r="28" spans="2:24" x14ac:dyDescent="0.35">
      <c r="B28" s="38" t="s">
        <v>175</v>
      </c>
      <c r="C28" s="39">
        <f>IRR(C25:H25)</f>
        <v>0.46121771842077641</v>
      </c>
      <c r="D28" s="126"/>
      <c r="E28" s="125"/>
      <c r="F28" s="125"/>
      <c r="G28" s="125"/>
      <c r="H28" s="125"/>
      <c r="J28" s="38" t="s">
        <v>175</v>
      </c>
      <c r="K28" s="39">
        <f>IRR(K25:P25)</f>
        <v>0.81387527381327374</v>
      </c>
      <c r="R28" s="38" t="s">
        <v>175</v>
      </c>
      <c r="S28" s="39">
        <f>IRR(S25:X25)</f>
        <v>1.3244655030851358</v>
      </c>
    </row>
    <row r="29" spans="2:24" x14ac:dyDescent="0.35">
      <c r="B29" s="40" t="s">
        <v>176</v>
      </c>
      <c r="C29" s="41">
        <f>NPV(K2,D25:H25)</f>
        <v>1775078169.8712914</v>
      </c>
      <c r="D29" s="127"/>
      <c r="E29" s="127"/>
      <c r="F29" s="125"/>
      <c r="G29" s="125"/>
      <c r="H29" s="125"/>
      <c r="J29" s="40" t="s">
        <v>176</v>
      </c>
      <c r="K29" s="41">
        <f>NPV(K2,L25:P25)</f>
        <v>3245135954.557394</v>
      </c>
      <c r="R29" s="40" t="s">
        <v>176</v>
      </c>
      <c r="S29" s="41">
        <f>NPV(K2,T25:X25)</f>
        <v>5704360567.4015303</v>
      </c>
    </row>
    <row r="30" spans="2:24" x14ac:dyDescent="0.35">
      <c r="B30" s="40" t="s">
        <v>177</v>
      </c>
      <c r="C30" s="41">
        <f>+C29+C25</f>
        <v>1285287493.8712914</v>
      </c>
      <c r="D30" s="125"/>
      <c r="E30" s="127"/>
      <c r="F30" s="125"/>
      <c r="G30" s="125"/>
      <c r="H30" s="125"/>
      <c r="J30" s="40" t="s">
        <v>177</v>
      </c>
      <c r="K30" s="41">
        <f>+K29+K25</f>
        <v>2755345278.557394</v>
      </c>
      <c r="R30" s="40" t="s">
        <v>177</v>
      </c>
      <c r="S30" s="41">
        <f>+S29+S25</f>
        <v>5214569891.4015303</v>
      </c>
    </row>
    <row r="31" spans="2:24" x14ac:dyDescent="0.35">
      <c r="B31" s="36" t="s">
        <v>194</v>
      </c>
      <c r="C31" s="42">
        <f>+F24-F26/G25</f>
        <v>3.0741521273401262</v>
      </c>
      <c r="D31" s="125"/>
      <c r="E31" s="127"/>
      <c r="F31" s="125"/>
      <c r="G31" s="125"/>
      <c r="H31" s="125"/>
      <c r="J31" s="36" t="s">
        <v>194</v>
      </c>
      <c r="K31" s="42">
        <f>+M24-M26/N25</f>
        <v>2.0455303437436454</v>
      </c>
      <c r="R31" s="36" t="s">
        <v>194</v>
      </c>
      <c r="S31" s="42">
        <f>+T24-T26/U25</f>
        <v>1.3025612450370121</v>
      </c>
    </row>
    <row r="32" spans="2:24" x14ac:dyDescent="0.35">
      <c r="B32" s="125"/>
      <c r="C32" s="125"/>
      <c r="D32" s="125"/>
      <c r="E32" s="127"/>
      <c r="F32" s="125"/>
      <c r="G32" s="125"/>
      <c r="H32" s="125"/>
    </row>
    <row r="33" spans="2:24" x14ac:dyDescent="0.35">
      <c r="B33" s="38" t="s">
        <v>189</v>
      </c>
      <c r="C33" s="44"/>
      <c r="D33" s="44">
        <f>+D20+D18+D19</f>
        <v>-39760676</v>
      </c>
      <c r="E33" s="44">
        <f t="shared" ref="E33:H33" si="42">+E20</f>
        <v>191498139.84000003</v>
      </c>
      <c r="F33" s="44">
        <f t="shared" si="42"/>
        <v>451728211.02719998</v>
      </c>
      <c r="G33" s="44">
        <f t="shared" si="42"/>
        <v>825377549.90937591</v>
      </c>
      <c r="H33" s="44">
        <f t="shared" si="42"/>
        <v>1355072239.6721263</v>
      </c>
      <c r="J33" s="38" t="s">
        <v>189</v>
      </c>
      <c r="K33" s="44"/>
      <c r="L33" s="44">
        <f>+L20+L18+L19</f>
        <v>66934324</v>
      </c>
      <c r="M33" s="44">
        <f t="shared" ref="M33:P33" si="43">+M20</f>
        <v>489834639.84000003</v>
      </c>
      <c r="N33" s="44">
        <f t="shared" si="43"/>
        <v>835034386.02719998</v>
      </c>
      <c r="O33" s="44">
        <f t="shared" si="43"/>
        <v>1323596197.4093759</v>
      </c>
      <c r="P33" s="44">
        <f t="shared" si="43"/>
        <v>2008929516.7346263</v>
      </c>
      <c r="R33" s="38" t="s">
        <v>189</v>
      </c>
      <c r="S33" s="44"/>
      <c r="T33" s="44">
        <f>+T20+T18+T19</f>
        <v>244759324</v>
      </c>
      <c r="U33" s="44">
        <f t="shared" ref="U33:X33" si="44">+U20</f>
        <v>990062139.84000003</v>
      </c>
      <c r="V33" s="44">
        <f t="shared" si="44"/>
        <v>1476868411.0272</v>
      </c>
      <c r="W33" s="44">
        <f t="shared" si="44"/>
        <v>2156930657.9093761</v>
      </c>
      <c r="X33" s="44">
        <f t="shared" si="44"/>
        <v>3101629329.6521258</v>
      </c>
    </row>
    <row r="34" spans="2:24" x14ac:dyDescent="0.35">
      <c r="B34" s="40" t="s">
        <v>191</v>
      </c>
      <c r="C34" s="45"/>
      <c r="D34" s="46">
        <f>+D15/D13</f>
        <v>-7.91055719574488E-2</v>
      </c>
      <c r="E34" s="46">
        <f t="shared" ref="E34:H34" si="45">+E15/E13</f>
        <v>0.17092958776415226</v>
      </c>
      <c r="F34" s="46">
        <f t="shared" si="45"/>
        <v>0.30309152404549705</v>
      </c>
      <c r="G34" s="46">
        <f t="shared" si="45"/>
        <v>0.42093763557363434</v>
      </c>
      <c r="H34" s="46">
        <f t="shared" si="45"/>
        <v>0.52347453734206029</v>
      </c>
      <c r="J34" s="40" t="s">
        <v>191</v>
      </c>
      <c r="K34" s="45"/>
      <c r="L34" s="46">
        <f>+L15/L13</f>
        <v>0.13671554243404097</v>
      </c>
      <c r="M34" s="46">
        <f t="shared" ref="M34:P34" si="46">+M15/M13</f>
        <v>0.33674367021132179</v>
      </c>
      <c r="N34" s="46">
        <f t="shared" si="46"/>
        <v>0.44247321923639765</v>
      </c>
      <c r="O34" s="46">
        <f t="shared" si="46"/>
        <v>0.53675010845890747</v>
      </c>
      <c r="P34" s="46">
        <f t="shared" si="46"/>
        <v>0.61877962987364821</v>
      </c>
      <c r="R34" s="40" t="s">
        <v>191</v>
      </c>
      <c r="S34" s="45"/>
      <c r="T34" s="46">
        <f>+T15/T13</f>
        <v>0.3525366568255307</v>
      </c>
      <c r="U34" s="46">
        <f t="shared" ref="U34:X34" si="47">+U15/U13</f>
        <v>0.50255775265849134</v>
      </c>
      <c r="V34" s="46">
        <f t="shared" si="47"/>
        <v>0.5818549144272982</v>
      </c>
      <c r="W34" s="46">
        <f t="shared" si="47"/>
        <v>0.65256258134418066</v>
      </c>
      <c r="X34" s="46">
        <f t="shared" si="47"/>
        <v>0.71408472240523613</v>
      </c>
    </row>
    <row r="35" spans="2:24" x14ac:dyDescent="0.35">
      <c r="B35" s="40" t="s">
        <v>190</v>
      </c>
      <c r="C35" s="45"/>
      <c r="D35" s="46">
        <f>+D20/D13</f>
        <v>-9.3164337597825581E-2</v>
      </c>
      <c r="E35" s="46">
        <f>+E20/E13</f>
        <v>0.16047159821208604</v>
      </c>
      <c r="F35" s="46">
        <f>+F20/F13</f>
        <v>0.29462622864554683</v>
      </c>
      <c r="G35" s="46">
        <f>+G20/G13</f>
        <v>0.41416432024926159</v>
      </c>
      <c r="H35" s="46">
        <f>+H20/H13</f>
        <v>0.51810704231964966</v>
      </c>
      <c r="J35" s="40" t="s">
        <v>190</v>
      </c>
      <c r="K35" s="45"/>
      <c r="L35" s="46">
        <f>+L20/L13</f>
        <v>0.12546852992173954</v>
      </c>
      <c r="M35" s="46">
        <f>+M20/M13</f>
        <v>0.32837727856966886</v>
      </c>
      <c r="N35" s="46">
        <f>+N20/N13</f>
        <v>0.4357009829164375</v>
      </c>
      <c r="O35" s="46">
        <f>+O20/O13</f>
        <v>0.53133145619940925</v>
      </c>
      <c r="P35" s="46">
        <f>+P20/P13</f>
        <v>0.61448563385571975</v>
      </c>
      <c r="R35" s="40" t="s">
        <v>190</v>
      </c>
      <c r="S35" s="45"/>
      <c r="T35" s="46">
        <f>+T20/T13</f>
        <v>0.34410139744130464</v>
      </c>
      <c r="U35" s="46">
        <f>+U20/U13</f>
        <v>0.49779132280495347</v>
      </c>
      <c r="V35" s="46">
        <f>+V20/V13</f>
        <v>0.57794597661798686</v>
      </c>
      <c r="W35" s="46">
        <f>+W20/W13</f>
        <v>0.6493927923209788</v>
      </c>
      <c r="X35" s="46">
        <f>+X20/X13</f>
        <v>0.71153815330764869</v>
      </c>
    </row>
    <row r="36" spans="2:24" x14ac:dyDescent="0.35">
      <c r="B36" s="40" t="s">
        <v>192</v>
      </c>
      <c r="C36" s="45"/>
      <c r="D36" s="46">
        <f>+D22/D13</f>
        <v>-0.17275610627043506</v>
      </c>
      <c r="E36" s="46">
        <f t="shared" ref="E36:H36" si="48">+E22/E13</f>
        <v>0.10354230019776955</v>
      </c>
      <c r="F36" s="46">
        <f t="shared" si="48"/>
        <v>0.25031677415515641</v>
      </c>
      <c r="G36" s="46">
        <f t="shared" si="48"/>
        <v>0.38007469393304044</v>
      </c>
      <c r="H36" s="46">
        <f t="shared" si="48"/>
        <v>0.49213182094817493</v>
      </c>
      <c r="J36" s="40" t="s">
        <v>192</v>
      </c>
      <c r="K36" s="45"/>
      <c r="L36" s="46">
        <f>+L22/L13</f>
        <v>6.1795114983651971E-2</v>
      </c>
      <c r="M36" s="46">
        <f t="shared" ref="M36:P36" si="49">+M22/M13</f>
        <v>0.28283384015821561</v>
      </c>
      <c r="N36" s="46">
        <f t="shared" si="49"/>
        <v>0.40025341932412517</v>
      </c>
      <c r="O36" s="46">
        <f t="shared" si="49"/>
        <v>0.50405975514643231</v>
      </c>
      <c r="P36" s="46">
        <f t="shared" si="49"/>
        <v>0.59370545675853992</v>
      </c>
      <c r="R36" s="40" t="s">
        <v>192</v>
      </c>
      <c r="S36" s="45"/>
      <c r="T36" s="46">
        <f>+T22/T13</f>
        <v>0.29634633623773898</v>
      </c>
      <c r="U36" s="46">
        <f t="shared" ref="U36:X36" si="50">+U22/U13</f>
        <v>0.46363374399636359</v>
      </c>
      <c r="V36" s="46">
        <f t="shared" si="50"/>
        <v>0.55136030392375268</v>
      </c>
      <c r="W36" s="46">
        <f t="shared" si="50"/>
        <v>0.62893901653124606</v>
      </c>
      <c r="X36" s="46">
        <f t="shared" si="50"/>
        <v>0.69595302048476393</v>
      </c>
    </row>
  </sheetData>
  <mergeCells count="3">
    <mergeCell ref="B10:H10"/>
    <mergeCell ref="J10:P10"/>
    <mergeCell ref="R10:X10"/>
  </mergeCells>
  <pageMargins left="0.7" right="0.7" top="0.75" bottom="0.75" header="0.3" footer="0.3"/>
  <pageSetup orientation="portrait" r:id="rId1"/>
  <ignoredErrors>
    <ignoredError sqref="L15:M15 T15 F16 N15:P15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X36"/>
  <sheetViews>
    <sheetView workbookViewId="0">
      <selection activeCell="H7" sqref="H7"/>
    </sheetView>
  </sheetViews>
  <sheetFormatPr baseColWidth="10" defaultRowHeight="15.5" x14ac:dyDescent="0.35"/>
  <cols>
    <col min="1" max="1" width="5.54296875" style="17" customWidth="1"/>
    <col min="2" max="2" width="27.453125" style="17" customWidth="1"/>
    <col min="3" max="3" width="15.1796875" style="17" bestFit="1" customWidth="1"/>
    <col min="4" max="4" width="14.26953125" style="17" bestFit="1" customWidth="1"/>
    <col min="5" max="8" width="16" style="17" bestFit="1" customWidth="1"/>
    <col min="9" max="9" width="10.90625" style="17"/>
    <col min="10" max="10" width="28" style="17" customWidth="1"/>
    <col min="11" max="12" width="14.26953125" style="17" bestFit="1" customWidth="1"/>
    <col min="13" max="14" width="16" style="17" bestFit="1" customWidth="1"/>
    <col min="15" max="15" width="14.36328125" style="17" customWidth="1"/>
    <col min="16" max="16" width="15.1796875" style="17" customWidth="1"/>
    <col min="17" max="17" width="10.90625" style="17"/>
    <col min="18" max="18" width="29.6328125" style="17" bestFit="1" customWidth="1"/>
    <col min="19" max="21" width="14.26953125" style="17" bestFit="1" customWidth="1"/>
    <col min="22" max="22" width="14.453125" style="17" customWidth="1"/>
    <col min="23" max="23" width="15.1796875" style="17" customWidth="1"/>
    <col min="24" max="24" width="15.453125" style="17" customWidth="1"/>
    <col min="25" max="16384" width="10.90625" style="17"/>
  </cols>
  <sheetData>
    <row r="1" spans="2:24" x14ac:dyDescent="0.35">
      <c r="B1" s="18"/>
      <c r="C1" s="19" t="s">
        <v>56</v>
      </c>
      <c r="D1" s="19" t="s">
        <v>58</v>
      </c>
      <c r="E1" s="19" t="s">
        <v>57</v>
      </c>
      <c r="F1" s="19" t="s">
        <v>59</v>
      </c>
      <c r="G1" s="19" t="s">
        <v>60</v>
      </c>
      <c r="J1" s="20" t="s">
        <v>178</v>
      </c>
      <c r="K1" s="20">
        <v>0.04</v>
      </c>
      <c r="P1" s="17" t="s">
        <v>162</v>
      </c>
    </row>
    <row r="2" spans="2:24" x14ac:dyDescent="0.35">
      <c r="B2" s="21" t="s">
        <v>53</v>
      </c>
      <c r="C2" s="22">
        <f>+'Ingresos x escenarios'!Q6</f>
        <v>592.75</v>
      </c>
      <c r="D2" s="22">
        <f>+'Ingresos x escenarios'!R6</f>
        <v>789.25</v>
      </c>
      <c r="E2" s="22">
        <f>+'Ingresos x escenarios'!S6</f>
        <v>965.75</v>
      </c>
      <c r="F2" s="22">
        <f>+'Ingresos x escenarios'!T6</f>
        <v>1195.5</v>
      </c>
      <c r="G2" s="22">
        <f>+'Ingresos x escenarios'!U6</f>
        <v>1494.25</v>
      </c>
      <c r="J2" s="20" t="s">
        <v>179</v>
      </c>
      <c r="K2" s="20">
        <v>0.08</v>
      </c>
    </row>
    <row r="3" spans="2:24" x14ac:dyDescent="0.35">
      <c r="B3" s="21" t="s">
        <v>159</v>
      </c>
      <c r="C3" s="23">
        <f>+'Ingresos x escenarios'!C3</f>
        <v>720000</v>
      </c>
      <c r="D3" s="23">
        <f>+'Ingresos x escenarios'!E3</f>
        <v>756000</v>
      </c>
      <c r="E3" s="23">
        <f>+'Ingresos x escenarios'!G3</f>
        <v>793800</v>
      </c>
      <c r="F3" s="23">
        <f>+'Ingresos x escenarios'!I3</f>
        <v>833490</v>
      </c>
      <c r="G3" s="23">
        <f>+'Ingresos x escenarios'!L3</f>
        <v>875164.5</v>
      </c>
      <c r="J3" s="20" t="s">
        <v>180</v>
      </c>
      <c r="K3" s="24">
        <v>5</v>
      </c>
    </row>
    <row r="4" spans="2:24" x14ac:dyDescent="0.35">
      <c r="B4" s="21" t="s">
        <v>160</v>
      </c>
      <c r="C4" s="23">
        <f>+'Ingresos x escenarios'!C4</f>
        <v>900000</v>
      </c>
      <c r="D4" s="23">
        <f>+'Ingresos x escenarios'!E4</f>
        <v>945000</v>
      </c>
      <c r="E4" s="23">
        <f>+'Ingresos x escenarios'!G4</f>
        <v>992250</v>
      </c>
      <c r="F4" s="23">
        <f>+'Ingresos x escenarios'!I4</f>
        <v>1041862.5</v>
      </c>
      <c r="G4" s="23">
        <f>+'Ingresos x escenarios'!L4</f>
        <v>1093955.625</v>
      </c>
      <c r="J4" s="20" t="s">
        <v>168</v>
      </c>
      <c r="K4" s="25">
        <f>+'Costos y gastos'!D19</f>
        <v>489790676</v>
      </c>
    </row>
    <row r="5" spans="2:24" x14ac:dyDescent="0.35">
      <c r="B5" s="21" t="s">
        <v>161</v>
      </c>
      <c r="C5" s="23">
        <f>+'Ingresos x escenarios'!C5</f>
        <v>1200000</v>
      </c>
      <c r="D5" s="23">
        <f>+'Ingresos x escenarios'!E5</f>
        <v>1260000</v>
      </c>
      <c r="E5" s="23">
        <f>+'Ingresos x escenarios'!G5</f>
        <v>1323000</v>
      </c>
      <c r="F5" s="23">
        <f>+'Ingresos x escenarios'!I5</f>
        <v>1389150</v>
      </c>
      <c r="G5" s="23">
        <f>+'Ingresos x escenarios'!L5</f>
        <v>1458607.5</v>
      </c>
    </row>
    <row r="6" spans="2:24" x14ac:dyDescent="0.35">
      <c r="B6" s="21" t="s">
        <v>12</v>
      </c>
    </row>
    <row r="7" spans="2:24" x14ac:dyDescent="0.35">
      <c r="B7" s="21" t="s">
        <v>24</v>
      </c>
    </row>
    <row r="8" spans="2:24" x14ac:dyDescent="0.35">
      <c r="B8" s="21" t="s">
        <v>54</v>
      </c>
    </row>
    <row r="10" spans="2:24" x14ac:dyDescent="0.35">
      <c r="B10" s="181" t="s">
        <v>64</v>
      </c>
      <c r="C10" s="181"/>
      <c r="D10" s="181"/>
      <c r="E10" s="181"/>
      <c r="F10" s="181"/>
      <c r="G10" s="181"/>
      <c r="H10" s="181"/>
      <c r="J10" s="181" t="s">
        <v>65</v>
      </c>
      <c r="K10" s="181"/>
      <c r="L10" s="181"/>
      <c r="M10" s="181"/>
      <c r="N10" s="181"/>
      <c r="O10" s="181"/>
      <c r="P10" s="181"/>
      <c r="R10" s="181" t="s">
        <v>66</v>
      </c>
      <c r="S10" s="181"/>
      <c r="T10" s="181"/>
      <c r="U10" s="181"/>
      <c r="V10" s="181"/>
      <c r="W10" s="181"/>
      <c r="X10" s="181"/>
    </row>
    <row r="11" spans="2:24" x14ac:dyDescent="0.35">
      <c r="B11" s="27" t="s">
        <v>51</v>
      </c>
      <c r="C11" s="27" t="s">
        <v>45</v>
      </c>
      <c r="D11" s="27" t="s">
        <v>46</v>
      </c>
      <c r="E11" s="27" t="s">
        <v>47</v>
      </c>
      <c r="F11" s="27" t="s">
        <v>48</v>
      </c>
      <c r="G11" s="27" t="s">
        <v>49</v>
      </c>
      <c r="H11" s="27" t="s">
        <v>50</v>
      </c>
      <c r="J11" s="27" t="s">
        <v>51</v>
      </c>
      <c r="K11" s="27" t="s">
        <v>45</v>
      </c>
      <c r="L11" s="27" t="s">
        <v>46</v>
      </c>
      <c r="M11" s="27" t="s">
        <v>47</v>
      </c>
      <c r="N11" s="27" t="s">
        <v>48</v>
      </c>
      <c r="O11" s="27" t="s">
        <v>49</v>
      </c>
      <c r="P11" s="27" t="s">
        <v>50</v>
      </c>
      <c r="R11" s="27" t="s">
        <v>51</v>
      </c>
      <c r="S11" s="27" t="s">
        <v>45</v>
      </c>
      <c r="T11" s="27" t="s">
        <v>46</v>
      </c>
      <c r="U11" s="27" t="s">
        <v>47</v>
      </c>
      <c r="V11" s="27" t="s">
        <v>48</v>
      </c>
      <c r="W11" s="27" t="s">
        <v>49</v>
      </c>
      <c r="X11" s="27" t="s">
        <v>50</v>
      </c>
    </row>
    <row r="12" spans="2:24" x14ac:dyDescent="0.35">
      <c r="B12" s="48"/>
      <c r="C12" s="48"/>
      <c r="D12" s="48"/>
      <c r="E12" s="48"/>
      <c r="F12" s="48"/>
      <c r="G12" s="48"/>
      <c r="H12" s="48"/>
      <c r="J12" s="48"/>
      <c r="K12" s="48"/>
      <c r="L12" s="48"/>
      <c r="M12" s="48"/>
      <c r="N12" s="48"/>
      <c r="O12" s="48"/>
      <c r="P12" s="48"/>
      <c r="R12" s="48"/>
      <c r="S12" s="48"/>
      <c r="T12" s="48"/>
      <c r="U12" s="48"/>
      <c r="V12" s="48"/>
      <c r="W12" s="48"/>
      <c r="X12" s="48"/>
    </row>
    <row r="13" spans="2:24" x14ac:dyDescent="0.35">
      <c r="B13" s="27" t="s">
        <v>52</v>
      </c>
      <c r="C13" s="28">
        <v>0</v>
      </c>
      <c r="D13" s="29">
        <f>+C3*C2/2</f>
        <v>213390000</v>
      </c>
      <c r="E13" s="28">
        <f t="shared" ref="E13:H13" si="0">+D3*D2</f>
        <v>596673000</v>
      </c>
      <c r="F13" s="28">
        <f t="shared" si="0"/>
        <v>766612350</v>
      </c>
      <c r="G13" s="28">
        <f t="shared" si="0"/>
        <v>996437295</v>
      </c>
      <c r="H13" s="28">
        <f t="shared" si="0"/>
        <v>1307714554.125</v>
      </c>
      <c r="J13" s="27" t="s">
        <v>52</v>
      </c>
      <c r="K13" s="28">
        <v>0</v>
      </c>
      <c r="L13" s="29">
        <f>+C2*C4/2</f>
        <v>266737500</v>
      </c>
      <c r="M13" s="28">
        <f t="shared" ref="M13:P13" si="1">+D2*D4</f>
        <v>745841250</v>
      </c>
      <c r="N13" s="28">
        <f t="shared" si="1"/>
        <v>958265437.5</v>
      </c>
      <c r="O13" s="28">
        <f t="shared" si="1"/>
        <v>1245546618.75</v>
      </c>
      <c r="P13" s="28">
        <f t="shared" si="1"/>
        <v>1634643192.65625</v>
      </c>
      <c r="R13" s="27" t="s">
        <v>52</v>
      </c>
      <c r="S13" s="28">
        <v>0</v>
      </c>
      <c r="T13" s="29">
        <f>+C2*C5/2</f>
        <v>355650000</v>
      </c>
      <c r="U13" s="28">
        <f t="shared" ref="U13:X13" si="2">+D2*D5</f>
        <v>994455000</v>
      </c>
      <c r="V13" s="28">
        <f t="shared" si="2"/>
        <v>1277687250</v>
      </c>
      <c r="W13" s="28">
        <f t="shared" si="2"/>
        <v>1660728825</v>
      </c>
      <c r="X13" s="28">
        <f t="shared" si="2"/>
        <v>2179524256.875</v>
      </c>
    </row>
    <row r="14" spans="2:24" x14ac:dyDescent="0.35">
      <c r="B14" s="27" t="s">
        <v>181</v>
      </c>
      <c r="C14" s="27"/>
      <c r="D14" s="29">
        <f>+'Costos y gastos'!I20</f>
        <v>460540676</v>
      </c>
      <c r="E14" s="29">
        <f>('Costos y gastos'!N20*$K$1)+'Costos y gastos'!N20</f>
        <v>952724606.08000004</v>
      </c>
      <c r="F14" s="29">
        <f>(E14*$K$2)+E14</f>
        <v>1028942574.5664001</v>
      </c>
      <c r="G14" s="29">
        <f t="shared" ref="G14:H14" si="3">(F14*$K$2)+F14</f>
        <v>1111257980.5317121</v>
      </c>
      <c r="H14" s="29">
        <f t="shared" si="3"/>
        <v>1200158618.9742491</v>
      </c>
      <c r="J14" s="27" t="s">
        <v>181</v>
      </c>
      <c r="K14" s="27"/>
      <c r="L14" s="29">
        <f>+D14</f>
        <v>460540676</v>
      </c>
      <c r="M14" s="29">
        <f t="shared" ref="M14:P14" si="4">+E14</f>
        <v>952724606.08000004</v>
      </c>
      <c r="N14" s="29">
        <f t="shared" si="4"/>
        <v>1028942574.5664001</v>
      </c>
      <c r="O14" s="29">
        <f t="shared" si="4"/>
        <v>1111257980.5317121</v>
      </c>
      <c r="P14" s="29">
        <f t="shared" si="4"/>
        <v>1200158618.9742491</v>
      </c>
      <c r="R14" s="27" t="s">
        <v>181</v>
      </c>
      <c r="S14" s="27"/>
      <c r="T14" s="29">
        <f>+L14</f>
        <v>460540676</v>
      </c>
      <c r="U14" s="29">
        <f t="shared" ref="U14" si="5">+M14</f>
        <v>952724606.08000004</v>
      </c>
      <c r="V14" s="29">
        <f t="shared" ref="V14" si="6">+N14</f>
        <v>1028942574.5664001</v>
      </c>
      <c r="W14" s="29">
        <f t="shared" ref="W14" si="7">+O14</f>
        <v>1111257980.5317121</v>
      </c>
      <c r="X14" s="29">
        <f t="shared" ref="X14" si="8">+P14</f>
        <v>1200158618.9742491</v>
      </c>
    </row>
    <row r="15" spans="2:24" x14ac:dyDescent="0.35">
      <c r="B15" s="30" t="s">
        <v>182</v>
      </c>
      <c r="C15" s="30"/>
      <c r="D15" s="31">
        <f>+D13-D14</f>
        <v>-247150676</v>
      </c>
      <c r="E15" s="31">
        <f t="shared" ref="E15:H15" si="9">+E13-E14</f>
        <v>-356051606.08000004</v>
      </c>
      <c r="F15" s="31">
        <f t="shared" si="9"/>
        <v>-262330224.56640005</v>
      </c>
      <c r="G15" s="31">
        <f t="shared" si="9"/>
        <v>-114820685.53171206</v>
      </c>
      <c r="H15" s="31">
        <f t="shared" si="9"/>
        <v>107555935.15075088</v>
      </c>
      <c r="J15" s="30" t="s">
        <v>182</v>
      </c>
      <c r="K15" s="30"/>
      <c r="L15" s="31">
        <f>+L13-L14</f>
        <v>-193803176</v>
      </c>
      <c r="M15" s="31">
        <f t="shared" ref="M15" si="10">+M13-M14</f>
        <v>-206883356.08000004</v>
      </c>
      <c r="N15" s="31">
        <f t="shared" ref="N15" si="11">+N13-N14</f>
        <v>-70677137.066400051</v>
      </c>
      <c r="O15" s="31">
        <f t="shared" ref="O15" si="12">+O13-O14</f>
        <v>134288638.21828794</v>
      </c>
      <c r="P15" s="31">
        <f t="shared" ref="P15" si="13">+P13-P14</f>
        <v>434484573.68200088</v>
      </c>
      <c r="R15" s="30" t="s">
        <v>182</v>
      </c>
      <c r="S15" s="30"/>
      <c r="T15" s="31">
        <f>+T13-T14</f>
        <v>-104890676</v>
      </c>
      <c r="U15" s="31">
        <f t="shared" ref="U15" si="14">+U13-U14</f>
        <v>41730393.919999957</v>
      </c>
      <c r="V15" s="31">
        <f t="shared" ref="V15" si="15">+V13-V14</f>
        <v>248744675.43359995</v>
      </c>
      <c r="W15" s="31">
        <f t="shared" ref="W15" si="16">+W13-W14</f>
        <v>549470844.46828794</v>
      </c>
      <c r="X15" s="31">
        <f t="shared" ref="X15" si="17">+X13-X14</f>
        <v>979365637.90075088</v>
      </c>
    </row>
    <row r="16" spans="2:24" x14ac:dyDescent="0.35">
      <c r="B16" s="27" t="s">
        <v>184</v>
      </c>
      <c r="C16" s="27"/>
      <c r="D16" s="29">
        <f>+'Costos y gastos'!G25/4</f>
        <v>3000000</v>
      </c>
      <c r="E16" s="29">
        <f>+('Costos y gastos'!G25/2)*K1+'Costos y gastos'!G25/2</f>
        <v>6240000</v>
      </c>
      <c r="F16" s="29">
        <f>+(E16*$K$1)+E16</f>
        <v>6489600</v>
      </c>
      <c r="G16" s="29">
        <f>+(F16*$K$1)+F16</f>
        <v>6749184</v>
      </c>
      <c r="H16" s="29">
        <f>+(G16*$K$1)+G16</f>
        <v>7019151.3600000003</v>
      </c>
      <c r="J16" s="27" t="s">
        <v>184</v>
      </c>
      <c r="K16" s="27"/>
      <c r="L16" s="29">
        <f>+D16</f>
        <v>3000000</v>
      </c>
      <c r="M16" s="29">
        <f>+E16</f>
        <v>6240000</v>
      </c>
      <c r="N16" s="29">
        <f t="shared" ref="N16:P17" si="18">+F16</f>
        <v>6489600</v>
      </c>
      <c r="O16" s="29">
        <f t="shared" si="18"/>
        <v>6749184</v>
      </c>
      <c r="P16" s="29">
        <f t="shared" si="18"/>
        <v>7019151.3600000003</v>
      </c>
      <c r="R16" s="27" t="s">
        <v>184</v>
      </c>
      <c r="S16" s="27"/>
      <c r="T16" s="29">
        <f>+L16</f>
        <v>3000000</v>
      </c>
      <c r="U16" s="29">
        <f>+E16</f>
        <v>6240000</v>
      </c>
      <c r="V16" s="29">
        <f t="shared" ref="V16:X17" si="19">+F16</f>
        <v>6489600</v>
      </c>
      <c r="W16" s="29">
        <f t="shared" si="19"/>
        <v>6749184</v>
      </c>
      <c r="X16" s="29">
        <f t="shared" si="19"/>
        <v>7019151.3600000003</v>
      </c>
    </row>
    <row r="17" spans="2:24" x14ac:dyDescent="0.35">
      <c r="B17" s="27" t="s">
        <v>183</v>
      </c>
      <c r="C17" s="27"/>
      <c r="D17" s="29">
        <f>+'Costos y gastos'!G25/4</f>
        <v>3000000</v>
      </c>
      <c r="E17" s="29">
        <f>+('Costos y gastos'!G25/2)*K1+'Costos y gastos'!G25/2</f>
        <v>6240000</v>
      </c>
      <c r="F17" s="29">
        <f>+(E17*$K$1)+E17</f>
        <v>6489600</v>
      </c>
      <c r="G17" s="29">
        <f t="shared" ref="G17:H17" si="20">+(F17*$K$1)+F17</f>
        <v>6749184</v>
      </c>
      <c r="H17" s="29">
        <f t="shared" si="20"/>
        <v>7019151.3600000003</v>
      </c>
      <c r="J17" s="27" t="s">
        <v>183</v>
      </c>
      <c r="K17" s="27"/>
      <c r="L17" s="29">
        <f>+D17</f>
        <v>3000000</v>
      </c>
      <c r="M17" s="29">
        <f>+E17</f>
        <v>6240000</v>
      </c>
      <c r="N17" s="29">
        <f t="shared" si="18"/>
        <v>6489600</v>
      </c>
      <c r="O17" s="29">
        <f t="shared" si="18"/>
        <v>6749184</v>
      </c>
      <c r="P17" s="29">
        <f t="shared" si="18"/>
        <v>7019151.3600000003</v>
      </c>
      <c r="R17" s="27" t="s">
        <v>183</v>
      </c>
      <c r="S17" s="27"/>
      <c r="T17" s="29">
        <f>+L17</f>
        <v>3000000</v>
      </c>
      <c r="U17" s="29">
        <f>+E17</f>
        <v>6240000</v>
      </c>
      <c r="V17" s="29">
        <f t="shared" si="19"/>
        <v>6489600</v>
      </c>
      <c r="W17" s="29">
        <f t="shared" si="19"/>
        <v>6749184</v>
      </c>
      <c r="X17" s="29">
        <f t="shared" si="19"/>
        <v>7019151.3600000003</v>
      </c>
    </row>
    <row r="18" spans="2:24" x14ac:dyDescent="0.35">
      <c r="B18" s="27" t="s">
        <v>188</v>
      </c>
      <c r="C18" s="27"/>
      <c r="D18" s="29">
        <v>0</v>
      </c>
      <c r="E18" s="29">
        <v>0</v>
      </c>
      <c r="F18" s="29">
        <v>0</v>
      </c>
      <c r="G18" s="29">
        <v>0</v>
      </c>
      <c r="H18" s="29">
        <v>0</v>
      </c>
      <c r="J18" s="27" t="s">
        <v>188</v>
      </c>
      <c r="K18" s="27"/>
      <c r="L18" s="29">
        <v>0</v>
      </c>
      <c r="M18" s="29">
        <v>0</v>
      </c>
      <c r="N18" s="29">
        <v>0</v>
      </c>
      <c r="O18" s="29">
        <v>0</v>
      </c>
      <c r="P18" s="29">
        <v>0</v>
      </c>
      <c r="R18" s="27" t="s">
        <v>188</v>
      </c>
      <c r="S18" s="27"/>
      <c r="T18" s="29">
        <v>0</v>
      </c>
      <c r="U18" s="29">
        <v>0</v>
      </c>
      <c r="V18" s="29">
        <v>0</v>
      </c>
      <c r="W18" s="29">
        <v>0</v>
      </c>
      <c r="X18" s="29">
        <v>0</v>
      </c>
    </row>
    <row r="19" spans="2:24" x14ac:dyDescent="0.35">
      <c r="B19" s="27" t="s">
        <v>193</v>
      </c>
      <c r="C19" s="27"/>
      <c r="D19" s="29">
        <v>0</v>
      </c>
      <c r="E19" s="29">
        <v>0</v>
      </c>
      <c r="F19" s="29">
        <v>0</v>
      </c>
      <c r="G19" s="29">
        <v>0</v>
      </c>
      <c r="H19" s="29">
        <v>0</v>
      </c>
      <c r="J19" s="27" t="s">
        <v>193</v>
      </c>
      <c r="K19" s="27"/>
      <c r="L19" s="29">
        <v>0</v>
      </c>
      <c r="M19" s="29">
        <v>0</v>
      </c>
      <c r="N19" s="29">
        <v>0</v>
      </c>
      <c r="O19" s="29">
        <v>0</v>
      </c>
      <c r="P19" s="29">
        <v>0</v>
      </c>
      <c r="R19" s="27" t="s">
        <v>193</v>
      </c>
      <c r="S19" s="27"/>
      <c r="T19" s="29">
        <v>0</v>
      </c>
      <c r="U19" s="29">
        <v>0</v>
      </c>
      <c r="V19" s="29">
        <v>0</v>
      </c>
      <c r="W19" s="29">
        <v>0</v>
      </c>
      <c r="X19" s="29">
        <v>0</v>
      </c>
    </row>
    <row r="20" spans="2:24" x14ac:dyDescent="0.35">
      <c r="B20" s="32" t="s">
        <v>185</v>
      </c>
      <c r="C20" s="32"/>
      <c r="D20" s="33">
        <f>+D15-D16-D17</f>
        <v>-253150676</v>
      </c>
      <c r="E20" s="33">
        <f t="shared" ref="E20:H20" si="21">+E15-E16-E17</f>
        <v>-368531606.08000004</v>
      </c>
      <c r="F20" s="33">
        <f t="shared" si="21"/>
        <v>-275309424.56640005</v>
      </c>
      <c r="G20" s="33">
        <f t="shared" si="21"/>
        <v>-128319053.53171206</v>
      </c>
      <c r="H20" s="33">
        <f t="shared" si="21"/>
        <v>93517632.430750877</v>
      </c>
      <c r="J20" s="32" t="s">
        <v>185</v>
      </c>
      <c r="K20" s="32"/>
      <c r="L20" s="33">
        <f>+L15-L16-L17</f>
        <v>-199803176</v>
      </c>
      <c r="M20" s="33">
        <f t="shared" ref="M20:P20" si="22">+M15-M16-M17</f>
        <v>-219363356.08000004</v>
      </c>
      <c r="N20" s="33">
        <f t="shared" si="22"/>
        <v>-83656337.066400051</v>
      </c>
      <c r="O20" s="33">
        <f t="shared" si="22"/>
        <v>120790270.21828794</v>
      </c>
      <c r="P20" s="33">
        <f t="shared" si="22"/>
        <v>420446270.96200085</v>
      </c>
      <c r="R20" s="32" t="s">
        <v>185</v>
      </c>
      <c r="S20" s="32"/>
      <c r="T20" s="33">
        <f>+T15-T16-T17</f>
        <v>-110890676</v>
      </c>
      <c r="U20" s="33">
        <f t="shared" ref="U20:X20" si="23">+U15-U16-U17</f>
        <v>29250393.919999957</v>
      </c>
      <c r="V20" s="33">
        <f t="shared" si="23"/>
        <v>235765475.43359995</v>
      </c>
      <c r="W20" s="33">
        <f t="shared" si="23"/>
        <v>535972476.46828794</v>
      </c>
      <c r="X20" s="33">
        <f t="shared" si="23"/>
        <v>965327335.18075085</v>
      </c>
    </row>
    <row r="21" spans="2:24" x14ac:dyDescent="0.35">
      <c r="B21" s="27" t="s">
        <v>186</v>
      </c>
      <c r="C21" s="27"/>
      <c r="D21" s="29">
        <f>+('Costos y gastos'!C52+'Costos y gastos'!C53)/2</f>
        <v>33968175.034096263</v>
      </c>
      <c r="E21" s="29">
        <f>+'Costos y gastos'!D45+'Costos y gastos'!D44</f>
        <v>67936350.068192527</v>
      </c>
      <c r="F21" s="29">
        <f>+'Costos y gastos'!E45+'Costos y gastos'!E44</f>
        <v>67936350.068192527</v>
      </c>
      <c r="G21" s="29">
        <f>+'Costos y gastos'!F45+'Costos y gastos'!F44</f>
        <v>67936350.068192527</v>
      </c>
      <c r="H21" s="29">
        <f>+'Costos y gastos'!G45+'Costos y gastos'!G44</f>
        <v>67936350.068192527</v>
      </c>
      <c r="J21" s="27" t="s">
        <v>186</v>
      </c>
      <c r="K21" s="27"/>
      <c r="L21" s="29">
        <f>+D21</f>
        <v>33968175.034096263</v>
      </c>
      <c r="M21" s="29">
        <f t="shared" ref="M21:P21" si="24">+E21</f>
        <v>67936350.068192527</v>
      </c>
      <c r="N21" s="29">
        <f t="shared" si="24"/>
        <v>67936350.068192527</v>
      </c>
      <c r="O21" s="29">
        <f t="shared" si="24"/>
        <v>67936350.068192527</v>
      </c>
      <c r="P21" s="29">
        <f t="shared" si="24"/>
        <v>67936350.068192527</v>
      </c>
      <c r="R21" s="27" t="s">
        <v>186</v>
      </c>
      <c r="S21" s="27"/>
      <c r="T21" s="29">
        <f>+L21</f>
        <v>33968175.034096263</v>
      </c>
      <c r="U21" s="29">
        <f t="shared" ref="U21" si="25">+M21</f>
        <v>67936350.068192527</v>
      </c>
      <c r="V21" s="29">
        <f t="shared" ref="V21" si="26">+N21</f>
        <v>67936350.068192527</v>
      </c>
      <c r="W21" s="29">
        <f t="shared" ref="W21" si="27">+O21</f>
        <v>67936350.068192527</v>
      </c>
      <c r="X21" s="29">
        <f t="shared" ref="X21" si="28">+P21</f>
        <v>67936350.068192527</v>
      </c>
    </row>
    <row r="22" spans="2:24" x14ac:dyDescent="0.35">
      <c r="B22" s="34" t="s">
        <v>187</v>
      </c>
      <c r="C22" s="34"/>
      <c r="D22" s="35">
        <f>+D20-D21</f>
        <v>-287118851.03409624</v>
      </c>
      <c r="E22" s="35">
        <f t="shared" ref="E22:H22" si="29">+E20-E21</f>
        <v>-436467956.14819258</v>
      </c>
      <c r="F22" s="35">
        <f t="shared" si="29"/>
        <v>-343245774.63459259</v>
      </c>
      <c r="G22" s="35">
        <f t="shared" si="29"/>
        <v>-196255403.5999046</v>
      </c>
      <c r="H22" s="35">
        <f t="shared" si="29"/>
        <v>25581282.36255835</v>
      </c>
      <c r="J22" s="34" t="s">
        <v>187</v>
      </c>
      <c r="K22" s="34"/>
      <c r="L22" s="35">
        <f>+L20-L21</f>
        <v>-233771351.03409627</v>
      </c>
      <c r="M22" s="35">
        <f t="shared" ref="M22" si="30">+M20-M21</f>
        <v>-287299706.14819258</v>
      </c>
      <c r="N22" s="35">
        <f t="shared" ref="N22" si="31">+N20-N21</f>
        <v>-151592687.13459259</v>
      </c>
      <c r="O22" s="35">
        <f t="shared" ref="O22" si="32">+O20-O21</f>
        <v>52853920.150095418</v>
      </c>
      <c r="P22" s="35">
        <f t="shared" ref="P22" si="33">+P20-P21</f>
        <v>352509920.89380831</v>
      </c>
      <c r="R22" s="34" t="s">
        <v>187</v>
      </c>
      <c r="S22" s="34"/>
      <c r="T22" s="35">
        <f>+T20-T21</f>
        <v>-144858851.03409627</v>
      </c>
      <c r="U22" s="35">
        <f t="shared" ref="U22" si="34">+U20-U21</f>
        <v>-38685956.14819257</v>
      </c>
      <c r="V22" s="35">
        <f>+V20-V21</f>
        <v>167829125.36540741</v>
      </c>
      <c r="W22" s="35">
        <f>+W20-W21</f>
        <v>468036126.4000954</v>
      </c>
      <c r="X22" s="35">
        <f>+X20-X21</f>
        <v>897390985.11255836</v>
      </c>
    </row>
    <row r="24" spans="2:24" x14ac:dyDescent="0.35">
      <c r="B24" s="21"/>
      <c r="C24" s="21">
        <v>0</v>
      </c>
      <c r="D24" s="21">
        <v>1</v>
      </c>
      <c r="E24" s="21">
        <v>2</v>
      </c>
      <c r="F24" s="21">
        <v>3</v>
      </c>
      <c r="G24" s="21">
        <v>4</v>
      </c>
      <c r="H24" s="21">
        <v>5</v>
      </c>
      <c r="J24" s="21"/>
      <c r="K24" s="21">
        <v>0</v>
      </c>
      <c r="L24" s="21">
        <v>1</v>
      </c>
      <c r="M24" s="21">
        <v>2</v>
      </c>
      <c r="N24" s="21">
        <v>3</v>
      </c>
      <c r="O24" s="21">
        <v>4</v>
      </c>
      <c r="P24" s="21">
        <v>5</v>
      </c>
      <c r="R24" s="21"/>
      <c r="S24" s="21">
        <v>0</v>
      </c>
      <c r="T24" s="21">
        <v>1</v>
      </c>
      <c r="U24" s="21">
        <v>2</v>
      </c>
      <c r="V24" s="21">
        <v>3</v>
      </c>
      <c r="W24" s="21">
        <v>4</v>
      </c>
      <c r="X24" s="21">
        <v>5</v>
      </c>
    </row>
    <row r="25" spans="2:24" x14ac:dyDescent="0.35">
      <c r="B25" s="27" t="s">
        <v>174</v>
      </c>
      <c r="C25" s="29">
        <f>-K4</f>
        <v>-489790676</v>
      </c>
      <c r="D25" s="29">
        <f>+D22</f>
        <v>-287118851.03409624</v>
      </c>
      <c r="E25" s="29">
        <f t="shared" ref="E25:G25" si="35">+E22</f>
        <v>-436467956.14819258</v>
      </c>
      <c r="F25" s="29">
        <f>+F22</f>
        <v>-343245774.63459259</v>
      </c>
      <c r="G25" s="29">
        <f t="shared" si="35"/>
        <v>-196255403.5999046</v>
      </c>
      <c r="H25" s="29">
        <f>+H22</f>
        <v>25581282.36255835</v>
      </c>
      <c r="J25" s="27" t="s">
        <v>174</v>
      </c>
      <c r="K25" s="29">
        <f>+C25</f>
        <v>-489790676</v>
      </c>
      <c r="L25" s="29">
        <f>+L22</f>
        <v>-233771351.03409627</v>
      </c>
      <c r="M25" s="29">
        <f>+M22</f>
        <v>-287299706.14819258</v>
      </c>
      <c r="N25" s="29">
        <f t="shared" ref="N25:O25" si="36">+N22</f>
        <v>-151592687.13459259</v>
      </c>
      <c r="O25" s="29">
        <f t="shared" si="36"/>
        <v>52853920.150095418</v>
      </c>
      <c r="P25" s="29">
        <f>+P22</f>
        <v>352509920.89380831</v>
      </c>
      <c r="R25" s="27" t="s">
        <v>174</v>
      </c>
      <c r="S25" s="29">
        <f>+K25</f>
        <v>-489790676</v>
      </c>
      <c r="T25" s="29">
        <f>+T22</f>
        <v>-144858851.03409627</v>
      </c>
      <c r="U25" s="29">
        <f t="shared" ref="U25:W25" si="37">+U22</f>
        <v>-38685956.14819257</v>
      </c>
      <c r="V25" s="29">
        <f t="shared" si="37"/>
        <v>167829125.36540741</v>
      </c>
      <c r="W25" s="29">
        <f t="shared" si="37"/>
        <v>468036126.4000954</v>
      </c>
      <c r="X25" s="29">
        <f>+X22</f>
        <v>897390985.11255836</v>
      </c>
    </row>
    <row r="26" spans="2:24" x14ac:dyDescent="0.35">
      <c r="B26" s="36" t="s">
        <v>195</v>
      </c>
      <c r="C26" s="37">
        <f>+C25</f>
        <v>-489790676</v>
      </c>
      <c r="D26" s="37">
        <f>+C26+D25</f>
        <v>-776909527.03409624</v>
      </c>
      <c r="E26" s="37">
        <f t="shared" ref="E26:H26" si="38">+D26+E25</f>
        <v>-1213377483.1822889</v>
      </c>
      <c r="F26" s="37">
        <f t="shared" si="38"/>
        <v>-1556623257.8168814</v>
      </c>
      <c r="G26" s="37">
        <f t="shared" si="38"/>
        <v>-1752878661.416786</v>
      </c>
      <c r="H26" s="37">
        <f t="shared" si="38"/>
        <v>-1727297379.0542276</v>
      </c>
      <c r="J26" s="36" t="s">
        <v>195</v>
      </c>
      <c r="K26" s="37">
        <f>+K25</f>
        <v>-489790676</v>
      </c>
      <c r="L26" s="37">
        <f>+K26+L25</f>
        <v>-723562027.03409624</v>
      </c>
      <c r="M26" s="37">
        <f t="shared" ref="M26:P26" si="39">+L26+M25</f>
        <v>-1010861733.1822889</v>
      </c>
      <c r="N26" s="37">
        <f t="shared" si="39"/>
        <v>-1162454420.3168814</v>
      </c>
      <c r="O26" s="37">
        <f t="shared" si="39"/>
        <v>-1109600500.166786</v>
      </c>
      <c r="P26" s="37">
        <f t="shared" si="39"/>
        <v>-757090579.27297759</v>
      </c>
      <c r="R26" s="36" t="s">
        <v>195</v>
      </c>
      <c r="S26" s="37">
        <f>+S25</f>
        <v>-489790676</v>
      </c>
      <c r="T26" s="37">
        <f>+T25+S26</f>
        <v>-634649527.03409624</v>
      </c>
      <c r="U26" s="37">
        <f t="shared" ref="U26:X26" si="40">+U25+T26</f>
        <v>-673335483.18228877</v>
      </c>
      <c r="V26" s="37">
        <f t="shared" si="40"/>
        <v>-505506357.81688136</v>
      </c>
      <c r="W26" s="37">
        <f t="shared" si="40"/>
        <v>-37470231.416785955</v>
      </c>
      <c r="X26" s="37">
        <f t="shared" si="40"/>
        <v>859920753.69577241</v>
      </c>
    </row>
    <row r="28" spans="2:24" x14ac:dyDescent="0.35">
      <c r="B28" s="38" t="s">
        <v>175</v>
      </c>
      <c r="C28" s="39" t="e">
        <f>IRR(C25:H25)</f>
        <v>#NUM!</v>
      </c>
      <c r="J28" s="38" t="s">
        <v>175</v>
      </c>
      <c r="K28" s="39">
        <f>IRR(K25:P25)</f>
        <v>-0.25248477652733714</v>
      </c>
      <c r="R28" s="38" t="s">
        <v>175</v>
      </c>
      <c r="S28" s="39">
        <f>IRR(S25:X25)</f>
        <v>0.22056625536585472</v>
      </c>
    </row>
    <row r="29" spans="2:24" x14ac:dyDescent="0.35">
      <c r="B29" s="40" t="s">
        <v>176</v>
      </c>
      <c r="C29" s="41">
        <f>NPV(K2,D25:H25)</f>
        <v>-1039374662.6010514</v>
      </c>
      <c r="J29" s="40" t="s">
        <v>176</v>
      </c>
      <c r="K29" s="41">
        <f>NPV(K2,L25:P25)</f>
        <v>-304345770.25800008</v>
      </c>
      <c r="R29" s="40" t="s">
        <v>176</v>
      </c>
      <c r="S29" s="41">
        <f>NPV(K2,T25:X25)</f>
        <v>920702383.64708531</v>
      </c>
    </row>
    <row r="30" spans="2:24" x14ac:dyDescent="0.35">
      <c r="B30" s="40" t="s">
        <v>177</v>
      </c>
      <c r="C30" s="41">
        <f>+C29+C25</f>
        <v>-1529165338.6010513</v>
      </c>
      <c r="J30" s="40" t="s">
        <v>177</v>
      </c>
      <c r="K30" s="41">
        <f>+K29+K25</f>
        <v>-794136446.25800014</v>
      </c>
      <c r="R30" s="40" t="s">
        <v>177</v>
      </c>
      <c r="S30" s="41">
        <f>+S29+S25</f>
        <v>430911707.64708531</v>
      </c>
    </row>
    <row r="31" spans="2:24" x14ac:dyDescent="0.35">
      <c r="B31" s="36" t="s">
        <v>194</v>
      </c>
      <c r="C31" s="42">
        <f>+H24-H26/H25</f>
        <v>72.521923044106643</v>
      </c>
      <c r="J31" s="27" t="s">
        <v>194</v>
      </c>
      <c r="K31" s="43">
        <f>+P24-P26/P25</f>
        <v>7.1477142468879542</v>
      </c>
      <c r="R31" s="27" t="s">
        <v>194</v>
      </c>
      <c r="S31" s="43">
        <f>+W24-W26/X25</f>
        <v>4.0417546331960157</v>
      </c>
    </row>
    <row r="33" spans="2:24" x14ac:dyDescent="0.35">
      <c r="B33" s="38" t="s">
        <v>189</v>
      </c>
      <c r="C33" s="44"/>
      <c r="D33" s="44">
        <f>+D21+D19+D20</f>
        <v>-219182500.96590373</v>
      </c>
      <c r="E33" s="44">
        <f t="shared" ref="E33:H33" si="41">+E21</f>
        <v>67936350.068192527</v>
      </c>
      <c r="F33" s="44">
        <f t="shared" si="41"/>
        <v>67936350.068192527</v>
      </c>
      <c r="G33" s="44">
        <f t="shared" si="41"/>
        <v>67936350.068192527</v>
      </c>
      <c r="H33" s="44">
        <f t="shared" si="41"/>
        <v>67936350.068192527</v>
      </c>
      <c r="J33" s="38" t="s">
        <v>189</v>
      </c>
      <c r="K33" s="44"/>
      <c r="L33" s="44">
        <f>+L21+L19+L20</f>
        <v>-165835000.96590373</v>
      </c>
      <c r="M33" s="44">
        <f t="shared" ref="M33:P33" si="42">+M21</f>
        <v>67936350.068192527</v>
      </c>
      <c r="N33" s="44">
        <f t="shared" si="42"/>
        <v>67936350.068192527</v>
      </c>
      <c r="O33" s="44">
        <f t="shared" si="42"/>
        <v>67936350.068192527</v>
      </c>
      <c r="P33" s="44">
        <f t="shared" si="42"/>
        <v>67936350.068192527</v>
      </c>
      <c r="R33" s="38" t="s">
        <v>189</v>
      </c>
      <c r="S33" s="44"/>
      <c r="T33" s="44">
        <f>+T21+T19+T20</f>
        <v>-76922500.965903729</v>
      </c>
      <c r="U33" s="44">
        <f t="shared" ref="U33:X33" si="43">+U21</f>
        <v>67936350.068192527</v>
      </c>
      <c r="V33" s="44">
        <f t="shared" si="43"/>
        <v>67936350.068192527</v>
      </c>
      <c r="W33" s="44">
        <f t="shared" si="43"/>
        <v>67936350.068192527</v>
      </c>
      <c r="X33" s="44">
        <f t="shared" si="43"/>
        <v>67936350.068192527</v>
      </c>
    </row>
    <row r="34" spans="2:24" x14ac:dyDescent="0.35">
      <c r="B34" s="40" t="s">
        <v>191</v>
      </c>
      <c r="C34" s="45"/>
      <c r="D34" s="46">
        <f>+D15/D13</f>
        <v>-1.1582111439148977</v>
      </c>
      <c r="E34" s="46">
        <f t="shared" ref="E34:H34" si="44">+E15/E13</f>
        <v>-0.59672820134311433</v>
      </c>
      <c r="F34" s="46">
        <f t="shared" si="44"/>
        <v>-0.34219410183830207</v>
      </c>
      <c r="G34" s="46">
        <f t="shared" si="44"/>
        <v>-0.11523122037670425</v>
      </c>
      <c r="H34" s="46">
        <f t="shared" si="44"/>
        <v>8.2247257103227112E-2</v>
      </c>
      <c r="J34" s="40" t="s">
        <v>191</v>
      </c>
      <c r="K34" s="45"/>
      <c r="L34" s="46">
        <f>+L15/L13</f>
        <v>-0.72656891513191812</v>
      </c>
      <c r="M34" s="46">
        <f t="shared" ref="M34:P34" si="45">+M15/M13</f>
        <v>-0.27738256107449144</v>
      </c>
      <c r="N34" s="46">
        <f t="shared" si="45"/>
        <v>-7.3755281470641643E-2</v>
      </c>
      <c r="O34" s="46">
        <f t="shared" si="45"/>
        <v>0.1078150236986366</v>
      </c>
      <c r="P34" s="46">
        <f t="shared" si="45"/>
        <v>0.26579780568258171</v>
      </c>
      <c r="R34" s="40" t="s">
        <v>191</v>
      </c>
      <c r="S34" s="45"/>
      <c r="T34" s="46">
        <f>+T15/T13</f>
        <v>-0.29492668634893854</v>
      </c>
      <c r="U34" s="46">
        <f t="shared" ref="U34:X34" si="46">+U15/U13</f>
        <v>4.1963079194131413E-2</v>
      </c>
      <c r="V34" s="46">
        <f t="shared" si="46"/>
        <v>0.19468353889701878</v>
      </c>
      <c r="W34" s="46">
        <f t="shared" si="46"/>
        <v>0.33086126777397745</v>
      </c>
      <c r="X34" s="46">
        <f t="shared" si="46"/>
        <v>0.44934835426193626</v>
      </c>
    </row>
    <row r="35" spans="2:24" x14ac:dyDescent="0.35">
      <c r="B35" s="40" t="s">
        <v>190</v>
      </c>
      <c r="C35" s="45"/>
      <c r="D35" s="46">
        <f>+D20/D14</f>
        <v>-0.54968147048101346</v>
      </c>
      <c r="E35" s="46">
        <f t="shared" ref="E35:H35" si="47">+E20/E14</f>
        <v>-0.38681860815616903</v>
      </c>
      <c r="F35" s="46">
        <f t="shared" si="47"/>
        <v>-0.26756539322169304</v>
      </c>
      <c r="G35" s="46">
        <f t="shared" si="47"/>
        <v>-0.11547188481860374</v>
      </c>
      <c r="H35" s="46">
        <f t="shared" si="47"/>
        <v>7.7921060560043692E-2</v>
      </c>
      <c r="J35" s="40" t="s">
        <v>190</v>
      </c>
      <c r="K35" s="45"/>
      <c r="L35" s="46">
        <f>+L20/L14</f>
        <v>-0.43384479680574406</v>
      </c>
      <c r="M35" s="46">
        <f t="shared" ref="M35:P35" si="48">+M20/M14</f>
        <v>-0.23024844186881446</v>
      </c>
      <c r="N35" s="46">
        <f t="shared" si="48"/>
        <v>-8.1303212768363789E-2</v>
      </c>
      <c r="O35" s="46">
        <f t="shared" si="48"/>
        <v>0.10869687537406256</v>
      </c>
      <c r="P35" s="46">
        <f t="shared" si="48"/>
        <v>0.35032558556413784</v>
      </c>
      <c r="R35" s="40" t="s">
        <v>190</v>
      </c>
      <c r="S35" s="45"/>
      <c r="T35" s="46">
        <f>+T20/T14</f>
        <v>-0.24078367401362827</v>
      </c>
      <c r="U35" s="46">
        <f t="shared" ref="U35:X35" si="49">+U20/U14</f>
        <v>3.0701835276776519E-2</v>
      </c>
      <c r="V35" s="46">
        <f t="shared" si="49"/>
        <v>0.22913375465385163</v>
      </c>
      <c r="W35" s="46">
        <f t="shared" si="49"/>
        <v>0.48231147569517308</v>
      </c>
      <c r="X35" s="46">
        <f t="shared" si="49"/>
        <v>0.80433312723762818</v>
      </c>
    </row>
    <row r="36" spans="2:24" x14ac:dyDescent="0.35">
      <c r="B36" s="40" t="s">
        <v>192</v>
      </c>
      <c r="C36" s="45"/>
      <c r="D36" s="46">
        <f>+D22/D14</f>
        <v>-0.62343863636074626</v>
      </c>
      <c r="E36" s="46">
        <f t="shared" ref="E36:H36" si="50">+E22/E14</f>
        <v>-0.45812604540996027</v>
      </c>
      <c r="F36" s="46">
        <f t="shared" si="50"/>
        <v>-0.33359079808631453</v>
      </c>
      <c r="G36" s="46">
        <f t="shared" si="50"/>
        <v>-0.17660651895251253</v>
      </c>
      <c r="H36" s="46">
        <f t="shared" si="50"/>
        <v>2.1314917843461512E-2</v>
      </c>
      <c r="J36" s="40" t="s">
        <v>192</v>
      </c>
      <c r="K36" s="45"/>
      <c r="L36" s="46">
        <f>+L22/L14</f>
        <v>-0.50760196268547686</v>
      </c>
      <c r="M36" s="46">
        <f t="shared" ref="M36:P36" si="51">+M22/M14</f>
        <v>-0.30155587912260567</v>
      </c>
      <c r="N36" s="46">
        <f t="shared" si="51"/>
        <v>-0.14732861763298527</v>
      </c>
      <c r="O36" s="46">
        <f t="shared" si="51"/>
        <v>4.7562241240153798E-2</v>
      </c>
      <c r="P36" s="46">
        <f t="shared" si="51"/>
        <v>0.29371944284755569</v>
      </c>
      <c r="R36" s="40" t="s">
        <v>192</v>
      </c>
      <c r="S36" s="45"/>
      <c r="T36" s="46">
        <f>+T22/T14</f>
        <v>-0.31454083989336107</v>
      </c>
      <c r="U36" s="46">
        <f t="shared" ref="U36:X36" si="52">+U22/U14</f>
        <v>-4.0605601977014669E-2</v>
      </c>
      <c r="V36" s="46">
        <f t="shared" si="52"/>
        <v>0.16310834978923014</v>
      </c>
      <c r="W36" s="46">
        <f t="shared" si="52"/>
        <v>0.42117684156126428</v>
      </c>
      <c r="X36" s="46">
        <f t="shared" si="52"/>
        <v>0.74772698452104602</v>
      </c>
    </row>
  </sheetData>
  <mergeCells count="3">
    <mergeCell ref="B10:H10"/>
    <mergeCell ref="J10:P10"/>
    <mergeCell ref="R10:X10"/>
  </mergeCells>
  <pageMargins left="0.7" right="0.7" top="0.75" bottom="0.75" header="0.3" footer="0.3"/>
  <pageSetup orientation="portrait" r:id="rId1"/>
  <ignoredErrors>
    <ignoredError sqref="C28" evalError="1"/>
    <ignoredError sqref="L15:M15 N15:P15 T1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PRESUPUESTO</vt:lpstr>
      <vt:lpstr>OBSERVACIONES</vt:lpstr>
      <vt:lpstr>Costos y gastos</vt:lpstr>
      <vt:lpstr>Ingresos x escenarios</vt:lpstr>
      <vt:lpstr>Flujo de caja (optimista)</vt:lpstr>
      <vt:lpstr>Flujo de caja (intermedio)</vt:lpstr>
      <vt:lpstr>Flujo de caja (pesimista)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JHOANA FERNANDEZ CARRANZA</dc:creator>
  <cp:lastModifiedBy>Laura Vanesa Gomez Vallejo</cp:lastModifiedBy>
  <dcterms:created xsi:type="dcterms:W3CDTF">2021-12-06T22:39:33Z</dcterms:created>
  <dcterms:modified xsi:type="dcterms:W3CDTF">2022-01-16T20:39:21Z</dcterms:modified>
</cp:coreProperties>
</file>