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4.xml" ContentType="application/vnd.openxmlformats-officedocument.drawing+xml"/>
  <Override PartName="/xl/tables/table4.xml" ContentType="application/vnd.openxmlformats-officedocument.spreadsheetml.table+xml"/>
  <Override PartName="/xl/slicers/slicer4.xml" ContentType="application/vnd.ms-excel.slicer+xml"/>
  <Override PartName="/xl/drawings/drawing5.xml" ContentType="application/vnd.openxmlformats-officedocument.drawing+xml"/>
  <Override PartName="/xl/tables/table5.xml" ContentType="application/vnd.openxmlformats-officedocument.spreadsheetml.table+xml"/>
  <Override PartName="/xl/slicers/slicer5.xml" ContentType="application/vnd.ms-excel.slicer+xml"/>
  <Override PartName="/xl/drawings/drawing6.xml" ContentType="application/vnd.openxmlformats-officedocument.drawing+xml"/>
  <Override PartName="/xl/tables/table6.xml" ContentType="application/vnd.openxmlformats-officedocument.spreadsheetml.table+xml"/>
  <Override PartName="/xl/slicers/slicer6.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docs.live.net/5a2c7e7de2533ce8/Desktop/Maestría proyecto/Entrega Proyecto/Entrega final/"/>
    </mc:Choice>
  </mc:AlternateContent>
  <xr:revisionPtr revIDLastSave="0" documentId="8_{28510666-2BA0-4D22-96B6-435F2041D97A}" xr6:coauthVersionLast="46" xr6:coauthVersionMax="46" xr10:uidLastSave="{00000000-0000-0000-0000-000000000000}"/>
  <bookViews>
    <workbookView xWindow="-110" yWindow="-110" windowWidth="19420" windowHeight="10420" activeTab="1" xr2:uid="{C26338B6-6677-44F9-BBE9-72EDBEA61DE5}"/>
  </bookViews>
  <sheets>
    <sheet name="SARO" sheetId="1" r:id="rId1"/>
    <sheet name="SGSI" sheetId="2" r:id="rId2"/>
    <sheet name="SAC" sheetId="3" r:id="rId3"/>
    <sheet name="SGSF" sheetId="4" r:id="rId4"/>
    <sheet name="SARLAFT" sheetId="5" r:id="rId5"/>
    <sheet name="PCN" sheetId="6" r:id="rId6"/>
  </sheets>
  <externalReferences>
    <externalReference r:id="rId7"/>
    <externalReference r:id="rId8"/>
    <externalReference r:id="rId9"/>
    <externalReference r:id="rId10"/>
    <externalReference r:id="rId11"/>
    <externalReference r:id="rId12"/>
    <externalReference r:id="rId13"/>
  </externalReferences>
  <definedNames>
    <definedName name="_xlnm._FilterDatabase" localSheetId="5" hidden="1">PCN!$A$1:$B$2</definedName>
    <definedName name="ActivosTotales">[1]Cálculos!$D$8</definedName>
    <definedName name="Ambito_mitigación">[2]Listas!$Z$2:$Z$4</definedName>
    <definedName name="Ámbito_mitigación">'[3]Lista desplegable'!$H$43:$H$45</definedName>
    <definedName name="_xlnm.Print_Area" localSheetId="5">PCN!$B:$I</definedName>
    <definedName name="_xlnm.Print_Area" localSheetId="2">SAC!$B:$C</definedName>
    <definedName name="_xlnm.Print_Area" localSheetId="4">SARLAFT!$B:$C</definedName>
    <definedName name="_xlnm.Print_Area" localSheetId="0">SARO!$B:$I</definedName>
    <definedName name="_xlnm.Print_Area" localSheetId="3">SGSF!$B:$C</definedName>
    <definedName name="_xlnm.Print_Area" localSheetId="1">SGSI!$B:$C</definedName>
    <definedName name="CAT_1">[2]Listas!$E$2:$E$8</definedName>
    <definedName name="CAT_2">[2]Listas!$F$2:$F$23</definedName>
    <definedName name="CAT_3">[2]Listas!$G$2:$G$79</definedName>
    <definedName name="Causas">'[3]Lista desplegable'!$D$28:$D$40</definedName>
    <definedName name="Control_Clave">[2]Listas!$AA$2:$AA$3</definedName>
    <definedName name="cumple">[4]Hoja1!$B$1:$B$2</definedName>
    <definedName name="DeudasTotales">[1]Cálculos!$D$9</definedName>
    <definedName name="Divulgado">[2]Listas!$T$2:$T$3</definedName>
    <definedName name="Documentación">[2]Listas!$S$2:$S$4</definedName>
    <definedName name="Ejec_actividades">[2]Listas!$W$2:$W$4</definedName>
    <definedName name="Exis_Control">[2]Listas!$N$2:$N$3</definedName>
    <definedName name="Factores">'[3]Lista desplegable'!$E$28:$E$31</definedName>
    <definedName name="Formalizado">[2]Listas!$U$2:$U$3</definedName>
    <definedName name="FR_LAFT">[2]Listas!$A$2:$A$9</definedName>
    <definedName name="Frecuencia">[2]Listas!$V$2:$V$13</definedName>
    <definedName name="Funcionalidad">[2]Listas!$Q$2:$Q$3</definedName>
    <definedName name="Generareporte">'[3]Lista desplegable'!$J$3:$J$4</definedName>
    <definedName name="IMP_INH">[2]Listas!$L$2:$L$6</definedName>
    <definedName name="Indicadores">[2]Listas!$Y$2:$Y$3</definedName>
    <definedName name="Mediodeenvio">'[3]Lista desplegable'!$N$3:$N$5</definedName>
    <definedName name="Naturaleza">[2]Listas!$R$2:$R$4</definedName>
    <definedName name="Naturaleza_norma">'[3]Lista desplegable'!$F$3:$F$10</definedName>
    <definedName name="Naturalezanorma1" localSheetId="5">'[3]Lista desplegable'!#REF!</definedName>
    <definedName name="Naturalezanorma1" localSheetId="2">'[3]Lista desplegable'!#REF!</definedName>
    <definedName name="Naturalezanorma1" localSheetId="4">'[3]Lista desplegable'!#REF!</definedName>
    <definedName name="Naturalezanorma1" localSheetId="3">'[3]Lista desplegable'!#REF!</definedName>
    <definedName name="Naturalezanorma1">'[3]Lista desplegable'!#REF!</definedName>
    <definedName name="NP" localSheetId="5">#REF!</definedName>
    <definedName name="NP" localSheetId="2">#REF!</definedName>
    <definedName name="NP" localSheetId="4">#REF!</definedName>
    <definedName name="NP" localSheetId="3">#REF!</definedName>
    <definedName name="NP">#REF!</definedName>
    <definedName name="NP_Descripción" localSheetId="5">#REF!</definedName>
    <definedName name="NP_Descripción" localSheetId="2">#REF!</definedName>
    <definedName name="NP_Descripción" localSheetId="4">#REF!</definedName>
    <definedName name="NP_Descripción" localSheetId="3">#REF!</definedName>
    <definedName name="NP_Descripción">#REF!</definedName>
    <definedName name="PatrimonioNeto">[1]Cálculos!$D$10</definedName>
    <definedName name="Periodicidadreporte">'[3]Lista desplegable'!$M$3:$M$11</definedName>
    <definedName name="Priorización">'[3]Lista desplegable'!$B$89:$B$93</definedName>
    <definedName name="PROB_INH">[2]Listas!$K$2:$K$6</definedName>
    <definedName name="PT_FilaFin" localSheetId="5">COUNTA([5]Sistemática!$G:$G)+PT_FilaInicio-3</definedName>
    <definedName name="PT_FilaFin" localSheetId="2">COUNTA([5]Sistemática!$G:$G)+[6]!PT_FilaInicio-3</definedName>
    <definedName name="PT_FilaFin" localSheetId="4">COUNTA([5]Sistemática!$G:$G)+[6]!PT_FilaInicio-3</definedName>
    <definedName name="PT_FilaFin" localSheetId="3">COUNTA([5]Sistemática!$G:$G)+[6]!PT_FilaInicio-3</definedName>
    <definedName name="PT_FilaFin" localSheetId="1">COUNTA([5]Sistemática!$G:$G)+PT_FilaInicio-3</definedName>
    <definedName name="PT_FilaFin">COUNTA([5]Sistemática!$G:$G)+PT_FilaInicio-3</definedName>
    <definedName name="PT_FilaInicio">ROW(INDEX([5]Sistemática!$G:$G,MATCH("*",[5]Sistemática!$G:$G,0),1))+1</definedName>
    <definedName name="R_ASOCIADO">[2]Listas!$J$2:$J$5</definedName>
    <definedName name="Recorrido">[2]Listas!$X$2:$X$6</definedName>
    <definedName name="Regulador">'[3]Lista desplegable'!$E$3:$E$16</definedName>
    <definedName name="Reguladoralquevadirigido">'[3]Lista desplegable'!$K$3:$K$16</definedName>
    <definedName name="Res_Control">[2]Listas!$O$2:$O$3</definedName>
    <definedName name="riesgos">'[3]Lista desplegable'!$B$28:$B$37</definedName>
    <definedName name="SARINF">[2]Listas!$D$2:$D$9</definedName>
    <definedName name="SegmentaciónDeDatos_Actividad1">#N/A</definedName>
    <definedName name="SegmentaciónDeDatos_Actividad11">#N/A</definedName>
    <definedName name="SegmentaciónDeDatos_Actividad111">#N/A</definedName>
    <definedName name="SegmentaciónDeDatos_Actividad12">#N/A</definedName>
    <definedName name="SegmentaciónDeDatos_Actividad121">#N/A</definedName>
    <definedName name="SegmentaciónDeDatos_Actividad13">#N/A</definedName>
    <definedName name="SegmentaciónDeDatos_Actividad2">#N/A</definedName>
    <definedName name="SegmentaciónDeDatos_Sub_Componente">#N/A</definedName>
    <definedName name="SegmentaciónDeDatos_Sub_Componente1">#N/A</definedName>
    <definedName name="SegmentaciónDeDatos_Sub_Componente2">#N/A</definedName>
    <definedName name="SegmentaciónDeDatos_Sub_Componente3">#N/A</definedName>
    <definedName name="SegmentaciónDeDatos_Sub_Componente31">#N/A</definedName>
    <definedName name="Subcategoriaasociadaalanorma">'[3]Lista desplegable'!$C$19:$C$23</definedName>
    <definedName name="Temaasociadoalanorma">'[3]Lista desplegable'!$B$3:$B$7</definedName>
    <definedName name="Tipo">'[3]Lista desplegable'!$H$3:$H$8</definedName>
    <definedName name="Tipo_Control">[2]Listas!$P$2:$P$4</definedName>
    <definedName name="Tiponorma">'[3]Lista desplegable'!$D$3:$D$11</definedName>
    <definedName name="Tiporeporte">'[3]Lista desplegable'!$L$3:$L$5</definedName>
    <definedName name="_xlnm.Print_Titles" localSheetId="5">PCN!$8:$8</definedName>
    <definedName name="_xlnm.Print_Titles" localSheetId="2">SAC!#REF!</definedName>
    <definedName name="_xlnm.Print_Titles" localSheetId="4">SARLAFT!#REF!</definedName>
    <definedName name="_xlnm.Print_Titles" localSheetId="0">SARO!$8:$8</definedName>
    <definedName name="_xlnm.Print_Titles" localSheetId="3">SGSF!#REF!</definedName>
    <definedName name="_xlnm.Print_Titles" localSheetId="1">SGSI!#REF!</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4"/>
        <x14:slicerCache r:id="rId15"/>
        <x14:slicerCache r:id="rId16"/>
        <x14:slicerCache r:id="rId17"/>
        <x14:slicerCache r:id="rId18"/>
        <x14:slicerCache r:id="rId19"/>
        <x14:slicerCache r:id="rId20"/>
        <x14:slicerCache r:id="rId21"/>
        <x14:slicerCache r:id="rId22"/>
        <x14:slicerCache r:id="rId23"/>
        <x14:slicerCache r:id="rId24"/>
        <x14:slicerCache r:id="rId2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6" i="6" l="1"/>
  <c r="Q26" i="6"/>
  <c r="P26" i="6"/>
  <c r="O26" i="6"/>
  <c r="N26" i="6"/>
  <c r="M26" i="6"/>
  <c r="L26" i="6"/>
  <c r="K26" i="6"/>
  <c r="J26" i="6"/>
  <c r="H26" i="6"/>
  <c r="G26" i="6"/>
  <c r="F26" i="6"/>
  <c r="E26" i="6"/>
  <c r="D26" i="6"/>
  <c r="C26" i="6"/>
  <c r="R25" i="6"/>
  <c r="Q25" i="6"/>
  <c r="P25" i="6"/>
  <c r="O25" i="6"/>
  <c r="N25" i="6"/>
  <c r="M25" i="6"/>
  <c r="L25" i="6"/>
  <c r="K25" i="6"/>
  <c r="J25" i="6"/>
  <c r="H25" i="6"/>
  <c r="G25" i="6"/>
  <c r="F25" i="6"/>
  <c r="E25" i="6"/>
  <c r="D25" i="6"/>
  <c r="C25" i="6"/>
  <c r="R24" i="6"/>
  <c r="Q24" i="6"/>
  <c r="P24" i="6"/>
  <c r="O24" i="6"/>
  <c r="N24" i="6"/>
  <c r="M24" i="6"/>
  <c r="L24" i="6"/>
  <c r="K24" i="6"/>
  <c r="J24" i="6"/>
  <c r="H24" i="6"/>
  <c r="G24" i="6"/>
  <c r="F24" i="6"/>
  <c r="E24" i="6"/>
  <c r="D24" i="6"/>
  <c r="C24" i="6"/>
  <c r="R23" i="6"/>
  <c r="Q23" i="6"/>
  <c r="P23" i="6"/>
  <c r="O23" i="6"/>
  <c r="N23" i="6"/>
  <c r="M23" i="6"/>
  <c r="L23" i="6"/>
  <c r="K23" i="6"/>
  <c r="J23" i="6"/>
  <c r="H23" i="6"/>
  <c r="G23" i="6"/>
  <c r="F23" i="6"/>
  <c r="E23" i="6"/>
  <c r="D23" i="6"/>
  <c r="C23" i="6"/>
  <c r="R22" i="6"/>
  <c r="Q22" i="6"/>
  <c r="P22" i="6"/>
  <c r="O22" i="6"/>
  <c r="N22" i="6"/>
  <c r="M22" i="6"/>
  <c r="L22" i="6"/>
  <c r="K22" i="6"/>
  <c r="J22" i="6"/>
  <c r="H22" i="6"/>
  <c r="G22" i="6"/>
  <c r="F22" i="6"/>
  <c r="E22" i="6"/>
  <c r="D22" i="6"/>
  <c r="C22" i="6"/>
  <c r="R21" i="6"/>
  <c r="Q21" i="6"/>
  <c r="P21" i="6"/>
  <c r="O21" i="6"/>
  <c r="N21" i="6"/>
  <c r="M21" i="6"/>
  <c r="L21" i="6"/>
  <c r="K21" i="6"/>
  <c r="J21" i="6"/>
  <c r="H21" i="6"/>
  <c r="G21" i="6"/>
  <c r="F21" i="6"/>
  <c r="E21" i="6"/>
  <c r="D21" i="6"/>
  <c r="C21" i="6"/>
  <c r="R20" i="6"/>
  <c r="Q20" i="6"/>
  <c r="P20" i="6"/>
  <c r="O20" i="6"/>
  <c r="N20" i="6"/>
  <c r="M20" i="6"/>
  <c r="L20" i="6"/>
  <c r="K20" i="6"/>
  <c r="J20" i="6"/>
  <c r="H20" i="6"/>
  <c r="G20" i="6"/>
  <c r="F20" i="6"/>
  <c r="E20" i="6"/>
  <c r="D20" i="6"/>
  <c r="C20" i="6"/>
  <c r="R19" i="6"/>
  <c r="Q19" i="6"/>
  <c r="P19" i="6"/>
  <c r="O19" i="6"/>
  <c r="N19" i="6"/>
  <c r="M19" i="6"/>
  <c r="L19" i="6"/>
  <c r="K19" i="6"/>
  <c r="J19" i="6"/>
  <c r="H19" i="6"/>
  <c r="G19" i="6"/>
  <c r="F19" i="6"/>
  <c r="E19" i="6"/>
  <c r="D19" i="6"/>
  <c r="C19" i="6"/>
  <c r="R18" i="6"/>
  <c r="Q18" i="6"/>
  <c r="P18" i="6"/>
  <c r="O18" i="6"/>
  <c r="N18" i="6"/>
  <c r="M18" i="6"/>
  <c r="L18" i="6"/>
  <c r="K18" i="6"/>
  <c r="J18" i="6"/>
  <c r="H18" i="6"/>
  <c r="G18" i="6"/>
  <c r="F18" i="6"/>
  <c r="E18" i="6"/>
  <c r="D18" i="6"/>
  <c r="C18" i="6"/>
  <c r="R17" i="6"/>
  <c r="Q17" i="6"/>
  <c r="P17" i="6"/>
  <c r="O17" i="6"/>
  <c r="N17" i="6"/>
  <c r="M17" i="6"/>
  <c r="L17" i="6"/>
  <c r="K17" i="6"/>
  <c r="J17" i="6"/>
  <c r="H17" i="6"/>
  <c r="G17" i="6"/>
  <c r="F17" i="6"/>
  <c r="E17" i="6"/>
  <c r="D17" i="6"/>
  <c r="C17" i="6"/>
  <c r="R16" i="6"/>
  <c r="Q16" i="6"/>
  <c r="P16" i="6"/>
  <c r="O16" i="6"/>
  <c r="N16" i="6"/>
  <c r="M16" i="6"/>
  <c r="L16" i="6"/>
  <c r="K16" i="6"/>
  <c r="J16" i="6"/>
  <c r="H16" i="6"/>
  <c r="G16" i="6"/>
  <c r="F16" i="6"/>
  <c r="E16" i="6"/>
  <c r="D16" i="6"/>
  <c r="C16" i="6"/>
  <c r="R15" i="6"/>
  <c r="Q15" i="6"/>
  <c r="P15" i="6"/>
  <c r="O15" i="6"/>
  <c r="N15" i="6"/>
  <c r="M15" i="6"/>
  <c r="L15" i="6"/>
  <c r="K15" i="6"/>
  <c r="J15" i="6"/>
  <c r="H15" i="6"/>
  <c r="G15" i="6"/>
  <c r="F15" i="6"/>
  <c r="E15" i="6"/>
  <c r="D15" i="6"/>
  <c r="C15" i="6"/>
  <c r="R14" i="6"/>
  <c r="Q14" i="6"/>
  <c r="P14" i="6"/>
  <c r="O14" i="6"/>
  <c r="N14" i="6"/>
  <c r="M14" i="6"/>
  <c r="L14" i="6"/>
  <c r="K14" i="6"/>
  <c r="J14" i="6"/>
  <c r="H14" i="6"/>
  <c r="G14" i="6"/>
  <c r="F14" i="6"/>
  <c r="E14" i="6"/>
  <c r="D14" i="6"/>
  <c r="C14" i="6"/>
  <c r="R13" i="6"/>
  <c r="Q13" i="6"/>
  <c r="P13" i="6"/>
  <c r="O13" i="6"/>
  <c r="N13" i="6"/>
  <c r="M13" i="6"/>
  <c r="L13" i="6"/>
  <c r="K13" i="6"/>
  <c r="J13" i="6"/>
  <c r="H13" i="6"/>
  <c r="G13" i="6"/>
  <c r="F13" i="6"/>
  <c r="E13" i="6"/>
  <c r="D13" i="6"/>
  <c r="C13" i="6"/>
  <c r="R12" i="6"/>
  <c r="Q12" i="6"/>
  <c r="P12" i="6"/>
  <c r="O12" i="6"/>
  <c r="N12" i="6"/>
  <c r="M12" i="6"/>
  <c r="L12" i="6"/>
  <c r="K12" i="6"/>
  <c r="J12" i="6"/>
  <c r="H12" i="6"/>
  <c r="G12" i="6"/>
  <c r="F12" i="6"/>
  <c r="E12" i="6"/>
  <c r="D12" i="6"/>
  <c r="C12" i="6"/>
  <c r="R11" i="6"/>
  <c r="Q11" i="6"/>
  <c r="P11" i="6"/>
  <c r="O11" i="6"/>
  <c r="N11" i="6"/>
  <c r="M11" i="6"/>
  <c r="L11" i="6"/>
  <c r="K11" i="6"/>
  <c r="J11" i="6"/>
  <c r="H11" i="6"/>
  <c r="G11" i="6"/>
  <c r="F11" i="6"/>
  <c r="E11" i="6"/>
  <c r="D11" i="6"/>
  <c r="C11" i="6"/>
  <c r="R10" i="6"/>
  <c r="Q10" i="6"/>
  <c r="P10" i="6"/>
  <c r="O10" i="6"/>
  <c r="N10" i="6"/>
  <c r="M10" i="6"/>
  <c r="L10" i="6"/>
  <c r="K10" i="6"/>
  <c r="J10" i="6"/>
  <c r="H10" i="6"/>
  <c r="G10" i="6"/>
  <c r="F10" i="6"/>
  <c r="E10" i="6"/>
  <c r="D10" i="6"/>
  <c r="C10" i="6"/>
  <c r="R9" i="6"/>
  <c r="Q9" i="6"/>
  <c r="P9" i="6"/>
  <c r="O9" i="6"/>
  <c r="N9" i="6"/>
  <c r="M9" i="6"/>
  <c r="L9" i="6"/>
  <c r="K9" i="6"/>
  <c r="J9" i="6"/>
  <c r="H9" i="6"/>
  <c r="G9" i="6"/>
  <c r="F9" i="6"/>
  <c r="E9" i="6"/>
  <c r="D9" i="6"/>
  <c r="C9" i="6"/>
  <c r="I16" i="5"/>
  <c r="Q16" i="5" s="1"/>
  <c r="I15" i="5"/>
  <c r="I14" i="5"/>
  <c r="C14" i="5" s="1"/>
  <c r="L13" i="5"/>
  <c r="I13" i="5"/>
  <c r="N13" i="5" s="1"/>
  <c r="I12" i="5"/>
  <c r="I11" i="5"/>
  <c r="P11" i="5" s="1"/>
  <c r="I10" i="5"/>
  <c r="P9" i="5"/>
  <c r="I9" i="5"/>
  <c r="I105" i="4"/>
  <c r="K104" i="4"/>
  <c r="I104" i="4"/>
  <c r="G104" i="4" s="1"/>
  <c r="K103" i="4"/>
  <c r="I103" i="4"/>
  <c r="G103" i="4" s="1"/>
  <c r="O102" i="4"/>
  <c r="I102" i="4"/>
  <c r="K102" i="4" s="1"/>
  <c r="K101" i="4"/>
  <c r="I101" i="4"/>
  <c r="G101" i="4" s="1"/>
  <c r="K100" i="4"/>
  <c r="I100" i="4"/>
  <c r="G100" i="4" s="1"/>
  <c r="K99" i="4"/>
  <c r="I99" i="4"/>
  <c r="G99" i="4" s="1"/>
  <c r="O98" i="4"/>
  <c r="I98" i="4"/>
  <c r="K98" i="4" s="1"/>
  <c r="K97" i="4"/>
  <c r="I97" i="4"/>
  <c r="G97" i="4" s="1"/>
  <c r="K96" i="4"/>
  <c r="I96" i="4"/>
  <c r="G96" i="4" s="1"/>
  <c r="K95" i="4"/>
  <c r="I95" i="4"/>
  <c r="G95" i="4" s="1"/>
  <c r="O94" i="4"/>
  <c r="I94" i="4"/>
  <c r="K94" i="4" s="1"/>
  <c r="K93" i="4"/>
  <c r="I93" i="4"/>
  <c r="G93" i="4" s="1"/>
  <c r="I92" i="4"/>
  <c r="I91" i="4"/>
  <c r="G91" i="4" s="1"/>
  <c r="I90" i="4"/>
  <c r="I89" i="4"/>
  <c r="G89" i="4" s="1"/>
  <c r="I88" i="4"/>
  <c r="I87" i="4"/>
  <c r="K87" i="4" s="1"/>
  <c r="I86" i="4"/>
  <c r="G86" i="4" s="1"/>
  <c r="I85" i="4"/>
  <c r="C85" i="4" s="1"/>
  <c r="I84" i="4"/>
  <c r="I83" i="4"/>
  <c r="I82" i="4"/>
  <c r="I81" i="4"/>
  <c r="Q81" i="4" s="1"/>
  <c r="I80" i="4"/>
  <c r="I79" i="4"/>
  <c r="R78" i="4"/>
  <c r="I78" i="4"/>
  <c r="G78" i="4" s="1"/>
  <c r="Q77" i="4"/>
  <c r="M77" i="4"/>
  <c r="K77" i="4"/>
  <c r="I77" i="4"/>
  <c r="G77" i="4"/>
  <c r="F77" i="4"/>
  <c r="C77" i="4"/>
  <c r="K76" i="4"/>
  <c r="I76" i="4"/>
  <c r="F76" i="4" s="1"/>
  <c r="I75" i="4"/>
  <c r="G75" i="4" s="1"/>
  <c r="M74" i="4"/>
  <c r="I74" i="4"/>
  <c r="G74" i="4"/>
  <c r="I73" i="4"/>
  <c r="Q73" i="4" s="1"/>
  <c r="I72" i="4"/>
  <c r="O71" i="4"/>
  <c r="J71" i="4"/>
  <c r="I71" i="4"/>
  <c r="G71" i="4"/>
  <c r="C71" i="4"/>
  <c r="O70" i="4"/>
  <c r="I70" i="4"/>
  <c r="Q69" i="4"/>
  <c r="M69" i="4"/>
  <c r="J69" i="4"/>
  <c r="I69" i="4"/>
  <c r="G69" i="4"/>
  <c r="E69" i="4"/>
  <c r="C69" i="4"/>
  <c r="I68" i="4"/>
  <c r="R68" i="4" s="1"/>
  <c r="Q67" i="4"/>
  <c r="I67" i="4"/>
  <c r="C67" i="4" s="1"/>
  <c r="I66" i="4"/>
  <c r="C66" i="4" s="1"/>
  <c r="I65" i="4"/>
  <c r="I64" i="4"/>
  <c r="I63" i="4"/>
  <c r="Q62" i="4"/>
  <c r="M62" i="4"/>
  <c r="J62" i="4"/>
  <c r="I62" i="4"/>
  <c r="G62" i="4"/>
  <c r="E62" i="4"/>
  <c r="C62" i="4"/>
  <c r="I61" i="4"/>
  <c r="I60" i="4"/>
  <c r="C60" i="4" s="1"/>
  <c r="I59" i="4"/>
  <c r="G59" i="4" s="1"/>
  <c r="I58" i="4"/>
  <c r="J58" i="4" s="1"/>
  <c r="I57" i="4"/>
  <c r="I56" i="4"/>
  <c r="I55" i="4"/>
  <c r="R54" i="4"/>
  <c r="Q54" i="4"/>
  <c r="K54" i="4"/>
  <c r="I54" i="4"/>
  <c r="F54" i="4"/>
  <c r="E54" i="4"/>
  <c r="O53" i="4"/>
  <c r="I53" i="4"/>
  <c r="I52" i="4"/>
  <c r="E52" i="4" s="1"/>
  <c r="J51" i="4"/>
  <c r="I51" i="4"/>
  <c r="R51" i="4" s="1"/>
  <c r="E51" i="4"/>
  <c r="C51" i="4"/>
  <c r="I50" i="4"/>
  <c r="E50" i="4" s="1"/>
  <c r="O49" i="4"/>
  <c r="K49" i="4"/>
  <c r="J49" i="4"/>
  <c r="I49" i="4"/>
  <c r="R49" i="4" s="1"/>
  <c r="G49" i="4"/>
  <c r="F49" i="4"/>
  <c r="E49" i="4"/>
  <c r="C49" i="4"/>
  <c r="I48" i="4"/>
  <c r="J47" i="4"/>
  <c r="I47" i="4"/>
  <c r="R47" i="4" s="1"/>
  <c r="E47" i="4"/>
  <c r="C47" i="4"/>
  <c r="N46" i="4"/>
  <c r="I46" i="4"/>
  <c r="E46" i="4" s="1"/>
  <c r="O45" i="4"/>
  <c r="I45" i="4"/>
  <c r="C45" i="4" s="1"/>
  <c r="G45" i="4"/>
  <c r="I44" i="4"/>
  <c r="E44" i="4" s="1"/>
  <c r="K43" i="4"/>
  <c r="J43" i="4"/>
  <c r="I43" i="4"/>
  <c r="R43" i="4" s="1"/>
  <c r="F43" i="4"/>
  <c r="E43" i="4"/>
  <c r="C43" i="4"/>
  <c r="I42" i="4"/>
  <c r="F42" i="4" s="1"/>
  <c r="I41" i="4"/>
  <c r="J40" i="4"/>
  <c r="I40" i="4"/>
  <c r="O39" i="4"/>
  <c r="L39" i="4"/>
  <c r="I39" i="4"/>
  <c r="R39" i="4" s="1"/>
  <c r="G39" i="4"/>
  <c r="D39" i="4"/>
  <c r="C39" i="4"/>
  <c r="I38" i="4"/>
  <c r="L38" i="4" s="1"/>
  <c r="D38" i="4"/>
  <c r="I37" i="4"/>
  <c r="J37" i="4" s="1"/>
  <c r="I36" i="4"/>
  <c r="P35" i="4"/>
  <c r="O35" i="4"/>
  <c r="I35" i="4"/>
  <c r="H35" i="4"/>
  <c r="E35" i="4"/>
  <c r="I34" i="4"/>
  <c r="I33" i="4"/>
  <c r="K33" i="4" s="1"/>
  <c r="N32" i="4"/>
  <c r="I32" i="4"/>
  <c r="H32" i="4" s="1"/>
  <c r="I31" i="4"/>
  <c r="I30" i="4"/>
  <c r="I29" i="4"/>
  <c r="I28" i="4"/>
  <c r="I27" i="4"/>
  <c r="I26" i="4"/>
  <c r="I25" i="4"/>
  <c r="I24" i="4"/>
  <c r="I23" i="4"/>
  <c r="I22" i="4"/>
  <c r="I21" i="4"/>
  <c r="P21" i="4" s="1"/>
  <c r="I20" i="4"/>
  <c r="I19" i="4"/>
  <c r="I18" i="4"/>
  <c r="I17" i="4"/>
  <c r="P17" i="4" s="1"/>
  <c r="E17" i="4"/>
  <c r="I16" i="4"/>
  <c r="I15" i="4"/>
  <c r="I14" i="4"/>
  <c r="I13" i="4"/>
  <c r="I12" i="4"/>
  <c r="I11" i="4"/>
  <c r="I10" i="4"/>
  <c r="I9" i="4"/>
  <c r="P9" i="4" s="1"/>
  <c r="I27" i="3"/>
  <c r="E27" i="3" s="1"/>
  <c r="I26" i="3"/>
  <c r="O25" i="3"/>
  <c r="I25" i="3"/>
  <c r="I24" i="3"/>
  <c r="I23" i="3"/>
  <c r="N23" i="3" s="1"/>
  <c r="I22" i="3"/>
  <c r="I21" i="3"/>
  <c r="D21" i="3" s="1"/>
  <c r="I20" i="3"/>
  <c r="I19" i="3"/>
  <c r="E19" i="3" s="1"/>
  <c r="I18" i="3"/>
  <c r="I17" i="3"/>
  <c r="E17" i="3"/>
  <c r="I16" i="3"/>
  <c r="H16" i="3" s="1"/>
  <c r="I15" i="3"/>
  <c r="N15" i="3" s="1"/>
  <c r="I14" i="3"/>
  <c r="I13" i="3"/>
  <c r="I12" i="3"/>
  <c r="P12" i="3" s="1"/>
  <c r="G12" i="3"/>
  <c r="I11" i="3"/>
  <c r="E11" i="3" s="1"/>
  <c r="I10" i="3"/>
  <c r="I9" i="3"/>
  <c r="O9" i="3" s="1"/>
  <c r="I73" i="2"/>
  <c r="I72" i="2"/>
  <c r="I71" i="2"/>
  <c r="E71" i="2"/>
  <c r="C71" i="2"/>
  <c r="I70" i="2"/>
  <c r="E70" i="2" s="1"/>
  <c r="I69" i="2"/>
  <c r="I68" i="2"/>
  <c r="I67" i="2"/>
  <c r="I66" i="2"/>
  <c r="F66" i="2" s="1"/>
  <c r="M65" i="2"/>
  <c r="I65" i="2"/>
  <c r="G65" i="2"/>
  <c r="I64" i="2"/>
  <c r="D64" i="2" s="1"/>
  <c r="I63" i="2"/>
  <c r="L63" i="2" s="1"/>
  <c r="I62" i="2"/>
  <c r="J62" i="2" s="1"/>
  <c r="I61" i="2"/>
  <c r="C61" i="2" s="1"/>
  <c r="I60" i="2"/>
  <c r="L59" i="2"/>
  <c r="I59" i="2"/>
  <c r="I58" i="2"/>
  <c r="K57" i="2"/>
  <c r="J57" i="2"/>
  <c r="I57" i="2"/>
  <c r="M57" i="2" s="1"/>
  <c r="F57" i="2"/>
  <c r="E57" i="2"/>
  <c r="C57" i="2"/>
  <c r="I56" i="2"/>
  <c r="N56" i="2" s="1"/>
  <c r="I55" i="2"/>
  <c r="I54" i="2"/>
  <c r="H54" i="2" s="1"/>
  <c r="I53" i="2"/>
  <c r="F53" i="2" s="1"/>
  <c r="I52" i="2"/>
  <c r="N52" i="2" s="1"/>
  <c r="I51" i="2"/>
  <c r="O51" i="2" s="1"/>
  <c r="C51" i="2"/>
  <c r="I50" i="2"/>
  <c r="I49" i="2"/>
  <c r="J49" i="2" s="1"/>
  <c r="I48" i="2"/>
  <c r="I47" i="2"/>
  <c r="M47" i="2" s="1"/>
  <c r="I46" i="2"/>
  <c r="I45" i="2"/>
  <c r="M45" i="2" s="1"/>
  <c r="P44" i="2"/>
  <c r="L44" i="2"/>
  <c r="I44" i="2"/>
  <c r="H44" i="2"/>
  <c r="E44" i="2"/>
  <c r="D44" i="2"/>
  <c r="I43" i="2"/>
  <c r="G43" i="2"/>
  <c r="I42" i="2"/>
  <c r="H42" i="2" s="1"/>
  <c r="I41" i="2"/>
  <c r="O40" i="2"/>
  <c r="I40" i="2"/>
  <c r="J40" i="2" s="1"/>
  <c r="E40" i="2"/>
  <c r="I39" i="2"/>
  <c r="G39" i="2" s="1"/>
  <c r="I38" i="2"/>
  <c r="M38" i="2" s="1"/>
  <c r="I37" i="2"/>
  <c r="D37" i="2" s="1"/>
  <c r="I36" i="2"/>
  <c r="I35" i="2"/>
  <c r="I34" i="2"/>
  <c r="Q34" i="2" s="1"/>
  <c r="E34" i="2"/>
  <c r="I33" i="2"/>
  <c r="H33" i="2" s="1"/>
  <c r="D33" i="2"/>
  <c r="I32" i="2"/>
  <c r="P31" i="2"/>
  <c r="L31" i="2"/>
  <c r="I31" i="2"/>
  <c r="H31" i="2" s="1"/>
  <c r="E31" i="2"/>
  <c r="D31" i="2"/>
  <c r="I30" i="2"/>
  <c r="I29" i="2"/>
  <c r="E29" i="2" s="1"/>
  <c r="I28" i="2"/>
  <c r="O28" i="2" s="1"/>
  <c r="C28" i="2"/>
  <c r="I27" i="2"/>
  <c r="D27" i="2" s="1"/>
  <c r="I26" i="2"/>
  <c r="E26" i="2"/>
  <c r="P25" i="2"/>
  <c r="I25" i="2"/>
  <c r="O25" i="2" s="1"/>
  <c r="E25" i="2"/>
  <c r="O24" i="2"/>
  <c r="I24" i="2"/>
  <c r="H24" i="2" s="1"/>
  <c r="G24" i="2"/>
  <c r="C24" i="2"/>
  <c r="I23" i="2"/>
  <c r="L23" i="2" s="1"/>
  <c r="C23" i="2"/>
  <c r="I22" i="2"/>
  <c r="M22" i="2" s="1"/>
  <c r="I21" i="2"/>
  <c r="D21" i="2" s="1"/>
  <c r="I20" i="2"/>
  <c r="E20" i="2" s="1"/>
  <c r="I19" i="2"/>
  <c r="O19" i="2" s="1"/>
  <c r="I18" i="2"/>
  <c r="E18" i="2" s="1"/>
  <c r="I17" i="2"/>
  <c r="H17" i="2"/>
  <c r="I16" i="2"/>
  <c r="I15" i="2"/>
  <c r="I14" i="2"/>
  <c r="M14" i="2" s="1"/>
  <c r="I13" i="2"/>
  <c r="H13" i="2" s="1"/>
  <c r="P12" i="2"/>
  <c r="I12" i="2"/>
  <c r="I11" i="2"/>
  <c r="I10" i="2"/>
  <c r="M10" i="2" s="1"/>
  <c r="I9" i="2"/>
  <c r="D9" i="2" s="1"/>
  <c r="I43" i="1"/>
  <c r="E43" i="1" s="1"/>
  <c r="O42" i="1"/>
  <c r="L42" i="1"/>
  <c r="I42" i="1"/>
  <c r="R42" i="1" s="1"/>
  <c r="H42" i="1"/>
  <c r="G42" i="1"/>
  <c r="D42" i="1"/>
  <c r="C42" i="1"/>
  <c r="I41" i="1"/>
  <c r="C41" i="1" s="1"/>
  <c r="H41" i="1"/>
  <c r="I40" i="1"/>
  <c r="C40" i="1" s="1"/>
  <c r="I39" i="1"/>
  <c r="M39" i="1" s="1"/>
  <c r="I38" i="1"/>
  <c r="G38" i="1" s="1"/>
  <c r="L37" i="1"/>
  <c r="I37" i="1"/>
  <c r="C37" i="1" s="1"/>
  <c r="I36" i="1"/>
  <c r="I35" i="1"/>
  <c r="D35" i="1" s="1"/>
  <c r="M34" i="1"/>
  <c r="I34" i="1"/>
  <c r="I33" i="1"/>
  <c r="H33" i="1" s="1"/>
  <c r="I32" i="1"/>
  <c r="C32" i="1" s="1"/>
  <c r="I31" i="1"/>
  <c r="D31" i="1" s="1"/>
  <c r="I30" i="1"/>
  <c r="M30" i="1" s="1"/>
  <c r="I29" i="1"/>
  <c r="I28" i="1"/>
  <c r="C28" i="1" s="1"/>
  <c r="I27" i="1"/>
  <c r="D27" i="1" s="1"/>
  <c r="I26" i="1"/>
  <c r="O26" i="1" s="1"/>
  <c r="O25" i="1"/>
  <c r="I25" i="1"/>
  <c r="H25" i="1" s="1"/>
  <c r="C25" i="1"/>
  <c r="I24" i="1"/>
  <c r="I23" i="1"/>
  <c r="H23" i="1" s="1"/>
  <c r="I22" i="1"/>
  <c r="C22" i="1"/>
  <c r="I21" i="1"/>
  <c r="N21" i="1" s="1"/>
  <c r="I20" i="1"/>
  <c r="I19" i="1"/>
  <c r="O19" i="1" s="1"/>
  <c r="I18" i="1"/>
  <c r="I17" i="1"/>
  <c r="Q17" i="1" s="1"/>
  <c r="I16" i="1"/>
  <c r="I15" i="1"/>
  <c r="R15" i="1" s="1"/>
  <c r="G15" i="1"/>
  <c r="I14" i="1"/>
  <c r="R14" i="1" s="1"/>
  <c r="I13" i="1"/>
  <c r="G13" i="1"/>
  <c r="I12" i="1"/>
  <c r="R12" i="1" s="1"/>
  <c r="G12" i="1"/>
  <c r="C12" i="1"/>
  <c r="I11" i="1"/>
  <c r="R11" i="1" s="1"/>
  <c r="I10" i="1"/>
  <c r="R10" i="1" s="1"/>
  <c r="O9" i="1"/>
  <c r="I9" i="1"/>
  <c r="R9" i="1" s="1"/>
  <c r="C9" i="1"/>
  <c r="H60" i="2" l="1"/>
  <c r="Q60" i="2"/>
  <c r="D60" i="2"/>
  <c r="H67" i="2"/>
  <c r="E67" i="2"/>
  <c r="N13" i="3"/>
  <c r="O13" i="3"/>
  <c r="H13" i="3"/>
  <c r="C13" i="3"/>
  <c r="L13" i="3"/>
  <c r="G13" i="3"/>
  <c r="N24" i="3"/>
  <c r="H24" i="3"/>
  <c r="L24" i="3"/>
  <c r="F24" i="3"/>
  <c r="P25" i="4"/>
  <c r="E25" i="4"/>
  <c r="R13" i="1"/>
  <c r="C13" i="1"/>
  <c r="O13" i="1"/>
  <c r="O34" i="1"/>
  <c r="G34" i="1"/>
  <c r="C34" i="1"/>
  <c r="H39" i="1"/>
  <c r="O12" i="2"/>
  <c r="H12" i="2"/>
  <c r="D12" i="2"/>
  <c r="H32" i="2"/>
  <c r="C32" i="2"/>
  <c r="C43" i="2"/>
  <c r="M43" i="2"/>
  <c r="Q44" i="2"/>
  <c r="K44" i="2"/>
  <c r="G44" i="2"/>
  <c r="C44" i="2"/>
  <c r="J44" i="2"/>
  <c r="F44" i="2"/>
  <c r="H52" i="2"/>
  <c r="L60" i="2"/>
  <c r="K13" i="3"/>
  <c r="J24" i="3"/>
  <c r="O30" i="1"/>
  <c r="G30" i="1"/>
  <c r="C30" i="1"/>
  <c r="M23" i="1"/>
  <c r="O23" i="1"/>
  <c r="D23" i="1"/>
  <c r="L23" i="1"/>
  <c r="C23" i="1"/>
  <c r="M25" i="1"/>
  <c r="G25" i="1"/>
  <c r="L25" i="1"/>
  <c r="D25" i="1"/>
  <c r="O37" i="1"/>
  <c r="G37" i="1"/>
  <c r="M37" i="1"/>
  <c r="D37" i="1"/>
  <c r="E30" i="2"/>
  <c r="Q30" i="2"/>
  <c r="Q31" i="2"/>
  <c r="K31" i="2"/>
  <c r="G31" i="2"/>
  <c r="C31" i="2"/>
  <c r="J31" i="2"/>
  <c r="F31" i="2"/>
  <c r="C47" i="2"/>
  <c r="D66" i="2"/>
  <c r="D13" i="3"/>
  <c r="G21" i="3"/>
  <c r="D24" i="3"/>
  <c r="E9" i="4"/>
  <c r="P16" i="2"/>
  <c r="H16" i="2"/>
  <c r="N36" i="2"/>
  <c r="F36" i="2"/>
  <c r="F62" i="2"/>
  <c r="E13" i="3"/>
  <c r="P18" i="3"/>
  <c r="E18" i="3"/>
  <c r="E24" i="3"/>
  <c r="K45" i="4"/>
  <c r="F45" i="4"/>
  <c r="J45" i="4"/>
  <c r="E45" i="4"/>
  <c r="R45" i="4"/>
  <c r="G9" i="1"/>
  <c r="G11" i="1"/>
  <c r="H40" i="1"/>
  <c r="H23" i="2"/>
  <c r="H25" i="2"/>
  <c r="F40" i="2"/>
  <c r="H51" i="2"/>
  <c r="G57" i="2"/>
  <c r="E21" i="4"/>
  <c r="E37" i="4"/>
  <c r="H39" i="4"/>
  <c r="G43" i="4"/>
  <c r="O43" i="4"/>
  <c r="F47" i="4"/>
  <c r="K47" i="4"/>
  <c r="F51" i="4"/>
  <c r="K51" i="4"/>
  <c r="K59" i="4"/>
  <c r="R66" i="4"/>
  <c r="Q68" i="4"/>
  <c r="C73" i="4"/>
  <c r="J73" i="4"/>
  <c r="E76" i="4"/>
  <c r="O76" i="4"/>
  <c r="C81" i="4"/>
  <c r="K81" i="4"/>
  <c r="K85" i="4"/>
  <c r="K89" i="4"/>
  <c r="C94" i="4"/>
  <c r="C95" i="4"/>
  <c r="O95" i="4"/>
  <c r="O96" i="4"/>
  <c r="C98" i="4"/>
  <c r="C99" i="4"/>
  <c r="O99" i="4"/>
  <c r="O100" i="4"/>
  <c r="C102" i="4"/>
  <c r="C103" i="4"/>
  <c r="O103" i="4"/>
  <c r="O104" i="4"/>
  <c r="D13" i="5"/>
  <c r="N16" i="5"/>
  <c r="G47" i="4"/>
  <c r="O47" i="4"/>
  <c r="G51" i="4"/>
  <c r="O51" i="4"/>
  <c r="C59" i="4"/>
  <c r="R59" i="4"/>
  <c r="E73" i="4"/>
  <c r="M73" i="4"/>
  <c r="F81" i="4"/>
  <c r="M81" i="4"/>
  <c r="G94" i="4"/>
  <c r="C96" i="4"/>
  <c r="G98" i="4"/>
  <c r="C100" i="4"/>
  <c r="G102" i="4"/>
  <c r="C104" i="4"/>
  <c r="E11" i="5"/>
  <c r="G13" i="5"/>
  <c r="G73" i="4"/>
  <c r="G81" i="4"/>
  <c r="G85" i="4"/>
  <c r="E16" i="5"/>
  <c r="Q27" i="2"/>
  <c r="P27" i="2"/>
  <c r="J27" i="2"/>
  <c r="F27" i="2"/>
  <c r="Q20" i="3"/>
  <c r="K20" i="3"/>
  <c r="G20" i="3"/>
  <c r="C20" i="3"/>
  <c r="L20" i="3"/>
  <c r="F20" i="3"/>
  <c r="Q41" i="4"/>
  <c r="P41" i="4"/>
  <c r="J41" i="4"/>
  <c r="F41" i="4"/>
  <c r="L41" i="4"/>
  <c r="G41" i="4"/>
  <c r="K41" i="4"/>
  <c r="D41" i="4"/>
  <c r="O61" i="4"/>
  <c r="C61" i="4"/>
  <c r="Q61" i="4"/>
  <c r="E61" i="4"/>
  <c r="O65" i="4"/>
  <c r="K65" i="4"/>
  <c r="F65" i="4"/>
  <c r="M65" i="4"/>
  <c r="E65" i="4"/>
  <c r="Q65" i="4"/>
  <c r="C65" i="4"/>
  <c r="J65" i="4"/>
  <c r="G92" i="4"/>
  <c r="O92" i="4"/>
  <c r="C92" i="4"/>
  <c r="K90" i="4"/>
  <c r="C90" i="4"/>
  <c r="O90" i="4"/>
  <c r="G90" i="4"/>
  <c r="K92" i="4"/>
  <c r="P10" i="5"/>
  <c r="G10" i="5"/>
  <c r="N48" i="2"/>
  <c r="D48" i="2"/>
  <c r="E50" i="2"/>
  <c r="K50" i="2"/>
  <c r="Q58" i="2"/>
  <c r="P58" i="2"/>
  <c r="J58" i="2"/>
  <c r="F58" i="2"/>
  <c r="O58" i="2"/>
  <c r="H58" i="2"/>
  <c r="C58" i="2"/>
  <c r="N36" i="4"/>
  <c r="H36" i="4"/>
  <c r="L36" i="4"/>
  <c r="E36" i="4"/>
  <c r="P43" i="1"/>
  <c r="J19" i="2"/>
  <c r="P20" i="2"/>
  <c r="E27" i="2"/>
  <c r="K27" i="2"/>
  <c r="D28" i="2"/>
  <c r="K28" i="2"/>
  <c r="O29" i="2"/>
  <c r="H29" i="2"/>
  <c r="N32" i="2"/>
  <c r="K32" i="2"/>
  <c r="E32" i="2"/>
  <c r="L54" i="2"/>
  <c r="D54" i="2"/>
  <c r="K58" i="2"/>
  <c r="L70" i="2"/>
  <c r="Q12" i="3"/>
  <c r="L12" i="3"/>
  <c r="H12" i="3"/>
  <c r="D12" i="3"/>
  <c r="J12" i="3"/>
  <c r="E12" i="3"/>
  <c r="O17" i="3"/>
  <c r="C17" i="3"/>
  <c r="C33" i="4"/>
  <c r="J33" i="4"/>
  <c r="F34" i="4"/>
  <c r="D34" i="4"/>
  <c r="L34" i="4"/>
  <c r="C41" i="4"/>
  <c r="O41" i="4"/>
  <c r="Q57" i="4"/>
  <c r="E57" i="4"/>
  <c r="J57" i="4"/>
  <c r="C57" i="4"/>
  <c r="J61" i="4"/>
  <c r="R65" i="4"/>
  <c r="O39" i="1"/>
  <c r="Q40" i="1"/>
  <c r="Q41" i="1"/>
  <c r="D20" i="2"/>
  <c r="D23" i="2"/>
  <c r="M26" i="2"/>
  <c r="Q26" i="2"/>
  <c r="G27" i="2"/>
  <c r="L27" i="2"/>
  <c r="E28" i="2"/>
  <c r="L29" i="2"/>
  <c r="D32" i="2"/>
  <c r="L32" i="2"/>
  <c r="O33" i="2"/>
  <c r="P33" i="2"/>
  <c r="E33" i="2"/>
  <c r="Q35" i="2"/>
  <c r="J35" i="2"/>
  <c r="O36" i="2"/>
  <c r="K39" i="2"/>
  <c r="Q39" i="2"/>
  <c r="F39" i="2"/>
  <c r="K67" i="2"/>
  <c r="D67" i="2"/>
  <c r="O67" i="2"/>
  <c r="C67" i="2"/>
  <c r="E20" i="3"/>
  <c r="O20" i="3"/>
  <c r="N21" i="3"/>
  <c r="O21" i="3"/>
  <c r="H21" i="3"/>
  <c r="C21" i="3"/>
  <c r="L21" i="3"/>
  <c r="E21" i="3"/>
  <c r="E33" i="4"/>
  <c r="O34" i="4"/>
  <c r="Q35" i="4"/>
  <c r="R35" i="4"/>
  <c r="K35" i="4"/>
  <c r="G35" i="4"/>
  <c r="C35" i="4"/>
  <c r="L35" i="4"/>
  <c r="F35" i="4"/>
  <c r="D36" i="4"/>
  <c r="R36" i="4"/>
  <c r="E41" i="4"/>
  <c r="R41" i="4"/>
  <c r="N44" i="4"/>
  <c r="N50" i="4"/>
  <c r="Q55" i="4"/>
  <c r="M55" i="4"/>
  <c r="F55" i="4"/>
  <c r="R55" i="4"/>
  <c r="C55" i="4"/>
  <c r="G55" i="4"/>
  <c r="O57" i="4"/>
  <c r="O72" i="4"/>
  <c r="F72" i="4"/>
  <c r="R72" i="4"/>
  <c r="E72" i="4"/>
  <c r="C72" i="4"/>
  <c r="K72" i="4"/>
  <c r="N28" i="2"/>
  <c r="L28" i="2"/>
  <c r="G28" i="2"/>
  <c r="L45" i="2"/>
  <c r="H45" i="2"/>
  <c r="N70" i="2"/>
  <c r="H70" i="2"/>
  <c r="J70" i="2"/>
  <c r="D70" i="2"/>
  <c r="P10" i="3"/>
  <c r="E10" i="3"/>
  <c r="P13" i="4"/>
  <c r="E13" i="4"/>
  <c r="Q33" i="4"/>
  <c r="L33" i="4"/>
  <c r="H33" i="4"/>
  <c r="D33" i="4"/>
  <c r="O33" i="4"/>
  <c r="G33" i="4"/>
  <c r="R33" i="4"/>
  <c r="Q23" i="2"/>
  <c r="K23" i="2"/>
  <c r="E23" i="2"/>
  <c r="L48" i="2"/>
  <c r="D58" i="2"/>
  <c r="Q62" i="2"/>
  <c r="O62" i="2"/>
  <c r="H62" i="2"/>
  <c r="L62" i="2"/>
  <c r="E62" i="2"/>
  <c r="D20" i="3"/>
  <c r="J20" i="3"/>
  <c r="P26" i="3"/>
  <c r="E26" i="3"/>
  <c r="J36" i="4"/>
  <c r="Q37" i="4"/>
  <c r="R37" i="4"/>
  <c r="K37" i="4"/>
  <c r="G37" i="4"/>
  <c r="C37" i="4"/>
  <c r="L37" i="4"/>
  <c r="F37" i="4"/>
  <c r="P37" i="4"/>
  <c r="H37" i="4"/>
  <c r="O52" i="4"/>
  <c r="D43" i="1"/>
  <c r="C16" i="2"/>
  <c r="O16" i="2"/>
  <c r="C45" i="2"/>
  <c r="Q45" i="2"/>
  <c r="C48" i="2"/>
  <c r="N54" i="2"/>
  <c r="E58" i="2"/>
  <c r="L58" i="2"/>
  <c r="C12" i="3"/>
  <c r="K12" i="3"/>
  <c r="L16" i="3"/>
  <c r="N16" i="3"/>
  <c r="E16" i="3"/>
  <c r="D16" i="3"/>
  <c r="K9" i="1"/>
  <c r="O12" i="1"/>
  <c r="K13" i="1"/>
  <c r="G26" i="1"/>
  <c r="D39" i="1"/>
  <c r="C12" i="2"/>
  <c r="D16" i="2"/>
  <c r="M18" i="2"/>
  <c r="G23" i="2"/>
  <c r="P23" i="2"/>
  <c r="N24" i="2"/>
  <c r="L24" i="2"/>
  <c r="D24" i="2"/>
  <c r="C27" i="2"/>
  <c r="H27" i="2"/>
  <c r="O27" i="2"/>
  <c r="H28" i="2"/>
  <c r="D29" i="2"/>
  <c r="P29" i="2"/>
  <c r="G32" i="2"/>
  <c r="O32" i="2"/>
  <c r="L33" i="2"/>
  <c r="E36" i="2"/>
  <c r="M39" i="2"/>
  <c r="N40" i="2"/>
  <c r="G45" i="2"/>
  <c r="H48" i="2"/>
  <c r="F54" i="2"/>
  <c r="G58" i="2"/>
  <c r="P60" i="2"/>
  <c r="J60" i="2"/>
  <c r="E60" i="2"/>
  <c r="M60" i="2"/>
  <c r="F60" i="2"/>
  <c r="D62" i="2"/>
  <c r="Q65" i="2"/>
  <c r="J65" i="2"/>
  <c r="C65" i="2"/>
  <c r="O65" i="2"/>
  <c r="E65" i="2"/>
  <c r="O66" i="2"/>
  <c r="P67" i="2"/>
  <c r="F70" i="2"/>
  <c r="F12" i="3"/>
  <c r="O12" i="3"/>
  <c r="J16" i="3"/>
  <c r="H20" i="3"/>
  <c r="P20" i="3"/>
  <c r="K21" i="3"/>
  <c r="C25" i="3"/>
  <c r="E25" i="3"/>
  <c r="P29" i="4"/>
  <c r="E29" i="4"/>
  <c r="L32" i="4"/>
  <c r="J32" i="4"/>
  <c r="D32" i="4"/>
  <c r="R32" i="4"/>
  <c r="E32" i="4"/>
  <c r="F33" i="4"/>
  <c r="P33" i="4"/>
  <c r="D35" i="4"/>
  <c r="J35" i="4"/>
  <c r="F36" i="4"/>
  <c r="D37" i="4"/>
  <c r="O37" i="4"/>
  <c r="L40" i="4"/>
  <c r="R40" i="4"/>
  <c r="H40" i="4"/>
  <c r="N40" i="4"/>
  <c r="D40" i="4"/>
  <c r="E40" i="4"/>
  <c r="H41" i="4"/>
  <c r="E48" i="4"/>
  <c r="N48" i="4"/>
  <c r="K55" i="4"/>
  <c r="O58" i="4"/>
  <c r="M58" i="4"/>
  <c r="G58" i="4"/>
  <c r="Q58" i="4"/>
  <c r="F58" i="4"/>
  <c r="R58" i="4"/>
  <c r="E58" i="4"/>
  <c r="K58" i="4"/>
  <c r="C58" i="4"/>
  <c r="G65" i="4"/>
  <c r="K70" i="4"/>
  <c r="C70" i="4"/>
  <c r="M70" i="4"/>
  <c r="G70" i="4"/>
  <c r="F70" i="4"/>
  <c r="J72" i="4"/>
  <c r="O87" i="4"/>
  <c r="C87" i="4"/>
  <c r="G87" i="4"/>
  <c r="Q53" i="4"/>
  <c r="E53" i="4"/>
  <c r="C53" i="4"/>
  <c r="M75" i="4"/>
  <c r="E75" i="4"/>
  <c r="G79" i="4"/>
  <c r="Q79" i="4"/>
  <c r="K86" i="4"/>
  <c r="C86" i="4"/>
  <c r="O86" i="4"/>
  <c r="G88" i="4"/>
  <c r="O88" i="4"/>
  <c r="C88" i="4"/>
  <c r="O91" i="4"/>
  <c r="C91" i="4"/>
  <c r="O31" i="2"/>
  <c r="O44" i="2"/>
  <c r="O57" i="2"/>
  <c r="Q57" i="2"/>
  <c r="Q39" i="4"/>
  <c r="P39" i="4"/>
  <c r="J39" i="4"/>
  <c r="F39" i="4"/>
  <c r="K39" i="4"/>
  <c r="E39" i="4"/>
  <c r="J53" i="4"/>
  <c r="O54" i="4"/>
  <c r="M54" i="4"/>
  <c r="G54" i="4"/>
  <c r="J54" i="4"/>
  <c r="C54" i="4"/>
  <c r="O74" i="4"/>
  <c r="F74" i="4"/>
  <c r="O75" i="4"/>
  <c r="F80" i="4"/>
  <c r="Q80" i="4"/>
  <c r="K88" i="4"/>
  <c r="K91" i="4"/>
  <c r="O9" i="5"/>
  <c r="C9" i="5"/>
  <c r="H9" i="5"/>
  <c r="G9" i="5"/>
  <c r="F38" i="4"/>
  <c r="O38" i="4"/>
  <c r="Q43" i="4"/>
  <c r="L43" i="4"/>
  <c r="H43" i="4"/>
  <c r="D43" i="4"/>
  <c r="P43" i="4"/>
  <c r="Q45" i="4"/>
  <c r="L45" i="4"/>
  <c r="H45" i="4"/>
  <c r="D45" i="4"/>
  <c r="P45" i="4"/>
  <c r="Q47" i="4"/>
  <c r="L47" i="4"/>
  <c r="H47" i="4"/>
  <c r="D47" i="4"/>
  <c r="P47" i="4"/>
  <c r="Q49" i="4"/>
  <c r="L49" i="4"/>
  <c r="H49" i="4"/>
  <c r="D49" i="4"/>
  <c r="P49" i="4"/>
  <c r="Q51" i="4"/>
  <c r="L51" i="4"/>
  <c r="H51" i="4"/>
  <c r="D51" i="4"/>
  <c r="P51" i="4"/>
  <c r="Q59" i="4"/>
  <c r="M59" i="4"/>
  <c r="F59" i="4"/>
  <c r="O62" i="4"/>
  <c r="K62" i="4"/>
  <c r="F62" i="4"/>
  <c r="R62" i="4"/>
  <c r="O69" i="4"/>
  <c r="K69" i="4"/>
  <c r="F69" i="4"/>
  <c r="R69" i="4"/>
  <c r="M71" i="4"/>
  <c r="E71" i="4"/>
  <c r="O73" i="4"/>
  <c r="K73" i="4"/>
  <c r="F73" i="4"/>
  <c r="R73" i="4"/>
  <c r="O77" i="4"/>
  <c r="R77" i="4"/>
  <c r="J77" i="4"/>
  <c r="E77" i="4"/>
  <c r="O81" i="4"/>
  <c r="R81" i="4"/>
  <c r="J81" i="4"/>
  <c r="E81" i="4"/>
  <c r="E13" i="5"/>
  <c r="K13" i="5"/>
  <c r="J16" i="5"/>
  <c r="C13" i="5"/>
  <c r="H13" i="5"/>
  <c r="F16" i="5"/>
  <c r="M29" i="1"/>
  <c r="G29" i="1"/>
  <c r="K10" i="1"/>
  <c r="K14" i="1"/>
  <c r="M27" i="1"/>
  <c r="H27" i="1"/>
  <c r="C29" i="1"/>
  <c r="L29" i="1"/>
  <c r="M31" i="1"/>
  <c r="H31" i="1"/>
  <c r="C33" i="1"/>
  <c r="L33" i="1"/>
  <c r="M35" i="1"/>
  <c r="H35" i="1"/>
  <c r="Q15" i="2"/>
  <c r="P15" i="2"/>
  <c r="K15" i="2"/>
  <c r="G15" i="2"/>
  <c r="C15" i="2"/>
  <c r="O15" i="2"/>
  <c r="J15" i="2"/>
  <c r="F15" i="2"/>
  <c r="M41" i="2"/>
  <c r="H41" i="2"/>
  <c r="C41" i="2"/>
  <c r="L41" i="2"/>
  <c r="G41" i="2"/>
  <c r="P15" i="4"/>
  <c r="E15" i="4"/>
  <c r="P18" i="4"/>
  <c r="E18" i="4"/>
  <c r="R63" i="4"/>
  <c r="K63" i="4"/>
  <c r="F63" i="4"/>
  <c r="M63" i="4"/>
  <c r="E63" i="4"/>
  <c r="J63" i="4"/>
  <c r="C63" i="4"/>
  <c r="G63" i="4"/>
  <c r="Q63" i="4"/>
  <c r="O63" i="4"/>
  <c r="L31" i="1"/>
  <c r="D33" i="1"/>
  <c r="O33" i="1"/>
  <c r="C35" i="2"/>
  <c r="O35" i="2"/>
  <c r="Q36" i="2"/>
  <c r="L36" i="2"/>
  <c r="H36" i="2"/>
  <c r="D36" i="2"/>
  <c r="P36" i="2"/>
  <c r="K36" i="2"/>
  <c r="G36" i="2"/>
  <c r="C36" i="2"/>
  <c r="K41" i="2"/>
  <c r="M42" i="2"/>
  <c r="F42" i="2"/>
  <c r="L42" i="2"/>
  <c r="D42" i="2"/>
  <c r="H46" i="2"/>
  <c r="D46" i="2"/>
  <c r="D50" i="2"/>
  <c r="P50" i="2"/>
  <c r="N53" i="2"/>
  <c r="Q73" i="2"/>
  <c r="N73" i="2"/>
  <c r="E73" i="2"/>
  <c r="F73" i="2"/>
  <c r="J73" i="2"/>
  <c r="P19" i="4"/>
  <c r="E19" i="4"/>
  <c r="P22" i="4"/>
  <c r="E22" i="4"/>
  <c r="Q11" i="2"/>
  <c r="P11" i="2"/>
  <c r="K11" i="2"/>
  <c r="G11" i="2"/>
  <c r="C11" i="2"/>
  <c r="O11" i="2"/>
  <c r="J11" i="2"/>
  <c r="F11" i="2"/>
  <c r="L38" i="2"/>
  <c r="F38" i="2"/>
  <c r="Q38" i="2"/>
  <c r="J38" i="2"/>
  <c r="E38" i="2"/>
  <c r="O55" i="2"/>
  <c r="C55" i="2"/>
  <c r="M63" i="2"/>
  <c r="H63" i="2"/>
  <c r="K63" i="2"/>
  <c r="D63" i="2"/>
  <c r="P63" i="2"/>
  <c r="G63" i="2"/>
  <c r="E63" i="2"/>
  <c r="Q63" i="2"/>
  <c r="C63" i="2"/>
  <c r="Q31" i="4"/>
  <c r="E31" i="4"/>
  <c r="C10" i="1"/>
  <c r="O10" i="1"/>
  <c r="K11" i="1"/>
  <c r="C14" i="1"/>
  <c r="O14" i="1"/>
  <c r="K15" i="1"/>
  <c r="M26" i="1"/>
  <c r="L27" i="1"/>
  <c r="D29" i="1"/>
  <c r="O29" i="1"/>
  <c r="L35" i="1"/>
  <c r="R43" i="1"/>
  <c r="O43" i="1"/>
  <c r="H43" i="1"/>
  <c r="C43" i="1"/>
  <c r="L43" i="1"/>
  <c r="G43" i="1"/>
  <c r="O9" i="2"/>
  <c r="H9" i="2"/>
  <c r="P9" i="2"/>
  <c r="E9" i="2"/>
  <c r="D11" i="2"/>
  <c r="L11" i="2"/>
  <c r="D15" i="2"/>
  <c r="L15" i="2"/>
  <c r="E19" i="2"/>
  <c r="N19" i="2"/>
  <c r="N20" i="2"/>
  <c r="O20" i="2"/>
  <c r="H20" i="2"/>
  <c r="C20" i="2"/>
  <c r="L20" i="2"/>
  <c r="G20" i="2"/>
  <c r="O21" i="2"/>
  <c r="H21" i="2"/>
  <c r="P21" i="2"/>
  <c r="E21" i="2"/>
  <c r="G10" i="1"/>
  <c r="C11" i="1"/>
  <c r="O11" i="1"/>
  <c r="K12" i="1"/>
  <c r="G14" i="1"/>
  <c r="C15" i="1"/>
  <c r="O15" i="1"/>
  <c r="C26" i="1"/>
  <c r="C27" i="1"/>
  <c r="O27" i="1"/>
  <c r="H29" i="1"/>
  <c r="C31" i="1"/>
  <c r="O31" i="1"/>
  <c r="C35" i="1"/>
  <c r="O35" i="1"/>
  <c r="M40" i="1"/>
  <c r="G40" i="1"/>
  <c r="L40" i="1"/>
  <c r="D40" i="1"/>
  <c r="M41" i="1"/>
  <c r="G41" i="1"/>
  <c r="L41" i="1"/>
  <c r="D41" i="1"/>
  <c r="K43" i="1"/>
  <c r="L9" i="2"/>
  <c r="E11" i="2"/>
  <c r="N11" i="2"/>
  <c r="N12" i="2"/>
  <c r="L12" i="2"/>
  <c r="G12" i="2"/>
  <c r="K12" i="2"/>
  <c r="E12" i="2"/>
  <c r="O13" i="2"/>
  <c r="P13" i="2"/>
  <c r="E13" i="2"/>
  <c r="L13" i="2"/>
  <c r="D13" i="2"/>
  <c r="E15" i="2"/>
  <c r="N15" i="2"/>
  <c r="N16" i="2"/>
  <c r="L16" i="2"/>
  <c r="G16" i="2"/>
  <c r="K16" i="2"/>
  <c r="E16" i="2"/>
  <c r="O17" i="2"/>
  <c r="P17" i="2"/>
  <c r="E17" i="2"/>
  <c r="L17" i="2"/>
  <c r="D17" i="2"/>
  <c r="F19" i="2"/>
  <c r="K20" i="2"/>
  <c r="L21" i="2"/>
  <c r="E35" i="2"/>
  <c r="J36" i="2"/>
  <c r="D38" i="2"/>
  <c r="P38" i="2"/>
  <c r="Q40" i="2"/>
  <c r="L40" i="2"/>
  <c r="H40" i="2"/>
  <c r="D40" i="2"/>
  <c r="P40" i="2"/>
  <c r="K40" i="2"/>
  <c r="G40" i="2"/>
  <c r="C40" i="2"/>
  <c r="D41" i="2"/>
  <c r="P41" i="2"/>
  <c r="Q42" i="2"/>
  <c r="M46" i="2"/>
  <c r="N9" i="3"/>
  <c r="L9" i="3"/>
  <c r="G9" i="3"/>
  <c r="K9" i="3"/>
  <c r="D9" i="3"/>
  <c r="P9" i="3"/>
  <c r="H9" i="3"/>
  <c r="E9" i="3"/>
  <c r="C9" i="3"/>
  <c r="Q15" i="3"/>
  <c r="F15" i="3"/>
  <c r="E15" i="3"/>
  <c r="J15" i="3"/>
  <c r="P22" i="3"/>
  <c r="E22" i="3"/>
  <c r="Q42" i="4"/>
  <c r="P42" i="4"/>
  <c r="K42" i="4"/>
  <c r="G42" i="4"/>
  <c r="C42" i="4"/>
  <c r="R42" i="4"/>
  <c r="J42" i="4"/>
  <c r="E42" i="4"/>
  <c r="N42" i="4"/>
  <c r="H42" i="4"/>
  <c r="O42" i="4"/>
  <c r="D42" i="4"/>
  <c r="L42" i="4"/>
  <c r="R56" i="4"/>
  <c r="K56" i="4"/>
  <c r="F56" i="4"/>
  <c r="Q56" i="4"/>
  <c r="J56" i="4"/>
  <c r="E56" i="4"/>
  <c r="G56" i="4"/>
  <c r="M56" i="4"/>
  <c r="C56" i="4"/>
  <c r="O56" i="4"/>
  <c r="M33" i="1"/>
  <c r="G33" i="1"/>
  <c r="O38" i="1"/>
  <c r="C38" i="1"/>
  <c r="M38" i="1"/>
  <c r="E10" i="2"/>
  <c r="Q10" i="2"/>
  <c r="H11" i="2"/>
  <c r="E14" i="2"/>
  <c r="Q14" i="2"/>
  <c r="H15" i="2"/>
  <c r="Q19" i="2"/>
  <c r="L19" i="2"/>
  <c r="H19" i="2"/>
  <c r="D19" i="2"/>
  <c r="P19" i="2"/>
  <c r="K19" i="2"/>
  <c r="G19" i="2"/>
  <c r="C19" i="2"/>
  <c r="M35" i="2"/>
  <c r="G35" i="2"/>
  <c r="K35" i="2"/>
  <c r="F35" i="2"/>
  <c r="H38" i="2"/>
  <c r="E41" i="2"/>
  <c r="Q41" i="2"/>
  <c r="N49" i="2"/>
  <c r="G49" i="2"/>
  <c r="E49" i="2"/>
  <c r="M49" i="2"/>
  <c r="C49" i="2"/>
  <c r="Q50" i="2"/>
  <c r="O50" i="2"/>
  <c r="J50" i="2"/>
  <c r="F50" i="2"/>
  <c r="N50" i="2"/>
  <c r="H50" i="2"/>
  <c r="C50" i="2"/>
  <c r="L50" i="2"/>
  <c r="G50" i="2"/>
  <c r="M59" i="2"/>
  <c r="G59" i="2"/>
  <c r="D59" i="2"/>
  <c r="Q59" i="2"/>
  <c r="Q11" i="3"/>
  <c r="J11" i="3"/>
  <c r="N11" i="3"/>
  <c r="F11" i="3"/>
  <c r="P15" i="5"/>
  <c r="E15" i="5"/>
  <c r="M64" i="4"/>
  <c r="G64" i="4"/>
  <c r="K64" i="4"/>
  <c r="E64" i="4"/>
  <c r="R64" i="4"/>
  <c r="J64" i="4"/>
  <c r="C64" i="4"/>
  <c r="F64" i="4"/>
  <c r="Q64" i="4"/>
  <c r="O64" i="4"/>
  <c r="Q82" i="4"/>
  <c r="J82" i="4"/>
  <c r="E82" i="4"/>
  <c r="O82" i="4"/>
  <c r="G82" i="4"/>
  <c r="M82" i="4"/>
  <c r="F82" i="4"/>
  <c r="C82" i="4"/>
  <c r="R82" i="4"/>
  <c r="K82" i="4"/>
  <c r="R105" i="4"/>
  <c r="K105" i="4"/>
  <c r="C105" i="4"/>
  <c r="G105" i="4"/>
  <c r="E105" i="4"/>
  <c r="O105" i="4"/>
  <c r="Q12" i="5"/>
  <c r="N12" i="5"/>
  <c r="E12" i="5"/>
  <c r="F12" i="5"/>
  <c r="J12" i="5"/>
  <c r="H37" i="1"/>
  <c r="P42" i="1"/>
  <c r="N23" i="2"/>
  <c r="P24" i="2"/>
  <c r="Q54" i="2"/>
  <c r="P54" i="2"/>
  <c r="K54" i="2"/>
  <c r="G54" i="2"/>
  <c r="C54" i="2"/>
  <c r="O54" i="2"/>
  <c r="Q66" i="2"/>
  <c r="P66" i="2"/>
  <c r="K66" i="2"/>
  <c r="G66" i="2"/>
  <c r="C66" i="2"/>
  <c r="N66" i="2"/>
  <c r="H66" i="2"/>
  <c r="J66" i="2"/>
  <c r="E66" i="2"/>
  <c r="M69" i="2"/>
  <c r="F69" i="2"/>
  <c r="J69" i="2"/>
  <c r="N71" i="2"/>
  <c r="L71" i="2"/>
  <c r="G71" i="2"/>
  <c r="K71" i="2"/>
  <c r="D71" i="2"/>
  <c r="P71" i="2"/>
  <c r="H71" i="2"/>
  <c r="N17" i="3"/>
  <c r="L17" i="3"/>
  <c r="G17" i="3"/>
  <c r="P17" i="3"/>
  <c r="H17" i="3"/>
  <c r="K17" i="3"/>
  <c r="D17" i="3"/>
  <c r="Q23" i="3"/>
  <c r="F23" i="3"/>
  <c r="J23" i="3"/>
  <c r="E23" i="3"/>
  <c r="N25" i="3"/>
  <c r="L25" i="3"/>
  <c r="G25" i="3"/>
  <c r="K25" i="3"/>
  <c r="D25" i="3"/>
  <c r="P25" i="3"/>
  <c r="H25" i="3"/>
  <c r="P10" i="4"/>
  <c r="E10" i="4"/>
  <c r="P23" i="4"/>
  <c r="E23" i="4"/>
  <c r="P26" i="4"/>
  <c r="E26" i="4"/>
  <c r="Q44" i="4"/>
  <c r="P44" i="4"/>
  <c r="K44" i="4"/>
  <c r="G44" i="4"/>
  <c r="C44" i="4"/>
  <c r="O44" i="4"/>
  <c r="J44" i="4"/>
  <c r="F44" i="4"/>
  <c r="R44" i="4"/>
  <c r="H44" i="4"/>
  <c r="L44" i="4"/>
  <c r="D44" i="4"/>
  <c r="Q46" i="4"/>
  <c r="P46" i="4"/>
  <c r="K46" i="4"/>
  <c r="G46" i="4"/>
  <c r="C46" i="4"/>
  <c r="O46" i="4"/>
  <c r="J46" i="4"/>
  <c r="F46" i="4"/>
  <c r="R46" i="4"/>
  <c r="H46" i="4"/>
  <c r="L46" i="4"/>
  <c r="D46" i="4"/>
  <c r="Q48" i="4"/>
  <c r="P48" i="4"/>
  <c r="K48" i="4"/>
  <c r="G48" i="4"/>
  <c r="C48" i="4"/>
  <c r="O48" i="4"/>
  <c r="J48" i="4"/>
  <c r="F48" i="4"/>
  <c r="R48" i="4"/>
  <c r="H48" i="4"/>
  <c r="L48" i="4"/>
  <c r="D48" i="4"/>
  <c r="Q50" i="4"/>
  <c r="P50" i="4"/>
  <c r="K50" i="4"/>
  <c r="G50" i="4"/>
  <c r="C50" i="4"/>
  <c r="O50" i="4"/>
  <c r="J50" i="4"/>
  <c r="F50" i="4"/>
  <c r="R50" i="4"/>
  <c r="H50" i="4"/>
  <c r="L50" i="4"/>
  <c r="D50" i="4"/>
  <c r="R52" i="4"/>
  <c r="K52" i="4"/>
  <c r="G52" i="4"/>
  <c r="C52" i="4"/>
  <c r="Q52" i="4"/>
  <c r="J52" i="4"/>
  <c r="F52" i="4"/>
  <c r="H52" i="4"/>
  <c r="M52" i="4"/>
  <c r="D52" i="4"/>
  <c r="R60" i="4"/>
  <c r="K60" i="4"/>
  <c r="F60" i="4"/>
  <c r="Q60" i="4"/>
  <c r="J60" i="4"/>
  <c r="E60" i="4"/>
  <c r="G60" i="4"/>
  <c r="M60" i="4"/>
  <c r="R83" i="4"/>
  <c r="K83" i="4"/>
  <c r="F83" i="4"/>
  <c r="O83" i="4"/>
  <c r="G83" i="4"/>
  <c r="M83" i="4"/>
  <c r="E83" i="4"/>
  <c r="C83" i="4"/>
  <c r="Q83" i="4"/>
  <c r="J83" i="4"/>
  <c r="C39" i="1"/>
  <c r="L39" i="1"/>
  <c r="E42" i="1"/>
  <c r="K42" i="1"/>
  <c r="F23" i="2"/>
  <c r="J23" i="2"/>
  <c r="O23" i="2"/>
  <c r="E24" i="2"/>
  <c r="K24" i="2"/>
  <c r="D25" i="2"/>
  <c r="L25" i="2"/>
  <c r="N27" i="2"/>
  <c r="P28" i="2"/>
  <c r="M30" i="2"/>
  <c r="N31" i="2"/>
  <c r="P32" i="2"/>
  <c r="C39" i="2"/>
  <c r="N44" i="2"/>
  <c r="D45" i="2"/>
  <c r="M48" i="2"/>
  <c r="F48" i="2"/>
  <c r="E54" i="2"/>
  <c r="J54" i="2"/>
  <c r="L66" i="2"/>
  <c r="N69" i="2"/>
  <c r="O71" i="2"/>
  <c r="P14" i="3"/>
  <c r="E14" i="3"/>
  <c r="Q19" i="3"/>
  <c r="J19" i="3"/>
  <c r="F19" i="3"/>
  <c r="N19" i="3"/>
  <c r="Q27" i="3"/>
  <c r="J27" i="3"/>
  <c r="N27" i="3"/>
  <c r="F27" i="3"/>
  <c r="P11" i="4"/>
  <c r="E11" i="4"/>
  <c r="P14" i="4"/>
  <c r="E14" i="4"/>
  <c r="P27" i="4"/>
  <c r="E27" i="4"/>
  <c r="P30" i="4"/>
  <c r="E30" i="4"/>
  <c r="Q34" i="4"/>
  <c r="P34" i="4"/>
  <c r="K34" i="4"/>
  <c r="G34" i="4"/>
  <c r="C34" i="4"/>
  <c r="R34" i="4"/>
  <c r="J34" i="4"/>
  <c r="E34" i="4"/>
  <c r="N34" i="4"/>
  <c r="H34" i="4"/>
  <c r="Q38" i="4"/>
  <c r="P38" i="4"/>
  <c r="K38" i="4"/>
  <c r="G38" i="4"/>
  <c r="C38" i="4"/>
  <c r="N38" i="4"/>
  <c r="H38" i="4"/>
  <c r="R38" i="4"/>
  <c r="J38" i="4"/>
  <c r="E38" i="4"/>
  <c r="O60" i="4"/>
  <c r="M84" i="4"/>
  <c r="G84" i="4"/>
  <c r="O84" i="4"/>
  <c r="F84" i="4"/>
  <c r="K84" i="4"/>
  <c r="E84" i="4"/>
  <c r="C84" i="4"/>
  <c r="Q84" i="4"/>
  <c r="J84" i="4"/>
  <c r="N58" i="2"/>
  <c r="C62" i="2"/>
  <c r="G62" i="2"/>
  <c r="K62" i="2"/>
  <c r="P62" i="2"/>
  <c r="N67" i="2"/>
  <c r="L67" i="2"/>
  <c r="G67" i="2"/>
  <c r="Q70" i="2"/>
  <c r="P70" i="2"/>
  <c r="K70" i="2"/>
  <c r="G70" i="2"/>
  <c r="C70" i="2"/>
  <c r="O70" i="2"/>
  <c r="F16" i="3"/>
  <c r="Q24" i="3"/>
  <c r="P24" i="3"/>
  <c r="K24" i="3"/>
  <c r="G24" i="3"/>
  <c r="C24" i="3"/>
  <c r="O24" i="3"/>
  <c r="P12" i="4"/>
  <c r="E12" i="4"/>
  <c r="P20" i="4"/>
  <c r="E20" i="4"/>
  <c r="P28" i="4"/>
  <c r="E28" i="4"/>
  <c r="F32" i="4"/>
  <c r="Q36" i="4"/>
  <c r="P36" i="4"/>
  <c r="K36" i="4"/>
  <c r="G36" i="4"/>
  <c r="C36" i="4"/>
  <c r="O36" i="4"/>
  <c r="F40" i="4"/>
  <c r="M53" i="4"/>
  <c r="G53" i="4"/>
  <c r="R53" i="4"/>
  <c r="K53" i="4"/>
  <c r="F53" i="4"/>
  <c r="M57" i="4"/>
  <c r="G57" i="4"/>
  <c r="R57" i="4"/>
  <c r="K57" i="4"/>
  <c r="F57" i="4"/>
  <c r="M61" i="4"/>
  <c r="G61" i="4"/>
  <c r="R61" i="4"/>
  <c r="K61" i="4"/>
  <c r="F61" i="4"/>
  <c r="C68" i="4"/>
  <c r="Q66" i="4"/>
  <c r="J66" i="4"/>
  <c r="E66" i="4"/>
  <c r="O66" i="4"/>
  <c r="G66" i="4"/>
  <c r="M66" i="4"/>
  <c r="F66" i="4"/>
  <c r="R67" i="4"/>
  <c r="K67" i="4"/>
  <c r="F67" i="4"/>
  <c r="O67" i="4"/>
  <c r="G67" i="4"/>
  <c r="M67" i="4"/>
  <c r="E67" i="4"/>
  <c r="M68" i="4"/>
  <c r="G68" i="4"/>
  <c r="O68" i="4"/>
  <c r="F68" i="4"/>
  <c r="K68" i="4"/>
  <c r="E68" i="4"/>
  <c r="Q78" i="4"/>
  <c r="J78" i="4"/>
  <c r="E78" i="4"/>
  <c r="M78" i="4"/>
  <c r="F78" i="4"/>
  <c r="K78" i="4"/>
  <c r="C78" i="4"/>
  <c r="R79" i="4"/>
  <c r="K79" i="4"/>
  <c r="F79" i="4"/>
  <c r="M79" i="4"/>
  <c r="E79" i="4"/>
  <c r="J79" i="4"/>
  <c r="C79" i="4"/>
  <c r="M80" i="4"/>
  <c r="G80" i="4"/>
  <c r="K80" i="4"/>
  <c r="E80" i="4"/>
  <c r="R80" i="4"/>
  <c r="J80" i="4"/>
  <c r="C80" i="4"/>
  <c r="N62" i="2"/>
  <c r="Q16" i="3"/>
  <c r="P16" i="3"/>
  <c r="K16" i="3"/>
  <c r="G16" i="3"/>
  <c r="C16" i="3"/>
  <c r="O16" i="3"/>
  <c r="P16" i="4"/>
  <c r="E16" i="4"/>
  <c r="P24" i="4"/>
  <c r="E24" i="4"/>
  <c r="Q32" i="4"/>
  <c r="P32" i="4"/>
  <c r="K32" i="4"/>
  <c r="G32" i="4"/>
  <c r="C32" i="4"/>
  <c r="O32" i="4"/>
  <c r="Q40" i="4"/>
  <c r="P40" i="4"/>
  <c r="K40" i="4"/>
  <c r="G40" i="4"/>
  <c r="C40" i="4"/>
  <c r="O40" i="4"/>
  <c r="K66" i="4"/>
  <c r="J67" i="4"/>
  <c r="J68" i="4"/>
  <c r="O78" i="4"/>
  <c r="O79" i="4"/>
  <c r="O80" i="4"/>
  <c r="N14" i="5"/>
  <c r="K14" i="5"/>
  <c r="E14" i="5"/>
  <c r="P14" i="5"/>
  <c r="H14" i="5"/>
  <c r="O14" i="5"/>
  <c r="G14" i="5"/>
  <c r="L14" i="5"/>
  <c r="D14" i="5"/>
  <c r="N10" i="5"/>
  <c r="O10" i="5"/>
  <c r="H10" i="5"/>
  <c r="C10" i="5"/>
  <c r="O55" i="4"/>
  <c r="O59" i="4"/>
  <c r="Q74" i="4"/>
  <c r="J74" i="4"/>
  <c r="E74" i="4"/>
  <c r="R74" i="4"/>
  <c r="R75" i="4"/>
  <c r="K75" i="4"/>
  <c r="F75" i="4"/>
  <c r="Q75" i="4"/>
  <c r="M76" i="4"/>
  <c r="G76" i="4"/>
  <c r="Q76" i="4"/>
  <c r="R9" i="5"/>
  <c r="K9" i="5"/>
  <c r="E9" i="5"/>
  <c r="D10" i="5"/>
  <c r="K10" i="5"/>
  <c r="N12" i="3"/>
  <c r="P13" i="3"/>
  <c r="N20" i="3"/>
  <c r="P21" i="3"/>
  <c r="N33" i="4"/>
  <c r="N35" i="4"/>
  <c r="N37" i="4"/>
  <c r="N39" i="4"/>
  <c r="N41" i="4"/>
  <c r="N43" i="4"/>
  <c r="N45" i="4"/>
  <c r="N47" i="4"/>
  <c r="N49" i="4"/>
  <c r="N51" i="4"/>
  <c r="E55" i="4"/>
  <c r="J55" i="4"/>
  <c r="E59" i="4"/>
  <c r="J59" i="4"/>
  <c r="Q70" i="4"/>
  <c r="J70" i="4"/>
  <c r="E70" i="4"/>
  <c r="R70" i="4"/>
  <c r="R71" i="4"/>
  <c r="K71" i="4"/>
  <c r="F71" i="4"/>
  <c r="Q71" i="4"/>
  <c r="M72" i="4"/>
  <c r="G72" i="4"/>
  <c r="Q72" i="4"/>
  <c r="C74" i="4"/>
  <c r="K74" i="4"/>
  <c r="C75" i="4"/>
  <c r="J75" i="4"/>
  <c r="C76" i="4"/>
  <c r="J76" i="4"/>
  <c r="R76" i="4"/>
  <c r="O85" i="4"/>
  <c r="D85" i="4"/>
  <c r="O89" i="4"/>
  <c r="C89" i="4"/>
  <c r="O93" i="4"/>
  <c r="C93" i="4"/>
  <c r="O97" i="4"/>
  <c r="C97" i="4"/>
  <c r="O101" i="4"/>
  <c r="C101" i="4"/>
  <c r="D9" i="5"/>
  <c r="L9" i="5"/>
  <c r="E10" i="5"/>
  <c r="L10" i="5"/>
  <c r="Q13" i="5"/>
  <c r="O13" i="5"/>
  <c r="J13" i="5"/>
  <c r="F13" i="5"/>
  <c r="P13" i="5"/>
  <c r="M11" i="5"/>
  <c r="Q11" i="5"/>
  <c r="M15" i="5"/>
  <c r="Q15" i="5"/>
  <c r="M10" i="5"/>
  <c r="Q10" i="5"/>
  <c r="F11" i="5"/>
  <c r="J11" i="5"/>
  <c r="N11" i="5"/>
  <c r="C12" i="5"/>
  <c r="G12" i="5"/>
  <c r="K12" i="5"/>
  <c r="O12" i="5"/>
  <c r="M14" i="5"/>
  <c r="Q14" i="5"/>
  <c r="F15" i="5"/>
  <c r="J15" i="5"/>
  <c r="N15" i="5"/>
  <c r="C16" i="5"/>
  <c r="G16" i="5"/>
  <c r="K16" i="5"/>
  <c r="O16" i="5"/>
  <c r="M9" i="5"/>
  <c r="Q9" i="5"/>
  <c r="F9" i="5"/>
  <c r="J9" i="5"/>
  <c r="N9" i="5"/>
  <c r="F10" i="5"/>
  <c r="J10" i="5"/>
  <c r="C11" i="5"/>
  <c r="G11" i="5"/>
  <c r="K11" i="5"/>
  <c r="O11" i="5"/>
  <c r="D12" i="5"/>
  <c r="H12" i="5"/>
  <c r="L12" i="5"/>
  <c r="P12" i="5"/>
  <c r="M13" i="5"/>
  <c r="F14" i="5"/>
  <c r="J14" i="5"/>
  <c r="C15" i="5"/>
  <c r="G15" i="5"/>
  <c r="K15" i="5"/>
  <c r="O15" i="5"/>
  <c r="D16" i="5"/>
  <c r="H16" i="5"/>
  <c r="L16" i="5"/>
  <c r="P16" i="5"/>
  <c r="D11" i="5"/>
  <c r="H11" i="5"/>
  <c r="L11" i="5"/>
  <c r="M12" i="5"/>
  <c r="D15" i="5"/>
  <c r="H15" i="5"/>
  <c r="L15" i="5"/>
  <c r="M16" i="5"/>
  <c r="M11" i="4"/>
  <c r="Q11" i="4"/>
  <c r="M14" i="4"/>
  <c r="Q14" i="4"/>
  <c r="M17" i="4"/>
  <c r="Q17" i="4"/>
  <c r="M20" i="4"/>
  <c r="Q20" i="4"/>
  <c r="M23" i="4"/>
  <c r="Q23" i="4"/>
  <c r="M26" i="4"/>
  <c r="Q26" i="4"/>
  <c r="M29" i="4"/>
  <c r="Q29" i="4"/>
  <c r="J9" i="4"/>
  <c r="F10" i="4"/>
  <c r="R10" i="4"/>
  <c r="N11" i="4"/>
  <c r="J12" i="4"/>
  <c r="F13" i="4"/>
  <c r="R13" i="4"/>
  <c r="R14" i="4"/>
  <c r="N15" i="4"/>
  <c r="J16" i="4"/>
  <c r="J17" i="4"/>
  <c r="F18" i="4"/>
  <c r="J18" i="4"/>
  <c r="F19" i="4"/>
  <c r="N19" i="4"/>
  <c r="J20" i="4"/>
  <c r="R20" i="4"/>
  <c r="J21" i="4"/>
  <c r="R21" i="4"/>
  <c r="J22" i="4"/>
  <c r="N22" i="4"/>
  <c r="F23" i="4"/>
  <c r="N23" i="4"/>
  <c r="F24" i="4"/>
  <c r="J24" i="4"/>
  <c r="N24" i="4"/>
  <c r="F25" i="4"/>
  <c r="J25" i="4"/>
  <c r="N25" i="4"/>
  <c r="R25" i="4"/>
  <c r="F26" i="4"/>
  <c r="J26" i="4"/>
  <c r="N26" i="4"/>
  <c r="F27" i="4"/>
  <c r="J27" i="4"/>
  <c r="N27" i="4"/>
  <c r="R27" i="4"/>
  <c r="F28" i="4"/>
  <c r="J28" i="4"/>
  <c r="N28" i="4"/>
  <c r="R28" i="4"/>
  <c r="F29" i="4"/>
  <c r="J29" i="4"/>
  <c r="N29" i="4"/>
  <c r="R29" i="4"/>
  <c r="F30" i="4"/>
  <c r="J30" i="4"/>
  <c r="N30" i="4"/>
  <c r="R30" i="4"/>
  <c r="F31" i="4"/>
  <c r="J31" i="4"/>
  <c r="N31" i="4"/>
  <c r="M10" i="4"/>
  <c r="Q10" i="4"/>
  <c r="M13" i="4"/>
  <c r="Q13" i="4"/>
  <c r="M16" i="4"/>
  <c r="Q16" i="4"/>
  <c r="M19" i="4"/>
  <c r="Q19" i="4"/>
  <c r="M22" i="4"/>
  <c r="Q22" i="4"/>
  <c r="M25" i="4"/>
  <c r="Q25" i="4"/>
  <c r="M28" i="4"/>
  <c r="Q28" i="4"/>
  <c r="F9" i="4"/>
  <c r="R9" i="4"/>
  <c r="N10" i="4"/>
  <c r="J11" i="4"/>
  <c r="F12" i="4"/>
  <c r="R12" i="4"/>
  <c r="N13" i="4"/>
  <c r="J14" i="4"/>
  <c r="N14" i="4"/>
  <c r="J15" i="4"/>
  <c r="F16" i="4"/>
  <c r="R16" i="4"/>
  <c r="N17" i="4"/>
  <c r="R18" i="4"/>
  <c r="R24" i="4"/>
  <c r="C11" i="4"/>
  <c r="M9" i="4"/>
  <c r="Q9" i="4"/>
  <c r="M12" i="4"/>
  <c r="Q12" i="4"/>
  <c r="M15" i="4"/>
  <c r="Q15" i="4"/>
  <c r="M18" i="4"/>
  <c r="Q18" i="4"/>
  <c r="M21" i="4"/>
  <c r="Q21" i="4"/>
  <c r="M24" i="4"/>
  <c r="Q24" i="4"/>
  <c r="M27" i="4"/>
  <c r="Q27" i="4"/>
  <c r="M30" i="4"/>
  <c r="Q30" i="4"/>
  <c r="M31" i="4"/>
  <c r="R31" i="4"/>
  <c r="N9" i="4"/>
  <c r="J10" i="4"/>
  <c r="F11" i="4"/>
  <c r="R11" i="4"/>
  <c r="N12" i="4"/>
  <c r="J13" i="4"/>
  <c r="F14" i="4"/>
  <c r="F15" i="4"/>
  <c r="R15" i="4"/>
  <c r="N16" i="4"/>
  <c r="F17" i="4"/>
  <c r="R17" i="4"/>
  <c r="N18" i="4"/>
  <c r="J19" i="4"/>
  <c r="R19" i="4"/>
  <c r="F20" i="4"/>
  <c r="N20" i="4"/>
  <c r="F21" i="4"/>
  <c r="N21" i="4"/>
  <c r="F22" i="4"/>
  <c r="R22" i="4"/>
  <c r="J23" i="4"/>
  <c r="R23" i="4"/>
  <c r="R26" i="4"/>
  <c r="C9" i="4"/>
  <c r="G9" i="4"/>
  <c r="K9" i="4"/>
  <c r="O9" i="4"/>
  <c r="C10" i="4"/>
  <c r="G10" i="4"/>
  <c r="K10" i="4"/>
  <c r="O10" i="4"/>
  <c r="G11" i="4"/>
  <c r="K11" i="4"/>
  <c r="O11" i="4"/>
  <c r="C12" i="4"/>
  <c r="G12" i="4"/>
  <c r="K12" i="4"/>
  <c r="O12" i="4"/>
  <c r="C13" i="4"/>
  <c r="G13" i="4"/>
  <c r="K13" i="4"/>
  <c r="O13" i="4"/>
  <c r="C14" i="4"/>
  <c r="G14" i="4"/>
  <c r="K14" i="4"/>
  <c r="O14" i="4"/>
  <c r="C15" i="4"/>
  <c r="G15" i="4"/>
  <c r="K15" i="4"/>
  <c r="O15" i="4"/>
  <c r="C16" i="4"/>
  <c r="G16" i="4"/>
  <c r="K16" i="4"/>
  <c r="O16" i="4"/>
  <c r="C17" i="4"/>
  <c r="G17" i="4"/>
  <c r="K17" i="4"/>
  <c r="O17" i="4"/>
  <c r="C18" i="4"/>
  <c r="G18" i="4"/>
  <c r="K18" i="4"/>
  <c r="O18" i="4"/>
  <c r="C19" i="4"/>
  <c r="G19" i="4"/>
  <c r="K19" i="4"/>
  <c r="O19" i="4"/>
  <c r="C20" i="4"/>
  <c r="G20" i="4"/>
  <c r="K20" i="4"/>
  <c r="O20" i="4"/>
  <c r="C21" i="4"/>
  <c r="G21" i="4"/>
  <c r="K21" i="4"/>
  <c r="O21" i="4"/>
  <c r="C22" i="4"/>
  <c r="G22" i="4"/>
  <c r="K22" i="4"/>
  <c r="O22" i="4"/>
  <c r="C23" i="4"/>
  <c r="G23" i="4"/>
  <c r="K23" i="4"/>
  <c r="O23" i="4"/>
  <c r="C24" i="4"/>
  <c r="G24" i="4"/>
  <c r="K24" i="4"/>
  <c r="O24" i="4"/>
  <c r="C25" i="4"/>
  <c r="G25" i="4"/>
  <c r="K25" i="4"/>
  <c r="O25" i="4"/>
  <c r="C26" i="4"/>
  <c r="G26" i="4"/>
  <c r="K26" i="4"/>
  <c r="O26" i="4"/>
  <c r="C27" i="4"/>
  <c r="G27" i="4"/>
  <c r="K27" i="4"/>
  <c r="O27" i="4"/>
  <c r="C28" i="4"/>
  <c r="G28" i="4"/>
  <c r="K28" i="4"/>
  <c r="O28" i="4"/>
  <c r="C29" i="4"/>
  <c r="G29" i="4"/>
  <c r="K29" i="4"/>
  <c r="O29" i="4"/>
  <c r="C30" i="4"/>
  <c r="G30" i="4"/>
  <c r="K30" i="4"/>
  <c r="O30" i="4"/>
  <c r="C31" i="4"/>
  <c r="G31" i="4"/>
  <c r="K31" i="4"/>
  <c r="O31" i="4"/>
  <c r="D9" i="4"/>
  <c r="H9" i="4"/>
  <c r="L9" i="4"/>
  <c r="D10" i="4"/>
  <c r="H10" i="4"/>
  <c r="L10" i="4"/>
  <c r="D11" i="4"/>
  <c r="H11" i="4"/>
  <c r="L11" i="4"/>
  <c r="D12" i="4"/>
  <c r="H12" i="4"/>
  <c r="L12" i="4"/>
  <c r="D13" i="4"/>
  <c r="H13" i="4"/>
  <c r="L13" i="4"/>
  <c r="D14" i="4"/>
  <c r="H14" i="4"/>
  <c r="L14" i="4"/>
  <c r="D15" i="4"/>
  <c r="H15" i="4"/>
  <c r="L15" i="4"/>
  <c r="D16" i="4"/>
  <c r="H16" i="4"/>
  <c r="L16" i="4"/>
  <c r="D17" i="4"/>
  <c r="H17" i="4"/>
  <c r="L17" i="4"/>
  <c r="D18" i="4"/>
  <c r="H18" i="4"/>
  <c r="L18" i="4"/>
  <c r="D19" i="4"/>
  <c r="H19" i="4"/>
  <c r="L19" i="4"/>
  <c r="D20" i="4"/>
  <c r="H20" i="4"/>
  <c r="L20" i="4"/>
  <c r="D21" i="4"/>
  <c r="H21" i="4"/>
  <c r="L21" i="4"/>
  <c r="D22" i="4"/>
  <c r="H22" i="4"/>
  <c r="L22" i="4"/>
  <c r="D23" i="4"/>
  <c r="H23" i="4"/>
  <c r="L23" i="4"/>
  <c r="D24" i="4"/>
  <c r="H24" i="4"/>
  <c r="L24" i="4"/>
  <c r="D25" i="4"/>
  <c r="H25" i="4"/>
  <c r="L25" i="4"/>
  <c r="D26" i="4"/>
  <c r="H26" i="4"/>
  <c r="L26" i="4"/>
  <c r="D27" i="4"/>
  <c r="H27" i="4"/>
  <c r="L27" i="4"/>
  <c r="D28" i="4"/>
  <c r="H28" i="4"/>
  <c r="L28" i="4"/>
  <c r="D29" i="4"/>
  <c r="H29" i="4"/>
  <c r="L29" i="4"/>
  <c r="D30" i="4"/>
  <c r="H30" i="4"/>
  <c r="L30" i="4"/>
  <c r="D31" i="4"/>
  <c r="H31" i="4"/>
  <c r="L31" i="4"/>
  <c r="P31" i="4"/>
  <c r="M32" i="4"/>
  <c r="M33" i="4"/>
  <c r="M34" i="4"/>
  <c r="M35" i="4"/>
  <c r="M36" i="4"/>
  <c r="M37" i="4"/>
  <c r="M38" i="4"/>
  <c r="M39" i="4"/>
  <c r="M40" i="4"/>
  <c r="M41" i="4"/>
  <c r="M42" i="4"/>
  <c r="M43" i="4"/>
  <c r="M44" i="4"/>
  <c r="M45" i="4"/>
  <c r="M46" i="4"/>
  <c r="M47" i="4"/>
  <c r="M48" i="4"/>
  <c r="M49" i="4"/>
  <c r="M50" i="4"/>
  <c r="M51" i="4"/>
  <c r="P52" i="4"/>
  <c r="L52" i="4"/>
  <c r="N52" i="4"/>
  <c r="P53" i="4"/>
  <c r="L53" i="4"/>
  <c r="H53" i="4"/>
  <c r="D53" i="4"/>
  <c r="N53" i="4"/>
  <c r="P54" i="4"/>
  <c r="L54" i="4"/>
  <c r="H54" i="4"/>
  <c r="D54" i="4"/>
  <c r="N54" i="4"/>
  <c r="P55" i="4"/>
  <c r="L55" i="4"/>
  <c r="H55" i="4"/>
  <c r="D55" i="4"/>
  <c r="N55" i="4"/>
  <c r="P56" i="4"/>
  <c r="L56" i="4"/>
  <c r="H56" i="4"/>
  <c r="D56" i="4"/>
  <c r="N56" i="4"/>
  <c r="P57" i="4"/>
  <c r="L57" i="4"/>
  <c r="H57" i="4"/>
  <c r="D57" i="4"/>
  <c r="N57" i="4"/>
  <c r="P58" i="4"/>
  <c r="L58" i="4"/>
  <c r="H58" i="4"/>
  <c r="D58" i="4"/>
  <c r="N58" i="4"/>
  <c r="P59" i="4"/>
  <c r="L59" i="4"/>
  <c r="H59" i="4"/>
  <c r="D59" i="4"/>
  <c r="N59" i="4"/>
  <c r="P60" i="4"/>
  <c r="L60" i="4"/>
  <c r="H60" i="4"/>
  <c r="D60" i="4"/>
  <c r="N60" i="4"/>
  <c r="P61" i="4"/>
  <c r="L61" i="4"/>
  <c r="H61" i="4"/>
  <c r="D61" i="4"/>
  <c r="N61" i="4"/>
  <c r="P62" i="4"/>
  <c r="L62" i="4"/>
  <c r="H62" i="4"/>
  <c r="D62" i="4"/>
  <c r="N62" i="4"/>
  <c r="P63" i="4"/>
  <c r="L63" i="4"/>
  <c r="H63" i="4"/>
  <c r="D63" i="4"/>
  <c r="N63" i="4"/>
  <c r="P64" i="4"/>
  <c r="L64" i="4"/>
  <c r="H64" i="4"/>
  <c r="D64" i="4"/>
  <c r="N64" i="4"/>
  <c r="P65" i="4"/>
  <c r="L65" i="4"/>
  <c r="H65" i="4"/>
  <c r="D65" i="4"/>
  <c r="N65" i="4"/>
  <c r="P66" i="4"/>
  <c r="L66" i="4"/>
  <c r="H66" i="4"/>
  <c r="D66" i="4"/>
  <c r="N66" i="4"/>
  <c r="P67" i="4"/>
  <c r="L67" i="4"/>
  <c r="H67" i="4"/>
  <c r="D67" i="4"/>
  <c r="N67" i="4"/>
  <c r="P68" i="4"/>
  <c r="L68" i="4"/>
  <c r="H68" i="4"/>
  <c r="D68" i="4"/>
  <c r="N68" i="4"/>
  <c r="P69" i="4"/>
  <c r="L69" i="4"/>
  <c r="H69" i="4"/>
  <c r="D69" i="4"/>
  <c r="N69" i="4"/>
  <c r="P70" i="4"/>
  <c r="L70" i="4"/>
  <c r="H70" i="4"/>
  <c r="D70" i="4"/>
  <c r="N70" i="4"/>
  <c r="P71" i="4"/>
  <c r="L71" i="4"/>
  <c r="H71" i="4"/>
  <c r="D71" i="4"/>
  <c r="N71" i="4"/>
  <c r="P72" i="4"/>
  <c r="L72" i="4"/>
  <c r="H72" i="4"/>
  <c r="D72" i="4"/>
  <c r="N72" i="4"/>
  <c r="P73" i="4"/>
  <c r="L73" i="4"/>
  <c r="H73" i="4"/>
  <c r="D73" i="4"/>
  <c r="N73" i="4"/>
  <c r="P74" i="4"/>
  <c r="L74" i="4"/>
  <c r="H74" i="4"/>
  <c r="D74" i="4"/>
  <c r="N74" i="4"/>
  <c r="P75" i="4"/>
  <c r="L75" i="4"/>
  <c r="H75" i="4"/>
  <c r="D75" i="4"/>
  <c r="N75" i="4"/>
  <c r="P76" i="4"/>
  <c r="L76" i="4"/>
  <c r="H76" i="4"/>
  <c r="D76" i="4"/>
  <c r="N76" i="4"/>
  <c r="P77" i="4"/>
  <c r="L77" i="4"/>
  <c r="H77" i="4"/>
  <c r="D77" i="4"/>
  <c r="N77" i="4"/>
  <c r="P78" i="4"/>
  <c r="L78" i="4"/>
  <c r="H78" i="4"/>
  <c r="D78" i="4"/>
  <c r="N78" i="4"/>
  <c r="P79" i="4"/>
  <c r="L79" i="4"/>
  <c r="H79" i="4"/>
  <c r="D79" i="4"/>
  <c r="N79" i="4"/>
  <c r="P80" i="4"/>
  <c r="L80" i="4"/>
  <c r="H80" i="4"/>
  <c r="D80" i="4"/>
  <c r="N80" i="4"/>
  <c r="P81" i="4"/>
  <c r="L81" i="4"/>
  <c r="H81" i="4"/>
  <c r="D81" i="4"/>
  <c r="N81" i="4"/>
  <c r="P82" i="4"/>
  <c r="L82" i="4"/>
  <c r="H82" i="4"/>
  <c r="D82" i="4"/>
  <c r="N82" i="4"/>
  <c r="P83" i="4"/>
  <c r="L83" i="4"/>
  <c r="H83" i="4"/>
  <c r="D83" i="4"/>
  <c r="N83" i="4"/>
  <c r="R84" i="4"/>
  <c r="P84" i="4"/>
  <c r="L84" i="4"/>
  <c r="H84" i="4"/>
  <c r="D84" i="4"/>
  <c r="N84" i="4"/>
  <c r="R85" i="4"/>
  <c r="N85" i="4"/>
  <c r="J85" i="4"/>
  <c r="F85" i="4"/>
  <c r="P85" i="4"/>
  <c r="L85" i="4"/>
  <c r="H85" i="4"/>
  <c r="Q85" i="4"/>
  <c r="R86" i="4"/>
  <c r="N86" i="4"/>
  <c r="J86" i="4"/>
  <c r="F86" i="4"/>
  <c r="P86" i="4"/>
  <c r="L86" i="4"/>
  <c r="H86" i="4"/>
  <c r="D86" i="4"/>
  <c r="Q86" i="4"/>
  <c r="R87" i="4"/>
  <c r="N87" i="4"/>
  <c r="J87" i="4"/>
  <c r="F87" i="4"/>
  <c r="P87" i="4"/>
  <c r="L87" i="4"/>
  <c r="H87" i="4"/>
  <c r="D87" i="4"/>
  <c r="Q87" i="4"/>
  <c r="R88" i="4"/>
  <c r="N88" i="4"/>
  <c r="J88" i="4"/>
  <c r="F88" i="4"/>
  <c r="P88" i="4"/>
  <c r="L88" i="4"/>
  <c r="H88" i="4"/>
  <c r="D88" i="4"/>
  <c r="Q88" i="4"/>
  <c r="R89" i="4"/>
  <c r="N89" i="4"/>
  <c r="J89" i="4"/>
  <c r="F89" i="4"/>
  <c r="P89" i="4"/>
  <c r="L89" i="4"/>
  <c r="H89" i="4"/>
  <c r="D89" i="4"/>
  <c r="Q89" i="4"/>
  <c r="R90" i="4"/>
  <c r="N90" i="4"/>
  <c r="J90" i="4"/>
  <c r="F90" i="4"/>
  <c r="P90" i="4"/>
  <c r="L90" i="4"/>
  <c r="H90" i="4"/>
  <c r="D90" i="4"/>
  <c r="Q90" i="4"/>
  <c r="R91" i="4"/>
  <c r="N91" i="4"/>
  <c r="J91" i="4"/>
  <c r="F91" i="4"/>
  <c r="P91" i="4"/>
  <c r="L91" i="4"/>
  <c r="H91" i="4"/>
  <c r="D91" i="4"/>
  <c r="Q91" i="4"/>
  <c r="R92" i="4"/>
  <c r="N92" i="4"/>
  <c r="J92" i="4"/>
  <c r="F92" i="4"/>
  <c r="P92" i="4"/>
  <c r="L92" i="4"/>
  <c r="H92" i="4"/>
  <c r="D92" i="4"/>
  <c r="Q92" i="4"/>
  <c r="R93" i="4"/>
  <c r="N93" i="4"/>
  <c r="J93" i="4"/>
  <c r="F93" i="4"/>
  <c r="P93" i="4"/>
  <c r="L93" i="4"/>
  <c r="H93" i="4"/>
  <c r="D93" i="4"/>
  <c r="Q93" i="4"/>
  <c r="R94" i="4"/>
  <c r="N94" i="4"/>
  <c r="J94" i="4"/>
  <c r="F94" i="4"/>
  <c r="P94" i="4"/>
  <c r="L94" i="4"/>
  <c r="H94" i="4"/>
  <c r="D94" i="4"/>
  <c r="Q94" i="4"/>
  <c r="R95" i="4"/>
  <c r="N95" i="4"/>
  <c r="J95" i="4"/>
  <c r="F95" i="4"/>
  <c r="P95" i="4"/>
  <c r="L95" i="4"/>
  <c r="H95" i="4"/>
  <c r="D95" i="4"/>
  <c r="Q95" i="4"/>
  <c r="R96" i="4"/>
  <c r="N96" i="4"/>
  <c r="J96" i="4"/>
  <c r="F96" i="4"/>
  <c r="P96" i="4"/>
  <c r="L96" i="4"/>
  <c r="H96" i="4"/>
  <c r="D96" i="4"/>
  <c r="Q96" i="4"/>
  <c r="R97" i="4"/>
  <c r="N97" i="4"/>
  <c r="J97" i="4"/>
  <c r="F97" i="4"/>
  <c r="P97" i="4"/>
  <c r="L97" i="4"/>
  <c r="H97" i="4"/>
  <c r="D97" i="4"/>
  <c r="Q97" i="4"/>
  <c r="R98" i="4"/>
  <c r="N98" i="4"/>
  <c r="J98" i="4"/>
  <c r="F98" i="4"/>
  <c r="P98" i="4"/>
  <c r="L98" i="4"/>
  <c r="H98" i="4"/>
  <c r="D98" i="4"/>
  <c r="Q98" i="4"/>
  <c r="R99" i="4"/>
  <c r="N99" i="4"/>
  <c r="J99" i="4"/>
  <c r="F99" i="4"/>
  <c r="P99" i="4"/>
  <c r="L99" i="4"/>
  <c r="H99" i="4"/>
  <c r="D99" i="4"/>
  <c r="Q99" i="4"/>
  <c r="R100" i="4"/>
  <c r="N100" i="4"/>
  <c r="J100" i="4"/>
  <c r="F100" i="4"/>
  <c r="P100" i="4"/>
  <c r="L100" i="4"/>
  <c r="H100" i="4"/>
  <c r="D100" i="4"/>
  <c r="Q100" i="4"/>
  <c r="R101" i="4"/>
  <c r="N101" i="4"/>
  <c r="J101" i="4"/>
  <c r="F101" i="4"/>
  <c r="P101" i="4"/>
  <c r="L101" i="4"/>
  <c r="H101" i="4"/>
  <c r="D101" i="4"/>
  <c r="Q101" i="4"/>
  <c r="R102" i="4"/>
  <c r="N102" i="4"/>
  <c r="J102" i="4"/>
  <c r="F102" i="4"/>
  <c r="P102" i="4"/>
  <c r="L102" i="4"/>
  <c r="H102" i="4"/>
  <c r="D102" i="4"/>
  <c r="Q102" i="4"/>
  <c r="R103" i="4"/>
  <c r="N103" i="4"/>
  <c r="J103" i="4"/>
  <c r="F103" i="4"/>
  <c r="P103" i="4"/>
  <c r="L103" i="4"/>
  <c r="H103" i="4"/>
  <c r="D103" i="4"/>
  <c r="Q103" i="4"/>
  <c r="R104" i="4"/>
  <c r="N104" i="4"/>
  <c r="J104" i="4"/>
  <c r="F104" i="4"/>
  <c r="P104" i="4"/>
  <c r="L104" i="4"/>
  <c r="H104" i="4"/>
  <c r="D104" i="4"/>
  <c r="Q104" i="4"/>
  <c r="E85" i="4"/>
  <c r="M85" i="4"/>
  <c r="E86" i="4"/>
  <c r="M86" i="4"/>
  <c r="E87" i="4"/>
  <c r="M87" i="4"/>
  <c r="E88" i="4"/>
  <c r="M88" i="4"/>
  <c r="E89" i="4"/>
  <c r="M89" i="4"/>
  <c r="E90" i="4"/>
  <c r="M90" i="4"/>
  <c r="E91" i="4"/>
  <c r="M91" i="4"/>
  <c r="E92" i="4"/>
  <c r="M92" i="4"/>
  <c r="E93" i="4"/>
  <c r="M93" i="4"/>
  <c r="E94" i="4"/>
  <c r="M94" i="4"/>
  <c r="E95" i="4"/>
  <c r="M95" i="4"/>
  <c r="E96" i="4"/>
  <c r="M96" i="4"/>
  <c r="E97" i="4"/>
  <c r="M97" i="4"/>
  <c r="E98" i="4"/>
  <c r="M98" i="4"/>
  <c r="E99" i="4"/>
  <c r="M99" i="4"/>
  <c r="E100" i="4"/>
  <c r="M100" i="4"/>
  <c r="E101" i="4"/>
  <c r="M101" i="4"/>
  <c r="E102" i="4"/>
  <c r="M102" i="4"/>
  <c r="E103" i="4"/>
  <c r="M103" i="4"/>
  <c r="E104" i="4"/>
  <c r="M104" i="4"/>
  <c r="D105" i="4"/>
  <c r="H105" i="4"/>
  <c r="L105" i="4"/>
  <c r="P105" i="4"/>
  <c r="M105" i="4"/>
  <c r="Q105" i="4"/>
  <c r="F105" i="4"/>
  <c r="J105" i="4"/>
  <c r="N105" i="4"/>
  <c r="M10" i="3"/>
  <c r="Q10" i="3"/>
  <c r="M18" i="3"/>
  <c r="Q18" i="3"/>
  <c r="M22" i="3"/>
  <c r="Q22" i="3"/>
  <c r="M9" i="3"/>
  <c r="Q9" i="3"/>
  <c r="F10" i="3"/>
  <c r="J10" i="3"/>
  <c r="N10" i="3"/>
  <c r="C11" i="3"/>
  <c r="G11" i="3"/>
  <c r="K11" i="3"/>
  <c r="O11" i="3"/>
  <c r="M17" i="3"/>
  <c r="Q17" i="3"/>
  <c r="F18" i="3"/>
  <c r="J18" i="3"/>
  <c r="N18" i="3"/>
  <c r="C19" i="3"/>
  <c r="G19" i="3"/>
  <c r="K19" i="3"/>
  <c r="O19" i="3"/>
  <c r="M21" i="3"/>
  <c r="Q21" i="3"/>
  <c r="F22" i="3"/>
  <c r="J22" i="3"/>
  <c r="N22" i="3"/>
  <c r="C23" i="3"/>
  <c r="G23" i="3"/>
  <c r="K23" i="3"/>
  <c r="O23" i="3"/>
  <c r="M25" i="3"/>
  <c r="Q25" i="3"/>
  <c r="F26" i="3"/>
  <c r="J26" i="3"/>
  <c r="N26" i="3"/>
  <c r="C27" i="3"/>
  <c r="G27" i="3"/>
  <c r="K27" i="3"/>
  <c r="O27" i="3"/>
  <c r="M14" i="3"/>
  <c r="Q14" i="3"/>
  <c r="M26" i="3"/>
  <c r="Q26" i="3"/>
  <c r="M13" i="3"/>
  <c r="Q13" i="3"/>
  <c r="F14" i="3"/>
  <c r="J14" i="3"/>
  <c r="N14" i="3"/>
  <c r="C15" i="3"/>
  <c r="G15" i="3"/>
  <c r="K15" i="3"/>
  <c r="O15" i="3"/>
  <c r="F9" i="3"/>
  <c r="J9" i="3"/>
  <c r="C10" i="3"/>
  <c r="G10" i="3"/>
  <c r="K10" i="3"/>
  <c r="O10" i="3"/>
  <c r="D11" i="3"/>
  <c r="H11" i="3"/>
  <c r="L11" i="3"/>
  <c r="P11" i="3"/>
  <c r="M12" i="3"/>
  <c r="F13" i="3"/>
  <c r="J13" i="3"/>
  <c r="C14" i="3"/>
  <c r="G14" i="3"/>
  <c r="K14" i="3"/>
  <c r="O14" i="3"/>
  <c r="D15" i="3"/>
  <c r="H15" i="3"/>
  <c r="L15" i="3"/>
  <c r="P15" i="3"/>
  <c r="M16" i="3"/>
  <c r="F17" i="3"/>
  <c r="J17" i="3"/>
  <c r="C18" i="3"/>
  <c r="G18" i="3"/>
  <c r="K18" i="3"/>
  <c r="O18" i="3"/>
  <c r="D19" i="3"/>
  <c r="H19" i="3"/>
  <c r="L19" i="3"/>
  <c r="P19" i="3"/>
  <c r="M20" i="3"/>
  <c r="F21" i="3"/>
  <c r="J21" i="3"/>
  <c r="C22" i="3"/>
  <c r="G22" i="3"/>
  <c r="K22" i="3"/>
  <c r="O22" i="3"/>
  <c r="D23" i="3"/>
  <c r="H23" i="3"/>
  <c r="L23" i="3"/>
  <c r="P23" i="3"/>
  <c r="M24" i="3"/>
  <c r="F25" i="3"/>
  <c r="J25" i="3"/>
  <c r="C26" i="3"/>
  <c r="G26" i="3"/>
  <c r="K26" i="3"/>
  <c r="O26" i="3"/>
  <c r="D27" i="3"/>
  <c r="H27" i="3"/>
  <c r="L27" i="3"/>
  <c r="P27" i="3"/>
  <c r="D10" i="3"/>
  <c r="H10" i="3"/>
  <c r="L10" i="3"/>
  <c r="M11" i="3"/>
  <c r="D14" i="3"/>
  <c r="H14" i="3"/>
  <c r="L14" i="3"/>
  <c r="M15" i="3"/>
  <c r="D18" i="3"/>
  <c r="H18" i="3"/>
  <c r="L18" i="3"/>
  <c r="M19" i="3"/>
  <c r="D22" i="3"/>
  <c r="H22" i="3"/>
  <c r="L22" i="3"/>
  <c r="M23" i="3"/>
  <c r="D26" i="3"/>
  <c r="H26" i="3"/>
  <c r="L26" i="3"/>
  <c r="M27" i="3"/>
  <c r="P10" i="2"/>
  <c r="L10" i="2"/>
  <c r="H10" i="2"/>
  <c r="D10" i="2"/>
  <c r="N10" i="2"/>
  <c r="J10" i="2"/>
  <c r="F10" i="2"/>
  <c r="O10" i="2"/>
  <c r="K10" i="2"/>
  <c r="G10" i="2"/>
  <c r="C10" i="2"/>
  <c r="Q18" i="2"/>
  <c r="P26" i="2"/>
  <c r="L26" i="2"/>
  <c r="H26" i="2"/>
  <c r="D26" i="2"/>
  <c r="N26" i="2"/>
  <c r="J26" i="2"/>
  <c r="F26" i="2"/>
  <c r="O26" i="2"/>
  <c r="K26" i="2"/>
  <c r="G26" i="2"/>
  <c r="C26" i="2"/>
  <c r="P22" i="2"/>
  <c r="L22" i="2"/>
  <c r="H22" i="2"/>
  <c r="D22" i="2"/>
  <c r="O22" i="2"/>
  <c r="K22" i="2"/>
  <c r="G22" i="2"/>
  <c r="C22" i="2"/>
  <c r="N22" i="2"/>
  <c r="J22" i="2"/>
  <c r="F22" i="2"/>
  <c r="P14" i="2"/>
  <c r="L14" i="2"/>
  <c r="H14" i="2"/>
  <c r="D14" i="2"/>
  <c r="O14" i="2"/>
  <c r="K14" i="2"/>
  <c r="G14" i="2"/>
  <c r="C14" i="2"/>
  <c r="N14" i="2"/>
  <c r="J14" i="2"/>
  <c r="F14" i="2"/>
  <c r="Q22" i="2"/>
  <c r="P30" i="2"/>
  <c r="L30" i="2"/>
  <c r="H30" i="2"/>
  <c r="D30" i="2"/>
  <c r="O30" i="2"/>
  <c r="K30" i="2"/>
  <c r="G30" i="2"/>
  <c r="C30" i="2"/>
  <c r="N30" i="2"/>
  <c r="J30" i="2"/>
  <c r="F30" i="2"/>
  <c r="P18" i="2"/>
  <c r="L18" i="2"/>
  <c r="H18" i="2"/>
  <c r="D18" i="2"/>
  <c r="O18" i="2"/>
  <c r="K18" i="2"/>
  <c r="G18" i="2"/>
  <c r="C18" i="2"/>
  <c r="N18" i="2"/>
  <c r="J18" i="2"/>
  <c r="F18" i="2"/>
  <c r="E22" i="2"/>
  <c r="M33" i="2"/>
  <c r="Q33" i="2"/>
  <c r="F34" i="2"/>
  <c r="J34" i="2"/>
  <c r="P34" i="2"/>
  <c r="P43" i="2"/>
  <c r="L43" i="2"/>
  <c r="H43" i="2"/>
  <c r="D43" i="2"/>
  <c r="N43" i="2"/>
  <c r="O46" i="2"/>
  <c r="K46" i="2"/>
  <c r="G46" i="2"/>
  <c r="C46" i="2"/>
  <c r="N46" i="2"/>
  <c r="E47" i="2"/>
  <c r="J47" i="2"/>
  <c r="O47" i="2"/>
  <c r="N51" i="2"/>
  <c r="J51" i="2"/>
  <c r="F51" i="2"/>
  <c r="P51" i="2"/>
  <c r="K51" i="2"/>
  <c r="E51" i="2"/>
  <c r="Q51" i="2"/>
  <c r="O52" i="2"/>
  <c r="K52" i="2"/>
  <c r="G52" i="2"/>
  <c r="C52" i="2"/>
  <c r="Q52" i="2"/>
  <c r="L52" i="2"/>
  <c r="F52" i="2"/>
  <c r="P52" i="2"/>
  <c r="P53" i="2"/>
  <c r="L53" i="2"/>
  <c r="H53" i="2"/>
  <c r="D53" i="2"/>
  <c r="M53" i="2"/>
  <c r="G53" i="2"/>
  <c r="O53" i="2"/>
  <c r="D55" i="2"/>
  <c r="K55" i="2"/>
  <c r="D56" i="2"/>
  <c r="J56" i="2"/>
  <c r="Q56" i="2"/>
  <c r="P61" i="2"/>
  <c r="L61" i="2"/>
  <c r="H61" i="2"/>
  <c r="D61" i="2"/>
  <c r="M61" i="2"/>
  <c r="G61" i="2"/>
  <c r="Q61" i="2"/>
  <c r="K61" i="2"/>
  <c r="F61" i="2"/>
  <c r="O61" i="2"/>
  <c r="J61" i="2"/>
  <c r="E61" i="2"/>
  <c r="N37" i="2"/>
  <c r="J37" i="2"/>
  <c r="F37" i="2"/>
  <c r="O37" i="2"/>
  <c r="M13" i="2"/>
  <c r="Q13" i="2"/>
  <c r="M17" i="2"/>
  <c r="Q17" i="2"/>
  <c r="M21" i="2"/>
  <c r="Q21" i="2"/>
  <c r="M29" i="2"/>
  <c r="Q29" i="2"/>
  <c r="E37" i="2"/>
  <c r="K37" i="2"/>
  <c r="P37" i="2"/>
  <c r="J9" i="2"/>
  <c r="N9" i="2"/>
  <c r="M24" i="2"/>
  <c r="Q24" i="2"/>
  <c r="F25" i="2"/>
  <c r="J25" i="2"/>
  <c r="N25" i="2"/>
  <c r="M32" i="2"/>
  <c r="Q32" i="2"/>
  <c r="F33" i="2"/>
  <c r="J33" i="2"/>
  <c r="N33" i="2"/>
  <c r="C34" i="2"/>
  <c r="G34" i="2"/>
  <c r="L34" i="2"/>
  <c r="G37" i="2"/>
  <c r="L37" i="2"/>
  <c r="Q37" i="2"/>
  <c r="P39" i="2"/>
  <c r="L39" i="2"/>
  <c r="H39" i="2"/>
  <c r="D39" i="2"/>
  <c r="N39" i="2"/>
  <c r="O42" i="2"/>
  <c r="K42" i="2"/>
  <c r="G42" i="2"/>
  <c r="C42" i="2"/>
  <c r="N42" i="2"/>
  <c r="E43" i="2"/>
  <c r="J43" i="2"/>
  <c r="O43" i="2"/>
  <c r="N45" i="2"/>
  <c r="J45" i="2"/>
  <c r="F45" i="2"/>
  <c r="O45" i="2"/>
  <c r="E46" i="2"/>
  <c r="J46" i="2"/>
  <c r="P46" i="2"/>
  <c r="F47" i="2"/>
  <c r="K47" i="2"/>
  <c r="Q47" i="2"/>
  <c r="D51" i="2"/>
  <c r="L51" i="2"/>
  <c r="D52" i="2"/>
  <c r="J52" i="2"/>
  <c r="C53" i="2"/>
  <c r="J53" i="2"/>
  <c r="Q53" i="2"/>
  <c r="E55" i="2"/>
  <c r="M55" i="2"/>
  <c r="E56" i="2"/>
  <c r="L56" i="2"/>
  <c r="N61" i="2"/>
  <c r="O34" i="2"/>
  <c r="K34" i="2"/>
  <c r="N34" i="2"/>
  <c r="M9" i="2"/>
  <c r="Q9" i="2"/>
  <c r="M25" i="2"/>
  <c r="Q25" i="2"/>
  <c r="F9" i="2"/>
  <c r="M12" i="2"/>
  <c r="Q12" i="2"/>
  <c r="F13" i="2"/>
  <c r="J13" i="2"/>
  <c r="N13" i="2"/>
  <c r="M16" i="2"/>
  <c r="Q16" i="2"/>
  <c r="F17" i="2"/>
  <c r="J17" i="2"/>
  <c r="N17" i="2"/>
  <c r="M20" i="2"/>
  <c r="Q20" i="2"/>
  <c r="F21" i="2"/>
  <c r="J21" i="2"/>
  <c r="N21" i="2"/>
  <c r="M28" i="2"/>
  <c r="Q28" i="2"/>
  <c r="F29" i="2"/>
  <c r="J29" i="2"/>
  <c r="N29" i="2"/>
  <c r="C9" i="2"/>
  <c r="G9" i="2"/>
  <c r="K9" i="2"/>
  <c r="M11" i="2"/>
  <c r="F12" i="2"/>
  <c r="J12" i="2"/>
  <c r="C13" i="2"/>
  <c r="G13" i="2"/>
  <c r="K13" i="2"/>
  <c r="M15" i="2"/>
  <c r="F16" i="2"/>
  <c r="J16" i="2"/>
  <c r="C17" i="2"/>
  <c r="G17" i="2"/>
  <c r="K17" i="2"/>
  <c r="M19" i="2"/>
  <c r="F20" i="2"/>
  <c r="J20" i="2"/>
  <c r="C21" i="2"/>
  <c r="G21" i="2"/>
  <c r="K21" i="2"/>
  <c r="M23" i="2"/>
  <c r="F24" i="2"/>
  <c r="J24" i="2"/>
  <c r="C25" i="2"/>
  <c r="G25" i="2"/>
  <c r="K25" i="2"/>
  <c r="M27" i="2"/>
  <c r="F28" i="2"/>
  <c r="J28" i="2"/>
  <c r="C29" i="2"/>
  <c r="G29" i="2"/>
  <c r="K29" i="2"/>
  <c r="M31" i="2"/>
  <c r="F32" i="2"/>
  <c r="J32" i="2"/>
  <c r="C33" i="2"/>
  <c r="G33" i="2"/>
  <c r="K33" i="2"/>
  <c r="D34" i="2"/>
  <c r="H34" i="2"/>
  <c r="M34" i="2"/>
  <c r="P35" i="2"/>
  <c r="L35" i="2"/>
  <c r="H35" i="2"/>
  <c r="D35" i="2"/>
  <c r="N35" i="2"/>
  <c r="C37" i="2"/>
  <c r="H37" i="2"/>
  <c r="M37" i="2"/>
  <c r="O38" i="2"/>
  <c r="K38" i="2"/>
  <c r="G38" i="2"/>
  <c r="C38" i="2"/>
  <c r="N38" i="2"/>
  <c r="E39" i="2"/>
  <c r="J39" i="2"/>
  <c r="O39" i="2"/>
  <c r="N41" i="2"/>
  <c r="J41" i="2"/>
  <c r="F41" i="2"/>
  <c r="O41" i="2"/>
  <c r="E42" i="2"/>
  <c r="J42" i="2"/>
  <c r="P42" i="2"/>
  <c r="F43" i="2"/>
  <c r="K43" i="2"/>
  <c r="Q43" i="2"/>
  <c r="E45" i="2"/>
  <c r="K45" i="2"/>
  <c r="P45" i="2"/>
  <c r="F46" i="2"/>
  <c r="L46" i="2"/>
  <c r="Q46" i="2"/>
  <c r="G47" i="2"/>
  <c r="O48" i="2"/>
  <c r="K48" i="2"/>
  <c r="G48" i="2"/>
  <c r="P48" i="2"/>
  <c r="J48" i="2"/>
  <c r="E48" i="2"/>
  <c r="Q48" i="2"/>
  <c r="P49" i="2"/>
  <c r="L49" i="2"/>
  <c r="H49" i="2"/>
  <c r="D49" i="2"/>
  <c r="Q49" i="2"/>
  <c r="K49" i="2"/>
  <c r="F49" i="2"/>
  <c r="O49" i="2"/>
  <c r="G51" i="2"/>
  <c r="M51" i="2"/>
  <c r="E52" i="2"/>
  <c r="M52" i="2"/>
  <c r="E53" i="2"/>
  <c r="K53" i="2"/>
  <c r="H55" i="2"/>
  <c r="F56" i="2"/>
  <c r="P47" i="2"/>
  <c r="L47" i="2"/>
  <c r="H47" i="2"/>
  <c r="D47" i="2"/>
  <c r="N47" i="2"/>
  <c r="N55" i="2"/>
  <c r="J55" i="2"/>
  <c r="F55" i="2"/>
  <c r="Q55" i="2"/>
  <c r="L55" i="2"/>
  <c r="G55" i="2"/>
  <c r="P55" i="2"/>
  <c r="O56" i="2"/>
  <c r="K56" i="2"/>
  <c r="G56" i="2"/>
  <c r="C56" i="2"/>
  <c r="M56" i="2"/>
  <c r="H56" i="2"/>
  <c r="P56" i="2"/>
  <c r="O64" i="2"/>
  <c r="K64" i="2"/>
  <c r="G64" i="2"/>
  <c r="C64" i="2"/>
  <c r="N64" i="2"/>
  <c r="O68" i="2"/>
  <c r="K68" i="2"/>
  <c r="G68" i="2"/>
  <c r="C68" i="2"/>
  <c r="N68" i="2"/>
  <c r="J68" i="2"/>
  <c r="F68" i="2"/>
  <c r="Q68" i="2"/>
  <c r="P72" i="2"/>
  <c r="L72" i="2"/>
  <c r="H72" i="2"/>
  <c r="D72" i="2"/>
  <c r="O72" i="2"/>
  <c r="K72" i="2"/>
  <c r="G72" i="2"/>
  <c r="C72" i="2"/>
  <c r="N72" i="2"/>
  <c r="J72" i="2"/>
  <c r="F72" i="2"/>
  <c r="M36" i="2"/>
  <c r="M40" i="2"/>
  <c r="M44" i="2"/>
  <c r="P57" i="2"/>
  <c r="L57" i="2"/>
  <c r="H57" i="2"/>
  <c r="D57" i="2"/>
  <c r="N57" i="2"/>
  <c r="C59" i="2"/>
  <c r="H59" i="2"/>
  <c r="O60" i="2"/>
  <c r="K60" i="2"/>
  <c r="G60" i="2"/>
  <c r="C60" i="2"/>
  <c r="N60" i="2"/>
  <c r="N63" i="2"/>
  <c r="J63" i="2"/>
  <c r="F63" i="2"/>
  <c r="O63" i="2"/>
  <c r="E64" i="2"/>
  <c r="J64" i="2"/>
  <c r="P64" i="2"/>
  <c r="F65" i="2"/>
  <c r="K65" i="2"/>
  <c r="D68" i="2"/>
  <c r="L68" i="2"/>
  <c r="E69" i="2"/>
  <c r="M72" i="2"/>
  <c r="N59" i="2"/>
  <c r="J59" i="2"/>
  <c r="F59" i="2"/>
  <c r="O59" i="2"/>
  <c r="F64" i="2"/>
  <c r="L64" i="2"/>
  <c r="Q64" i="2"/>
  <c r="E68" i="2"/>
  <c r="M68" i="2"/>
  <c r="Q72" i="2"/>
  <c r="E59" i="2"/>
  <c r="K59" i="2"/>
  <c r="P59" i="2"/>
  <c r="H64" i="2"/>
  <c r="M64" i="2"/>
  <c r="P65" i="2"/>
  <c r="L65" i="2"/>
  <c r="H65" i="2"/>
  <c r="D65" i="2"/>
  <c r="N65" i="2"/>
  <c r="H68" i="2"/>
  <c r="P68" i="2"/>
  <c r="P69" i="2"/>
  <c r="L69" i="2"/>
  <c r="H69" i="2"/>
  <c r="D69" i="2"/>
  <c r="O69" i="2"/>
  <c r="K69" i="2"/>
  <c r="G69" i="2"/>
  <c r="C69" i="2"/>
  <c r="Q69" i="2"/>
  <c r="E72" i="2"/>
  <c r="M67" i="2"/>
  <c r="Q67" i="2"/>
  <c r="M71" i="2"/>
  <c r="Q71" i="2"/>
  <c r="C73" i="2"/>
  <c r="G73" i="2"/>
  <c r="K73" i="2"/>
  <c r="O73" i="2"/>
  <c r="M50" i="2"/>
  <c r="M54" i="2"/>
  <c r="M58" i="2"/>
  <c r="M62" i="2"/>
  <c r="M66" i="2"/>
  <c r="F67" i="2"/>
  <c r="J67" i="2"/>
  <c r="M70" i="2"/>
  <c r="F71" i="2"/>
  <c r="J71" i="2"/>
  <c r="D73" i="2"/>
  <c r="H73" i="2"/>
  <c r="L73" i="2"/>
  <c r="P73" i="2"/>
  <c r="M73" i="2"/>
  <c r="P16" i="1"/>
  <c r="L16" i="1"/>
  <c r="H16" i="1"/>
  <c r="D16" i="1"/>
  <c r="P18" i="1"/>
  <c r="L18" i="1"/>
  <c r="H18" i="1"/>
  <c r="D18" i="1"/>
  <c r="P20" i="1"/>
  <c r="L20" i="1"/>
  <c r="H20" i="1"/>
  <c r="D20" i="1"/>
  <c r="C21" i="1"/>
  <c r="R24" i="1"/>
  <c r="N24" i="1"/>
  <c r="J24" i="1"/>
  <c r="F24" i="1"/>
  <c r="P24" i="1"/>
  <c r="K24" i="1"/>
  <c r="E24" i="1"/>
  <c r="R28" i="1"/>
  <c r="N28" i="1"/>
  <c r="J28" i="1"/>
  <c r="F28" i="1"/>
  <c r="P28" i="1"/>
  <c r="K28" i="1"/>
  <c r="E28" i="1"/>
  <c r="Q28" i="1"/>
  <c r="R36" i="1"/>
  <c r="N36" i="1"/>
  <c r="J36" i="1"/>
  <c r="F36" i="1"/>
  <c r="P36" i="1"/>
  <c r="K36" i="1"/>
  <c r="E36" i="1"/>
  <c r="Q36" i="1"/>
  <c r="R22" i="1"/>
  <c r="P22" i="1"/>
  <c r="L22" i="1"/>
  <c r="H22" i="1"/>
  <c r="D22" i="1"/>
  <c r="N22" i="1"/>
  <c r="R32" i="1"/>
  <c r="N32" i="1"/>
  <c r="J32" i="1"/>
  <c r="F32" i="1"/>
  <c r="P32" i="1"/>
  <c r="K32" i="1"/>
  <c r="E32" i="1"/>
  <c r="Q32" i="1"/>
  <c r="C36" i="1"/>
  <c r="D9" i="1"/>
  <c r="H9" i="1"/>
  <c r="L9" i="1"/>
  <c r="P9" i="1"/>
  <c r="D10" i="1"/>
  <c r="H10" i="1"/>
  <c r="L10" i="1"/>
  <c r="P10" i="1"/>
  <c r="D11" i="1"/>
  <c r="H11" i="1"/>
  <c r="L11" i="1"/>
  <c r="P11" i="1"/>
  <c r="D12" i="1"/>
  <c r="H12" i="1"/>
  <c r="L12" i="1"/>
  <c r="P12" i="1"/>
  <c r="D13" i="1"/>
  <c r="H13" i="1"/>
  <c r="L13" i="1"/>
  <c r="P13" i="1"/>
  <c r="D14" i="1"/>
  <c r="H14" i="1"/>
  <c r="L14" i="1"/>
  <c r="P14" i="1"/>
  <c r="D15" i="1"/>
  <c r="H15" i="1"/>
  <c r="L15" i="1"/>
  <c r="P15" i="1"/>
  <c r="E16" i="1"/>
  <c r="J16" i="1"/>
  <c r="O16" i="1"/>
  <c r="E17" i="1"/>
  <c r="J17" i="1"/>
  <c r="O17" i="1"/>
  <c r="E18" i="1"/>
  <c r="J18" i="1"/>
  <c r="O18" i="1"/>
  <c r="E19" i="1"/>
  <c r="J19" i="1"/>
  <c r="E20" i="1"/>
  <c r="J20" i="1"/>
  <c r="O20" i="1"/>
  <c r="E21" i="1"/>
  <c r="J21" i="1"/>
  <c r="O21" i="1"/>
  <c r="E22" i="1"/>
  <c r="J22" i="1"/>
  <c r="O22" i="1"/>
  <c r="G23" i="1"/>
  <c r="D24" i="1"/>
  <c r="L24" i="1"/>
  <c r="R25" i="1"/>
  <c r="N25" i="1"/>
  <c r="J25" i="1"/>
  <c r="F25" i="1"/>
  <c r="P25" i="1"/>
  <c r="K25" i="1"/>
  <c r="E25" i="1"/>
  <c r="Q25" i="1"/>
  <c r="H26" i="1"/>
  <c r="G27" i="1"/>
  <c r="D28" i="1"/>
  <c r="L28" i="1"/>
  <c r="R29" i="1"/>
  <c r="N29" i="1"/>
  <c r="J29" i="1"/>
  <c r="F29" i="1"/>
  <c r="P29" i="1"/>
  <c r="K29" i="1"/>
  <c r="E29" i="1"/>
  <c r="Q29" i="1"/>
  <c r="H30" i="1"/>
  <c r="G31" i="1"/>
  <c r="D32" i="1"/>
  <c r="L32" i="1"/>
  <c r="R33" i="1"/>
  <c r="N33" i="1"/>
  <c r="J33" i="1"/>
  <c r="F33" i="1"/>
  <c r="P33" i="1"/>
  <c r="K33" i="1"/>
  <c r="E33" i="1"/>
  <c r="Q33" i="1"/>
  <c r="H34" i="1"/>
  <c r="G35" i="1"/>
  <c r="D36" i="1"/>
  <c r="L36" i="1"/>
  <c r="R37" i="1"/>
  <c r="N37" i="1"/>
  <c r="J37" i="1"/>
  <c r="F37" i="1"/>
  <c r="P37" i="1"/>
  <c r="K37" i="1"/>
  <c r="E37" i="1"/>
  <c r="Q37" i="1"/>
  <c r="H38" i="1"/>
  <c r="G39" i="1"/>
  <c r="C16" i="1"/>
  <c r="N16" i="1"/>
  <c r="C17" i="1"/>
  <c r="N17" i="1"/>
  <c r="P19" i="1"/>
  <c r="L19" i="1"/>
  <c r="H19" i="1"/>
  <c r="D19" i="1"/>
  <c r="C20" i="1"/>
  <c r="N20" i="1"/>
  <c r="E9" i="1"/>
  <c r="M9" i="1"/>
  <c r="Q10" i="1"/>
  <c r="E11" i="1"/>
  <c r="M11" i="1"/>
  <c r="Q12" i="1"/>
  <c r="E13" i="1"/>
  <c r="M13" i="1"/>
  <c r="Q14" i="1"/>
  <c r="E15" i="1"/>
  <c r="M15" i="1"/>
  <c r="F16" i="1"/>
  <c r="Q16" i="1"/>
  <c r="F17" i="1"/>
  <c r="K18" i="1"/>
  <c r="F19" i="1"/>
  <c r="F20" i="1"/>
  <c r="R26" i="1"/>
  <c r="N26" i="1"/>
  <c r="J26" i="1"/>
  <c r="F26" i="1"/>
  <c r="P26" i="1"/>
  <c r="K26" i="1"/>
  <c r="E26" i="1"/>
  <c r="Q26" i="1"/>
  <c r="G28" i="1"/>
  <c r="M28" i="1"/>
  <c r="R30" i="1"/>
  <c r="N30" i="1"/>
  <c r="J30" i="1"/>
  <c r="F30" i="1"/>
  <c r="P30" i="1"/>
  <c r="K30" i="1"/>
  <c r="E30" i="1"/>
  <c r="Q30" i="1"/>
  <c r="G32" i="1"/>
  <c r="M32" i="1"/>
  <c r="R34" i="1"/>
  <c r="N34" i="1"/>
  <c r="J34" i="1"/>
  <c r="F34" i="1"/>
  <c r="P34" i="1"/>
  <c r="K34" i="1"/>
  <c r="E34" i="1"/>
  <c r="Q34" i="1"/>
  <c r="G36" i="1"/>
  <c r="M36" i="1"/>
  <c r="R38" i="1"/>
  <c r="N38" i="1"/>
  <c r="J38" i="1"/>
  <c r="F38" i="1"/>
  <c r="P38" i="1"/>
  <c r="K38" i="1"/>
  <c r="E38" i="1"/>
  <c r="Q38" i="1"/>
  <c r="P17" i="1"/>
  <c r="L17" i="1"/>
  <c r="H17" i="1"/>
  <c r="D17" i="1"/>
  <c r="C18" i="1"/>
  <c r="N18" i="1"/>
  <c r="C19" i="1"/>
  <c r="N19" i="1"/>
  <c r="P21" i="1"/>
  <c r="L21" i="1"/>
  <c r="H21" i="1"/>
  <c r="D21" i="1"/>
  <c r="C24" i="1"/>
  <c r="Q24" i="1"/>
  <c r="Q9" i="1"/>
  <c r="E10" i="1"/>
  <c r="M10" i="1"/>
  <c r="Q11" i="1"/>
  <c r="E12" i="1"/>
  <c r="M12" i="1"/>
  <c r="Q13" i="1"/>
  <c r="E14" i="1"/>
  <c r="M14" i="1"/>
  <c r="Q15" i="1"/>
  <c r="K16" i="1"/>
  <c r="K17" i="1"/>
  <c r="F18" i="1"/>
  <c r="Q18" i="1"/>
  <c r="K19" i="1"/>
  <c r="Q19" i="1"/>
  <c r="K20" i="1"/>
  <c r="Q20" i="1"/>
  <c r="F21" i="1"/>
  <c r="K21" i="1"/>
  <c r="Q21" i="1"/>
  <c r="F22" i="1"/>
  <c r="K22" i="1"/>
  <c r="Q22" i="1"/>
  <c r="G24" i="1"/>
  <c r="M24" i="1"/>
  <c r="F9" i="1"/>
  <c r="J9" i="1"/>
  <c r="N9" i="1"/>
  <c r="F10" i="1"/>
  <c r="J10" i="1"/>
  <c r="N10" i="1"/>
  <c r="F11" i="1"/>
  <c r="J11" i="1"/>
  <c r="N11" i="1"/>
  <c r="F12" i="1"/>
  <c r="J12" i="1"/>
  <c r="N12" i="1"/>
  <c r="F13" i="1"/>
  <c r="J13" i="1"/>
  <c r="N13" i="1"/>
  <c r="F14" i="1"/>
  <c r="J14" i="1"/>
  <c r="N14" i="1"/>
  <c r="F15" i="1"/>
  <c r="J15" i="1"/>
  <c r="N15" i="1"/>
  <c r="G16" i="1"/>
  <c r="M16" i="1"/>
  <c r="R16" i="1"/>
  <c r="G17" i="1"/>
  <c r="M17" i="1"/>
  <c r="R17" i="1"/>
  <c r="G18" i="1"/>
  <c r="M18" i="1"/>
  <c r="R18" i="1"/>
  <c r="G19" i="1"/>
  <c r="M19" i="1"/>
  <c r="R19" i="1"/>
  <c r="G20" i="1"/>
  <c r="M20" i="1"/>
  <c r="R20" i="1"/>
  <c r="G21" i="1"/>
  <c r="M21" i="1"/>
  <c r="R21" i="1"/>
  <c r="G22" i="1"/>
  <c r="M22" i="1"/>
  <c r="R23" i="1"/>
  <c r="N23" i="1"/>
  <c r="J23" i="1"/>
  <c r="F23" i="1"/>
  <c r="P23" i="1"/>
  <c r="K23" i="1"/>
  <c r="E23" i="1"/>
  <c r="Q23" i="1"/>
  <c r="H24" i="1"/>
  <c r="O24" i="1"/>
  <c r="D26" i="1"/>
  <c r="L26" i="1"/>
  <c r="R27" i="1"/>
  <c r="N27" i="1"/>
  <c r="J27" i="1"/>
  <c r="F27" i="1"/>
  <c r="P27" i="1"/>
  <c r="K27" i="1"/>
  <c r="E27" i="1"/>
  <c r="Q27" i="1"/>
  <c r="H28" i="1"/>
  <c r="O28" i="1"/>
  <c r="D30" i="1"/>
  <c r="L30" i="1"/>
  <c r="R31" i="1"/>
  <c r="N31" i="1"/>
  <c r="J31" i="1"/>
  <c r="F31" i="1"/>
  <c r="P31" i="1"/>
  <c r="K31" i="1"/>
  <c r="E31" i="1"/>
  <c r="Q31" i="1"/>
  <c r="H32" i="1"/>
  <c r="O32" i="1"/>
  <c r="D34" i="1"/>
  <c r="L34" i="1"/>
  <c r="R35" i="1"/>
  <c r="N35" i="1"/>
  <c r="J35" i="1"/>
  <c r="F35" i="1"/>
  <c r="P35" i="1"/>
  <c r="K35" i="1"/>
  <c r="E35" i="1"/>
  <c r="Q35" i="1"/>
  <c r="H36" i="1"/>
  <c r="O36" i="1"/>
  <c r="D38" i="1"/>
  <c r="L38" i="1"/>
  <c r="R39" i="1"/>
  <c r="N39" i="1"/>
  <c r="J39" i="1"/>
  <c r="F39" i="1"/>
  <c r="P39" i="1"/>
  <c r="K39" i="1"/>
  <c r="E39" i="1"/>
  <c r="Q39" i="1"/>
  <c r="R40" i="1"/>
  <c r="N40" i="1"/>
  <c r="J40" i="1"/>
  <c r="F40" i="1"/>
  <c r="O40" i="1"/>
  <c r="R41" i="1"/>
  <c r="N41" i="1"/>
  <c r="J41" i="1"/>
  <c r="F41" i="1"/>
  <c r="O41" i="1"/>
  <c r="E40" i="1"/>
  <c r="K40" i="1"/>
  <c r="P40" i="1"/>
  <c r="E41" i="1"/>
  <c r="K41" i="1"/>
  <c r="P41" i="1"/>
  <c r="M42" i="1"/>
  <c r="Q42" i="1"/>
  <c r="M43" i="1"/>
  <c r="Q43" i="1"/>
  <c r="F42" i="1"/>
  <c r="J42" i="1"/>
  <c r="N42" i="1"/>
  <c r="F43" i="1"/>
  <c r="J43" i="1"/>
  <c r="N43" i="1"/>
</calcChain>
</file>

<file path=xl/sharedStrings.xml><?xml version="1.0" encoding="utf-8"?>
<sst xmlns="http://schemas.openxmlformats.org/spreadsheetml/2006/main" count="139" uniqueCount="43">
  <si>
    <t>COMPONENTES MODELO DE SUPERVISIÓN INTEGRAL OFICINAS</t>
  </si>
  <si>
    <t xml:space="preserve"> </t>
  </si>
  <si>
    <t>Resultado de Cumplimiento</t>
  </si>
  <si>
    <t>Código</t>
  </si>
  <si>
    <t>Sistema</t>
  </si>
  <si>
    <t>Código2</t>
  </si>
  <si>
    <t>Componente</t>
  </si>
  <si>
    <t>Código actividad</t>
  </si>
  <si>
    <t>Sub Componente</t>
  </si>
  <si>
    <t>Código Tarea</t>
  </si>
  <si>
    <t>Tarea de verificación</t>
  </si>
  <si>
    <t>Tipo de inspección</t>
  </si>
  <si>
    <t>Cumple</t>
  </si>
  <si>
    <t>No Cumple</t>
  </si>
  <si>
    <t>N.A.</t>
  </si>
  <si>
    <t>Acción Preventiva</t>
  </si>
  <si>
    <t>Acción Correctiva</t>
  </si>
  <si>
    <t>Observaciones / Recomendaciones</t>
  </si>
  <si>
    <t>Proceso origen</t>
  </si>
  <si>
    <t>Componentes</t>
  </si>
  <si>
    <t>Actividad</t>
  </si>
  <si>
    <t>Código3</t>
  </si>
  <si>
    <t xml:space="preserve">Código Tarea </t>
  </si>
  <si>
    <t>Observaciones</t>
  </si>
  <si>
    <t>SARLAFT</t>
  </si>
  <si>
    <t>6.1.1.001</t>
  </si>
  <si>
    <t>6.1.1.002</t>
  </si>
  <si>
    <t>6.1.1.003</t>
  </si>
  <si>
    <t>6.1.1.004</t>
  </si>
  <si>
    <t>6.1.1.005</t>
  </si>
  <si>
    <t>6.1.1.006</t>
  </si>
  <si>
    <t>6.1.1.007</t>
  </si>
  <si>
    <t>6.2.1.001</t>
  </si>
  <si>
    <t>6.2.1.002</t>
  </si>
  <si>
    <t>6.2.1.003</t>
  </si>
  <si>
    <t>6.2.1.004</t>
  </si>
  <si>
    <t>6.2.1.005</t>
  </si>
  <si>
    <t>6.2.1.006</t>
  </si>
  <si>
    <t>6.2.1.007</t>
  </si>
  <si>
    <t>6.2.1.008</t>
  </si>
  <si>
    <t>6.2.1.009</t>
  </si>
  <si>
    <t>6.2.1.010</t>
  </si>
  <si>
    <t>6.2.1.011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</si>
</sst>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lt;=9999999]###\-####;###\-###\-####"/>
  </numFmts>
  <fonts count="12" x14ac:knownFonts="1">
    <font>
      <sz val="11"/>
      <color theme="1"/>
      <name val="Calibri"/>
      <family val="2"/>
      <scheme val="minor"/>
    </font>
    <font>
      <b/>
      <sz val="11"/>
      <color theme="1"/>
      <name val="Calibri"/>
      <family val="2"/>
      <scheme val="minor"/>
    </font>
    <font>
      <sz val="10"/>
      <color theme="1" tint="0.24994659260841701"/>
      <name val="Calibri"/>
      <family val="2"/>
      <scheme val="minor"/>
    </font>
    <font>
      <b/>
      <sz val="28"/>
      <color theme="6"/>
      <name val="Calibri"/>
      <family val="2"/>
      <scheme val="minor"/>
    </font>
    <font>
      <b/>
      <sz val="28"/>
      <color theme="4" tint="-0.499984740745262"/>
      <name val="Calibri"/>
      <family val="2"/>
      <scheme val="minor"/>
    </font>
    <font>
      <b/>
      <sz val="14"/>
      <color theme="0"/>
      <name val="Calibri"/>
      <family val="2"/>
      <scheme val="minor"/>
    </font>
    <font>
      <b/>
      <sz val="12"/>
      <color theme="0"/>
      <name val="Calibri"/>
      <family val="2"/>
      <scheme val="minor"/>
    </font>
    <font>
      <sz val="11"/>
      <name val="Calibri"/>
      <family val="2"/>
      <scheme val="minor"/>
    </font>
    <font>
      <b/>
      <sz val="11"/>
      <name val="Calibri"/>
      <family val="2"/>
      <scheme val="minor"/>
    </font>
    <font>
      <sz val="10"/>
      <color theme="1"/>
      <name val="Verdana"/>
      <family val="2"/>
    </font>
    <font>
      <sz val="9"/>
      <name val="Verdana"/>
      <family val="2"/>
    </font>
    <font>
      <b/>
      <sz val="16"/>
      <color theme="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8" tint="-0.249977111117893"/>
        <bgColor indexed="64"/>
      </patternFill>
    </fill>
    <fill>
      <patternFill patternType="solid">
        <fgColor rgb="FFC00000"/>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diagonal/>
    </border>
    <border>
      <left style="hair">
        <color auto="1"/>
      </left>
      <right/>
      <top style="hair">
        <color auto="1"/>
      </top>
      <bottom/>
      <diagonal/>
    </border>
    <border>
      <left style="thin">
        <color indexed="64"/>
      </left>
      <right style="thin">
        <color indexed="64"/>
      </right>
      <top style="thin">
        <color indexed="64"/>
      </top>
      <bottom/>
      <diagonal/>
    </border>
    <border>
      <left/>
      <right style="hair">
        <color auto="1"/>
      </right>
      <top style="hair">
        <color auto="1"/>
      </top>
      <bottom style="hair">
        <color auto="1"/>
      </bottom>
      <diagonal/>
    </border>
  </borders>
  <cellStyleXfs count="3">
    <xf numFmtId="0" fontId="0" fillId="0" borderId="0"/>
    <xf numFmtId="0" fontId="2" fillId="2" borderId="0">
      <alignment vertical="center"/>
    </xf>
    <xf numFmtId="0" fontId="3" fillId="2" borderId="0" applyNumberFormat="0" applyProtection="0">
      <alignment vertical="center"/>
    </xf>
  </cellStyleXfs>
  <cellXfs count="53">
    <xf numFmtId="0" fontId="0" fillId="0" borderId="0" xfId="0"/>
    <xf numFmtId="0" fontId="2" fillId="2" borderId="0" xfId="1">
      <alignment vertical="center"/>
    </xf>
    <xf numFmtId="0" fontId="2" fillId="2" borderId="0" xfId="1" applyAlignment="1">
      <alignment horizontal="center" vertical="center"/>
    </xf>
    <xf numFmtId="0" fontId="2" fillId="0" borderId="0" xfId="1" applyFill="1">
      <alignment vertical="center"/>
    </xf>
    <xf numFmtId="0" fontId="4" fillId="2" borderId="0" xfId="2" applyFont="1">
      <alignment vertical="center"/>
    </xf>
    <xf numFmtId="0" fontId="3" fillId="2" borderId="0" xfId="2">
      <alignment vertical="center"/>
    </xf>
    <xf numFmtId="0" fontId="0" fillId="0" borderId="0" xfId="0" applyAlignment="1">
      <alignment vertical="center"/>
    </xf>
    <xf numFmtId="0" fontId="6"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xf>
    <xf numFmtId="0" fontId="6"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0" borderId="2" xfId="0" applyBorder="1" applyAlignment="1">
      <alignment horizontal="center" vertical="center"/>
    </xf>
    <xf numFmtId="0" fontId="7" fillId="0" borderId="2" xfId="0" applyFont="1" applyBorder="1" applyAlignment="1">
      <alignment horizontal="justify" vertical="center" wrapText="1"/>
    </xf>
    <xf numFmtId="0" fontId="0" fillId="0" borderId="4"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2" xfId="1" applyFont="1" applyFill="1" applyBorder="1" applyAlignment="1">
      <alignment horizontal="center" vertical="center"/>
    </xf>
    <xf numFmtId="0" fontId="0" fillId="0" borderId="2" xfId="1" applyFont="1" applyFill="1" applyBorder="1" applyAlignment="1">
      <alignment horizontal="center" vertical="center" wrapText="1"/>
    </xf>
    <xf numFmtId="0" fontId="2" fillId="2" borderId="0" xfId="1" applyAlignment="1">
      <alignment horizontal="left" vertical="center"/>
    </xf>
    <xf numFmtId="164" fontId="0" fillId="0" borderId="2" xfId="0" applyNumberFormat="1" applyBorder="1" applyAlignment="1">
      <alignment horizontal="center" vertical="center"/>
    </xf>
    <xf numFmtId="164" fontId="7" fillId="0" borderId="2" xfId="0" applyNumberFormat="1" applyFont="1" applyBorder="1" applyAlignment="1">
      <alignment horizontal="justify" vertical="center" wrapText="1"/>
    </xf>
    <xf numFmtId="0" fontId="7" fillId="0" borderId="2" xfId="0" applyFont="1" applyBorder="1" applyAlignment="1">
      <alignment horizontal="center" vertical="center" wrapText="1"/>
    </xf>
    <xf numFmtId="0" fontId="2" fillId="0" borderId="0" xfId="1" applyFill="1" applyAlignment="1">
      <alignment horizontal="left" vertical="center"/>
    </xf>
    <xf numFmtId="0" fontId="6" fillId="4" borderId="8" xfId="0" applyFont="1" applyFill="1" applyBorder="1" applyAlignment="1">
      <alignment horizontal="center" vertical="center"/>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0" fillId="2" borderId="0" xfId="0" applyFill="1" applyAlignment="1">
      <alignment vertical="center"/>
    </xf>
    <xf numFmtId="0" fontId="2" fillId="0" borderId="0" xfId="1" applyFill="1" applyAlignment="1">
      <alignment horizontal="left" vertical="center" wrapText="1"/>
    </xf>
    <xf numFmtId="164" fontId="0" fillId="0" borderId="2" xfId="0" applyNumberFormat="1" applyBorder="1" applyAlignment="1">
      <alignment horizontal="center" vertical="center" wrapText="1"/>
    </xf>
    <xf numFmtId="0" fontId="2" fillId="2" borderId="0" xfId="1"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7" fillId="0" borderId="0" xfId="0" applyFont="1" applyAlignment="1">
      <alignment horizontal="justify" vertical="center" wrapText="1"/>
    </xf>
    <xf numFmtId="49" fontId="8" fillId="7" borderId="0" xfId="0" applyNumberFormat="1" applyFont="1" applyFill="1" applyAlignment="1">
      <alignment horizontal="center" vertical="center"/>
    </xf>
    <xf numFmtId="0" fontId="9" fillId="0" borderId="0" xfId="0" applyFont="1" applyAlignment="1">
      <alignment horizontal="center" vertical="center"/>
    </xf>
    <xf numFmtId="0" fontId="6" fillId="5" borderId="10"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0" fillId="0" borderId="11" xfId="0" applyBorder="1" applyAlignment="1">
      <alignment horizontal="center" vertical="center"/>
    </xf>
    <xf numFmtId="0" fontId="10" fillId="7" borderId="2" xfId="0" applyFont="1" applyFill="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justify" vertical="center" wrapText="1"/>
    </xf>
    <xf numFmtId="0" fontId="7" fillId="0" borderId="4" xfId="0" applyFont="1" applyBorder="1" applyAlignment="1">
      <alignment horizontal="center" vertical="center" wrapText="1"/>
    </xf>
    <xf numFmtId="0" fontId="5"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3" borderId="10" xfId="0" applyFont="1" applyFill="1" applyBorder="1" applyAlignment="1">
      <alignment horizontal="center" vertical="center" wrapText="1"/>
    </xf>
  </cellXfs>
  <cellStyles count="3">
    <cellStyle name="Encabezado 1 3" xfId="2" xr:uid="{3D5E343E-4627-4D58-BAF6-B6371D6AB353}"/>
    <cellStyle name="Normal" xfId="0" builtinId="0"/>
    <cellStyle name="Normal 4" xfId="1" xr:uid="{233B3032-716C-4333-8BB4-CAF19DD07540}"/>
  </cellStyles>
  <dxfs count="203">
    <dxf>
      <font>
        <b/>
        <color auto="1"/>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bottom style="hair">
          <color auto="1"/>
        </bottom>
        <vertical/>
        <horizontal/>
      </border>
    </dxf>
    <dxf>
      <font>
        <color auto="1"/>
      </font>
      <numFmt numFmtId="0" formatCode="General"/>
      <fill>
        <patternFill patternType="none">
          <fgColor indexed="64"/>
          <bgColor indexed="65"/>
        </patternFill>
      </fill>
      <alignment horizontal="justify"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ont>
        <sz val="10"/>
        <name val="Verdana"/>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ont>
        <sz val="10"/>
        <name val="Verdana"/>
        <scheme val="none"/>
      </font>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rgb="FF000000"/>
          <bgColor rgb="FFBDD7EE"/>
        </patternFill>
      </fill>
    </dxf>
    <dxf>
      <fill>
        <patternFill patternType="solid">
          <fgColor rgb="FF000000"/>
          <bgColor rgb="FFBDD7EE"/>
        </patternFill>
      </fill>
      <alignment horizontal="left" vertical="center" textRotation="0" wrapText="0" indent="1" justifyLastLine="0" shrinkToFit="0" readingOrder="0"/>
    </dxf>
    <dxf>
      <fill>
        <patternFill patternType="solid">
          <fgColor indexed="64"/>
          <bgColor theme="4" tint="0.59999389629810485"/>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b/>
        <color auto="1"/>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color auto="1"/>
      </font>
      <numFmt numFmtId="0" formatCode="General"/>
      <fill>
        <patternFill patternType="none">
          <fgColor indexed="64"/>
          <bgColor indexed="65"/>
        </patternFill>
      </fill>
      <alignment horizontal="justify"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ont>
        <sz val="10"/>
        <name val="Verdana"/>
        <scheme val="none"/>
      </font>
      <fill>
        <patternFill patternType="solid">
          <fgColor indexed="64"/>
          <bgColor theme="4" tint="0.59999389629810485"/>
        </patternFill>
      </fill>
      <alignment horizontal="left" vertical="center" textRotation="0" wrapText="0" indent="1"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solid">
          <fgColor indexed="64"/>
          <bgColor theme="4" tint="0.59999389629810485"/>
        </patternFill>
      </fill>
    </dxf>
    <dxf>
      <font>
        <sz val="10"/>
        <name val="Verdana"/>
        <scheme val="none"/>
      </font>
      <fill>
        <patternFill patternType="solid">
          <fgColor indexed="64"/>
          <bgColor theme="4" tint="0.59999389629810485"/>
        </patternFill>
      </fill>
      <alignment horizontal="left" vertical="center" textRotation="0" wrapText="0" indent="1"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solid">
          <fgColor indexed="64"/>
          <bgColor theme="4" tint="0.59999389629810485"/>
        </patternFill>
      </fill>
    </dxf>
    <dxf>
      <fill>
        <patternFill patternType="solid">
          <fgColor indexed="64"/>
          <bgColor theme="4" tint="0.59999389629810485"/>
        </patternFill>
      </fill>
      <alignment horizontal="left" vertical="center" textRotation="0" wrapText="0" indent="1" justifyLastLine="0" shrinkToFit="0" readingOrder="0"/>
    </dxf>
    <dxf>
      <fill>
        <patternFill patternType="solid">
          <fgColor indexed="64"/>
          <bgColor theme="4" tint="0.59999389629810485"/>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strike val="0"/>
        <outline val="0"/>
        <shadow val="0"/>
        <u val="none"/>
        <vertAlign val="baseline"/>
        <sz val="9"/>
        <color auto="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sz val="9"/>
        <color auto="1"/>
        <name val="Verdana"/>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ont>
        <color auto="1"/>
      </font>
      <numFmt numFmtId="0" formatCode="General"/>
      <fill>
        <patternFill patternType="none">
          <fgColor indexed="64"/>
          <bgColor indexed="65"/>
        </patternFill>
      </fill>
      <alignment horizontal="justify"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z val="10"/>
        <name val="Verdana"/>
        <scheme val="none"/>
      </font>
      <fill>
        <patternFill patternType="none">
          <fgColor indexed="64"/>
          <bgColor indexed="65"/>
        </patternFill>
      </fill>
      <alignment horizontal="general"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sz val="10"/>
        <name val="Verdana"/>
        <scheme val="none"/>
      </font>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solid">
          <fgColor indexed="64"/>
          <bgColor theme="4" tint="0.59999389629810485"/>
        </patternFill>
      </fill>
    </dxf>
    <dxf>
      <fill>
        <patternFill patternType="solid">
          <fgColor indexed="64"/>
          <bgColor theme="4" tint="0.59999389629810485"/>
        </patternFill>
      </fill>
      <alignment horizontal="left" vertical="center" textRotation="0" wrapText="0" indent="1" justifyLastLine="0" shrinkToFit="0" readingOrder="0"/>
    </dxf>
    <dxf>
      <fill>
        <patternFill patternType="solid">
          <fgColor indexed="64"/>
          <bgColor theme="4" tint="0.59999389629810485"/>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color auto="1"/>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bottom style="hair">
          <color auto="1"/>
        </bottom>
        <vertical/>
        <horizontal/>
      </border>
    </dxf>
    <dxf>
      <font>
        <color auto="1"/>
      </font>
      <numFmt numFmtId="164" formatCode="[&lt;=9999999]###\-####;###\-###\-####"/>
      <fill>
        <patternFill patternType="none">
          <fgColor indexed="64"/>
          <bgColor indexed="65"/>
        </patternFill>
      </fill>
      <alignment horizontal="justify"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numFmt numFmtId="164" formatCode="[&lt;=9999999]###\-####;###\-###\-####"/>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ill>
        <patternFill patternType="solid">
          <fgColor indexed="64"/>
          <bgColor theme="4" tint="0.59999389629810485"/>
        </patternFill>
      </fill>
    </dxf>
    <dxf>
      <font>
        <sz val="10"/>
        <name val="Verdana"/>
        <scheme val="none"/>
      </font>
      <fill>
        <patternFill patternType="none">
          <fgColor indexed="64"/>
          <bgColor indexed="65"/>
        </patternFill>
      </fill>
      <alignment horizontal="center" vertical="center" textRotation="0" wrapText="0" indent="0" justifyLastLine="0" shrinkToFit="0" readingOrder="0"/>
    </dxf>
    <dxf>
      <fill>
        <patternFill patternType="solid">
          <fgColor indexed="64"/>
          <bgColor theme="4" tint="0.59999389629810485"/>
        </patternFill>
      </fill>
    </dxf>
    <dxf>
      <font>
        <b val="0"/>
        <i val="0"/>
        <color theme="4" tint="-0.24994659260841701"/>
      </font>
      <fill>
        <gradientFill degree="90">
          <stop position="0">
            <color theme="0" tint="-0.1490218817712943"/>
          </stop>
          <stop position="1">
            <color theme="0" tint="-0.34900967436750391"/>
          </stop>
        </gradientFill>
      </fill>
    </dxf>
    <dxf>
      <font>
        <b val="0"/>
        <i val="0"/>
        <color theme="4" tint="-0.24994659260841701"/>
      </font>
      <fill>
        <gradientFill degree="90">
          <stop position="0">
            <color theme="0" tint="-0.1490218817712943"/>
          </stop>
          <stop position="1">
            <color theme="0" tint="-0.34900967436750391"/>
          </stop>
        </gradient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ont>
        <b/>
        <color auto="1"/>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color auto="1"/>
      </font>
      <numFmt numFmtId="0" formatCode="General"/>
      <fill>
        <patternFill patternType="none">
          <fgColor indexed="64"/>
          <bgColor indexed="65"/>
        </patternFill>
      </fill>
      <alignment horizontal="justify"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ont>
        <sz val="10"/>
        <name val="Verdana"/>
        <scheme val="none"/>
      </font>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ont>
        <sz val="10"/>
        <name val="Verdana"/>
        <scheme val="none"/>
      </font>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ill>
        <patternFill patternType="solid">
          <fgColor indexed="64"/>
          <bgColor theme="4" tint="0.59999389629810485"/>
        </patternFill>
      </fill>
      <alignment horizontal="left" vertical="center" textRotation="0" wrapText="0" indent="1" justifyLastLine="0" shrinkToFit="0" readingOrder="0"/>
    </dxf>
    <dxf>
      <fill>
        <patternFill patternType="solid">
          <fgColor indexed="64"/>
          <bgColor theme="4" tint="0.59999389629810485"/>
        </patternFill>
      </fill>
    </dxf>
    <dxf>
      <font>
        <b/>
        <color auto="1"/>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bottom style="hair">
          <color auto="1"/>
        </bottom>
        <vertical/>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bottom style="hair">
          <color auto="1"/>
        </bottom>
        <vertical/>
        <horizontal/>
      </border>
    </dxf>
    <dxf>
      <font>
        <color auto="1"/>
      </font>
      <numFmt numFmtId="0" formatCode="General"/>
      <fill>
        <patternFill patternType="none">
          <fgColor indexed="64"/>
          <bgColor indexed="65"/>
        </patternFill>
      </fill>
      <alignment horizontal="justify"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ont>
        <sz val="10"/>
        <name val="Verdana"/>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ont>
        <sz val="10"/>
        <name val="Verdan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solid">
          <fgColor indexed="64"/>
          <bgColor theme="4" tint="0.59999389629810485"/>
        </patternFill>
      </fill>
    </dxf>
    <dxf>
      <fill>
        <patternFill patternType="solid">
          <fgColor indexed="64"/>
          <bgColor theme="4" tint="0.59999389629810485"/>
        </patternFill>
      </fill>
      <alignment horizontal="left" vertical="center" textRotation="0" wrapText="0" indent="1" justifyLastLine="0" shrinkToFit="0" readingOrder="0"/>
    </dxf>
    <dxf>
      <fill>
        <patternFill patternType="solid">
          <fgColor indexed="64"/>
          <bgColor theme="4" tint="0.59999389629810485"/>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val="0"/>
        <color theme="4" tint="-0.24994659260841701"/>
      </font>
      <fill>
        <gradientFill degree="90">
          <stop position="0">
            <color theme="0" tint="-0.1490218817712943"/>
          </stop>
          <stop position="1">
            <color theme="0" tint="-0.34900967436750391"/>
          </stop>
        </gradientFill>
      </fill>
    </dxf>
    <dxf>
      <font>
        <color theme="0"/>
      </font>
      <fill>
        <patternFill>
          <bgColor theme="0"/>
        </patternFill>
      </fill>
    </dxf>
    <dxf>
      <fill>
        <patternFill>
          <bgColor theme="2"/>
        </patternFill>
      </fill>
    </dxf>
    <dxf>
      <font>
        <b val="0"/>
        <i val="0"/>
        <color theme="0" tint="-4.9989318521683403E-2"/>
      </font>
      <fill>
        <patternFill>
          <bgColor theme="1" tint="4.9989318521683403E-2"/>
        </patternFill>
      </fill>
      <border diagonalUp="0" diagonalDown="0">
        <left/>
        <right/>
        <top/>
        <bottom/>
        <vertical/>
        <horizontal/>
      </border>
    </dxf>
    <dxf>
      <font>
        <color auto="1"/>
      </font>
      <border diagonalUp="0" diagonalDown="0">
        <left/>
        <right/>
        <top/>
        <bottom/>
        <vertical/>
        <horizontal/>
      </border>
    </dxf>
  </dxfs>
  <tableStyles count="1" defaultTableStyle="TableStyleMedium2" defaultPivotStyle="PivotStyleLight16">
    <tableStyle name="Contacts" pivot="0" count="3" xr9:uid="{F1FAE894-9CBC-457E-8932-E2AE4F78F0B1}">
      <tableStyleElement type="wholeTable" dxfId="202"/>
      <tableStyleElement type="headerRow" dxfId="201"/>
      <tableStyleElement type="secondRowStripe" dxfId="2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microsoft.com/office/2007/relationships/slicerCache" Target="slicerCaches/slicerCache5.xml"/><Relationship Id="rId26" Type="http://schemas.openxmlformats.org/officeDocument/2006/relationships/theme" Target="theme/theme1.xml"/><Relationship Id="rId3" Type="http://schemas.openxmlformats.org/officeDocument/2006/relationships/worksheet" Target="worksheets/sheet3.xml"/><Relationship Id="rId21" Type="http://schemas.microsoft.com/office/2007/relationships/slicerCache" Target="slicerCaches/slicerCache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microsoft.com/office/2007/relationships/slicerCache" Target="slicerCaches/slicerCache4.xml"/><Relationship Id="rId25" Type="http://schemas.microsoft.com/office/2007/relationships/slicerCache" Target="slicerCaches/slicerCache12.xml"/><Relationship Id="rId2" Type="http://schemas.openxmlformats.org/officeDocument/2006/relationships/worksheet" Target="worksheets/sheet2.xml"/><Relationship Id="rId16" Type="http://schemas.microsoft.com/office/2007/relationships/slicerCache" Target="slicerCaches/slicerCache3.xml"/><Relationship Id="rId20" Type="http://schemas.microsoft.com/office/2007/relationships/slicerCache" Target="slicerCaches/slicerCache7.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microsoft.com/office/2007/relationships/slicerCache" Target="slicerCaches/slicerCache11.xml"/><Relationship Id="rId5" Type="http://schemas.openxmlformats.org/officeDocument/2006/relationships/worksheet" Target="worksheets/sheet5.xml"/><Relationship Id="rId15" Type="http://schemas.microsoft.com/office/2007/relationships/slicerCache" Target="slicerCaches/slicerCache2.xml"/><Relationship Id="rId23" Type="http://schemas.microsoft.com/office/2007/relationships/slicerCache" Target="slicerCaches/slicerCache10.xml"/><Relationship Id="rId28" Type="http://schemas.openxmlformats.org/officeDocument/2006/relationships/sharedStrings" Target="sharedStrings.xml"/><Relationship Id="rId10" Type="http://schemas.openxmlformats.org/officeDocument/2006/relationships/externalLink" Target="externalLinks/externalLink4.xml"/><Relationship Id="rId19" Type="http://schemas.microsoft.com/office/2007/relationships/slicerCache" Target="slicerCaches/slicerCache6.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microsoft.com/office/2007/relationships/slicerCache" Target="slicerCaches/slicerCache1.xml"/><Relationship Id="rId22" Type="http://schemas.microsoft.com/office/2007/relationships/slicerCache" Target="slicerCaches/slicerCache9.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Seguridad de la Informaci&#243;n'!A1"/><Relationship Id="rId7" Type="http://schemas.openxmlformats.org/officeDocument/2006/relationships/hyperlink" Target="#'Riesgo Operacional y CN'!A1"/><Relationship Id="rId2" Type="http://schemas.openxmlformats.org/officeDocument/2006/relationships/hyperlink" Target="#Protecci&#243;n!A1"/><Relationship Id="rId1" Type="http://schemas.openxmlformats.org/officeDocument/2006/relationships/hyperlink" Target="#' Seguridad Financiera'!A1"/><Relationship Id="rId6" Type="http://schemas.openxmlformats.org/officeDocument/2006/relationships/hyperlink" Target="#'Informe de Resultado'!A1"/><Relationship Id="rId5" Type="http://schemas.openxmlformats.org/officeDocument/2006/relationships/hyperlink" Target="#'Formato 1- Gesti&#243;n Operativa'!A1"/><Relationship Id="rId4" Type="http://schemas.openxmlformats.org/officeDocument/2006/relationships/hyperlink" Target="#SARLAFT!A1"/></Relationships>
</file>

<file path=xl/drawings/_rels/drawing2.xml.rels><?xml version="1.0" encoding="UTF-8" standalone="yes"?>
<Relationships xmlns="http://schemas.openxmlformats.org/package/2006/relationships"><Relationship Id="rId3" Type="http://schemas.openxmlformats.org/officeDocument/2006/relationships/hyperlink" Target="#Infraestructura!A1"/><Relationship Id="rId7" Type="http://schemas.openxmlformats.org/officeDocument/2006/relationships/hyperlink" Target="#'Riesgo Operacional y CN'!A1"/><Relationship Id="rId2" Type="http://schemas.openxmlformats.org/officeDocument/2006/relationships/hyperlink" Target="#'Informe de Resultado'!A1"/><Relationship Id="rId1" Type="http://schemas.openxmlformats.org/officeDocument/2006/relationships/hyperlink" Target="#'Formato 1- Gesti&#243;n Operativa'!A1"/><Relationship Id="rId6" Type="http://schemas.openxmlformats.org/officeDocument/2006/relationships/hyperlink" Target="#SARLAFT!A1"/><Relationship Id="rId5" Type="http://schemas.openxmlformats.org/officeDocument/2006/relationships/hyperlink" Target="#Seguridad!A1"/><Relationship Id="rId4" Type="http://schemas.openxmlformats.org/officeDocument/2006/relationships/hyperlink" Target="#Protecci&#243;n!A1"/></Relationships>
</file>

<file path=xl/drawings/_rels/drawing3.xml.rels><?xml version="1.0" encoding="UTF-8" standalone="yes"?>
<Relationships xmlns="http://schemas.openxmlformats.org/package/2006/relationships"><Relationship Id="rId3" Type="http://schemas.openxmlformats.org/officeDocument/2006/relationships/hyperlink" Target="#Infraestructura!A1"/><Relationship Id="rId7" Type="http://schemas.openxmlformats.org/officeDocument/2006/relationships/hyperlink" Target="#'Riesgo Operacional y CN'!A1"/><Relationship Id="rId2" Type="http://schemas.openxmlformats.org/officeDocument/2006/relationships/hyperlink" Target="#'Informe de Resultado'!A1"/><Relationship Id="rId1" Type="http://schemas.openxmlformats.org/officeDocument/2006/relationships/hyperlink" Target="#'Formato 1- Gesti&#243;n Operativa'!A1"/><Relationship Id="rId6" Type="http://schemas.openxmlformats.org/officeDocument/2006/relationships/hyperlink" Target="#SARLAFT!A1"/><Relationship Id="rId5" Type="http://schemas.openxmlformats.org/officeDocument/2006/relationships/hyperlink" Target="#Seguridad!A1"/><Relationship Id="rId4" Type="http://schemas.openxmlformats.org/officeDocument/2006/relationships/hyperlink" Target="#Protecci&#243;n!A1"/></Relationships>
</file>

<file path=xl/drawings/_rels/drawing4.xml.rels><?xml version="1.0" encoding="UTF-8" standalone="yes"?>
<Relationships xmlns="http://schemas.openxmlformats.org/package/2006/relationships"><Relationship Id="rId8" Type="http://schemas.openxmlformats.org/officeDocument/2006/relationships/hyperlink" Target="#'Riesgo Operacional y CN'!A1"/><Relationship Id="rId3" Type="http://schemas.openxmlformats.org/officeDocument/2006/relationships/hyperlink" Target="#Infraestructura!A1"/><Relationship Id="rId7" Type="http://schemas.openxmlformats.org/officeDocument/2006/relationships/hyperlink" Target="#SARLAFT!A1"/><Relationship Id="rId2" Type="http://schemas.openxmlformats.org/officeDocument/2006/relationships/hyperlink" Target="#'Informe de Resultado'!A1"/><Relationship Id="rId1" Type="http://schemas.openxmlformats.org/officeDocument/2006/relationships/hyperlink" Target="#'Formato 1- Gesti&#243;n Operativa'!A1"/><Relationship Id="rId6" Type="http://schemas.openxmlformats.org/officeDocument/2006/relationships/hyperlink" Target="#Seguridad!A1"/><Relationship Id="rId5" Type="http://schemas.openxmlformats.org/officeDocument/2006/relationships/hyperlink" Target="#Protecci&#243;n!A1"/><Relationship Id="rId4" Type="http://schemas.openxmlformats.org/officeDocument/2006/relationships/hyperlink" Target="#'Riesgo Operativo'!A1"/></Relationships>
</file>

<file path=xl/drawings/_rels/drawing5.xml.rels><?xml version="1.0" encoding="UTF-8" standalone="yes"?>
<Relationships xmlns="http://schemas.openxmlformats.org/package/2006/relationships"><Relationship Id="rId3" Type="http://schemas.openxmlformats.org/officeDocument/2006/relationships/hyperlink" Target="#Infraestructura!A1"/><Relationship Id="rId7" Type="http://schemas.openxmlformats.org/officeDocument/2006/relationships/hyperlink" Target="#'Riesgo Operacional y CN'!A1"/><Relationship Id="rId2" Type="http://schemas.openxmlformats.org/officeDocument/2006/relationships/hyperlink" Target="#'Informe de Resultado'!A1"/><Relationship Id="rId1" Type="http://schemas.openxmlformats.org/officeDocument/2006/relationships/hyperlink" Target="#'Formato 1- Gesti&#243;n Operativa'!A1"/><Relationship Id="rId6" Type="http://schemas.openxmlformats.org/officeDocument/2006/relationships/hyperlink" Target="#SARLAFT!A1"/><Relationship Id="rId5" Type="http://schemas.openxmlformats.org/officeDocument/2006/relationships/hyperlink" Target="#Seguridad!A1"/><Relationship Id="rId4" Type="http://schemas.openxmlformats.org/officeDocument/2006/relationships/hyperlink" Target="#Protecci&#243;n!A1"/></Relationships>
</file>

<file path=xl/drawings/_rels/drawing6.xml.rels><?xml version="1.0" encoding="UTF-8" standalone="yes"?>
<Relationships xmlns="http://schemas.openxmlformats.org/package/2006/relationships"><Relationship Id="rId3" Type="http://schemas.openxmlformats.org/officeDocument/2006/relationships/hyperlink" Target="#Infraestructura!A1"/><Relationship Id="rId7" Type="http://schemas.openxmlformats.org/officeDocument/2006/relationships/hyperlink" Target="#'Riesgo Operacional y CN'!A1"/><Relationship Id="rId2" Type="http://schemas.openxmlformats.org/officeDocument/2006/relationships/hyperlink" Target="#'Informe de Resultado'!A1"/><Relationship Id="rId1" Type="http://schemas.openxmlformats.org/officeDocument/2006/relationships/hyperlink" Target="#'Formato 1- Gesti&#243;n Operativa'!A1"/><Relationship Id="rId6" Type="http://schemas.openxmlformats.org/officeDocument/2006/relationships/hyperlink" Target="#SARLAFT!A1"/><Relationship Id="rId5" Type="http://schemas.openxmlformats.org/officeDocument/2006/relationships/hyperlink" Target="#Seguridad!A1"/><Relationship Id="rId4" Type="http://schemas.openxmlformats.org/officeDocument/2006/relationships/hyperlink" Target="#Protecci&#243;n!A1"/></Relationships>
</file>

<file path=xl/drawings/drawing1.xml><?xml version="1.0" encoding="utf-8"?>
<xdr:wsDr xmlns:xdr="http://schemas.openxmlformats.org/drawingml/2006/spreadsheetDrawing" xmlns:a="http://schemas.openxmlformats.org/drawingml/2006/main">
  <xdr:twoCellAnchor editAs="absolute">
    <xdr:from>
      <xdr:col>11</xdr:col>
      <xdr:colOff>524902</xdr:colOff>
      <xdr:row>2</xdr:row>
      <xdr:rowOff>204037</xdr:rowOff>
    </xdr:from>
    <xdr:to>
      <xdr:col>13</xdr:col>
      <xdr:colOff>773917</xdr:colOff>
      <xdr:row>4</xdr:row>
      <xdr:rowOff>19649</xdr:rowOff>
    </xdr:to>
    <xdr:sp macro="" textlink="">
      <xdr:nvSpPr>
        <xdr:cNvPr id="2" name="Inventario">
          <a:hlinkClick xmlns:r="http://schemas.openxmlformats.org/officeDocument/2006/relationships" r:id="rId1" tooltip="Haga clic para ver el inventario"/>
          <a:extLst>
            <a:ext uri="{FF2B5EF4-FFF2-40B4-BE49-F238E27FC236}">
              <a16:creationId xmlns:a16="http://schemas.microsoft.com/office/drawing/2014/main" id="{0FD17730-1E4B-452B-8CCE-FE745829F80E}"/>
            </a:ext>
          </a:extLst>
        </xdr:cNvPr>
        <xdr:cNvSpPr/>
      </xdr:nvSpPr>
      <xdr:spPr>
        <a:xfrm>
          <a:off x="8230627" y="823162"/>
          <a:ext cx="1944465" cy="434737"/>
        </a:xfrm>
        <a:prstGeom prst="rect">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4. Seguridad</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Financiera</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xdr:col>
      <xdr:colOff>1756423</xdr:colOff>
      <xdr:row>2</xdr:row>
      <xdr:rowOff>195437</xdr:rowOff>
    </xdr:from>
    <xdr:to>
      <xdr:col>9</xdr:col>
      <xdr:colOff>938173</xdr:colOff>
      <xdr:row>4</xdr:row>
      <xdr:rowOff>12452</xdr:rowOff>
    </xdr:to>
    <xdr:sp macro="" textlink="">
      <xdr:nvSpPr>
        <xdr:cNvPr id="3" name="Rectángulo 2">
          <a:extLst>
            <a:ext uri="{FF2B5EF4-FFF2-40B4-BE49-F238E27FC236}">
              <a16:creationId xmlns:a16="http://schemas.microsoft.com/office/drawing/2014/main" id="{6F677EC2-9980-4795-BC41-3D12056C4B37}"/>
            </a:ext>
          </a:extLst>
        </xdr:cNvPr>
        <xdr:cNvSpPr/>
      </xdr:nvSpPr>
      <xdr:spPr>
        <a:xfrm>
          <a:off x="2270773" y="814562"/>
          <a:ext cx="1944000" cy="436140"/>
        </a:xfrm>
        <a:prstGeom prst="rect">
          <a:avLst/>
        </a:prstGeom>
        <a:solidFill>
          <a:schemeClr val="accent1">
            <a:lumMod val="75000"/>
          </a:schemeClr>
        </a:solidFill>
        <a:ln>
          <a:noFill/>
        </a:ln>
        <a:effectLst>
          <a:glow>
            <a:schemeClr val="accent1">
              <a:alpha val="40000"/>
            </a:schemeClr>
          </a:glow>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1. Riesgo</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Operativo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9</xdr:col>
      <xdr:colOff>2938086</xdr:colOff>
      <xdr:row>2</xdr:row>
      <xdr:rowOff>199158</xdr:rowOff>
    </xdr:from>
    <xdr:to>
      <xdr:col>11</xdr:col>
      <xdr:colOff>470084</xdr:colOff>
      <xdr:row>4</xdr:row>
      <xdr:rowOff>14770</xdr:rowOff>
    </xdr:to>
    <xdr:sp macro="" textlink="">
      <xdr:nvSpPr>
        <xdr:cNvPr id="4" name="Informe de ventas">
          <a:hlinkClick xmlns:r="http://schemas.openxmlformats.org/officeDocument/2006/relationships" r:id="rId2" tooltip="Haga clic para ver el Informe de ventas"/>
          <a:extLst>
            <a:ext uri="{FF2B5EF4-FFF2-40B4-BE49-F238E27FC236}">
              <a16:creationId xmlns:a16="http://schemas.microsoft.com/office/drawing/2014/main" id="{1EADC218-17A5-45D3-A689-4E256FB0393D}"/>
            </a:ext>
          </a:extLst>
        </xdr:cNvPr>
        <xdr:cNvSpPr/>
      </xdr:nvSpPr>
      <xdr:spPr>
        <a:xfrm>
          <a:off x="6214686" y="818283"/>
          <a:ext cx="196112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3. SAC</a:t>
          </a:r>
        </a:p>
      </xdr:txBody>
    </xdr:sp>
    <xdr:clientData fPrintsWithSheet="0"/>
  </xdr:twoCellAnchor>
  <xdr:twoCellAnchor editAs="absolute">
    <xdr:from>
      <xdr:col>9</xdr:col>
      <xdr:colOff>959268</xdr:colOff>
      <xdr:row>2</xdr:row>
      <xdr:rowOff>199158</xdr:rowOff>
    </xdr:from>
    <xdr:to>
      <xdr:col>9</xdr:col>
      <xdr:colOff>2903268</xdr:colOff>
      <xdr:row>4</xdr:row>
      <xdr:rowOff>14770</xdr:rowOff>
    </xdr:to>
    <xdr:sp macro="" textlink="">
      <xdr:nvSpPr>
        <xdr:cNvPr id="5" name="Inventario">
          <a:hlinkClick xmlns:r="http://schemas.openxmlformats.org/officeDocument/2006/relationships" r:id="rId3" tooltip="Haga clic para ver el inventario"/>
          <a:extLst>
            <a:ext uri="{FF2B5EF4-FFF2-40B4-BE49-F238E27FC236}">
              <a16:creationId xmlns:a16="http://schemas.microsoft.com/office/drawing/2014/main" id="{91B38F4F-2EFB-4349-8390-E306CF755481}"/>
            </a:ext>
          </a:extLst>
        </xdr:cNvPr>
        <xdr:cNvSpPr/>
      </xdr:nvSpPr>
      <xdr:spPr>
        <a:xfrm>
          <a:off x="4235868" y="818283"/>
          <a:ext cx="1944000" cy="434737"/>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2. Seguridad de</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la Información</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13</xdr:col>
      <xdr:colOff>826615</xdr:colOff>
      <xdr:row>2</xdr:row>
      <xdr:rowOff>199158</xdr:rowOff>
    </xdr:from>
    <xdr:to>
      <xdr:col>16</xdr:col>
      <xdr:colOff>231523</xdr:colOff>
      <xdr:row>4</xdr:row>
      <xdr:rowOff>14770</xdr:rowOff>
    </xdr:to>
    <xdr:sp macro="" textlink="">
      <xdr:nvSpPr>
        <xdr:cNvPr id="6" name="Inventario">
          <a:hlinkClick xmlns:r="http://schemas.openxmlformats.org/officeDocument/2006/relationships" r:id="rId4" tooltip="Haga clic para ver el inventario"/>
          <a:extLst>
            <a:ext uri="{FF2B5EF4-FFF2-40B4-BE49-F238E27FC236}">
              <a16:creationId xmlns:a16="http://schemas.microsoft.com/office/drawing/2014/main" id="{E2EE95AF-72A6-48E5-B524-2C35101FA172}"/>
            </a:ext>
          </a:extLst>
        </xdr:cNvPr>
        <xdr:cNvSpPr/>
      </xdr:nvSpPr>
      <xdr:spPr>
        <a:xfrm>
          <a:off x="10227790" y="818283"/>
          <a:ext cx="194808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5. SARLAFT</a:t>
          </a:r>
        </a:p>
      </xdr:txBody>
    </xdr:sp>
    <xdr:clientData fPrintsWithSheet="0"/>
  </xdr:twoCellAnchor>
  <xdr:twoCellAnchor editAs="absolute">
    <xdr:from>
      <xdr:col>0</xdr:col>
      <xdr:colOff>47624</xdr:colOff>
      <xdr:row>7</xdr:row>
      <xdr:rowOff>9525</xdr:rowOff>
    </xdr:from>
    <xdr:to>
      <xdr:col>1</xdr:col>
      <xdr:colOff>2066925</xdr:colOff>
      <xdr:row>13</xdr:row>
      <xdr:rowOff>28575</xdr:rowOff>
    </xdr:to>
    <mc:AlternateContent xmlns:mc="http://schemas.openxmlformats.org/markup-compatibility/2006" xmlns:sle15="http://schemas.microsoft.com/office/drawing/2012/slicer">
      <mc:Choice Requires="sle15">
        <xdr:graphicFrame macro="">
          <xdr:nvGraphicFramePr>
            <xdr:cNvPr id="7" name="Sub Componente">
              <a:extLst>
                <a:ext uri="{FF2B5EF4-FFF2-40B4-BE49-F238E27FC236}">
                  <a16:creationId xmlns:a16="http://schemas.microsoft.com/office/drawing/2014/main" id="{8E7E6873-19B8-4060-9A0D-4EC33BC4582C}"/>
                </a:ext>
              </a:extLst>
            </xdr:cNvPr>
            <xdr:cNvGraphicFramePr/>
          </xdr:nvGraphicFramePr>
          <xdr:xfrm>
            <a:off x="0" y="0"/>
            <a:ext cx="0" cy="0"/>
          </xdr:xfrm>
          <a:graphic>
            <a:graphicData uri="http://schemas.microsoft.com/office/drawing/2010/slicer">
              <sle:slicer xmlns:sle="http://schemas.microsoft.com/office/drawing/2010/slicer" name="Sub Componente"/>
            </a:graphicData>
          </a:graphic>
        </xdr:graphicFrame>
      </mc:Choice>
      <mc:Fallback xmlns="">
        <xdr:sp macro="" textlink="">
          <xdr:nvSpPr>
            <xdr:cNvPr id="0" name=""/>
            <xdr:cNvSpPr>
              <a:spLocks noTextEdit="1"/>
            </xdr:cNvSpPr>
          </xdr:nvSpPr>
          <xdr:spPr>
            <a:xfrm>
              <a:off x="47624" y="1809750"/>
              <a:ext cx="2533651" cy="252412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0</xdr:col>
      <xdr:colOff>38100</xdr:colOff>
      <xdr:row>9</xdr:row>
      <xdr:rowOff>371475</xdr:rowOff>
    </xdr:from>
    <xdr:to>
      <xdr:col>1</xdr:col>
      <xdr:colOff>2066925</xdr:colOff>
      <xdr:row>16</xdr:row>
      <xdr:rowOff>359352</xdr:rowOff>
    </xdr:to>
    <mc:AlternateContent xmlns:mc="http://schemas.openxmlformats.org/markup-compatibility/2006" xmlns:sle15="http://schemas.microsoft.com/office/drawing/2012/slicer">
      <mc:Choice Requires="sle15">
        <xdr:graphicFrame macro="">
          <xdr:nvGraphicFramePr>
            <xdr:cNvPr id="8" name="Actividad 1">
              <a:extLst>
                <a:ext uri="{FF2B5EF4-FFF2-40B4-BE49-F238E27FC236}">
                  <a16:creationId xmlns:a16="http://schemas.microsoft.com/office/drawing/2014/main" id="{FE54D89B-22A0-4F00-B4A1-497093D54033}"/>
                </a:ext>
              </a:extLst>
            </xdr:cNvPr>
            <xdr:cNvGraphicFramePr/>
          </xdr:nvGraphicFramePr>
          <xdr:xfrm>
            <a:off x="0" y="0"/>
            <a:ext cx="0" cy="0"/>
          </xdr:xfrm>
          <a:graphic>
            <a:graphicData uri="http://schemas.microsoft.com/office/drawing/2010/slicer">
              <sle:slicer xmlns:sle="http://schemas.microsoft.com/office/drawing/2010/slicer" name="Actividad 1"/>
            </a:graphicData>
          </a:graphic>
        </xdr:graphicFrame>
      </mc:Choice>
      <mc:Fallback xmlns="">
        <xdr:sp macro="" textlink="">
          <xdr:nvSpPr>
            <xdr:cNvPr id="0" name=""/>
            <xdr:cNvSpPr>
              <a:spLocks noTextEdit="1"/>
            </xdr:cNvSpPr>
          </xdr:nvSpPr>
          <xdr:spPr>
            <a:xfrm>
              <a:off x="38100" y="3152775"/>
              <a:ext cx="2543175" cy="3035877"/>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xdr:from>
      <xdr:col>16</xdr:col>
      <xdr:colOff>400050</xdr:colOff>
      <xdr:row>0</xdr:row>
      <xdr:rowOff>142875</xdr:rowOff>
    </xdr:from>
    <xdr:to>
      <xdr:col>16</xdr:col>
      <xdr:colOff>552450</xdr:colOff>
      <xdr:row>1</xdr:row>
      <xdr:rowOff>285751</xdr:rowOff>
    </xdr:to>
    <xdr:sp macro="" textlink="">
      <xdr:nvSpPr>
        <xdr:cNvPr id="9" name="Cheurón 13">
          <a:hlinkClick xmlns:r="http://schemas.openxmlformats.org/officeDocument/2006/relationships" r:id="rId5"/>
          <a:extLst>
            <a:ext uri="{FF2B5EF4-FFF2-40B4-BE49-F238E27FC236}">
              <a16:creationId xmlns:a16="http://schemas.microsoft.com/office/drawing/2014/main" id="{2A1D2472-CF77-46EE-A86E-824AA2E9EA3A}"/>
            </a:ext>
          </a:extLst>
        </xdr:cNvPr>
        <xdr:cNvSpPr/>
      </xdr:nvSpPr>
      <xdr:spPr>
        <a:xfrm>
          <a:off x="12344400" y="142875"/>
          <a:ext cx="152400" cy="30480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16</xdr:col>
      <xdr:colOff>95249</xdr:colOff>
      <xdr:row>0</xdr:row>
      <xdr:rowOff>142874</xdr:rowOff>
    </xdr:from>
    <xdr:to>
      <xdr:col>16</xdr:col>
      <xdr:colOff>247648</xdr:colOff>
      <xdr:row>1</xdr:row>
      <xdr:rowOff>276220</xdr:rowOff>
    </xdr:to>
    <xdr:sp macro="" textlink="">
      <xdr:nvSpPr>
        <xdr:cNvPr id="10" name="Cheurón 14">
          <a:hlinkClick xmlns:r="http://schemas.openxmlformats.org/officeDocument/2006/relationships" r:id="rId6"/>
          <a:extLst>
            <a:ext uri="{FF2B5EF4-FFF2-40B4-BE49-F238E27FC236}">
              <a16:creationId xmlns:a16="http://schemas.microsoft.com/office/drawing/2014/main" id="{57DCEC4A-9828-43D5-B455-2090258A9D58}"/>
            </a:ext>
          </a:extLst>
        </xdr:cNvPr>
        <xdr:cNvSpPr/>
      </xdr:nvSpPr>
      <xdr:spPr>
        <a:xfrm rot="10800000">
          <a:off x="12039599" y="142874"/>
          <a:ext cx="152399" cy="29527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editAs="absolute">
    <xdr:from>
      <xdr:col>16</xdr:col>
      <xdr:colOff>258536</xdr:colOff>
      <xdr:row>2</xdr:row>
      <xdr:rowOff>204107</xdr:rowOff>
    </xdr:from>
    <xdr:to>
      <xdr:col>16</xdr:col>
      <xdr:colOff>2194372</xdr:colOff>
      <xdr:row>4</xdr:row>
      <xdr:rowOff>19719</xdr:rowOff>
    </xdr:to>
    <xdr:sp macro="" textlink="">
      <xdr:nvSpPr>
        <xdr:cNvPr id="11" name="Inventario">
          <a:hlinkClick xmlns:r="http://schemas.openxmlformats.org/officeDocument/2006/relationships" r:id="rId7" tooltip="Haga clic para ver el inventario"/>
          <a:extLst>
            <a:ext uri="{FF2B5EF4-FFF2-40B4-BE49-F238E27FC236}">
              <a16:creationId xmlns:a16="http://schemas.microsoft.com/office/drawing/2014/main" id="{47B1D00D-AD3B-4D7E-B96C-B2AAFB798025}"/>
            </a:ext>
          </a:extLst>
        </xdr:cNvPr>
        <xdr:cNvSpPr/>
      </xdr:nvSpPr>
      <xdr:spPr>
        <a:xfrm>
          <a:off x="12202886" y="823232"/>
          <a:ext cx="1935836" cy="434737"/>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6.</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Continuidad de Negocio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38098</xdr:colOff>
      <xdr:row>7</xdr:row>
      <xdr:rowOff>295275</xdr:rowOff>
    </xdr:from>
    <xdr:to>
      <xdr:col>1</xdr:col>
      <xdr:colOff>2076450</xdr:colOff>
      <xdr:row>13</xdr:row>
      <xdr:rowOff>304800</xdr:rowOff>
    </xdr:to>
    <mc:AlternateContent xmlns:mc="http://schemas.openxmlformats.org/markup-compatibility/2006" xmlns:sle15="http://schemas.microsoft.com/office/drawing/2012/slicer">
      <mc:Choice Requires="sle15">
        <xdr:graphicFrame macro="">
          <xdr:nvGraphicFramePr>
            <xdr:cNvPr id="2" name="Sub Componente 2">
              <a:extLst>
                <a:ext uri="{FF2B5EF4-FFF2-40B4-BE49-F238E27FC236}">
                  <a16:creationId xmlns:a16="http://schemas.microsoft.com/office/drawing/2014/main" id="{E33F3AAA-C65F-42D9-846E-586C3EB8B1AA}"/>
                </a:ext>
              </a:extLst>
            </xdr:cNvPr>
            <xdr:cNvGraphicFramePr/>
          </xdr:nvGraphicFramePr>
          <xdr:xfrm>
            <a:off x="0" y="0"/>
            <a:ext cx="0" cy="0"/>
          </xdr:xfrm>
          <a:graphic>
            <a:graphicData uri="http://schemas.microsoft.com/office/drawing/2010/slicer">
              <sle:slicer xmlns:sle="http://schemas.microsoft.com/office/drawing/2010/slicer" name="Sub Componente 2"/>
            </a:graphicData>
          </a:graphic>
        </xdr:graphicFrame>
      </mc:Choice>
      <mc:Fallback xmlns="">
        <xdr:sp macro="" textlink="">
          <xdr:nvSpPr>
            <xdr:cNvPr id="0" name=""/>
            <xdr:cNvSpPr>
              <a:spLocks noTextEdit="1"/>
            </xdr:cNvSpPr>
          </xdr:nvSpPr>
          <xdr:spPr>
            <a:xfrm>
              <a:off x="38098" y="1800225"/>
              <a:ext cx="2552702" cy="251460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0</xdr:col>
      <xdr:colOff>28574</xdr:colOff>
      <xdr:row>10</xdr:row>
      <xdr:rowOff>266700</xdr:rowOff>
    </xdr:from>
    <xdr:to>
      <xdr:col>1</xdr:col>
      <xdr:colOff>2066925</xdr:colOff>
      <xdr:row>18</xdr:row>
      <xdr:rowOff>247650</xdr:rowOff>
    </xdr:to>
    <mc:AlternateContent xmlns:mc="http://schemas.openxmlformats.org/markup-compatibility/2006" xmlns:sle15="http://schemas.microsoft.com/office/drawing/2012/slicer">
      <mc:Choice Requires="sle15">
        <xdr:graphicFrame macro="">
          <xdr:nvGraphicFramePr>
            <xdr:cNvPr id="3" name="Actividad 2">
              <a:extLst>
                <a:ext uri="{FF2B5EF4-FFF2-40B4-BE49-F238E27FC236}">
                  <a16:creationId xmlns:a16="http://schemas.microsoft.com/office/drawing/2014/main" id="{EBE301C7-9332-449B-8AF5-607797D82F3E}"/>
                </a:ext>
              </a:extLst>
            </xdr:cNvPr>
            <xdr:cNvGraphicFramePr/>
          </xdr:nvGraphicFramePr>
          <xdr:xfrm>
            <a:off x="0" y="0"/>
            <a:ext cx="0" cy="0"/>
          </xdr:xfrm>
          <a:graphic>
            <a:graphicData uri="http://schemas.microsoft.com/office/drawing/2010/slicer">
              <sle:slicer xmlns:sle="http://schemas.microsoft.com/office/drawing/2010/slicer" name="Actividad 2"/>
            </a:graphicData>
          </a:graphic>
        </xdr:graphicFrame>
      </mc:Choice>
      <mc:Fallback xmlns="">
        <xdr:sp macro="" textlink="">
          <xdr:nvSpPr>
            <xdr:cNvPr id="0" name=""/>
            <xdr:cNvSpPr>
              <a:spLocks noTextEdit="1"/>
            </xdr:cNvSpPr>
          </xdr:nvSpPr>
          <xdr:spPr>
            <a:xfrm>
              <a:off x="28574" y="3133725"/>
              <a:ext cx="2552701" cy="302895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xdr:from>
      <xdr:col>16</xdr:col>
      <xdr:colOff>400050</xdr:colOff>
      <xdr:row>0</xdr:row>
      <xdr:rowOff>142875</xdr:rowOff>
    </xdr:from>
    <xdr:to>
      <xdr:col>16</xdr:col>
      <xdr:colOff>552450</xdr:colOff>
      <xdr:row>1</xdr:row>
      <xdr:rowOff>285751</xdr:rowOff>
    </xdr:to>
    <xdr:sp macro="" textlink="">
      <xdr:nvSpPr>
        <xdr:cNvPr id="4" name="Cheurón 11">
          <a:hlinkClick xmlns:r="http://schemas.openxmlformats.org/officeDocument/2006/relationships" r:id="rId1"/>
          <a:extLst>
            <a:ext uri="{FF2B5EF4-FFF2-40B4-BE49-F238E27FC236}">
              <a16:creationId xmlns:a16="http://schemas.microsoft.com/office/drawing/2014/main" id="{5171702B-F6D1-4819-B43B-36D22A32FCB1}"/>
            </a:ext>
          </a:extLst>
        </xdr:cNvPr>
        <xdr:cNvSpPr/>
      </xdr:nvSpPr>
      <xdr:spPr>
        <a:xfrm>
          <a:off x="12134850" y="142875"/>
          <a:ext cx="152400" cy="30480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16</xdr:col>
      <xdr:colOff>95249</xdr:colOff>
      <xdr:row>0</xdr:row>
      <xdr:rowOff>142874</xdr:rowOff>
    </xdr:from>
    <xdr:to>
      <xdr:col>16</xdr:col>
      <xdr:colOff>247648</xdr:colOff>
      <xdr:row>1</xdr:row>
      <xdr:rowOff>276220</xdr:rowOff>
    </xdr:to>
    <xdr:sp macro="" textlink="">
      <xdr:nvSpPr>
        <xdr:cNvPr id="5" name="Cheurón 12">
          <a:hlinkClick xmlns:r="http://schemas.openxmlformats.org/officeDocument/2006/relationships" r:id="rId2"/>
          <a:extLst>
            <a:ext uri="{FF2B5EF4-FFF2-40B4-BE49-F238E27FC236}">
              <a16:creationId xmlns:a16="http://schemas.microsoft.com/office/drawing/2014/main" id="{5D33C870-1FEC-497A-B224-4FBBC08E58C6}"/>
            </a:ext>
          </a:extLst>
        </xdr:cNvPr>
        <xdr:cNvSpPr/>
      </xdr:nvSpPr>
      <xdr:spPr>
        <a:xfrm rot="10800000">
          <a:off x="11830049" y="142874"/>
          <a:ext cx="152399" cy="29527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editAs="absolute">
    <xdr:from>
      <xdr:col>1</xdr:col>
      <xdr:colOff>1978404</xdr:colOff>
      <xdr:row>2</xdr:row>
      <xdr:rowOff>94325</xdr:rowOff>
    </xdr:from>
    <xdr:to>
      <xdr:col>9</xdr:col>
      <xdr:colOff>1160619</xdr:colOff>
      <xdr:row>5</xdr:row>
      <xdr:rowOff>43287</xdr:rowOff>
    </xdr:to>
    <xdr:sp macro="" textlink="">
      <xdr:nvSpPr>
        <xdr:cNvPr id="6" name="Inventario">
          <a:hlinkClick xmlns:r="http://schemas.openxmlformats.org/officeDocument/2006/relationships" r:id="rId3" tooltip="Haga clic para ver el inventario"/>
          <a:extLst>
            <a:ext uri="{FF2B5EF4-FFF2-40B4-BE49-F238E27FC236}">
              <a16:creationId xmlns:a16="http://schemas.microsoft.com/office/drawing/2014/main" id="{19364D24-379A-4258-BE5A-E23DE0DEF742}"/>
            </a:ext>
          </a:extLst>
        </xdr:cNvPr>
        <xdr:cNvSpPr/>
      </xdr:nvSpPr>
      <xdr:spPr>
        <a:xfrm>
          <a:off x="2492754" y="713450"/>
          <a:ext cx="1944465" cy="434737"/>
        </a:xfrm>
        <a:prstGeom prst="rect">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2. Seguridad</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Financiera</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xdr:col>
      <xdr:colOff>0</xdr:colOff>
      <xdr:row>2</xdr:row>
      <xdr:rowOff>85725</xdr:rowOff>
    </xdr:from>
    <xdr:to>
      <xdr:col>1</xdr:col>
      <xdr:colOff>1944000</xdr:colOff>
      <xdr:row>5</xdr:row>
      <xdr:rowOff>36090</xdr:rowOff>
    </xdr:to>
    <xdr:sp macro="" textlink="">
      <xdr:nvSpPr>
        <xdr:cNvPr id="7" name="Rectángulo 6">
          <a:extLst>
            <a:ext uri="{FF2B5EF4-FFF2-40B4-BE49-F238E27FC236}">
              <a16:creationId xmlns:a16="http://schemas.microsoft.com/office/drawing/2014/main" id="{85061279-DD86-42F9-9585-2C5628F1A795}"/>
            </a:ext>
          </a:extLst>
        </xdr:cNvPr>
        <xdr:cNvSpPr/>
      </xdr:nvSpPr>
      <xdr:spPr>
        <a:xfrm>
          <a:off x="514350" y="704850"/>
          <a:ext cx="1944000" cy="436140"/>
        </a:xfrm>
        <a:prstGeom prst="rect">
          <a:avLst/>
        </a:prstGeom>
        <a:solidFill>
          <a:schemeClr val="accent1">
            <a:lumMod val="75000"/>
          </a:schemeClr>
        </a:solidFill>
        <a:ln>
          <a:noFill/>
        </a:ln>
        <a:effectLst>
          <a:glow>
            <a:schemeClr val="accent1">
              <a:alpha val="40000"/>
            </a:schemeClr>
          </a:glow>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1. Riesgo</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Operativo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9</xdr:col>
      <xdr:colOff>1181663</xdr:colOff>
      <xdr:row>2</xdr:row>
      <xdr:rowOff>89446</xdr:rowOff>
    </xdr:from>
    <xdr:to>
      <xdr:col>10</xdr:col>
      <xdr:colOff>37636</xdr:colOff>
      <xdr:row>5</xdr:row>
      <xdr:rowOff>38408</xdr:rowOff>
    </xdr:to>
    <xdr:sp macro="" textlink="">
      <xdr:nvSpPr>
        <xdr:cNvPr id="8" name="Informe de ventas">
          <a:hlinkClick xmlns:r="http://schemas.openxmlformats.org/officeDocument/2006/relationships" r:id="rId4" tooltip="Haga clic para ver el Informe de ventas"/>
          <a:extLst>
            <a:ext uri="{FF2B5EF4-FFF2-40B4-BE49-F238E27FC236}">
              <a16:creationId xmlns:a16="http://schemas.microsoft.com/office/drawing/2014/main" id="{4F315796-D312-418E-A87B-8C47ED0BB510}"/>
            </a:ext>
          </a:extLst>
        </xdr:cNvPr>
        <xdr:cNvSpPr/>
      </xdr:nvSpPr>
      <xdr:spPr>
        <a:xfrm>
          <a:off x="4458263" y="708571"/>
          <a:ext cx="196112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3. SAC</a:t>
          </a:r>
        </a:p>
      </xdr:txBody>
    </xdr:sp>
    <xdr:clientData fPrintsWithSheet="0"/>
  </xdr:twoCellAnchor>
  <xdr:twoCellAnchor editAs="absolute">
    <xdr:from>
      <xdr:col>10</xdr:col>
      <xdr:colOff>88670</xdr:colOff>
      <xdr:row>2</xdr:row>
      <xdr:rowOff>89446</xdr:rowOff>
    </xdr:from>
    <xdr:to>
      <xdr:col>12</xdr:col>
      <xdr:colOff>70520</xdr:colOff>
      <xdr:row>5</xdr:row>
      <xdr:rowOff>38408</xdr:rowOff>
    </xdr:to>
    <xdr:sp macro="" textlink="">
      <xdr:nvSpPr>
        <xdr:cNvPr id="9" name="Inventario">
          <a:hlinkClick xmlns:r="http://schemas.openxmlformats.org/officeDocument/2006/relationships" r:id="rId5" tooltip="Haga clic para ver el inventario"/>
          <a:extLst>
            <a:ext uri="{FF2B5EF4-FFF2-40B4-BE49-F238E27FC236}">
              <a16:creationId xmlns:a16="http://schemas.microsoft.com/office/drawing/2014/main" id="{13066143-16DD-43D7-82EA-E02EDE56AF64}"/>
            </a:ext>
          </a:extLst>
        </xdr:cNvPr>
        <xdr:cNvSpPr/>
      </xdr:nvSpPr>
      <xdr:spPr>
        <a:xfrm>
          <a:off x="6470420" y="708571"/>
          <a:ext cx="1944000" cy="434737"/>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4. Seguridad de</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la Información</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12</xdr:col>
      <xdr:colOff>127467</xdr:colOff>
      <xdr:row>2</xdr:row>
      <xdr:rowOff>89446</xdr:rowOff>
    </xdr:from>
    <xdr:to>
      <xdr:col>14</xdr:col>
      <xdr:colOff>380100</xdr:colOff>
      <xdr:row>5</xdr:row>
      <xdr:rowOff>38408</xdr:rowOff>
    </xdr:to>
    <xdr:sp macro="" textlink="">
      <xdr:nvSpPr>
        <xdr:cNvPr id="10" name="Inventario">
          <a:hlinkClick xmlns:r="http://schemas.openxmlformats.org/officeDocument/2006/relationships" r:id="rId6" tooltip="Haga clic para ver el inventario"/>
          <a:extLst>
            <a:ext uri="{FF2B5EF4-FFF2-40B4-BE49-F238E27FC236}">
              <a16:creationId xmlns:a16="http://schemas.microsoft.com/office/drawing/2014/main" id="{3F62D519-FD43-4353-8B62-A6539F5EDDFA}"/>
            </a:ext>
          </a:extLst>
        </xdr:cNvPr>
        <xdr:cNvSpPr/>
      </xdr:nvSpPr>
      <xdr:spPr>
        <a:xfrm>
          <a:off x="8471367" y="708571"/>
          <a:ext cx="194808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5. SARLAFT</a:t>
          </a:r>
        </a:p>
      </xdr:txBody>
    </xdr:sp>
    <xdr:clientData fPrintsWithSheet="0"/>
  </xdr:twoCellAnchor>
  <xdr:twoCellAnchor editAs="absolute">
    <xdr:from>
      <xdr:col>14</xdr:col>
      <xdr:colOff>407113</xdr:colOff>
      <xdr:row>2</xdr:row>
      <xdr:rowOff>94395</xdr:rowOff>
    </xdr:from>
    <xdr:to>
      <xdr:col>16</xdr:col>
      <xdr:colOff>647499</xdr:colOff>
      <xdr:row>5</xdr:row>
      <xdr:rowOff>43357</xdr:rowOff>
    </xdr:to>
    <xdr:sp macro="" textlink="">
      <xdr:nvSpPr>
        <xdr:cNvPr id="11" name="Inventario">
          <a:hlinkClick xmlns:r="http://schemas.openxmlformats.org/officeDocument/2006/relationships" r:id="rId7" tooltip="Haga clic para ver el inventario"/>
          <a:extLst>
            <a:ext uri="{FF2B5EF4-FFF2-40B4-BE49-F238E27FC236}">
              <a16:creationId xmlns:a16="http://schemas.microsoft.com/office/drawing/2014/main" id="{550F25DE-DE03-4E6A-9D97-E3C65DA6ACD0}"/>
            </a:ext>
          </a:extLst>
        </xdr:cNvPr>
        <xdr:cNvSpPr/>
      </xdr:nvSpPr>
      <xdr:spPr>
        <a:xfrm>
          <a:off x="10446463" y="713520"/>
          <a:ext cx="1935836" cy="434737"/>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6.</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Continuidad de Negocio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38099</xdr:colOff>
      <xdr:row>7</xdr:row>
      <xdr:rowOff>336096</xdr:rowOff>
    </xdr:from>
    <xdr:to>
      <xdr:col>1</xdr:col>
      <xdr:colOff>2076450</xdr:colOff>
      <xdr:row>14</xdr:row>
      <xdr:rowOff>1360</xdr:rowOff>
    </xdr:to>
    <mc:AlternateContent xmlns:mc="http://schemas.openxmlformats.org/markup-compatibility/2006" xmlns:sle15="http://schemas.microsoft.com/office/drawing/2012/slicer">
      <mc:Choice Requires="sle15">
        <xdr:graphicFrame macro="">
          <xdr:nvGraphicFramePr>
            <xdr:cNvPr id="2" name="Actividad 3">
              <a:extLst>
                <a:ext uri="{FF2B5EF4-FFF2-40B4-BE49-F238E27FC236}">
                  <a16:creationId xmlns:a16="http://schemas.microsoft.com/office/drawing/2014/main" id="{B3A55DBE-2120-4E25-B5C2-0CE837F06866}"/>
                </a:ext>
              </a:extLst>
            </xdr:cNvPr>
            <xdr:cNvGraphicFramePr/>
          </xdr:nvGraphicFramePr>
          <xdr:xfrm>
            <a:off x="0" y="0"/>
            <a:ext cx="0" cy="0"/>
          </xdr:xfrm>
          <a:graphic>
            <a:graphicData uri="http://schemas.microsoft.com/office/drawing/2010/slicer">
              <sle:slicer xmlns:sle="http://schemas.microsoft.com/office/drawing/2010/slicer" name="Actividad 3"/>
            </a:graphicData>
          </a:graphic>
        </xdr:graphicFrame>
      </mc:Choice>
      <mc:Fallback xmlns="">
        <xdr:sp macro="" textlink="">
          <xdr:nvSpPr>
            <xdr:cNvPr id="0" name=""/>
            <xdr:cNvSpPr>
              <a:spLocks noTextEdit="1"/>
            </xdr:cNvSpPr>
          </xdr:nvSpPr>
          <xdr:spPr>
            <a:xfrm>
              <a:off x="38099" y="1802946"/>
              <a:ext cx="2552701" cy="3008539"/>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0</xdr:col>
      <xdr:colOff>0</xdr:colOff>
      <xdr:row>10</xdr:row>
      <xdr:rowOff>216353</xdr:rowOff>
    </xdr:from>
    <xdr:to>
      <xdr:col>1</xdr:col>
      <xdr:colOff>2076450</xdr:colOff>
      <xdr:row>15</xdr:row>
      <xdr:rowOff>151039</xdr:rowOff>
    </xdr:to>
    <mc:AlternateContent xmlns:mc="http://schemas.openxmlformats.org/markup-compatibility/2006" xmlns:sle15="http://schemas.microsoft.com/office/drawing/2012/slicer">
      <mc:Choice Requires="sle15">
        <xdr:graphicFrame macro="">
          <xdr:nvGraphicFramePr>
            <xdr:cNvPr id="3" name="Actividad 6">
              <a:extLst>
                <a:ext uri="{FF2B5EF4-FFF2-40B4-BE49-F238E27FC236}">
                  <a16:creationId xmlns:a16="http://schemas.microsoft.com/office/drawing/2014/main" id="{C2EBB2BB-DE8B-40DB-9E5D-E6786129EBF6}"/>
                </a:ext>
              </a:extLst>
            </xdr:cNvPr>
            <xdr:cNvGraphicFramePr/>
          </xdr:nvGraphicFramePr>
          <xdr:xfrm>
            <a:off x="0" y="0"/>
            <a:ext cx="0" cy="0"/>
          </xdr:xfrm>
          <a:graphic>
            <a:graphicData uri="http://schemas.microsoft.com/office/drawing/2010/slicer">
              <sle:slicer xmlns:sle="http://schemas.microsoft.com/office/drawing/2010/slicer" name="Actividad 6"/>
            </a:graphicData>
          </a:graphic>
        </xdr:graphicFrame>
      </mc:Choice>
      <mc:Fallback xmlns="">
        <xdr:sp macro="" textlink="">
          <xdr:nvSpPr>
            <xdr:cNvPr id="0" name=""/>
            <xdr:cNvSpPr>
              <a:spLocks noTextEdit="1"/>
            </xdr:cNvSpPr>
          </xdr:nvSpPr>
          <xdr:spPr>
            <a:xfrm>
              <a:off x="0" y="3035753"/>
              <a:ext cx="2590800" cy="2535011"/>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xdr:from>
      <xdr:col>16</xdr:col>
      <xdr:colOff>400050</xdr:colOff>
      <xdr:row>0</xdr:row>
      <xdr:rowOff>142875</xdr:rowOff>
    </xdr:from>
    <xdr:to>
      <xdr:col>16</xdr:col>
      <xdr:colOff>552450</xdr:colOff>
      <xdr:row>1</xdr:row>
      <xdr:rowOff>285751</xdr:rowOff>
    </xdr:to>
    <xdr:sp macro="" textlink="">
      <xdr:nvSpPr>
        <xdr:cNvPr id="4" name="Cheurón 12">
          <a:hlinkClick xmlns:r="http://schemas.openxmlformats.org/officeDocument/2006/relationships" r:id="rId1"/>
          <a:extLst>
            <a:ext uri="{FF2B5EF4-FFF2-40B4-BE49-F238E27FC236}">
              <a16:creationId xmlns:a16="http://schemas.microsoft.com/office/drawing/2014/main" id="{385420E9-820F-48AC-A0CD-C7E6B4B3DB11}"/>
            </a:ext>
          </a:extLst>
        </xdr:cNvPr>
        <xdr:cNvSpPr/>
      </xdr:nvSpPr>
      <xdr:spPr>
        <a:xfrm>
          <a:off x="12830175" y="142875"/>
          <a:ext cx="152400" cy="30480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16</xdr:col>
      <xdr:colOff>95249</xdr:colOff>
      <xdr:row>0</xdr:row>
      <xdr:rowOff>142874</xdr:rowOff>
    </xdr:from>
    <xdr:to>
      <xdr:col>16</xdr:col>
      <xdr:colOff>247648</xdr:colOff>
      <xdr:row>1</xdr:row>
      <xdr:rowOff>276220</xdr:rowOff>
    </xdr:to>
    <xdr:sp macro="" textlink="">
      <xdr:nvSpPr>
        <xdr:cNvPr id="5" name="Cheurón 13">
          <a:hlinkClick xmlns:r="http://schemas.openxmlformats.org/officeDocument/2006/relationships" r:id="rId2"/>
          <a:extLst>
            <a:ext uri="{FF2B5EF4-FFF2-40B4-BE49-F238E27FC236}">
              <a16:creationId xmlns:a16="http://schemas.microsoft.com/office/drawing/2014/main" id="{3CA33BF4-9A56-42AA-B221-6264CDD81487}"/>
            </a:ext>
          </a:extLst>
        </xdr:cNvPr>
        <xdr:cNvSpPr/>
      </xdr:nvSpPr>
      <xdr:spPr>
        <a:xfrm rot="10800000">
          <a:off x="12525374" y="142874"/>
          <a:ext cx="152399" cy="29527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editAs="absolute">
    <xdr:from>
      <xdr:col>1</xdr:col>
      <xdr:colOff>1978404</xdr:colOff>
      <xdr:row>2</xdr:row>
      <xdr:rowOff>8600</xdr:rowOff>
    </xdr:from>
    <xdr:to>
      <xdr:col>9</xdr:col>
      <xdr:colOff>798669</xdr:colOff>
      <xdr:row>4</xdr:row>
      <xdr:rowOff>119487</xdr:rowOff>
    </xdr:to>
    <xdr:sp macro="" textlink="">
      <xdr:nvSpPr>
        <xdr:cNvPr id="6" name="Inventario">
          <a:hlinkClick xmlns:r="http://schemas.openxmlformats.org/officeDocument/2006/relationships" r:id="rId3" tooltip="Haga clic para ver el inventario"/>
          <a:extLst>
            <a:ext uri="{FF2B5EF4-FFF2-40B4-BE49-F238E27FC236}">
              <a16:creationId xmlns:a16="http://schemas.microsoft.com/office/drawing/2014/main" id="{6399FC29-7092-412E-B9FB-3B893FC77C67}"/>
            </a:ext>
          </a:extLst>
        </xdr:cNvPr>
        <xdr:cNvSpPr/>
      </xdr:nvSpPr>
      <xdr:spPr>
        <a:xfrm>
          <a:off x="2492754" y="627725"/>
          <a:ext cx="1944465" cy="434737"/>
        </a:xfrm>
        <a:prstGeom prst="rect">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2. Seguridad</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Financiera</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xdr:col>
      <xdr:colOff>0</xdr:colOff>
      <xdr:row>2</xdr:row>
      <xdr:rowOff>0</xdr:rowOff>
    </xdr:from>
    <xdr:to>
      <xdr:col>1</xdr:col>
      <xdr:colOff>1944000</xdr:colOff>
      <xdr:row>4</xdr:row>
      <xdr:rowOff>112290</xdr:rowOff>
    </xdr:to>
    <xdr:sp macro="" textlink="">
      <xdr:nvSpPr>
        <xdr:cNvPr id="7" name="Rectángulo 6">
          <a:extLst>
            <a:ext uri="{FF2B5EF4-FFF2-40B4-BE49-F238E27FC236}">
              <a16:creationId xmlns:a16="http://schemas.microsoft.com/office/drawing/2014/main" id="{8FA727A8-0126-4981-A735-FF8637E2D582}"/>
            </a:ext>
          </a:extLst>
        </xdr:cNvPr>
        <xdr:cNvSpPr/>
      </xdr:nvSpPr>
      <xdr:spPr>
        <a:xfrm>
          <a:off x="514350" y="619125"/>
          <a:ext cx="1944000" cy="436140"/>
        </a:xfrm>
        <a:prstGeom prst="rect">
          <a:avLst/>
        </a:prstGeom>
        <a:solidFill>
          <a:schemeClr val="accent1">
            <a:lumMod val="75000"/>
          </a:schemeClr>
        </a:solidFill>
        <a:ln>
          <a:noFill/>
        </a:ln>
        <a:effectLst>
          <a:glow>
            <a:schemeClr val="accent1">
              <a:alpha val="40000"/>
            </a:schemeClr>
          </a:glow>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1. Riesgo</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Operativo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9</xdr:col>
      <xdr:colOff>819713</xdr:colOff>
      <xdr:row>2</xdr:row>
      <xdr:rowOff>3721</xdr:rowOff>
    </xdr:from>
    <xdr:to>
      <xdr:col>9</xdr:col>
      <xdr:colOff>2780836</xdr:colOff>
      <xdr:row>4</xdr:row>
      <xdr:rowOff>114608</xdr:rowOff>
    </xdr:to>
    <xdr:sp macro="" textlink="">
      <xdr:nvSpPr>
        <xdr:cNvPr id="8" name="Informe de ventas">
          <a:hlinkClick xmlns:r="http://schemas.openxmlformats.org/officeDocument/2006/relationships" r:id="rId4" tooltip="Haga clic para ver el Informe de ventas"/>
          <a:extLst>
            <a:ext uri="{FF2B5EF4-FFF2-40B4-BE49-F238E27FC236}">
              <a16:creationId xmlns:a16="http://schemas.microsoft.com/office/drawing/2014/main" id="{56F87B2A-F936-43C7-AF04-0026020CD88D}"/>
            </a:ext>
          </a:extLst>
        </xdr:cNvPr>
        <xdr:cNvSpPr/>
      </xdr:nvSpPr>
      <xdr:spPr>
        <a:xfrm>
          <a:off x="4458263" y="622846"/>
          <a:ext cx="196112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3. SAC</a:t>
          </a:r>
        </a:p>
      </xdr:txBody>
    </xdr:sp>
    <xdr:clientData fPrintsWithSheet="0"/>
  </xdr:twoCellAnchor>
  <xdr:twoCellAnchor editAs="absolute">
    <xdr:from>
      <xdr:col>9</xdr:col>
      <xdr:colOff>2831870</xdr:colOff>
      <xdr:row>2</xdr:row>
      <xdr:rowOff>3721</xdr:rowOff>
    </xdr:from>
    <xdr:to>
      <xdr:col>11</xdr:col>
      <xdr:colOff>222920</xdr:colOff>
      <xdr:row>4</xdr:row>
      <xdr:rowOff>114608</xdr:rowOff>
    </xdr:to>
    <xdr:sp macro="" textlink="">
      <xdr:nvSpPr>
        <xdr:cNvPr id="9" name="Inventario">
          <a:hlinkClick xmlns:r="http://schemas.openxmlformats.org/officeDocument/2006/relationships" r:id="rId5" tooltip="Haga clic para ver el inventario"/>
          <a:extLst>
            <a:ext uri="{FF2B5EF4-FFF2-40B4-BE49-F238E27FC236}">
              <a16:creationId xmlns:a16="http://schemas.microsoft.com/office/drawing/2014/main" id="{DB34D511-77A7-43AE-A9E4-E6AD701D192E}"/>
            </a:ext>
          </a:extLst>
        </xdr:cNvPr>
        <xdr:cNvSpPr/>
      </xdr:nvSpPr>
      <xdr:spPr>
        <a:xfrm>
          <a:off x="6470420" y="622846"/>
          <a:ext cx="1944000" cy="434737"/>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4. Seguridad de</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la Información</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11</xdr:col>
      <xdr:colOff>279867</xdr:colOff>
      <xdr:row>2</xdr:row>
      <xdr:rowOff>3721</xdr:rowOff>
    </xdr:from>
    <xdr:to>
      <xdr:col>13</xdr:col>
      <xdr:colOff>532500</xdr:colOff>
      <xdr:row>4</xdr:row>
      <xdr:rowOff>114608</xdr:rowOff>
    </xdr:to>
    <xdr:sp macro="" textlink="">
      <xdr:nvSpPr>
        <xdr:cNvPr id="10" name="Inventario">
          <a:hlinkClick xmlns:r="http://schemas.openxmlformats.org/officeDocument/2006/relationships" r:id="rId6" tooltip="Haga clic para ver el inventario"/>
          <a:extLst>
            <a:ext uri="{FF2B5EF4-FFF2-40B4-BE49-F238E27FC236}">
              <a16:creationId xmlns:a16="http://schemas.microsoft.com/office/drawing/2014/main" id="{1EAD9F71-5685-42BF-A666-35DCB0453209}"/>
            </a:ext>
          </a:extLst>
        </xdr:cNvPr>
        <xdr:cNvSpPr/>
      </xdr:nvSpPr>
      <xdr:spPr>
        <a:xfrm>
          <a:off x="8471367" y="622846"/>
          <a:ext cx="194808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5. SARLAFT</a:t>
          </a:r>
        </a:p>
      </xdr:txBody>
    </xdr:sp>
    <xdr:clientData fPrintsWithSheet="0"/>
  </xdr:twoCellAnchor>
  <xdr:twoCellAnchor editAs="absolute">
    <xdr:from>
      <xdr:col>13</xdr:col>
      <xdr:colOff>559513</xdr:colOff>
      <xdr:row>2</xdr:row>
      <xdr:rowOff>8670</xdr:rowOff>
    </xdr:from>
    <xdr:to>
      <xdr:col>15</xdr:col>
      <xdr:colOff>799899</xdr:colOff>
      <xdr:row>4</xdr:row>
      <xdr:rowOff>119557</xdr:rowOff>
    </xdr:to>
    <xdr:sp macro="" textlink="">
      <xdr:nvSpPr>
        <xdr:cNvPr id="11" name="Inventario">
          <a:hlinkClick xmlns:r="http://schemas.openxmlformats.org/officeDocument/2006/relationships" r:id="rId7" tooltip="Haga clic para ver el inventario"/>
          <a:extLst>
            <a:ext uri="{FF2B5EF4-FFF2-40B4-BE49-F238E27FC236}">
              <a16:creationId xmlns:a16="http://schemas.microsoft.com/office/drawing/2014/main" id="{EBF06E4C-2CDC-42C0-92D7-D66924D14782}"/>
            </a:ext>
          </a:extLst>
        </xdr:cNvPr>
        <xdr:cNvSpPr/>
      </xdr:nvSpPr>
      <xdr:spPr>
        <a:xfrm>
          <a:off x="10446463" y="627795"/>
          <a:ext cx="1935836" cy="434737"/>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6.</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Continuidad de Negocio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0</xdr:col>
      <xdr:colOff>38098</xdr:colOff>
      <xdr:row>6</xdr:row>
      <xdr:rowOff>390525</xdr:rowOff>
    </xdr:from>
    <xdr:to>
      <xdr:col>1</xdr:col>
      <xdr:colOff>2076450</xdr:colOff>
      <xdr:row>13</xdr:row>
      <xdr:rowOff>114300</xdr:rowOff>
    </xdr:to>
    <mc:AlternateContent xmlns:mc="http://schemas.openxmlformats.org/markup-compatibility/2006" xmlns:sle15="http://schemas.microsoft.com/office/drawing/2012/slicer">
      <mc:Choice Requires="sle15">
        <xdr:graphicFrame macro="">
          <xdr:nvGraphicFramePr>
            <xdr:cNvPr id="2" name="Sub Componente 4">
              <a:extLst>
                <a:ext uri="{FF2B5EF4-FFF2-40B4-BE49-F238E27FC236}">
                  <a16:creationId xmlns:a16="http://schemas.microsoft.com/office/drawing/2014/main" id="{E4224CC4-1A49-4FB9-BFA1-8A3ED72ABD6E}"/>
                </a:ext>
              </a:extLst>
            </xdr:cNvPr>
            <xdr:cNvGraphicFramePr/>
          </xdr:nvGraphicFramePr>
          <xdr:xfrm>
            <a:off x="0" y="0"/>
            <a:ext cx="0" cy="0"/>
          </xdr:xfrm>
          <a:graphic>
            <a:graphicData uri="http://schemas.microsoft.com/office/drawing/2010/slicer">
              <sle:slicer xmlns:sle="http://schemas.microsoft.com/office/drawing/2010/slicer" name="Sub Componente 4"/>
            </a:graphicData>
          </a:graphic>
        </xdr:graphicFrame>
      </mc:Choice>
      <mc:Fallback xmlns="">
        <xdr:sp macro="" textlink="">
          <xdr:nvSpPr>
            <xdr:cNvPr id="0" name=""/>
            <xdr:cNvSpPr>
              <a:spLocks noTextEdit="1"/>
            </xdr:cNvSpPr>
          </xdr:nvSpPr>
          <xdr:spPr>
            <a:xfrm>
              <a:off x="38098" y="1809750"/>
              <a:ext cx="2552702" cy="252412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0</xdr:col>
      <xdr:colOff>57149</xdr:colOff>
      <xdr:row>11</xdr:row>
      <xdr:rowOff>209550</xdr:rowOff>
    </xdr:from>
    <xdr:to>
      <xdr:col>1</xdr:col>
      <xdr:colOff>2106362</xdr:colOff>
      <xdr:row>19</xdr:row>
      <xdr:rowOff>190500</xdr:rowOff>
    </xdr:to>
    <mc:AlternateContent xmlns:mc="http://schemas.openxmlformats.org/markup-compatibility/2006" xmlns:sle15="http://schemas.microsoft.com/office/drawing/2012/slicer">
      <mc:Choice Requires="sle15">
        <xdr:graphicFrame macro="">
          <xdr:nvGraphicFramePr>
            <xdr:cNvPr id="3" name="Actividad 4">
              <a:extLst>
                <a:ext uri="{FF2B5EF4-FFF2-40B4-BE49-F238E27FC236}">
                  <a16:creationId xmlns:a16="http://schemas.microsoft.com/office/drawing/2014/main" id="{48BFB476-59AB-4AA8-9ACB-1779026BDAD6}"/>
                </a:ext>
              </a:extLst>
            </xdr:cNvPr>
            <xdr:cNvGraphicFramePr/>
          </xdr:nvGraphicFramePr>
          <xdr:xfrm>
            <a:off x="0" y="0"/>
            <a:ext cx="0" cy="0"/>
          </xdr:xfrm>
          <a:graphic>
            <a:graphicData uri="http://schemas.microsoft.com/office/drawing/2010/slicer">
              <sle:slicer xmlns:sle="http://schemas.microsoft.com/office/drawing/2010/slicer" name="Actividad 4"/>
            </a:graphicData>
          </a:graphic>
        </xdr:graphicFrame>
      </mc:Choice>
      <mc:Fallback xmlns="">
        <xdr:sp macro="" textlink="">
          <xdr:nvSpPr>
            <xdr:cNvPr id="0" name=""/>
            <xdr:cNvSpPr>
              <a:spLocks noTextEdit="1"/>
            </xdr:cNvSpPr>
          </xdr:nvSpPr>
          <xdr:spPr>
            <a:xfrm>
              <a:off x="57149" y="3667125"/>
              <a:ext cx="2563563" cy="302895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xdr:from>
      <xdr:col>17</xdr:col>
      <xdr:colOff>400050</xdr:colOff>
      <xdr:row>0</xdr:row>
      <xdr:rowOff>142875</xdr:rowOff>
    </xdr:from>
    <xdr:to>
      <xdr:col>17</xdr:col>
      <xdr:colOff>552450</xdr:colOff>
      <xdr:row>1</xdr:row>
      <xdr:rowOff>285751</xdr:rowOff>
    </xdr:to>
    <xdr:sp macro="" textlink="">
      <xdr:nvSpPr>
        <xdr:cNvPr id="4" name="Cheurón 11">
          <a:hlinkClick xmlns:r="http://schemas.openxmlformats.org/officeDocument/2006/relationships" r:id="rId1"/>
          <a:extLst>
            <a:ext uri="{FF2B5EF4-FFF2-40B4-BE49-F238E27FC236}">
              <a16:creationId xmlns:a16="http://schemas.microsoft.com/office/drawing/2014/main" id="{EC8F53BB-F205-4DD2-8D42-7DCF7583CBE0}"/>
            </a:ext>
          </a:extLst>
        </xdr:cNvPr>
        <xdr:cNvSpPr/>
      </xdr:nvSpPr>
      <xdr:spPr>
        <a:xfrm>
          <a:off x="16059150" y="142875"/>
          <a:ext cx="152400" cy="30480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17</xdr:col>
      <xdr:colOff>95249</xdr:colOff>
      <xdr:row>0</xdr:row>
      <xdr:rowOff>142874</xdr:rowOff>
    </xdr:from>
    <xdr:to>
      <xdr:col>17</xdr:col>
      <xdr:colOff>247648</xdr:colOff>
      <xdr:row>1</xdr:row>
      <xdr:rowOff>276220</xdr:rowOff>
    </xdr:to>
    <xdr:sp macro="" textlink="">
      <xdr:nvSpPr>
        <xdr:cNvPr id="5" name="Cheurón 12">
          <a:hlinkClick xmlns:r="http://schemas.openxmlformats.org/officeDocument/2006/relationships" r:id="rId2"/>
          <a:extLst>
            <a:ext uri="{FF2B5EF4-FFF2-40B4-BE49-F238E27FC236}">
              <a16:creationId xmlns:a16="http://schemas.microsoft.com/office/drawing/2014/main" id="{8F0DCF90-098F-4DEE-8B1B-DD0D6CB0143D}"/>
            </a:ext>
          </a:extLst>
        </xdr:cNvPr>
        <xdr:cNvSpPr/>
      </xdr:nvSpPr>
      <xdr:spPr>
        <a:xfrm rot="10800000">
          <a:off x="15754349" y="142874"/>
          <a:ext cx="152399" cy="29527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editAs="absolute">
    <xdr:from>
      <xdr:col>1</xdr:col>
      <xdr:colOff>1978404</xdr:colOff>
      <xdr:row>3</xdr:row>
      <xdr:rowOff>8600</xdr:rowOff>
    </xdr:from>
    <xdr:to>
      <xdr:col>9</xdr:col>
      <xdr:colOff>1160619</xdr:colOff>
      <xdr:row>5</xdr:row>
      <xdr:rowOff>24237</xdr:rowOff>
    </xdr:to>
    <xdr:sp macro="" textlink="">
      <xdr:nvSpPr>
        <xdr:cNvPr id="6" name="Inventario">
          <a:hlinkClick xmlns:r="http://schemas.openxmlformats.org/officeDocument/2006/relationships" r:id="rId3" tooltip="Haga clic para ver el inventario"/>
          <a:extLst>
            <a:ext uri="{FF2B5EF4-FFF2-40B4-BE49-F238E27FC236}">
              <a16:creationId xmlns:a16="http://schemas.microsoft.com/office/drawing/2014/main" id="{D58E2EE4-581B-4CBB-8C91-12C0A2508D43}"/>
            </a:ext>
          </a:extLst>
        </xdr:cNvPr>
        <xdr:cNvSpPr/>
      </xdr:nvSpPr>
      <xdr:spPr>
        <a:xfrm>
          <a:off x="2492754" y="846800"/>
          <a:ext cx="1944465" cy="434737"/>
        </a:xfrm>
        <a:prstGeom prst="rect">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2. Seguridad</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Financiera</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xdr:col>
      <xdr:colOff>0</xdr:colOff>
      <xdr:row>3</xdr:row>
      <xdr:rowOff>0</xdr:rowOff>
    </xdr:from>
    <xdr:to>
      <xdr:col>1</xdr:col>
      <xdr:colOff>1944000</xdr:colOff>
      <xdr:row>5</xdr:row>
      <xdr:rowOff>17040</xdr:rowOff>
    </xdr:to>
    <xdr:sp macro="" textlink="">
      <xdr:nvSpPr>
        <xdr:cNvPr id="7" name="Rectángulo 6">
          <a:hlinkClick xmlns:r="http://schemas.openxmlformats.org/officeDocument/2006/relationships" r:id="rId4"/>
          <a:extLst>
            <a:ext uri="{FF2B5EF4-FFF2-40B4-BE49-F238E27FC236}">
              <a16:creationId xmlns:a16="http://schemas.microsoft.com/office/drawing/2014/main" id="{82EF8DB6-5FCD-4E2E-B073-210EC0EDFBE1}"/>
            </a:ext>
          </a:extLst>
        </xdr:cNvPr>
        <xdr:cNvSpPr/>
      </xdr:nvSpPr>
      <xdr:spPr>
        <a:xfrm>
          <a:off x="514350" y="838200"/>
          <a:ext cx="1944000" cy="436140"/>
        </a:xfrm>
        <a:prstGeom prst="rect">
          <a:avLst/>
        </a:prstGeom>
        <a:solidFill>
          <a:schemeClr val="accent1">
            <a:lumMod val="75000"/>
          </a:schemeClr>
        </a:solidFill>
        <a:ln>
          <a:noFill/>
        </a:ln>
        <a:effectLst>
          <a:glow>
            <a:schemeClr val="accent1">
              <a:alpha val="40000"/>
            </a:schemeClr>
          </a:glow>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1. Riesgo</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Operativo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9</xdr:col>
      <xdr:colOff>1181663</xdr:colOff>
      <xdr:row>3</xdr:row>
      <xdr:rowOff>3721</xdr:rowOff>
    </xdr:from>
    <xdr:to>
      <xdr:col>9</xdr:col>
      <xdr:colOff>3142786</xdr:colOff>
      <xdr:row>5</xdr:row>
      <xdr:rowOff>19358</xdr:rowOff>
    </xdr:to>
    <xdr:sp macro="" textlink="">
      <xdr:nvSpPr>
        <xdr:cNvPr id="8" name="Informe de ventas">
          <a:hlinkClick xmlns:r="http://schemas.openxmlformats.org/officeDocument/2006/relationships" r:id="rId5" tooltip="Haga clic para ver el Informe de ventas"/>
          <a:extLst>
            <a:ext uri="{FF2B5EF4-FFF2-40B4-BE49-F238E27FC236}">
              <a16:creationId xmlns:a16="http://schemas.microsoft.com/office/drawing/2014/main" id="{BCD62910-68E5-4C6E-8E27-59FC88864837}"/>
            </a:ext>
          </a:extLst>
        </xdr:cNvPr>
        <xdr:cNvSpPr/>
      </xdr:nvSpPr>
      <xdr:spPr>
        <a:xfrm>
          <a:off x="4458263" y="841921"/>
          <a:ext cx="196112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3. SAC</a:t>
          </a:r>
        </a:p>
      </xdr:txBody>
    </xdr:sp>
    <xdr:clientData fPrintsWithSheet="0"/>
  </xdr:twoCellAnchor>
  <xdr:twoCellAnchor editAs="absolute">
    <xdr:from>
      <xdr:col>9</xdr:col>
      <xdr:colOff>3193820</xdr:colOff>
      <xdr:row>3</xdr:row>
      <xdr:rowOff>3721</xdr:rowOff>
    </xdr:from>
    <xdr:to>
      <xdr:col>10</xdr:col>
      <xdr:colOff>651545</xdr:colOff>
      <xdr:row>5</xdr:row>
      <xdr:rowOff>19358</xdr:rowOff>
    </xdr:to>
    <xdr:sp macro="" textlink="">
      <xdr:nvSpPr>
        <xdr:cNvPr id="9" name="Inventario">
          <a:hlinkClick xmlns:r="http://schemas.openxmlformats.org/officeDocument/2006/relationships" r:id="rId6" tooltip="Haga clic para ver el inventario"/>
          <a:extLst>
            <a:ext uri="{FF2B5EF4-FFF2-40B4-BE49-F238E27FC236}">
              <a16:creationId xmlns:a16="http://schemas.microsoft.com/office/drawing/2014/main" id="{26ADC2E3-A38C-4440-A941-D0B181AF78FB}"/>
            </a:ext>
          </a:extLst>
        </xdr:cNvPr>
        <xdr:cNvSpPr/>
      </xdr:nvSpPr>
      <xdr:spPr>
        <a:xfrm>
          <a:off x="6470420" y="841921"/>
          <a:ext cx="1944000" cy="434737"/>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4. Seguridad de</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la Información</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10</xdr:col>
      <xdr:colOff>708492</xdr:colOff>
      <xdr:row>3</xdr:row>
      <xdr:rowOff>3721</xdr:rowOff>
    </xdr:from>
    <xdr:to>
      <xdr:col>12</xdr:col>
      <xdr:colOff>475350</xdr:colOff>
      <xdr:row>5</xdr:row>
      <xdr:rowOff>19358</xdr:rowOff>
    </xdr:to>
    <xdr:sp macro="" textlink="">
      <xdr:nvSpPr>
        <xdr:cNvPr id="10" name="Inventario">
          <a:hlinkClick xmlns:r="http://schemas.openxmlformats.org/officeDocument/2006/relationships" r:id="rId7" tooltip="Haga clic para ver el inventario"/>
          <a:extLst>
            <a:ext uri="{FF2B5EF4-FFF2-40B4-BE49-F238E27FC236}">
              <a16:creationId xmlns:a16="http://schemas.microsoft.com/office/drawing/2014/main" id="{0D665EF5-96AC-4547-AAEE-85CAFD499EA6}"/>
            </a:ext>
          </a:extLst>
        </xdr:cNvPr>
        <xdr:cNvSpPr/>
      </xdr:nvSpPr>
      <xdr:spPr>
        <a:xfrm>
          <a:off x="8471367" y="841921"/>
          <a:ext cx="194808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5. SARLAFT</a:t>
          </a:r>
        </a:p>
      </xdr:txBody>
    </xdr:sp>
    <xdr:clientData fPrintsWithSheet="0"/>
  </xdr:twoCellAnchor>
  <xdr:twoCellAnchor editAs="absolute">
    <xdr:from>
      <xdr:col>12</xdr:col>
      <xdr:colOff>502363</xdr:colOff>
      <xdr:row>3</xdr:row>
      <xdr:rowOff>8670</xdr:rowOff>
    </xdr:from>
    <xdr:to>
      <xdr:col>14</xdr:col>
      <xdr:colOff>742749</xdr:colOff>
      <xdr:row>5</xdr:row>
      <xdr:rowOff>24307</xdr:rowOff>
    </xdr:to>
    <xdr:sp macro="" textlink="">
      <xdr:nvSpPr>
        <xdr:cNvPr id="11" name="Inventario">
          <a:hlinkClick xmlns:r="http://schemas.openxmlformats.org/officeDocument/2006/relationships" r:id="rId8" tooltip="Haga clic para ver el inventario"/>
          <a:extLst>
            <a:ext uri="{FF2B5EF4-FFF2-40B4-BE49-F238E27FC236}">
              <a16:creationId xmlns:a16="http://schemas.microsoft.com/office/drawing/2014/main" id="{DEF2CE35-C065-474D-9386-74F7F7C5FE6C}"/>
            </a:ext>
          </a:extLst>
        </xdr:cNvPr>
        <xdr:cNvSpPr/>
      </xdr:nvSpPr>
      <xdr:spPr>
        <a:xfrm>
          <a:off x="10446463" y="846870"/>
          <a:ext cx="1935836" cy="434737"/>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6.</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Continuidad de Negocio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38099</xdr:colOff>
      <xdr:row>6</xdr:row>
      <xdr:rowOff>390525</xdr:rowOff>
    </xdr:from>
    <xdr:to>
      <xdr:col>1</xdr:col>
      <xdr:colOff>2066925</xdr:colOff>
      <xdr:row>11</xdr:row>
      <xdr:rowOff>304800</xdr:rowOff>
    </xdr:to>
    <mc:AlternateContent xmlns:mc="http://schemas.openxmlformats.org/markup-compatibility/2006" xmlns:sle15="http://schemas.microsoft.com/office/drawing/2012/slicer">
      <mc:Choice Requires="sle15">
        <xdr:graphicFrame macro="">
          <xdr:nvGraphicFramePr>
            <xdr:cNvPr id="2" name="Sub Componente 5">
              <a:extLst>
                <a:ext uri="{FF2B5EF4-FFF2-40B4-BE49-F238E27FC236}">
                  <a16:creationId xmlns:a16="http://schemas.microsoft.com/office/drawing/2014/main" id="{FE08270A-19C9-4FD3-8FE1-46B265406F4D}"/>
                </a:ext>
              </a:extLst>
            </xdr:cNvPr>
            <xdr:cNvGraphicFramePr/>
          </xdr:nvGraphicFramePr>
          <xdr:xfrm>
            <a:off x="0" y="0"/>
            <a:ext cx="0" cy="0"/>
          </xdr:xfrm>
          <a:graphic>
            <a:graphicData uri="http://schemas.microsoft.com/office/drawing/2010/slicer">
              <sle:slicer xmlns:sle="http://schemas.microsoft.com/office/drawing/2010/slicer" name="Sub Componente 5"/>
            </a:graphicData>
          </a:graphic>
        </xdr:graphicFrame>
      </mc:Choice>
      <mc:Fallback xmlns="">
        <xdr:sp macro="" textlink="">
          <xdr:nvSpPr>
            <xdr:cNvPr id="0" name=""/>
            <xdr:cNvSpPr>
              <a:spLocks noTextEdit="1"/>
            </xdr:cNvSpPr>
          </xdr:nvSpPr>
          <xdr:spPr>
            <a:xfrm>
              <a:off x="38099" y="1809750"/>
              <a:ext cx="2543176" cy="252412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0</xdr:col>
      <xdr:colOff>47624</xdr:colOff>
      <xdr:row>8</xdr:row>
      <xdr:rowOff>542925</xdr:rowOff>
    </xdr:from>
    <xdr:to>
      <xdr:col>1</xdr:col>
      <xdr:colOff>2088915</xdr:colOff>
      <xdr:row>14</xdr:row>
      <xdr:rowOff>142875</xdr:rowOff>
    </xdr:to>
    <mc:AlternateContent xmlns:mc="http://schemas.openxmlformats.org/markup-compatibility/2006" xmlns:sle15="http://schemas.microsoft.com/office/drawing/2012/slicer">
      <mc:Choice Requires="sle15">
        <xdr:graphicFrame macro="">
          <xdr:nvGraphicFramePr>
            <xdr:cNvPr id="3" name="Actividad 5">
              <a:extLst>
                <a:ext uri="{FF2B5EF4-FFF2-40B4-BE49-F238E27FC236}">
                  <a16:creationId xmlns:a16="http://schemas.microsoft.com/office/drawing/2014/main" id="{2FD81EF4-CE56-4D23-9353-BCB0977843CF}"/>
                </a:ext>
              </a:extLst>
            </xdr:cNvPr>
            <xdr:cNvGraphicFramePr/>
          </xdr:nvGraphicFramePr>
          <xdr:xfrm>
            <a:off x="0" y="0"/>
            <a:ext cx="0" cy="0"/>
          </xdr:xfrm>
          <a:graphic>
            <a:graphicData uri="http://schemas.microsoft.com/office/drawing/2010/slicer">
              <sle:slicer xmlns:sle="http://schemas.microsoft.com/office/drawing/2010/slicer" name="Actividad 5"/>
            </a:graphicData>
          </a:graphic>
        </xdr:graphicFrame>
      </mc:Choice>
      <mc:Fallback xmlns="">
        <xdr:sp macro="" textlink="">
          <xdr:nvSpPr>
            <xdr:cNvPr id="0" name=""/>
            <xdr:cNvSpPr>
              <a:spLocks noTextEdit="1"/>
            </xdr:cNvSpPr>
          </xdr:nvSpPr>
          <xdr:spPr>
            <a:xfrm>
              <a:off x="47624" y="2857500"/>
              <a:ext cx="2555641" cy="302895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xdr:from>
      <xdr:col>16</xdr:col>
      <xdr:colOff>400050</xdr:colOff>
      <xdr:row>0</xdr:row>
      <xdr:rowOff>142875</xdr:rowOff>
    </xdr:from>
    <xdr:to>
      <xdr:col>16</xdr:col>
      <xdr:colOff>552450</xdr:colOff>
      <xdr:row>1</xdr:row>
      <xdr:rowOff>285751</xdr:rowOff>
    </xdr:to>
    <xdr:sp macro="" textlink="">
      <xdr:nvSpPr>
        <xdr:cNvPr id="4" name="Cheurón 11">
          <a:hlinkClick xmlns:r="http://schemas.openxmlformats.org/officeDocument/2006/relationships" r:id="rId1"/>
          <a:extLst>
            <a:ext uri="{FF2B5EF4-FFF2-40B4-BE49-F238E27FC236}">
              <a16:creationId xmlns:a16="http://schemas.microsoft.com/office/drawing/2014/main" id="{E0A25A17-2C29-4C41-B7DE-FFF9A4B7EFC1}"/>
            </a:ext>
          </a:extLst>
        </xdr:cNvPr>
        <xdr:cNvSpPr/>
      </xdr:nvSpPr>
      <xdr:spPr>
        <a:xfrm>
          <a:off x="13030200" y="142875"/>
          <a:ext cx="152400" cy="30480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16</xdr:col>
      <xdr:colOff>95249</xdr:colOff>
      <xdr:row>0</xdr:row>
      <xdr:rowOff>142874</xdr:rowOff>
    </xdr:from>
    <xdr:to>
      <xdr:col>16</xdr:col>
      <xdr:colOff>247648</xdr:colOff>
      <xdr:row>1</xdr:row>
      <xdr:rowOff>276220</xdr:rowOff>
    </xdr:to>
    <xdr:sp macro="" textlink="">
      <xdr:nvSpPr>
        <xdr:cNvPr id="5" name="Cheurón 12">
          <a:hlinkClick xmlns:r="http://schemas.openxmlformats.org/officeDocument/2006/relationships" r:id="rId2"/>
          <a:extLst>
            <a:ext uri="{FF2B5EF4-FFF2-40B4-BE49-F238E27FC236}">
              <a16:creationId xmlns:a16="http://schemas.microsoft.com/office/drawing/2014/main" id="{4FAF1CDC-A04B-4454-9A99-5A1A45E02F30}"/>
            </a:ext>
          </a:extLst>
        </xdr:cNvPr>
        <xdr:cNvSpPr/>
      </xdr:nvSpPr>
      <xdr:spPr>
        <a:xfrm rot="10800000">
          <a:off x="12725399" y="142874"/>
          <a:ext cx="152399" cy="29527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editAs="absolute">
    <xdr:from>
      <xdr:col>1</xdr:col>
      <xdr:colOff>1978404</xdr:colOff>
      <xdr:row>3</xdr:row>
      <xdr:rowOff>8600</xdr:rowOff>
    </xdr:from>
    <xdr:to>
      <xdr:col>9</xdr:col>
      <xdr:colOff>1160619</xdr:colOff>
      <xdr:row>5</xdr:row>
      <xdr:rowOff>24237</xdr:rowOff>
    </xdr:to>
    <xdr:sp macro="" textlink="">
      <xdr:nvSpPr>
        <xdr:cNvPr id="6" name="Inventario">
          <a:hlinkClick xmlns:r="http://schemas.openxmlformats.org/officeDocument/2006/relationships" r:id="rId3" tooltip="Haga clic para ver el inventario"/>
          <a:extLst>
            <a:ext uri="{FF2B5EF4-FFF2-40B4-BE49-F238E27FC236}">
              <a16:creationId xmlns:a16="http://schemas.microsoft.com/office/drawing/2014/main" id="{B0D327A2-EE99-4B84-98E6-A047FB7B8CC2}"/>
            </a:ext>
          </a:extLst>
        </xdr:cNvPr>
        <xdr:cNvSpPr/>
      </xdr:nvSpPr>
      <xdr:spPr>
        <a:xfrm>
          <a:off x="2492754" y="846800"/>
          <a:ext cx="1944465" cy="434737"/>
        </a:xfrm>
        <a:prstGeom prst="rect">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2. Seguridad</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Financiera</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xdr:col>
      <xdr:colOff>0</xdr:colOff>
      <xdr:row>3</xdr:row>
      <xdr:rowOff>0</xdr:rowOff>
    </xdr:from>
    <xdr:to>
      <xdr:col>1</xdr:col>
      <xdr:colOff>1944000</xdr:colOff>
      <xdr:row>5</xdr:row>
      <xdr:rowOff>17040</xdr:rowOff>
    </xdr:to>
    <xdr:sp macro="" textlink="">
      <xdr:nvSpPr>
        <xdr:cNvPr id="7" name="Rectángulo 6">
          <a:extLst>
            <a:ext uri="{FF2B5EF4-FFF2-40B4-BE49-F238E27FC236}">
              <a16:creationId xmlns:a16="http://schemas.microsoft.com/office/drawing/2014/main" id="{6F88E5D3-7A8C-4523-AEA8-9735075B8041}"/>
            </a:ext>
          </a:extLst>
        </xdr:cNvPr>
        <xdr:cNvSpPr/>
      </xdr:nvSpPr>
      <xdr:spPr>
        <a:xfrm>
          <a:off x="514350" y="838200"/>
          <a:ext cx="1944000" cy="436140"/>
        </a:xfrm>
        <a:prstGeom prst="rect">
          <a:avLst/>
        </a:prstGeom>
        <a:solidFill>
          <a:schemeClr val="accent1">
            <a:lumMod val="75000"/>
          </a:schemeClr>
        </a:solidFill>
        <a:ln>
          <a:noFill/>
        </a:ln>
        <a:effectLst>
          <a:glow>
            <a:schemeClr val="accent1">
              <a:alpha val="40000"/>
            </a:schemeClr>
          </a:glow>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1. Riesgo</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Operativo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9</xdr:col>
      <xdr:colOff>1181663</xdr:colOff>
      <xdr:row>3</xdr:row>
      <xdr:rowOff>3721</xdr:rowOff>
    </xdr:from>
    <xdr:to>
      <xdr:col>9</xdr:col>
      <xdr:colOff>3142786</xdr:colOff>
      <xdr:row>5</xdr:row>
      <xdr:rowOff>19358</xdr:rowOff>
    </xdr:to>
    <xdr:sp macro="" textlink="">
      <xdr:nvSpPr>
        <xdr:cNvPr id="8" name="Informe de ventas">
          <a:hlinkClick xmlns:r="http://schemas.openxmlformats.org/officeDocument/2006/relationships" r:id="rId4" tooltip="Haga clic para ver el Informe de ventas"/>
          <a:extLst>
            <a:ext uri="{FF2B5EF4-FFF2-40B4-BE49-F238E27FC236}">
              <a16:creationId xmlns:a16="http://schemas.microsoft.com/office/drawing/2014/main" id="{AC1A8E8B-CF1F-4570-9643-B4D5451D2E11}"/>
            </a:ext>
          </a:extLst>
        </xdr:cNvPr>
        <xdr:cNvSpPr/>
      </xdr:nvSpPr>
      <xdr:spPr>
        <a:xfrm>
          <a:off x="4458263" y="841921"/>
          <a:ext cx="196112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3. SAC</a:t>
          </a:r>
        </a:p>
      </xdr:txBody>
    </xdr:sp>
    <xdr:clientData fPrintsWithSheet="0"/>
  </xdr:twoCellAnchor>
  <xdr:twoCellAnchor editAs="absolute">
    <xdr:from>
      <xdr:col>9</xdr:col>
      <xdr:colOff>3193820</xdr:colOff>
      <xdr:row>3</xdr:row>
      <xdr:rowOff>3721</xdr:rowOff>
    </xdr:from>
    <xdr:to>
      <xdr:col>11</xdr:col>
      <xdr:colOff>22895</xdr:colOff>
      <xdr:row>5</xdr:row>
      <xdr:rowOff>19358</xdr:rowOff>
    </xdr:to>
    <xdr:sp macro="" textlink="">
      <xdr:nvSpPr>
        <xdr:cNvPr id="9" name="Inventario">
          <a:hlinkClick xmlns:r="http://schemas.openxmlformats.org/officeDocument/2006/relationships" r:id="rId5" tooltip="Haga clic para ver el inventario"/>
          <a:extLst>
            <a:ext uri="{FF2B5EF4-FFF2-40B4-BE49-F238E27FC236}">
              <a16:creationId xmlns:a16="http://schemas.microsoft.com/office/drawing/2014/main" id="{3613D398-309C-4F3F-A64C-5A9C8E19413B}"/>
            </a:ext>
          </a:extLst>
        </xdr:cNvPr>
        <xdr:cNvSpPr/>
      </xdr:nvSpPr>
      <xdr:spPr>
        <a:xfrm>
          <a:off x="6470420" y="841921"/>
          <a:ext cx="1944000" cy="434737"/>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4. Seguridad de</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la Información</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11</xdr:col>
      <xdr:colOff>79842</xdr:colOff>
      <xdr:row>3</xdr:row>
      <xdr:rowOff>3721</xdr:rowOff>
    </xdr:from>
    <xdr:to>
      <xdr:col>13</xdr:col>
      <xdr:colOff>332475</xdr:colOff>
      <xdr:row>5</xdr:row>
      <xdr:rowOff>19358</xdr:rowOff>
    </xdr:to>
    <xdr:sp macro="" textlink="">
      <xdr:nvSpPr>
        <xdr:cNvPr id="10" name="Inventario">
          <a:hlinkClick xmlns:r="http://schemas.openxmlformats.org/officeDocument/2006/relationships" r:id="rId6" tooltip="Haga clic para ver el inventario"/>
          <a:extLst>
            <a:ext uri="{FF2B5EF4-FFF2-40B4-BE49-F238E27FC236}">
              <a16:creationId xmlns:a16="http://schemas.microsoft.com/office/drawing/2014/main" id="{15CAB861-4431-42DD-8959-806D54723377}"/>
            </a:ext>
          </a:extLst>
        </xdr:cNvPr>
        <xdr:cNvSpPr/>
      </xdr:nvSpPr>
      <xdr:spPr>
        <a:xfrm>
          <a:off x="8471367" y="841921"/>
          <a:ext cx="194808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5. SARLAFT</a:t>
          </a:r>
        </a:p>
      </xdr:txBody>
    </xdr:sp>
    <xdr:clientData fPrintsWithSheet="0"/>
  </xdr:twoCellAnchor>
  <xdr:twoCellAnchor editAs="absolute">
    <xdr:from>
      <xdr:col>13</xdr:col>
      <xdr:colOff>359488</xdr:colOff>
      <xdr:row>3</xdr:row>
      <xdr:rowOff>8670</xdr:rowOff>
    </xdr:from>
    <xdr:to>
      <xdr:col>15</xdr:col>
      <xdr:colOff>599874</xdr:colOff>
      <xdr:row>5</xdr:row>
      <xdr:rowOff>24307</xdr:rowOff>
    </xdr:to>
    <xdr:sp macro="" textlink="">
      <xdr:nvSpPr>
        <xdr:cNvPr id="11" name="Inventario">
          <a:hlinkClick xmlns:r="http://schemas.openxmlformats.org/officeDocument/2006/relationships" r:id="rId7" tooltip="Haga clic para ver el inventario"/>
          <a:extLst>
            <a:ext uri="{FF2B5EF4-FFF2-40B4-BE49-F238E27FC236}">
              <a16:creationId xmlns:a16="http://schemas.microsoft.com/office/drawing/2014/main" id="{D42032EC-22C4-4886-ABEB-600C67730DB5}"/>
            </a:ext>
          </a:extLst>
        </xdr:cNvPr>
        <xdr:cNvSpPr/>
      </xdr:nvSpPr>
      <xdr:spPr>
        <a:xfrm>
          <a:off x="10446463" y="846870"/>
          <a:ext cx="1935836" cy="434737"/>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6.</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Continuidad de Negocio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47624</xdr:colOff>
      <xdr:row>7</xdr:row>
      <xdr:rowOff>9525</xdr:rowOff>
    </xdr:from>
    <xdr:to>
      <xdr:col>1</xdr:col>
      <xdr:colOff>2066925</xdr:colOff>
      <xdr:row>20</xdr:row>
      <xdr:rowOff>219075</xdr:rowOff>
    </xdr:to>
    <mc:AlternateContent xmlns:mc="http://schemas.openxmlformats.org/markup-compatibility/2006" xmlns:sle15="http://schemas.microsoft.com/office/drawing/2012/slicer">
      <mc:Choice Requires="sle15">
        <xdr:graphicFrame macro="">
          <xdr:nvGraphicFramePr>
            <xdr:cNvPr id="2" name="Sub Componente 1">
              <a:extLst>
                <a:ext uri="{FF2B5EF4-FFF2-40B4-BE49-F238E27FC236}">
                  <a16:creationId xmlns:a16="http://schemas.microsoft.com/office/drawing/2014/main" id="{2D3F3BE7-ABF5-4A8A-8A66-95B5B11ADE6C}"/>
                </a:ext>
              </a:extLst>
            </xdr:cNvPr>
            <xdr:cNvGraphicFramePr/>
          </xdr:nvGraphicFramePr>
          <xdr:xfrm>
            <a:off x="0" y="0"/>
            <a:ext cx="0" cy="0"/>
          </xdr:xfrm>
          <a:graphic>
            <a:graphicData uri="http://schemas.microsoft.com/office/drawing/2010/slicer">
              <sle:slicer xmlns:sle="http://schemas.microsoft.com/office/drawing/2010/slicer" name="Sub Componente 1"/>
            </a:graphicData>
          </a:graphic>
        </xdr:graphicFrame>
      </mc:Choice>
      <mc:Fallback xmlns="">
        <xdr:sp macro="" textlink="">
          <xdr:nvSpPr>
            <xdr:cNvPr id="0" name=""/>
            <xdr:cNvSpPr>
              <a:spLocks noTextEdit="1"/>
            </xdr:cNvSpPr>
          </xdr:nvSpPr>
          <xdr:spPr>
            <a:xfrm>
              <a:off x="47624" y="1809750"/>
              <a:ext cx="2533651" cy="328612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0</xdr:col>
      <xdr:colOff>38100</xdr:colOff>
      <xdr:row>16</xdr:row>
      <xdr:rowOff>561975</xdr:rowOff>
    </xdr:from>
    <xdr:to>
      <xdr:col>1</xdr:col>
      <xdr:colOff>2066925</xdr:colOff>
      <xdr:row>28</xdr:row>
      <xdr:rowOff>35502</xdr:rowOff>
    </xdr:to>
    <mc:AlternateContent xmlns:mc="http://schemas.openxmlformats.org/markup-compatibility/2006" xmlns:sle15="http://schemas.microsoft.com/office/drawing/2012/slicer">
      <mc:Choice Requires="sle15">
        <xdr:graphicFrame macro="">
          <xdr:nvGraphicFramePr>
            <xdr:cNvPr id="3" name="Actividad 7">
              <a:extLst>
                <a:ext uri="{FF2B5EF4-FFF2-40B4-BE49-F238E27FC236}">
                  <a16:creationId xmlns:a16="http://schemas.microsoft.com/office/drawing/2014/main" id="{1030B3F5-DC5D-4F05-89BD-3D8852932280}"/>
                </a:ext>
              </a:extLst>
            </xdr:cNvPr>
            <xdr:cNvGraphicFramePr/>
          </xdr:nvGraphicFramePr>
          <xdr:xfrm>
            <a:off x="0" y="0"/>
            <a:ext cx="0" cy="0"/>
          </xdr:xfrm>
          <a:graphic>
            <a:graphicData uri="http://schemas.microsoft.com/office/drawing/2010/slicer">
              <sle:slicer xmlns:sle="http://schemas.microsoft.com/office/drawing/2010/slicer" name="Actividad 7"/>
            </a:graphicData>
          </a:graphic>
        </xdr:graphicFrame>
      </mc:Choice>
      <mc:Fallback xmlns="">
        <xdr:sp macro="" textlink="">
          <xdr:nvSpPr>
            <xdr:cNvPr id="0" name=""/>
            <xdr:cNvSpPr>
              <a:spLocks noTextEdit="1"/>
            </xdr:cNvSpPr>
          </xdr:nvSpPr>
          <xdr:spPr>
            <a:xfrm>
              <a:off x="38100" y="3343275"/>
              <a:ext cx="2543175" cy="4559877"/>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xdr:from>
      <xdr:col>16</xdr:col>
      <xdr:colOff>400050</xdr:colOff>
      <xdr:row>0</xdr:row>
      <xdr:rowOff>142875</xdr:rowOff>
    </xdr:from>
    <xdr:to>
      <xdr:col>16</xdr:col>
      <xdr:colOff>552450</xdr:colOff>
      <xdr:row>1</xdr:row>
      <xdr:rowOff>285751</xdr:rowOff>
    </xdr:to>
    <xdr:sp macro="" textlink="">
      <xdr:nvSpPr>
        <xdr:cNvPr id="4" name="Cheurón 8">
          <a:hlinkClick xmlns:r="http://schemas.openxmlformats.org/officeDocument/2006/relationships" r:id="rId1"/>
          <a:extLst>
            <a:ext uri="{FF2B5EF4-FFF2-40B4-BE49-F238E27FC236}">
              <a16:creationId xmlns:a16="http://schemas.microsoft.com/office/drawing/2014/main" id="{643A19FD-8DF3-43BB-BE09-9BBB42B4F02E}"/>
            </a:ext>
          </a:extLst>
        </xdr:cNvPr>
        <xdr:cNvSpPr/>
      </xdr:nvSpPr>
      <xdr:spPr>
        <a:xfrm>
          <a:off x="11925300" y="142875"/>
          <a:ext cx="152400" cy="30480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16</xdr:col>
      <xdr:colOff>95249</xdr:colOff>
      <xdr:row>0</xdr:row>
      <xdr:rowOff>142874</xdr:rowOff>
    </xdr:from>
    <xdr:to>
      <xdr:col>16</xdr:col>
      <xdr:colOff>247648</xdr:colOff>
      <xdr:row>1</xdr:row>
      <xdr:rowOff>276220</xdr:rowOff>
    </xdr:to>
    <xdr:sp macro="" textlink="">
      <xdr:nvSpPr>
        <xdr:cNvPr id="5" name="Cheurón 9">
          <a:hlinkClick xmlns:r="http://schemas.openxmlformats.org/officeDocument/2006/relationships" r:id="rId2"/>
          <a:extLst>
            <a:ext uri="{FF2B5EF4-FFF2-40B4-BE49-F238E27FC236}">
              <a16:creationId xmlns:a16="http://schemas.microsoft.com/office/drawing/2014/main" id="{00430F5C-68DE-4EDF-891F-94A9C6BC9A57}"/>
            </a:ext>
          </a:extLst>
        </xdr:cNvPr>
        <xdr:cNvSpPr/>
      </xdr:nvSpPr>
      <xdr:spPr>
        <a:xfrm rot="10800000">
          <a:off x="11620499" y="142874"/>
          <a:ext cx="152399" cy="295271"/>
        </a:xfrm>
        <a:prstGeom prst="chevron">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editAs="absolute">
    <xdr:from>
      <xdr:col>1</xdr:col>
      <xdr:colOff>1949829</xdr:colOff>
      <xdr:row>2</xdr:row>
      <xdr:rowOff>303875</xdr:rowOff>
    </xdr:from>
    <xdr:to>
      <xdr:col>9</xdr:col>
      <xdr:colOff>1132044</xdr:colOff>
      <xdr:row>4</xdr:row>
      <xdr:rowOff>119487</xdr:rowOff>
    </xdr:to>
    <xdr:sp macro="" textlink="">
      <xdr:nvSpPr>
        <xdr:cNvPr id="6" name="Inventario">
          <a:hlinkClick xmlns:r="http://schemas.openxmlformats.org/officeDocument/2006/relationships" r:id="rId3" tooltip="Haga clic para ver el inventario"/>
          <a:extLst>
            <a:ext uri="{FF2B5EF4-FFF2-40B4-BE49-F238E27FC236}">
              <a16:creationId xmlns:a16="http://schemas.microsoft.com/office/drawing/2014/main" id="{B235BFB2-23A3-4A46-8F4C-60E00656BC63}"/>
            </a:ext>
          </a:extLst>
        </xdr:cNvPr>
        <xdr:cNvSpPr/>
      </xdr:nvSpPr>
      <xdr:spPr>
        <a:xfrm>
          <a:off x="2464179" y="923000"/>
          <a:ext cx="1944465" cy="434737"/>
        </a:xfrm>
        <a:prstGeom prst="rect">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2. Seguridad</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Financiera</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0</xdr:col>
      <xdr:colOff>485775</xdr:colOff>
      <xdr:row>2</xdr:row>
      <xdr:rowOff>295275</xdr:rowOff>
    </xdr:from>
    <xdr:to>
      <xdr:col>1</xdr:col>
      <xdr:colOff>1915425</xdr:colOff>
      <xdr:row>4</xdr:row>
      <xdr:rowOff>112290</xdr:rowOff>
    </xdr:to>
    <xdr:sp macro="" textlink="">
      <xdr:nvSpPr>
        <xdr:cNvPr id="7" name="Rectángulo 6">
          <a:extLst>
            <a:ext uri="{FF2B5EF4-FFF2-40B4-BE49-F238E27FC236}">
              <a16:creationId xmlns:a16="http://schemas.microsoft.com/office/drawing/2014/main" id="{806FCFD9-4A69-4FF8-BB71-4AABD8EF14A9}"/>
            </a:ext>
          </a:extLst>
        </xdr:cNvPr>
        <xdr:cNvSpPr/>
      </xdr:nvSpPr>
      <xdr:spPr>
        <a:xfrm>
          <a:off x="485775" y="914400"/>
          <a:ext cx="1944000" cy="436140"/>
        </a:xfrm>
        <a:prstGeom prst="rect">
          <a:avLst/>
        </a:prstGeom>
        <a:solidFill>
          <a:schemeClr val="accent1">
            <a:lumMod val="75000"/>
          </a:schemeClr>
        </a:solidFill>
        <a:ln>
          <a:noFill/>
        </a:ln>
        <a:effectLst>
          <a:glow>
            <a:schemeClr val="accent1">
              <a:alpha val="40000"/>
            </a:schemeClr>
          </a:glow>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1. Riesgo</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Operativo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9</xdr:col>
      <xdr:colOff>1153088</xdr:colOff>
      <xdr:row>2</xdr:row>
      <xdr:rowOff>298996</xdr:rowOff>
    </xdr:from>
    <xdr:to>
      <xdr:col>10</xdr:col>
      <xdr:colOff>218611</xdr:colOff>
      <xdr:row>4</xdr:row>
      <xdr:rowOff>114608</xdr:rowOff>
    </xdr:to>
    <xdr:sp macro="" textlink="">
      <xdr:nvSpPr>
        <xdr:cNvPr id="8" name="Informe de ventas">
          <a:hlinkClick xmlns:r="http://schemas.openxmlformats.org/officeDocument/2006/relationships" r:id="rId4" tooltip="Haga clic para ver el Informe de ventas"/>
          <a:extLst>
            <a:ext uri="{FF2B5EF4-FFF2-40B4-BE49-F238E27FC236}">
              <a16:creationId xmlns:a16="http://schemas.microsoft.com/office/drawing/2014/main" id="{62ABC079-093A-4A4B-8621-802F8CBF2354}"/>
            </a:ext>
          </a:extLst>
        </xdr:cNvPr>
        <xdr:cNvSpPr/>
      </xdr:nvSpPr>
      <xdr:spPr>
        <a:xfrm>
          <a:off x="4429688" y="918121"/>
          <a:ext cx="196112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3. SAC</a:t>
          </a:r>
        </a:p>
      </xdr:txBody>
    </xdr:sp>
    <xdr:clientData fPrintsWithSheet="0"/>
  </xdr:twoCellAnchor>
  <xdr:twoCellAnchor editAs="absolute">
    <xdr:from>
      <xdr:col>10</xdr:col>
      <xdr:colOff>269645</xdr:colOff>
      <xdr:row>2</xdr:row>
      <xdr:rowOff>298996</xdr:rowOff>
    </xdr:from>
    <xdr:to>
      <xdr:col>12</xdr:col>
      <xdr:colOff>251495</xdr:colOff>
      <xdr:row>4</xdr:row>
      <xdr:rowOff>114608</xdr:rowOff>
    </xdr:to>
    <xdr:sp macro="" textlink="">
      <xdr:nvSpPr>
        <xdr:cNvPr id="9" name="Inventario">
          <a:hlinkClick xmlns:r="http://schemas.openxmlformats.org/officeDocument/2006/relationships" r:id="rId5" tooltip="Haga clic para ver el inventario"/>
          <a:extLst>
            <a:ext uri="{FF2B5EF4-FFF2-40B4-BE49-F238E27FC236}">
              <a16:creationId xmlns:a16="http://schemas.microsoft.com/office/drawing/2014/main" id="{61B61017-DCBF-4339-984D-BF9899A3447D}"/>
            </a:ext>
          </a:extLst>
        </xdr:cNvPr>
        <xdr:cNvSpPr/>
      </xdr:nvSpPr>
      <xdr:spPr>
        <a:xfrm>
          <a:off x="6441845" y="918121"/>
          <a:ext cx="1944000" cy="434737"/>
        </a:xfrm>
        <a:prstGeom prst="rect">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4. Seguridad de</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la Información</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editAs="absolute">
    <xdr:from>
      <xdr:col>12</xdr:col>
      <xdr:colOff>308442</xdr:colOff>
      <xdr:row>2</xdr:row>
      <xdr:rowOff>298996</xdr:rowOff>
    </xdr:from>
    <xdr:to>
      <xdr:col>14</xdr:col>
      <xdr:colOff>561075</xdr:colOff>
      <xdr:row>4</xdr:row>
      <xdr:rowOff>114608</xdr:rowOff>
    </xdr:to>
    <xdr:sp macro="" textlink="">
      <xdr:nvSpPr>
        <xdr:cNvPr id="10" name="Inventario">
          <a:hlinkClick xmlns:r="http://schemas.openxmlformats.org/officeDocument/2006/relationships" r:id="rId6" tooltip="Haga clic para ver el inventario"/>
          <a:extLst>
            <a:ext uri="{FF2B5EF4-FFF2-40B4-BE49-F238E27FC236}">
              <a16:creationId xmlns:a16="http://schemas.microsoft.com/office/drawing/2014/main" id="{31B62A84-439A-46A2-80DE-0620E6EA50A0}"/>
            </a:ext>
          </a:extLst>
        </xdr:cNvPr>
        <xdr:cNvSpPr/>
      </xdr:nvSpPr>
      <xdr:spPr>
        <a:xfrm>
          <a:off x="8442792" y="918121"/>
          <a:ext cx="1948083" cy="434737"/>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5. SARLAFT</a:t>
          </a:r>
        </a:p>
      </xdr:txBody>
    </xdr:sp>
    <xdr:clientData fPrintsWithSheet="0"/>
  </xdr:twoCellAnchor>
  <xdr:twoCellAnchor editAs="absolute">
    <xdr:from>
      <xdr:col>14</xdr:col>
      <xdr:colOff>588088</xdr:colOff>
      <xdr:row>2</xdr:row>
      <xdr:rowOff>303945</xdr:rowOff>
    </xdr:from>
    <xdr:to>
      <xdr:col>16</xdr:col>
      <xdr:colOff>828474</xdr:colOff>
      <xdr:row>4</xdr:row>
      <xdr:rowOff>119557</xdr:rowOff>
    </xdr:to>
    <xdr:sp macro="" textlink="">
      <xdr:nvSpPr>
        <xdr:cNvPr id="11" name="Inventario">
          <a:hlinkClick xmlns:r="http://schemas.openxmlformats.org/officeDocument/2006/relationships" r:id="rId7" tooltip="Haga clic para ver el inventario"/>
          <a:extLst>
            <a:ext uri="{FF2B5EF4-FFF2-40B4-BE49-F238E27FC236}">
              <a16:creationId xmlns:a16="http://schemas.microsoft.com/office/drawing/2014/main" id="{3791931A-8EC1-4848-9089-3F6462DEBA8C}"/>
            </a:ext>
          </a:extLst>
        </xdr:cNvPr>
        <xdr:cNvSpPr/>
      </xdr:nvSpPr>
      <xdr:spPr>
        <a:xfrm>
          <a:off x="10417888" y="923070"/>
          <a:ext cx="1935836" cy="434737"/>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latin typeface="Verdana" panose="020B0604030504040204" pitchFamily="34" charset="0"/>
              <a:ea typeface="Verdana" panose="020B0604030504040204" pitchFamily="34" charset="0"/>
              <a:cs typeface="Verdana" panose="020B0604030504040204" pitchFamily="34" charset="0"/>
            </a:rPr>
            <a:t>6.</a:t>
          </a:r>
          <a:r>
            <a:rPr lang="en-US" sz="900" b="1" baseline="0">
              <a:solidFill>
                <a:schemeClr val="bg1"/>
              </a:solidFill>
              <a:latin typeface="Verdana" panose="020B0604030504040204" pitchFamily="34" charset="0"/>
              <a:ea typeface="Verdana" panose="020B0604030504040204" pitchFamily="34" charset="0"/>
              <a:cs typeface="Verdana" panose="020B0604030504040204" pitchFamily="34" charset="0"/>
            </a:rPr>
            <a:t> Continuidad de Negocio</a:t>
          </a:r>
          <a:endParaRPr lang="en-US" sz="900" b="1">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alculadora%20personal%20de%20patrimonio%20neto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lina.torresg\Desktop\Riesgos%20y%20controles%20Bancam&#243;v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Users\AndresRojas\Documents\Bancamia\E:\Users\fjimenez\Desktop\Copia%20de%20MATRIZ%20R%20%20NORMATIVO%20PILOTO_Versi&#243;n%20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8M5RVBKP2\continuidad$\Control%20Interno\Supervision%20Integral%20Oficinas\Formatos%20Visitas%20Otras%20Dependencias\Formato%20Testing%20de%20Control%20-%20SARO.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nforme%20de%20ventas%20diario1"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Libro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5a2c7e7de2533ce8/Desktop/Maestr&#237;a%20proyecto/Supervisi&#243;n%20Integ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rimonio neto personal"/>
      <sheetName val="Cálculos"/>
    </sheetNames>
    <sheetDataSet>
      <sheetData sheetId="0" refreshError="1"/>
      <sheetData sheetId="1" refreshError="1">
        <row r="8">
          <cell r="C8" t="str">
            <v>Activos totales</v>
          </cell>
          <cell r="D8">
            <v>784530</v>
          </cell>
        </row>
        <row r="9">
          <cell r="D9">
            <v>575000</v>
          </cell>
        </row>
        <row r="10">
          <cell r="D10">
            <v>209530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Matriz SAR Consolidada"/>
      <sheetName val="Matriz SAR FINAL"/>
      <sheetName val="matriz_control"/>
      <sheetName val="Resumen valoración III TM 2016"/>
      <sheetName val="Valoración Controles"/>
      <sheetName val="Valoración Controles (2)"/>
      <sheetName val="Resultados valoración"/>
      <sheetName val="Resultados por dueño"/>
      <sheetName val="Criterios valoración Ajustado"/>
      <sheetName val="Catálogo riesgos"/>
      <sheetName val="Catálogo riesgos nuevo"/>
      <sheetName val="Catálogo riesgos III Tm"/>
      <sheetName val="Catalogo Riesgos IV TM"/>
      <sheetName val="Catálogo antiguo"/>
      <sheetName val="Listas"/>
      <sheetName val="Resumen catálogo anterior"/>
      <sheetName val="Riesgos eliminados"/>
      <sheetName val="Segmen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A2" t="str">
            <v>Clientes</v>
          </cell>
          <cell r="D2" t="str">
            <v>SARO</v>
          </cell>
          <cell r="E2" t="str">
            <v>1. FRAUDE INTERNO</v>
          </cell>
          <cell r="F2" t="str">
            <v>11.  Actividades No Autorizadas</v>
          </cell>
          <cell r="G2" t="str">
            <v>1101.  Uso indebido de facultades y poderes</v>
          </cell>
          <cell r="J2" t="str">
            <v>Reputacional</v>
          </cell>
          <cell r="K2">
            <v>1</v>
          </cell>
          <cell r="L2">
            <v>6.25</v>
          </cell>
          <cell r="N2" t="str">
            <v>Si</v>
          </cell>
          <cell r="O2" t="str">
            <v>Si</v>
          </cell>
          <cell r="P2" t="str">
            <v>Preventivo</v>
          </cell>
          <cell r="Q2" t="str">
            <v>Adecuado</v>
          </cell>
          <cell r="R2" t="str">
            <v>Manual</v>
          </cell>
          <cell r="S2" t="str">
            <v>No Documentado</v>
          </cell>
          <cell r="T2" t="str">
            <v>Si</v>
          </cell>
          <cell r="U2" t="str">
            <v>Si</v>
          </cell>
          <cell r="V2" t="str">
            <v>En el momento de la operación</v>
          </cell>
          <cell r="W2" t="str">
            <v xml:space="preserve">Las actividades en ejecución  no reflejan la documentación o viceversa. </v>
          </cell>
          <cell r="X2" t="str">
            <v>Sin Testing</v>
          </cell>
          <cell r="Y2" t="str">
            <v>Si</v>
          </cell>
          <cell r="Z2" t="str">
            <v>Probabilidad</v>
          </cell>
          <cell r="AA2" t="str">
            <v>Si</v>
          </cell>
        </row>
        <row r="3">
          <cell r="A3" t="str">
            <v xml:space="preserve">Productos </v>
          </cell>
          <cell r="D3" t="str">
            <v>SARLAFT</v>
          </cell>
          <cell r="E3" t="str">
            <v>2. FRAUDE EXTERNO</v>
          </cell>
          <cell r="F3" t="str">
            <v>12.  Hurto y Fraude</v>
          </cell>
          <cell r="G3" t="str">
            <v>1102.  Divulgación de Información privilegiada</v>
          </cell>
          <cell r="J3" t="str">
            <v>Legal</v>
          </cell>
          <cell r="K3">
            <v>2</v>
          </cell>
          <cell r="L3">
            <v>12.5</v>
          </cell>
          <cell r="N3" t="str">
            <v>No</v>
          </cell>
          <cell r="O3" t="str">
            <v>No</v>
          </cell>
          <cell r="P3" t="str">
            <v>Correctivo</v>
          </cell>
          <cell r="Q3" t="str">
            <v>Inadecuado</v>
          </cell>
          <cell r="R3" t="str">
            <v>Automático</v>
          </cell>
          <cell r="S3" t="str">
            <v>Desactualizado</v>
          </cell>
          <cell r="T3" t="str">
            <v>No</v>
          </cell>
          <cell r="U3" t="str">
            <v>No</v>
          </cell>
          <cell r="V3" t="str">
            <v>Diario</v>
          </cell>
          <cell r="W3" t="str">
            <v>La actividad y la documentación esta en conocimiento de quien ejecuta la actividad.</v>
          </cell>
          <cell r="X3" t="str">
            <v>Satisfactorio</v>
          </cell>
          <cell r="Y3" t="str">
            <v>No</v>
          </cell>
          <cell r="Z3" t="str">
            <v>Impacto</v>
          </cell>
          <cell r="AA3" t="str">
            <v>No</v>
          </cell>
        </row>
        <row r="4">
          <cell r="A4" t="str">
            <v>Canales</v>
          </cell>
          <cell r="D4" t="str">
            <v>FRAUDE</v>
          </cell>
          <cell r="E4" t="str">
            <v>3. RELACIONES LABORALES</v>
          </cell>
          <cell r="F4" t="str">
            <v>21.  Uso fraudulento de productos y servicios</v>
          </cell>
          <cell r="G4" t="str">
            <v>1103.  Otras operaciones no autorizadas</v>
          </cell>
          <cell r="J4" t="str">
            <v>De Contagio</v>
          </cell>
          <cell r="K4">
            <v>3</v>
          </cell>
          <cell r="L4">
            <v>25</v>
          </cell>
          <cell r="P4" t="str">
            <v>Detectivo</v>
          </cell>
          <cell r="R4" t="str">
            <v>Semiautomático</v>
          </cell>
          <cell r="S4" t="str">
            <v>Documentado</v>
          </cell>
          <cell r="V4" t="str">
            <v>Semanal</v>
          </cell>
          <cell r="W4" t="str">
            <v>La actividad se ejecuta conforme a la documentación.</v>
          </cell>
          <cell r="X4" t="str">
            <v>Aceptable</v>
          </cell>
          <cell r="Z4" t="str">
            <v>Probabilidad e Impacto</v>
          </cell>
        </row>
        <row r="5">
          <cell r="A5" t="str">
            <v>Jurisdicciones</v>
          </cell>
          <cell r="D5" t="str">
            <v>SEGURIDAD DE LA INFORMACIÓN</v>
          </cell>
          <cell r="E5" t="str">
            <v>4. CLIENTES, PRODUCTOS Y PRÁCTICAS EMPRESARIALES</v>
          </cell>
          <cell r="F5" t="str">
            <v>22.  Robos y Atracos</v>
          </cell>
          <cell r="G5" t="str">
            <v>1201.  Falsificación de documentos</v>
          </cell>
          <cell r="J5" t="str">
            <v>Operativo</v>
          </cell>
          <cell r="K5">
            <v>4</v>
          </cell>
          <cell r="L5">
            <v>50</v>
          </cell>
          <cell r="V5" t="str">
            <v>Quincenal</v>
          </cell>
          <cell r="X5" t="str">
            <v xml:space="preserve">Deficiente </v>
          </cell>
        </row>
        <row r="6">
          <cell r="A6" t="str">
            <v>Usuarios</v>
          </cell>
          <cell r="D6" t="str">
            <v>CONTINUIDAD DEL NEGOCIO</v>
          </cell>
          <cell r="E6" t="str">
            <v>5. DAÑOS EN ACTIVOS FISICOS (Desastres)</v>
          </cell>
          <cell r="F6" t="str">
            <v>23. Violación de la Seguridad Informática</v>
          </cell>
          <cell r="G6" t="str">
            <v>1202.  Vulneración de sistemas de identificación y de seguridad</v>
          </cell>
          <cell r="K6">
            <v>5</v>
          </cell>
          <cell r="L6">
            <v>100</v>
          </cell>
          <cell r="V6" t="str">
            <v>Mensual</v>
          </cell>
          <cell r="X6" t="str">
            <v>Muy deficiente</v>
          </cell>
        </row>
        <row r="7">
          <cell r="A7" t="str">
            <v>Socios Accionista</v>
          </cell>
          <cell r="D7" t="str">
            <v>NORMATIVO</v>
          </cell>
          <cell r="E7" t="str">
            <v>6. FALLAS TECNOLOGÍCAS</v>
          </cell>
          <cell r="F7" t="str">
            <v>24. Otros Fraudes externos</v>
          </cell>
          <cell r="G7" t="str">
            <v>1203.  Desfalco y malversación</v>
          </cell>
          <cell r="V7" t="str">
            <v>Bimestral</v>
          </cell>
        </row>
        <row r="8">
          <cell r="A8" t="str">
            <v>Proveedores</v>
          </cell>
          <cell r="D8" t="str">
            <v>CONTROL CONTABLE</v>
          </cell>
          <cell r="E8" t="str">
            <v xml:space="preserve">7. EJECUCIÓN Y ADMINISTRACIÓN DE PROCESOS </v>
          </cell>
          <cell r="F8" t="str">
            <v>31.  Gestión de Recursos Humanos</v>
          </cell>
          <cell r="G8" t="str">
            <v>1204.  Uso y/o divulgación de Información privilegiada</v>
          </cell>
          <cell r="V8" t="str">
            <v>Trimestral</v>
          </cell>
        </row>
        <row r="9">
          <cell r="A9" t="str">
            <v>Colaborador</v>
          </cell>
          <cell r="D9" t="str">
            <v>REPUTACIONAL</v>
          </cell>
          <cell r="F9" t="str">
            <v>32. Riesgos profesionales</v>
          </cell>
          <cell r="G9" t="str">
            <v>1205.  Espionaje Industrial</v>
          </cell>
          <cell r="V9" t="str">
            <v>Semestral</v>
          </cell>
        </row>
        <row r="10">
          <cell r="F10" t="str">
            <v>33.  Discriminación y Acoso</v>
          </cell>
          <cell r="G10" t="str">
            <v>1206.  Extorsión y soborno</v>
          </cell>
          <cell r="V10" t="str">
            <v>Anual</v>
          </cell>
        </row>
        <row r="11">
          <cell r="F11" t="str">
            <v>41.  Política comercial</v>
          </cell>
          <cell r="G11" t="str">
            <v>1207.  Otros fraudes internos</v>
          </cell>
          <cell r="V11" t="str">
            <v>Permanente</v>
          </cell>
        </row>
        <row r="12">
          <cell r="F12" t="str">
            <v>42.  Asesoramiento deficiente a clientes</v>
          </cell>
          <cell r="G12" t="str">
            <v>2101.  Uso indebido por terceros</v>
          </cell>
          <cell r="V12" t="str">
            <v>Esporadico/Sorpresivo</v>
          </cell>
        </row>
        <row r="13">
          <cell r="F13" t="str">
            <v>43.  Productos defectuosos</v>
          </cell>
          <cell r="G13" t="str">
            <v>2102.Mala utilización por el titular.</v>
          </cell>
          <cell r="V13" t="str">
            <v>Cuando se requiera</v>
          </cell>
        </row>
        <row r="14">
          <cell r="F14" t="str">
            <v>44.  Prácticas Comerciales Impropias</v>
          </cell>
          <cell r="G14" t="str">
            <v>2201.  Robos y Atracos</v>
          </cell>
        </row>
        <row r="15">
          <cell r="F15" t="str">
            <v>51.  Accidentes y Siniestros Naturales</v>
          </cell>
          <cell r="G15" t="str">
            <v>2301.  Utilización inadecuada de claves de acceso y/o niveles de autorización</v>
          </cell>
        </row>
        <row r="16">
          <cell r="F16" t="str">
            <v>52.  Siniestros provocados</v>
          </cell>
          <cell r="G16" t="str">
            <v>2302.  Fraude informático</v>
          </cell>
        </row>
        <row r="17">
          <cell r="F17" t="str">
            <v>53. Accidentes y seguridad pública</v>
          </cell>
          <cell r="G17" t="str">
            <v xml:space="preserve">2401. Uso fraudulento de cheques y transferencias.  </v>
          </cell>
        </row>
        <row r="18">
          <cell r="F18" t="str">
            <v>61.  Deficiencias en Tecnología</v>
          </cell>
          <cell r="G18" t="str">
            <v>2402. Falsificación de documentos</v>
          </cell>
        </row>
        <row r="19">
          <cell r="F19" t="str">
            <v>71. Errores y omisiones en procesos</v>
          </cell>
          <cell r="G19" t="str">
            <v>2403. Suplantación de personalidad</v>
          </cell>
        </row>
        <row r="20">
          <cell r="F20" t="str">
            <v>72.  Incumplimiento de la Normativa</v>
          </cell>
          <cell r="G20" t="str">
            <v>2404.Uso y/o divulgación de información privilegiada.</v>
          </cell>
        </row>
        <row r="21">
          <cell r="F21" t="str">
            <v>73.  Errores en la Administración y Gestión de Activos.</v>
          </cell>
          <cell r="G21" t="str">
            <v xml:space="preserve">2405. Espionaje industrial. </v>
          </cell>
        </row>
        <row r="22">
          <cell r="F22" t="str">
            <v>74.  Errores en documentación y contratos legales</v>
          </cell>
          <cell r="G22" t="str">
            <v>2406. Extorsión y soborno.</v>
          </cell>
        </row>
        <row r="23">
          <cell r="F23" t="str">
            <v>75.  Incumplimiento de contratos</v>
          </cell>
          <cell r="G23" t="str">
            <v>2407. Secuestros y rescates.</v>
          </cell>
        </row>
        <row r="24">
          <cell r="G24" t="str">
            <v>2408. Contrabando.</v>
          </cell>
        </row>
        <row r="25">
          <cell r="G25" t="str">
            <v>2409. Estafas.</v>
          </cell>
        </row>
        <row r="26">
          <cell r="G26" t="str">
            <v>3101.  Deficiencias en la contratación</v>
          </cell>
        </row>
        <row r="27">
          <cell r="G27" t="str">
            <v>3102.  Huelgas</v>
          </cell>
        </row>
        <row r="28">
          <cell r="G28" t="str">
            <v>3103.  Despidos improcedentes</v>
          </cell>
        </row>
        <row r="29">
          <cell r="G29" t="str">
            <v>3104.  Admisión forzosa de personal externo</v>
          </cell>
        </row>
        <row r="30">
          <cell r="G30" t="str">
            <v>3105.  Retribución y beneficios sociales</v>
          </cell>
        </row>
        <row r="31">
          <cell r="G31" t="str">
            <v>3106. Deficiencias en las Capacitaciones</v>
          </cell>
        </row>
        <row r="32">
          <cell r="G32" t="str">
            <v>3201.  Multas y sanciones</v>
          </cell>
        </row>
        <row r="33">
          <cell r="G33" t="str">
            <v>3202.  Accidentes de trabajo</v>
          </cell>
        </row>
        <row r="34">
          <cell r="G34" t="str">
            <v>3203.  Enfermedades profesionales</v>
          </cell>
        </row>
        <row r="35">
          <cell r="G35" t="str">
            <v>3301.  Difamación e invasión de la intimidad</v>
          </cell>
        </row>
        <row r="36">
          <cell r="G36" t="str">
            <v>3302.  Discriminación</v>
          </cell>
        </row>
        <row r="37">
          <cell r="G37" t="str">
            <v>4101 Pérdidas por indemnizaciones,  sanciones, compensaciones</v>
          </cell>
        </row>
        <row r="38">
          <cell r="G38" t="str">
            <v>4201. Mala Asesoría</v>
          </cell>
        </row>
        <row r="39">
          <cell r="G39" t="str">
            <v>4301. Mal funcionamiento de los productos</v>
          </cell>
        </row>
        <row r="40">
          <cell r="G40" t="str">
            <v>4401. Incumplimiento de contratos</v>
          </cell>
        </row>
        <row r="41">
          <cell r="G41" t="str">
            <v>4402.  Discriminación</v>
          </cell>
        </row>
        <row r="42">
          <cell r="G42" t="str">
            <v>4403.  Dumping</v>
          </cell>
        </row>
        <row r="43">
          <cell r="G43" t="str">
            <v>4404.  Sobreprecios</v>
          </cell>
        </row>
        <row r="44">
          <cell r="G44" t="str">
            <v>4405.  Sobornos y comisiones ocultas</v>
          </cell>
        </row>
        <row r="45">
          <cell r="G45" t="str">
            <v>4406.  Blanqueo de capitales</v>
          </cell>
        </row>
        <row r="46">
          <cell r="G46" t="str">
            <v>4407.  Venta engañosa y ocultación de riesgos</v>
          </cell>
        </row>
        <row r="47">
          <cell r="G47" t="str">
            <v>4501.  Pérdidas por incumplimiento de las instrucciones de clientes</v>
          </cell>
        </row>
        <row r="48">
          <cell r="G48" t="str">
            <v>5101. Pérdidas por interrupción de la actividad</v>
          </cell>
        </row>
        <row r="49">
          <cell r="G49" t="str">
            <v>5102. Daños en Inmuebles</v>
          </cell>
        </row>
        <row r="50">
          <cell r="G50" t="str">
            <v>5103. Daños en instalaciones</v>
          </cell>
        </row>
        <row r="51">
          <cell r="G51" t="str">
            <v>5104. Daños en vehículos</v>
          </cell>
        </row>
        <row r="52">
          <cell r="G52" t="str">
            <v>5105. Daños en personas</v>
          </cell>
        </row>
        <row r="53">
          <cell r="G53" t="str">
            <v>5201. Pérdidas por interrupción de la actividad</v>
          </cell>
        </row>
        <row r="54">
          <cell r="G54" t="str">
            <v>5202. Daños en Inmuebles</v>
          </cell>
        </row>
        <row r="55">
          <cell r="G55" t="str">
            <v>5203. Daños en instalaciones</v>
          </cell>
        </row>
        <row r="56">
          <cell r="G56" t="str">
            <v>5204. Daños en vehículos</v>
          </cell>
        </row>
        <row r="57">
          <cell r="G57" t="str">
            <v>5205. Daños en personas</v>
          </cell>
        </row>
        <row r="58">
          <cell r="G58" t="str">
            <v>5301 Accidentes y seguridad pública</v>
          </cell>
        </row>
        <row r="59">
          <cell r="G59" t="str">
            <v>6101. Arquitectura de sistemas inadecuada</v>
          </cell>
        </row>
        <row r="60">
          <cell r="G60" t="str">
            <v>6102. Fallos en la implementación de sistemas</v>
          </cell>
        </row>
        <row r="61">
          <cell r="G61" t="str">
            <v>6103. Fallos de Hardware</v>
          </cell>
        </row>
        <row r="62">
          <cell r="G62" t="str">
            <v>6104. Fallos de Software</v>
          </cell>
        </row>
        <row r="63">
          <cell r="G63" t="str">
            <v>6105. Fallos en las comunicaciones y redes</v>
          </cell>
        </row>
        <row r="64">
          <cell r="G64" t="str">
            <v>7101. Inconsistencias o fallas en la información</v>
          </cell>
        </row>
        <row r="65">
          <cell r="G65" t="str">
            <v>7102.  Errores en la operativa</v>
          </cell>
        </row>
        <row r="66">
          <cell r="G66" t="str">
            <v>7103.  Errores en la comunicación a clientes</v>
          </cell>
        </row>
        <row r="67">
          <cell r="G67" t="str">
            <v>7104.  Implantaciones deficientes</v>
          </cell>
        </row>
        <row r="68">
          <cell r="G68" t="str">
            <v>7105.  Deficiencias en procesos legales y jurídicos</v>
          </cell>
        </row>
        <row r="69">
          <cell r="G69" t="str">
            <v>7201.  Incumplimiento de la Normativa fiscal</v>
          </cell>
        </row>
        <row r="70">
          <cell r="G70" t="str">
            <v xml:space="preserve">7202.  Incumplimiento de la normativa bancaria </v>
          </cell>
        </row>
        <row r="71">
          <cell r="G71" t="str">
            <v>7203.  Incumplimiento de la normativa de seguridad</v>
          </cell>
        </row>
        <row r="72">
          <cell r="G72" t="str">
            <v>7204.  Incumplimiento de otras normas</v>
          </cell>
        </row>
        <row r="73">
          <cell r="G73" t="str">
            <v>7301.  Deficiente gestión y administración de activos</v>
          </cell>
        </row>
        <row r="74">
          <cell r="G74" t="str">
            <v>7401.  Deficiente diseño de contratos</v>
          </cell>
        </row>
        <row r="75">
          <cell r="G75" t="str">
            <v>7402.  Errores tipográficos en los contratos</v>
          </cell>
        </row>
        <row r="76">
          <cell r="G76" t="str">
            <v>7403.  Ausencia de contratos o con cláusulas erróneas</v>
          </cell>
        </row>
        <row r="77">
          <cell r="G77" t="str">
            <v>7404.  Pérdida de contratos</v>
          </cell>
        </row>
        <row r="78">
          <cell r="G78" t="str">
            <v>7405.  Defectos formales en los contratos que lo invaliden</v>
          </cell>
        </row>
        <row r="79">
          <cell r="G79" t="str">
            <v>7501.  Incumplimiento de contratos</v>
          </cell>
        </row>
      </sheetData>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splegab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Testing"/>
      <sheetName val="Hoja1"/>
    </sheetNames>
    <sheetDataSet>
      <sheetData sheetId="0"/>
      <sheetData sheetId="1">
        <row r="1">
          <cell r="B1" t="str">
            <v>Se cumple</v>
          </cell>
        </row>
        <row r="2">
          <cell r="B2" t="str">
            <v>No se cumple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Operativa"/>
      <sheetName val="Sistemática"/>
      <sheetName val="Infraestructura"/>
    </sheetNames>
    <sheetDataSet>
      <sheetData sheetId="0"/>
      <sheetData sheetId="1">
        <row r="8">
          <cell r="G8" t="str">
            <v xml:space="preserve">Total </v>
          </cell>
        </row>
        <row r="9">
          <cell r="G9">
            <v>78.697500000000005</v>
          </cell>
        </row>
        <row r="10">
          <cell r="G10">
            <v>15.729000000000001</v>
          </cell>
        </row>
        <row r="11">
          <cell r="G11">
            <v>3.0975000000000001</v>
          </cell>
        </row>
        <row r="12">
          <cell r="G12">
            <v>58.747500000000002</v>
          </cell>
        </row>
        <row r="13">
          <cell r="G13">
            <v>36.7395</v>
          </cell>
        </row>
        <row r="14">
          <cell r="G14">
            <v>193.011</v>
          </cell>
        </row>
      </sheetData>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O"/>
      <sheetName val="SGSI"/>
      <sheetName val="SAC"/>
      <sheetName val="SGSF"/>
      <sheetName val="Formato 5 - SARLAFT"/>
      <sheetName val="Formato 6 - Continuidad Negocio"/>
      <sheetName val="AGRUPACIONES"/>
      <sheetName val="Libro1"/>
    </sheetNames>
    <definedNames>
      <definedName name="PT_FilaInicio"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Act. con y sin desplazamiento"/>
      <sheetName val="3. Directorio Actividades"/>
      <sheetName val="4. Directorio Integrado"/>
      <sheetName val="5. Análisis Dinamica"/>
      <sheetName val="Informe de Resultado"/>
      <sheetName val="Riesgo Operativo"/>
      <sheetName val="Seguridad de la Información"/>
      <sheetName val="SAC"/>
      <sheetName val=" Seguridad Financiera"/>
      <sheetName val="SARLAFT"/>
      <sheetName val="Riesgo Continuidad Negocio"/>
      <sheetName val="Formato 1- Riesgo Operativo"/>
      <sheetName val="Formato 2 - SGSI"/>
      <sheetName val="Formato 3 - SAC"/>
      <sheetName val="Formato 4 - SGSF"/>
      <sheetName val="Formato 5 - SARLAFT"/>
      <sheetName val="Formato 6 - Continuidad Negocio"/>
      <sheetName val="AGRUPACIONES"/>
      <sheetName val="5. Formato Testing"/>
      <sheetName val="Lista dimensiones"/>
      <sheetName val="Formato 1- SARO"/>
      <sheetName val="Formato 6 - PCN"/>
    </sheetNames>
    <sheetDataSet>
      <sheetData sheetId="0"/>
      <sheetData sheetId="1"/>
      <sheetData sheetId="2"/>
      <sheetData sheetId="3">
        <row r="4">
          <cell r="B4" t="str">
            <v>1.1.1.001</v>
          </cell>
          <cell r="C4">
            <v>1</v>
          </cell>
          <cell r="D4" t="str">
            <v>Riesgo Operativo</v>
          </cell>
          <cell r="E4" t="str">
            <v>1.1</v>
          </cell>
          <cell r="F4" t="str">
            <v>Controles de Seguridad de la Información</v>
          </cell>
          <cell r="G4" t="str">
            <v>1.1.1</v>
          </cell>
          <cell r="H4" t="str">
            <v>Revisión de imagen corporativa</v>
          </cell>
          <cell r="I4" t="str">
            <v>1.1.1.001</v>
          </cell>
          <cell r="J4" t="str">
            <v>Los colaboradores portan el uniforme según lo establecido en el manual de imagen.</v>
          </cell>
          <cell r="K4" t="str">
            <v>Presencial</v>
          </cell>
          <cell r="L4" t="str">
            <v>X</v>
          </cell>
          <cell r="M4" t="str">
            <v>SARO/SAC/SGSF</v>
          </cell>
          <cell r="N4" t="str">
            <v>SARO</v>
          </cell>
        </row>
        <row r="5">
          <cell r="B5" t="str">
            <v>1.1.1.002</v>
          </cell>
          <cell r="C5">
            <v>1</v>
          </cell>
          <cell r="D5" t="str">
            <v>Riesgo Operativo</v>
          </cell>
          <cell r="E5" t="str">
            <v>1.1</v>
          </cell>
          <cell r="F5" t="str">
            <v>Controles de Seguridad de la Información</v>
          </cell>
          <cell r="G5" t="str">
            <v>1.1.1</v>
          </cell>
          <cell r="H5" t="str">
            <v>Revisión de imagen corporativa</v>
          </cell>
          <cell r="I5" t="str">
            <v>1.1.1.002</v>
          </cell>
          <cell r="J5" t="str">
            <v>Los colaboradores tiene y usan el carné en un lugar visible durante la jornada laboral.</v>
          </cell>
          <cell r="K5" t="str">
            <v>Presencial</v>
          </cell>
          <cell r="L5" t="str">
            <v>X</v>
          </cell>
          <cell r="M5" t="str">
            <v>SARO/SAC/SGSF</v>
          </cell>
          <cell r="N5" t="str">
            <v>SARO</v>
          </cell>
        </row>
        <row r="6">
          <cell r="B6" t="str">
            <v>1.1.1.003</v>
          </cell>
          <cell r="C6">
            <v>1</v>
          </cell>
          <cell r="D6" t="str">
            <v>Riesgo Operativo</v>
          </cell>
          <cell r="E6" t="str">
            <v>1.1</v>
          </cell>
          <cell r="F6" t="str">
            <v>Controles de Seguridad de la Información</v>
          </cell>
          <cell r="G6" t="str">
            <v>1.1.1</v>
          </cell>
          <cell r="H6" t="str">
            <v>Revisión de imagen corporativa</v>
          </cell>
          <cell r="I6" t="str">
            <v>1.1.1.003</v>
          </cell>
          <cell r="J6" t="str">
            <v>Los colaboradores parquean vehículos (motos) dentro de la oficina.</v>
          </cell>
          <cell r="K6" t="str">
            <v>Actividad a Distancia</v>
          </cell>
          <cell r="L6" t="str">
            <v>X</v>
          </cell>
          <cell r="M6" t="str">
            <v>SARO/SGSI/SGSF</v>
          </cell>
          <cell r="N6" t="str">
            <v>SARO</v>
          </cell>
        </row>
        <row r="7">
          <cell r="B7" t="str">
            <v>1.1.2.001</v>
          </cell>
          <cell r="C7">
            <v>1</v>
          </cell>
          <cell r="D7" t="str">
            <v>Riesgo Operativo</v>
          </cell>
          <cell r="E7" t="str">
            <v>1.1</v>
          </cell>
          <cell r="F7" t="str">
            <v>Controles de Seguridad de la Información</v>
          </cell>
          <cell r="G7" t="str">
            <v>1.1.2</v>
          </cell>
          <cell r="H7" t="str">
            <v>Revisión de Inventario</v>
          </cell>
          <cell r="I7" t="str">
            <v>1.1.2.001</v>
          </cell>
          <cell r="J7" t="str">
            <v>Se realiza inventario a los activos de la oficina (solicitar último inventario).</v>
          </cell>
          <cell r="K7" t="str">
            <v>Actividad a Distancia</v>
          </cell>
          <cell r="L7" t="str">
            <v>X</v>
          </cell>
          <cell r="M7" t="str">
            <v>SARO/SGSI</v>
          </cell>
          <cell r="N7" t="str">
            <v>SARO</v>
          </cell>
        </row>
        <row r="8">
          <cell r="B8" t="str">
            <v>1.1.3.001</v>
          </cell>
          <cell r="C8">
            <v>1</v>
          </cell>
          <cell r="D8" t="str">
            <v>Riesgo Operativo</v>
          </cell>
          <cell r="E8" t="str">
            <v>1.1</v>
          </cell>
          <cell r="F8" t="str">
            <v>Controles de Seguridad de la Información</v>
          </cell>
          <cell r="G8" t="str">
            <v>1.1.3</v>
          </cell>
          <cell r="H8" t="str">
            <v>Revisión en bóveda</v>
          </cell>
          <cell r="I8" t="str">
            <v>1.1.3.001</v>
          </cell>
          <cell r="J8" t="str">
            <v>La puerta principal de la oficina permanece cerrada cuando la bóveda está abierta.</v>
          </cell>
          <cell r="K8" t="str">
            <v>Actividad a Distancia</v>
          </cell>
          <cell r="L8" t="str">
            <v>X</v>
          </cell>
          <cell r="M8" t="str">
            <v>SARO/SGSF</v>
          </cell>
          <cell r="N8" t="str">
            <v>SARO</v>
          </cell>
        </row>
        <row r="9">
          <cell r="B9" t="str">
            <v>1.1.3.002</v>
          </cell>
          <cell r="C9">
            <v>1</v>
          </cell>
          <cell r="D9" t="str">
            <v>Riesgo Operativo</v>
          </cell>
          <cell r="E9" t="str">
            <v>1.1</v>
          </cell>
          <cell r="F9" t="str">
            <v>Controles de Seguridad de la Información</v>
          </cell>
          <cell r="G9" t="str">
            <v>1.1.3</v>
          </cell>
          <cell r="H9" t="str">
            <v>Revisión en bóveda</v>
          </cell>
          <cell r="I9" t="str">
            <v>1.1.3.002</v>
          </cell>
          <cell r="J9" t="str">
            <v>Existe libro de bóveda y  este evidencia  del registro de las operaciones diarias.</v>
          </cell>
          <cell r="K9" t="str">
            <v>Presencial</v>
          </cell>
          <cell r="L9" t="str">
            <v>X</v>
          </cell>
          <cell r="M9" t="str">
            <v>SARO/SGSF</v>
          </cell>
          <cell r="N9" t="str">
            <v>SARO</v>
          </cell>
        </row>
        <row r="10">
          <cell r="B10" t="str">
            <v>1.1.3.003</v>
          </cell>
          <cell r="C10">
            <v>1</v>
          </cell>
          <cell r="D10" t="str">
            <v>Riesgo Operativo</v>
          </cell>
          <cell r="E10" t="str">
            <v>1.1</v>
          </cell>
          <cell r="F10" t="str">
            <v>Controles de Seguridad de la Información</v>
          </cell>
          <cell r="G10" t="str">
            <v>1.1.3</v>
          </cell>
          <cell r="H10" t="str">
            <v>Revisión en bóveda</v>
          </cell>
          <cell r="I10" t="str">
            <v>1.1.3.003</v>
          </cell>
          <cell r="J10" t="str">
            <v>Mensualmente se realiza el arqueo de fin de mes a bóveda según lo estipulado en el manual de manejo de efectivo. OP-MME. y se encuentran actas de arqueo.</v>
          </cell>
          <cell r="K10" t="str">
            <v>Presencial</v>
          </cell>
          <cell r="L10" t="str">
            <v>X</v>
          </cell>
          <cell r="M10" t="str">
            <v>SARO</v>
          </cell>
          <cell r="N10" t="str">
            <v>SARO</v>
          </cell>
        </row>
        <row r="11">
          <cell r="B11" t="str">
            <v>1.1.3.004</v>
          </cell>
          <cell r="C11">
            <v>1</v>
          </cell>
          <cell r="D11" t="str">
            <v>Riesgo Operativo</v>
          </cell>
          <cell r="E11" t="str">
            <v>1.1</v>
          </cell>
          <cell r="F11" t="str">
            <v>Controles de Seguridad de la Información</v>
          </cell>
          <cell r="G11" t="str">
            <v>1.1.3</v>
          </cell>
          <cell r="H11" t="str">
            <v>Revisión en bóveda</v>
          </cell>
          <cell r="I11" t="str">
            <v>1.1.3.004</v>
          </cell>
          <cell r="J11" t="str">
            <v>La bóveda permanece cerrada, diales borrados y asegurada cuando no esta en uso.</v>
          </cell>
          <cell r="K11" t="str">
            <v>Presencial</v>
          </cell>
          <cell r="L11" t="str">
            <v>X</v>
          </cell>
          <cell r="M11" t="str">
            <v>SARO/SGSF</v>
          </cell>
          <cell r="N11" t="str">
            <v>SARO</v>
          </cell>
        </row>
        <row r="12">
          <cell r="B12" t="str">
            <v>1.1.3.005</v>
          </cell>
          <cell r="C12">
            <v>1</v>
          </cell>
          <cell r="D12" t="str">
            <v>Riesgo Operativo</v>
          </cell>
          <cell r="E12" t="str">
            <v>1.1</v>
          </cell>
          <cell r="F12" t="str">
            <v>Controles de Seguridad de la Información</v>
          </cell>
          <cell r="G12" t="str">
            <v>1.1.3</v>
          </cell>
          <cell r="H12" t="str">
            <v>Revisión en bóveda</v>
          </cell>
          <cell r="I12" t="str">
            <v>1.1.3.005</v>
          </cell>
          <cell r="J12" t="str">
            <v>Se realiza el control dual para la apertura de bóveda.</v>
          </cell>
          <cell r="K12" t="str">
            <v>Actividad a Distancia</v>
          </cell>
          <cell r="L12" t="str">
            <v>X</v>
          </cell>
          <cell r="M12" t="str">
            <v>SARO/SGSF</v>
          </cell>
          <cell r="N12" t="str">
            <v>SARO</v>
          </cell>
        </row>
        <row r="13">
          <cell r="B13" t="str">
            <v>1.1.4.001</v>
          </cell>
          <cell r="C13">
            <v>1</v>
          </cell>
          <cell r="D13" t="str">
            <v>Riesgo Operativo</v>
          </cell>
          <cell r="E13" t="str">
            <v>1.1</v>
          </cell>
          <cell r="F13" t="str">
            <v>Controles de Seguridad de la Información</v>
          </cell>
          <cell r="G13" t="str">
            <v>1.1.4</v>
          </cell>
          <cell r="H13" t="str">
            <v>Revisión en caja</v>
          </cell>
          <cell r="I13" t="str">
            <v>1.1.4.001</v>
          </cell>
          <cell r="J13" t="str">
            <v>Verificar que durante la apertura, atención y cierre al público, el efectivo se encuentra debidamente custodiado: comprobar que la bóveda o caja fuerte se encuentre cerrada con llave, clave y con el retardo activado y que no exista efectivo fuera de los medios de custodia (puestos de caja, dispensadores habilitados, etc.).</v>
          </cell>
          <cell r="K13" t="str">
            <v>Presencial</v>
          </cell>
          <cell r="L13" t="str">
            <v>X</v>
          </cell>
          <cell r="M13" t="str">
            <v>SARO/SGSF</v>
          </cell>
          <cell r="N13" t="str">
            <v>SARO</v>
          </cell>
        </row>
        <row r="14">
          <cell r="B14" t="str">
            <v>1.1.4.002</v>
          </cell>
          <cell r="C14">
            <v>1</v>
          </cell>
          <cell r="D14" t="str">
            <v>Riesgo Operativo</v>
          </cell>
          <cell r="E14" t="str">
            <v>1.1</v>
          </cell>
          <cell r="F14" t="str">
            <v>Controles de Seguridad de la Información</v>
          </cell>
          <cell r="G14" t="str">
            <v>1.1.4</v>
          </cell>
          <cell r="H14" t="str">
            <v>Revisión en caja</v>
          </cell>
          <cell r="I14" t="str">
            <v>1.1.4.002</v>
          </cell>
          <cell r="J14" t="str">
            <v>Se realizan arqueos en caja diariamente.</v>
          </cell>
          <cell r="K14" t="str">
            <v>Actividad a Distancia</v>
          </cell>
          <cell r="L14" t="str">
            <v>X</v>
          </cell>
          <cell r="M14" t="str">
            <v>SARO</v>
          </cell>
          <cell r="N14" t="str">
            <v>SARO</v>
          </cell>
        </row>
        <row r="15">
          <cell r="B15" t="str">
            <v>1.1.4.003</v>
          </cell>
          <cell r="C15">
            <v>1</v>
          </cell>
          <cell r="D15" t="str">
            <v>Riesgo Operativo</v>
          </cell>
          <cell r="E15" t="str">
            <v>1.1</v>
          </cell>
          <cell r="F15" t="str">
            <v>Controles de Seguridad de la Información</v>
          </cell>
          <cell r="G15" t="str">
            <v>1.1.4</v>
          </cell>
          <cell r="H15" t="str">
            <v>Revisión en caja</v>
          </cell>
          <cell r="I15" t="str">
            <v>1.1.4.003</v>
          </cell>
          <cell r="J15" t="str">
            <v>Se conservan actas de arqueo de caja general.</v>
          </cell>
          <cell r="K15" t="str">
            <v>Actividad a Distancia</v>
          </cell>
          <cell r="L15" t="str">
            <v>X</v>
          </cell>
          <cell r="M15" t="str">
            <v>SARO</v>
          </cell>
          <cell r="N15" t="str">
            <v>SARO</v>
          </cell>
        </row>
        <row r="16">
          <cell r="B16" t="str">
            <v>1.1.4.004</v>
          </cell>
          <cell r="C16">
            <v>1</v>
          </cell>
          <cell r="D16" t="str">
            <v>Riesgo Operativo</v>
          </cell>
          <cell r="E16" t="str">
            <v>1.1</v>
          </cell>
          <cell r="F16" t="str">
            <v>Controles de Seguridad de la Información</v>
          </cell>
          <cell r="G16" t="str">
            <v>1.1.4</v>
          </cell>
          <cell r="H16" t="str">
            <v>Revisión en caja</v>
          </cell>
          <cell r="I16" t="str">
            <v>1.1.4.004</v>
          </cell>
          <cell r="J16" t="str">
            <v>Se conservan actas de la verificación del control en la custodia del efectivo.</v>
          </cell>
          <cell r="K16" t="str">
            <v>Actividad a Distancia</v>
          </cell>
          <cell r="L16" t="str">
            <v>X</v>
          </cell>
          <cell r="M16" t="str">
            <v>SARO</v>
          </cell>
          <cell r="N16" t="str">
            <v>SARO</v>
          </cell>
        </row>
        <row r="17">
          <cell r="B17" t="str">
            <v>1.1.4.005</v>
          </cell>
          <cell r="C17">
            <v>1</v>
          </cell>
          <cell r="D17" t="str">
            <v>Riesgo Operativo</v>
          </cell>
          <cell r="E17" t="str">
            <v>1.1</v>
          </cell>
          <cell r="F17" t="str">
            <v>Controles de Seguridad de la Información</v>
          </cell>
          <cell r="G17" t="str">
            <v>1.1.4</v>
          </cell>
          <cell r="H17" t="str">
            <v>Revisión en caja</v>
          </cell>
          <cell r="I17" t="str">
            <v>1.1.4.005</v>
          </cell>
          <cell r="J17" t="str">
            <v>El biométrico y los datáfonos se encuentran ubicados adecuadamente.</v>
          </cell>
          <cell r="K17" t="str">
            <v>Presencial</v>
          </cell>
          <cell r="L17" t="str">
            <v>X</v>
          </cell>
          <cell r="M17" t="str">
            <v>SARO/SGSF</v>
          </cell>
          <cell r="N17" t="str">
            <v>SARO</v>
          </cell>
        </row>
        <row r="18">
          <cell r="B18" t="str">
            <v>1.1.4.006</v>
          </cell>
          <cell r="C18">
            <v>1</v>
          </cell>
          <cell r="D18" t="str">
            <v>Riesgo Operativo</v>
          </cell>
          <cell r="E18" t="str">
            <v>1.1</v>
          </cell>
          <cell r="F18" t="str">
            <v>Controles de Seguridad de la Información</v>
          </cell>
          <cell r="G18" t="str">
            <v>1.1.4</v>
          </cell>
          <cell r="H18" t="str">
            <v>Revisión en caja</v>
          </cell>
          <cell r="I18" t="str">
            <v>1.1.4.006</v>
          </cell>
          <cell r="J18" t="str">
            <v>La puerta de acceso al área de caja permanece cerrada.</v>
          </cell>
          <cell r="K18" t="str">
            <v>Actividad a Distancia</v>
          </cell>
          <cell r="L18" t="str">
            <v>X</v>
          </cell>
          <cell r="M18" t="str">
            <v>SARO/SGSF</v>
          </cell>
          <cell r="N18" t="str">
            <v>SARO</v>
          </cell>
        </row>
        <row r="19">
          <cell r="B19" t="str">
            <v>1.1.4.007</v>
          </cell>
          <cell r="C19">
            <v>1</v>
          </cell>
          <cell r="D19" t="str">
            <v>Riesgo Operativo</v>
          </cell>
          <cell r="E19" t="str">
            <v>1.1</v>
          </cell>
          <cell r="F19" t="str">
            <v>Controles de Seguridad de la Información</v>
          </cell>
          <cell r="G19" t="str">
            <v>1.1.4</v>
          </cell>
          <cell r="H19" t="str">
            <v>Revisión en caja</v>
          </cell>
          <cell r="I19" t="str">
            <v>1.1.4.007</v>
          </cell>
          <cell r="J19" t="str">
            <v>El cofre o trampero permanece cerrado y asegurado cuando no se usa.</v>
          </cell>
          <cell r="K19" t="str">
            <v>Presencial</v>
          </cell>
          <cell r="L19" t="str">
            <v>X</v>
          </cell>
          <cell r="M19" t="str">
            <v>SARO/SGSF</v>
          </cell>
          <cell r="N19" t="str">
            <v>SARO</v>
          </cell>
        </row>
        <row r="20">
          <cell r="B20" t="str">
            <v>1.1.4.008</v>
          </cell>
          <cell r="C20">
            <v>1</v>
          </cell>
          <cell r="D20" t="str">
            <v>Riesgo Operativo</v>
          </cell>
          <cell r="E20" t="str">
            <v>1.1</v>
          </cell>
          <cell r="F20" t="str">
            <v>Controles de Seguridad de la Información</v>
          </cell>
          <cell r="G20" t="str">
            <v>1.1.4</v>
          </cell>
          <cell r="H20" t="str">
            <v>Revisión en caja</v>
          </cell>
          <cell r="I20" t="str">
            <v>1.1.4.008</v>
          </cell>
          <cell r="J20" t="str">
            <v xml:space="preserve">El tope de efectivo en caja  se encuentra de acuerdo a lo establecido en manual de manejo de efectivo. </v>
          </cell>
          <cell r="K20" t="str">
            <v>Presencial</v>
          </cell>
          <cell r="L20" t="str">
            <v>X</v>
          </cell>
          <cell r="M20" t="str">
            <v>SARO/SGSF</v>
          </cell>
          <cell r="N20" t="str">
            <v>SARO</v>
          </cell>
        </row>
        <row r="21">
          <cell r="B21" t="str">
            <v>1.1.4.009</v>
          </cell>
          <cell r="C21">
            <v>1</v>
          </cell>
          <cell r="D21" t="str">
            <v>Riesgo Operativo</v>
          </cell>
          <cell r="E21" t="str">
            <v>1.1</v>
          </cell>
          <cell r="F21" t="str">
            <v>Controles de Seguridad de la Información</v>
          </cell>
          <cell r="G21" t="str">
            <v>1.1.4</v>
          </cell>
          <cell r="H21" t="str">
            <v>Revisión en caja</v>
          </cell>
          <cell r="I21" t="str">
            <v>1.1.4.009</v>
          </cell>
          <cell r="J21" t="str">
            <v>Se realiza control dual por parte del gestor II en la transacciones que se requiere en caja.</v>
          </cell>
          <cell r="K21" t="str">
            <v>Actividad a Distancia</v>
          </cell>
          <cell r="L21" t="str">
            <v>X</v>
          </cell>
          <cell r="M21" t="str">
            <v>SARO/SGSF</v>
          </cell>
          <cell r="N21" t="str">
            <v>SARO</v>
          </cell>
        </row>
        <row r="22">
          <cell r="B22" t="str">
            <v>1.1.4.010</v>
          </cell>
          <cell r="C22">
            <v>1</v>
          </cell>
          <cell r="D22" t="str">
            <v>Riesgo Operativo</v>
          </cell>
          <cell r="E22" t="str">
            <v>1.1</v>
          </cell>
          <cell r="F22" t="str">
            <v>Controles de Seguridad de la Información</v>
          </cell>
          <cell r="G22" t="str">
            <v>1.1.4</v>
          </cell>
          <cell r="H22" t="str">
            <v>Revisión en caja</v>
          </cell>
          <cell r="I22" t="str">
            <v>1.1.4.010</v>
          </cell>
          <cell r="J22" t="str">
            <v>El cajero conoce sobre  validación del documento de identidad, visacion de huella y firma en las transacciones.</v>
          </cell>
          <cell r="K22" t="str">
            <v>Presencial</v>
          </cell>
          <cell r="L22" t="str">
            <v>X</v>
          </cell>
          <cell r="M22" t="str">
            <v>SARO/SGSF</v>
          </cell>
          <cell r="N22" t="str">
            <v>SARO</v>
          </cell>
        </row>
        <row r="23">
          <cell r="B23" t="str">
            <v>1.1.4.011</v>
          </cell>
          <cell r="C23">
            <v>1</v>
          </cell>
          <cell r="D23" t="str">
            <v>Riesgo Operativo</v>
          </cell>
          <cell r="E23" t="str">
            <v>1.1</v>
          </cell>
          <cell r="F23" t="str">
            <v>Controles de Seguridad de la Información</v>
          </cell>
          <cell r="G23" t="str">
            <v>1.1.4</v>
          </cell>
          <cell r="H23" t="str">
            <v>Revisión en caja</v>
          </cell>
          <cell r="I23" t="str">
            <v>1.1.4.011</v>
          </cell>
          <cell r="J23" t="str">
            <v>Se lleva por parte del cajero planilla de ofrecimiento de acompañamiento por parte de la policía.</v>
          </cell>
          <cell r="K23" t="str">
            <v>Presencial</v>
          </cell>
          <cell r="L23" t="str">
            <v>X</v>
          </cell>
          <cell r="M23" t="str">
            <v>SARO/SGSF</v>
          </cell>
          <cell r="N23" t="str">
            <v>SARO</v>
          </cell>
        </row>
        <row r="24">
          <cell r="B24" t="str">
            <v>1.1.4.012</v>
          </cell>
          <cell r="C24">
            <v>1</v>
          </cell>
          <cell r="D24" t="str">
            <v>Riesgo Operativo</v>
          </cell>
          <cell r="E24" t="str">
            <v>1.1</v>
          </cell>
          <cell r="F24" t="str">
            <v>Controles de Seguridad de la Información</v>
          </cell>
          <cell r="G24" t="str">
            <v>1.1.4</v>
          </cell>
          <cell r="H24" t="str">
            <v>Revisión en caja</v>
          </cell>
          <cell r="I24" t="str">
            <v>1.1.4.012</v>
          </cell>
          <cell r="J24" t="str">
            <v>El cajero no utiliza celuar en el área de caja</v>
          </cell>
          <cell r="K24" t="str">
            <v>Actividad a Distancia</v>
          </cell>
          <cell r="L24" t="str">
            <v>X</v>
          </cell>
          <cell r="M24" t="str">
            <v>SARO/SGSF</v>
          </cell>
          <cell r="N24" t="str">
            <v>SARO</v>
          </cell>
        </row>
        <row r="25">
          <cell r="B25" t="str">
            <v>1.1.4.013</v>
          </cell>
          <cell r="C25">
            <v>1</v>
          </cell>
          <cell r="D25" t="str">
            <v>Riesgo Operativo</v>
          </cell>
          <cell r="E25" t="str">
            <v>1.1</v>
          </cell>
          <cell r="F25" t="str">
            <v>Controles de Seguridad de la Información</v>
          </cell>
          <cell r="G25" t="str">
            <v>1.1.4</v>
          </cell>
          <cell r="H25" t="str">
            <v>Revisión en caja</v>
          </cell>
          <cell r="I25" t="str">
            <v>1.1.4.013</v>
          </cell>
          <cell r="J25" t="str">
            <v>El cajero no ingresa maletines, bolsos, o elementos similares al área de caja.</v>
          </cell>
          <cell r="K25" t="str">
            <v>Actividad a Distancia</v>
          </cell>
          <cell r="L25" t="str">
            <v>X</v>
          </cell>
          <cell r="M25" t="str">
            <v>SARO/SGSF</v>
          </cell>
          <cell r="N25" t="str">
            <v>SARO</v>
          </cell>
        </row>
        <row r="26">
          <cell r="B26" t="str">
            <v>1.1.5.001</v>
          </cell>
          <cell r="C26">
            <v>1</v>
          </cell>
          <cell r="D26" t="str">
            <v>Riesgo Operativo</v>
          </cell>
          <cell r="E26" t="str">
            <v>1.1</v>
          </cell>
          <cell r="F26" t="str">
            <v>Controles de Seguridad de la Información</v>
          </cell>
          <cell r="G26" t="str">
            <v>1.1.5</v>
          </cell>
          <cell r="H26" t="str">
            <v>Revisión en caja menor</v>
          </cell>
          <cell r="I26" t="str">
            <v>1.1.5.001</v>
          </cell>
          <cell r="J26" t="str">
            <v>Se realiza arqueo de caja menor (caja menor administrativa).</v>
          </cell>
          <cell r="K26" t="str">
            <v>Presencial</v>
          </cell>
          <cell r="L26" t="str">
            <v>X</v>
          </cell>
          <cell r="M26" t="str">
            <v>SARO</v>
          </cell>
          <cell r="N26" t="str">
            <v>SARO</v>
          </cell>
        </row>
        <row r="27">
          <cell r="B27" t="str">
            <v>1.1.5.002</v>
          </cell>
          <cell r="C27">
            <v>1</v>
          </cell>
          <cell r="D27" t="str">
            <v>Riesgo Operativo</v>
          </cell>
          <cell r="E27" t="str">
            <v>1.1</v>
          </cell>
          <cell r="F27" t="str">
            <v>Controles de Seguridad de la Información</v>
          </cell>
          <cell r="G27" t="str">
            <v>1.1.5</v>
          </cell>
          <cell r="H27" t="str">
            <v>Revisión en caja menor</v>
          </cell>
          <cell r="I27" t="str">
            <v>1.1.5.002</v>
          </cell>
          <cell r="J27" t="str">
            <v>Se conservan los formato de arqueo de caja menor realizados (verificar formatos).</v>
          </cell>
          <cell r="K27" t="str">
            <v>Presencial</v>
          </cell>
          <cell r="L27" t="str">
            <v>X</v>
          </cell>
          <cell r="M27" t="str">
            <v>SARO</v>
          </cell>
          <cell r="N27" t="str">
            <v>SARO</v>
          </cell>
        </row>
        <row r="28">
          <cell r="B28" t="str">
            <v>1.1.6.001</v>
          </cell>
          <cell r="C28">
            <v>1</v>
          </cell>
          <cell r="D28" t="str">
            <v>Riesgo Operativo</v>
          </cell>
          <cell r="E28" t="str">
            <v>1.1</v>
          </cell>
          <cell r="F28" t="str">
            <v>Controles de Seguridad de la Información</v>
          </cell>
          <cell r="G28" t="str">
            <v>1.1.6</v>
          </cell>
          <cell r="H28" t="str">
            <v>Verificación transaccional</v>
          </cell>
          <cell r="I28" t="str">
            <v>1.1.6.001</v>
          </cell>
          <cell r="J28" t="str">
            <v>El gestor I y II o  coordinador conocen sobre validación de cédula, visan huella y firma al momento del trámite del  desembolso.</v>
          </cell>
          <cell r="K28" t="str">
            <v>Presencial</v>
          </cell>
          <cell r="L28" t="str">
            <v>X</v>
          </cell>
          <cell r="M28" t="str">
            <v>SARO/SGSF</v>
          </cell>
          <cell r="N28" t="str">
            <v>SARO</v>
          </cell>
        </row>
        <row r="29">
          <cell r="B29" t="str">
            <v>1.2.1.001</v>
          </cell>
          <cell r="C29">
            <v>1</v>
          </cell>
          <cell r="D29" t="str">
            <v>Riesgo Operativo</v>
          </cell>
          <cell r="E29" t="str">
            <v>1.2</v>
          </cell>
          <cell r="F29" t="str">
            <v>Controles Gestión Documental</v>
          </cell>
          <cell r="G29" t="str">
            <v>1.2.1</v>
          </cell>
          <cell r="H29" t="str">
            <v>Verificación custodia de títulos valores</v>
          </cell>
          <cell r="I29" t="str">
            <v>1.2.1.001</v>
          </cell>
          <cell r="J29" t="str">
            <v>Se conservan en el archivador de tarjetas de firmas y se encuentra debidamente cerrado y asegurado, el gestor II o coordinador custodia las llaves.</v>
          </cell>
          <cell r="K29" t="str">
            <v>Presencial</v>
          </cell>
          <cell r="L29" t="str">
            <v>X</v>
          </cell>
          <cell r="M29" t="str">
            <v>SARO/SAC</v>
          </cell>
          <cell r="N29" t="str">
            <v>SARO</v>
          </cell>
        </row>
        <row r="30">
          <cell r="B30" t="str">
            <v>1.2.1.002</v>
          </cell>
          <cell r="C30">
            <v>1</v>
          </cell>
          <cell r="D30" t="str">
            <v>Riesgo Operativo</v>
          </cell>
          <cell r="E30" t="str">
            <v>1.2</v>
          </cell>
          <cell r="F30" t="str">
            <v>Controles Gestión Documental</v>
          </cell>
          <cell r="G30" t="str">
            <v>1.2.1</v>
          </cell>
          <cell r="H30" t="str">
            <v>Verificación custodia de títulos valores</v>
          </cell>
          <cell r="I30" t="str">
            <v>1.2.1.002</v>
          </cell>
          <cell r="J30" t="str">
            <v>Verificar para  el último mes, la realización del arqueo de pagarés, en el formato fb-rc02-003-v01-2014 acta de verificación y existencia de pagarés vigentes y castigados.</v>
          </cell>
          <cell r="K30" t="str">
            <v>Actividad a Distancia</v>
          </cell>
          <cell r="L30" t="str">
            <v>X</v>
          </cell>
          <cell r="M30" t="str">
            <v>SARO</v>
          </cell>
          <cell r="N30" t="str">
            <v>SARO</v>
          </cell>
        </row>
        <row r="31">
          <cell r="B31" t="str">
            <v>1.2.1.003</v>
          </cell>
          <cell r="C31">
            <v>1</v>
          </cell>
          <cell r="D31" t="str">
            <v>Riesgo Operativo</v>
          </cell>
          <cell r="E31" t="str">
            <v>1.2</v>
          </cell>
          <cell r="F31" t="str">
            <v>Controles Gestión Documental</v>
          </cell>
          <cell r="G31" t="str">
            <v>1.2.1</v>
          </cell>
          <cell r="H31" t="str">
            <v>Verificación custodia de títulos valores</v>
          </cell>
          <cell r="I31" t="str">
            <v>1.2.1.003</v>
          </cell>
          <cell r="J31" t="str">
            <v>Verificar que los talonarios de cheques/pagarés, tarjetas débito, formularios de cheques bancarios, se custodian con las debidas medidas de Seguridad de la Información y en los expedientes de los clientes.</v>
          </cell>
          <cell r="K31" t="str">
            <v>Presencial</v>
          </cell>
          <cell r="L31" t="str">
            <v>X</v>
          </cell>
          <cell r="M31" t="str">
            <v>SARO</v>
          </cell>
          <cell r="N31" t="str">
            <v>SARO</v>
          </cell>
        </row>
        <row r="32">
          <cell r="B32" t="str">
            <v>1.2.1.004</v>
          </cell>
          <cell r="C32">
            <v>1</v>
          </cell>
          <cell r="D32" t="str">
            <v>Riesgo Operativo</v>
          </cell>
          <cell r="E32" t="str">
            <v>1.2</v>
          </cell>
          <cell r="F32" t="str">
            <v>Controles Gestión Documental</v>
          </cell>
          <cell r="G32" t="str">
            <v>1.2.1</v>
          </cell>
          <cell r="H32" t="str">
            <v>Verificación custodia de títulos valores</v>
          </cell>
          <cell r="I32" t="str">
            <v>1.2.1.004</v>
          </cell>
          <cell r="J32" t="str">
            <v>Verificar que los recibos provisionales son adecuadamente custodiados y se realiza un control de los recibos.</v>
          </cell>
          <cell r="K32" t="str">
            <v>Presencial</v>
          </cell>
          <cell r="L32" t="str">
            <v>X</v>
          </cell>
          <cell r="M32" t="str">
            <v>SARO</v>
          </cell>
          <cell r="N32" t="str">
            <v>SARO</v>
          </cell>
        </row>
        <row r="33">
          <cell r="B33" t="str">
            <v>1.2.1.005</v>
          </cell>
          <cell r="C33">
            <v>1</v>
          </cell>
          <cell r="D33" t="str">
            <v>Riesgo Operativo</v>
          </cell>
          <cell r="E33" t="str">
            <v>1.2</v>
          </cell>
          <cell r="F33" t="str">
            <v>Controles Gestión Documental</v>
          </cell>
          <cell r="G33" t="str">
            <v>1.2.1</v>
          </cell>
          <cell r="H33" t="str">
            <v>Verificación custodia de títulos valores</v>
          </cell>
          <cell r="I33" t="str">
            <v>1.2.1.005</v>
          </cell>
          <cell r="J33" t="str">
            <v>Se conservan actas de arqueo de cheques de cuentas de otros bancos firmadas por el gerente de oficina.</v>
          </cell>
          <cell r="K33" t="str">
            <v>Presencial</v>
          </cell>
          <cell r="L33" t="str">
            <v>X</v>
          </cell>
          <cell r="M33" t="str">
            <v>SARO</v>
          </cell>
          <cell r="N33" t="str">
            <v>SARO</v>
          </cell>
        </row>
        <row r="34">
          <cell r="B34" t="str">
            <v>1.2.1.006</v>
          </cell>
          <cell r="C34">
            <v>1</v>
          </cell>
          <cell r="D34" t="str">
            <v>Riesgo Operativo</v>
          </cell>
          <cell r="E34" t="str">
            <v>1.2</v>
          </cell>
          <cell r="F34" t="str">
            <v>Controles Gestión Documental</v>
          </cell>
          <cell r="G34" t="str">
            <v>1.2.1</v>
          </cell>
          <cell r="H34" t="str">
            <v>Verificación custodia de títulos valores</v>
          </cell>
          <cell r="I34" t="str">
            <v>1.2.1.006</v>
          </cell>
          <cell r="J34" t="str">
            <v>Se conservan actas de arqueo de títulos valores (cdt) firmadas por el gerente de oficina.</v>
          </cell>
          <cell r="K34" t="str">
            <v>Presencial</v>
          </cell>
          <cell r="L34" t="str">
            <v>X</v>
          </cell>
          <cell r="M34" t="str">
            <v>SARO</v>
          </cell>
          <cell r="N34" t="str">
            <v>SARO</v>
          </cell>
        </row>
        <row r="35">
          <cell r="B35" t="str">
            <v>1.3.1.001</v>
          </cell>
          <cell r="C35">
            <v>1</v>
          </cell>
          <cell r="D35" t="str">
            <v>Riesgo Operativo</v>
          </cell>
          <cell r="E35" t="str">
            <v>1.3</v>
          </cell>
          <cell r="F35" t="str">
            <v>Seguimiento</v>
          </cell>
          <cell r="G35" t="str">
            <v>1.3.1</v>
          </cell>
          <cell r="H35" t="str">
            <v>Seguimiento Operacional</v>
          </cell>
          <cell r="I35" t="str">
            <v>1.3.1.001</v>
          </cell>
          <cell r="J35" t="str">
            <v>Diligencia diariamente el tablero con los compromisos y resultados.</v>
          </cell>
          <cell r="K35" t="str">
            <v>Actividad a Distancia</v>
          </cell>
          <cell r="L35" t="str">
            <v>X</v>
          </cell>
          <cell r="M35" t="str">
            <v>SARO/SAC</v>
          </cell>
          <cell r="N35" t="str">
            <v>SARO</v>
          </cell>
        </row>
        <row r="36">
          <cell r="B36" t="str">
            <v>1.3.1.002</v>
          </cell>
          <cell r="C36">
            <v>1</v>
          </cell>
          <cell r="D36" t="str">
            <v>Riesgo Operativo</v>
          </cell>
          <cell r="E36" t="str">
            <v>1.3</v>
          </cell>
          <cell r="F36" t="str">
            <v>Seguimiento</v>
          </cell>
          <cell r="G36" t="str">
            <v>1.3.1</v>
          </cell>
          <cell r="H36" t="str">
            <v>Seguimiento Operacional</v>
          </cell>
          <cell r="I36" t="str">
            <v>1.3.1.002</v>
          </cell>
          <cell r="J36" t="str">
            <v>Verifica que todos los colaboradores ingresen puntualmente a la oficina en el horario establecido.</v>
          </cell>
          <cell r="K36" t="str">
            <v>Actividad a Distancia</v>
          </cell>
          <cell r="L36" t="str">
            <v>X</v>
          </cell>
          <cell r="M36" t="str">
            <v>SARO/SAC</v>
          </cell>
          <cell r="N36" t="str">
            <v>SARO</v>
          </cell>
        </row>
        <row r="37">
          <cell r="B37" t="str">
            <v>1.3.1.003</v>
          </cell>
          <cell r="C37">
            <v>1</v>
          </cell>
          <cell r="D37" t="str">
            <v>Riesgo Operativo</v>
          </cell>
          <cell r="E37" t="str">
            <v>1.3</v>
          </cell>
          <cell r="F37" t="str">
            <v>Seguimiento</v>
          </cell>
          <cell r="G37" t="str">
            <v>1.3.1</v>
          </cell>
          <cell r="H37" t="str">
            <v>Seguimiento Operacional</v>
          </cell>
          <cell r="I37" t="str">
            <v>1.3.1.003</v>
          </cell>
          <cell r="J37" t="str">
            <v xml:space="preserve">Supervisa que el  tablero de gestión esta diligenciado con los compromisos y resultados del día. </v>
          </cell>
          <cell r="K37" t="str">
            <v>Actividad a Distancia</v>
          </cell>
          <cell r="L37" t="str">
            <v>X</v>
          </cell>
          <cell r="M37" t="str">
            <v>SARO/SAC</v>
          </cell>
          <cell r="N37" t="str">
            <v>SARO</v>
          </cell>
        </row>
        <row r="38">
          <cell r="B38" t="str">
            <v>1.3.1.004</v>
          </cell>
          <cell r="C38">
            <v>1</v>
          </cell>
          <cell r="D38" t="str">
            <v>Riesgo Operativo</v>
          </cell>
          <cell r="E38" t="str">
            <v>1.3</v>
          </cell>
          <cell r="F38" t="str">
            <v>Seguimiento</v>
          </cell>
          <cell r="G38" t="str">
            <v>1.3.1</v>
          </cell>
          <cell r="H38" t="str">
            <v>Seguimiento Operacional</v>
          </cell>
          <cell r="I38" t="str">
            <v>1.3.1.004</v>
          </cell>
          <cell r="J38" t="str">
            <v>Los EDP están utilizando las tabletas portátiles en su gestión en campo.</v>
          </cell>
          <cell r="K38" t="str">
            <v>Presencial</v>
          </cell>
          <cell r="L38" t="str">
            <v>X</v>
          </cell>
          <cell r="M38" t="str">
            <v>SARO/SGSI/SAC</v>
          </cell>
          <cell r="N38" t="str">
            <v>SARO</v>
          </cell>
        </row>
        <row r="39">
          <cell r="B39" t="str">
            <v>2.1.1.001</v>
          </cell>
          <cell r="C39">
            <v>2</v>
          </cell>
          <cell r="D39" t="str">
            <v>Seguridad de la Información</v>
          </cell>
          <cell r="E39" t="str">
            <v>2.1</v>
          </cell>
          <cell r="F39" t="str">
            <v>Física</v>
          </cell>
          <cell r="G39" t="str">
            <v>2.1.1</v>
          </cell>
          <cell r="H39" t="str">
            <v>Revisión condiciones generales de la oficina</v>
          </cell>
          <cell r="I39" t="str">
            <v>2.1.1.001</v>
          </cell>
          <cell r="J39" t="str">
            <v>Estado de la fachada de la oficina.</v>
          </cell>
          <cell r="K39" t="str">
            <v>Presencial</v>
          </cell>
          <cell r="L39" t="str">
            <v>X</v>
          </cell>
          <cell r="M39" t="str">
            <v>SARO/SGSI</v>
          </cell>
          <cell r="N39" t="str">
            <v>SARO</v>
          </cell>
        </row>
        <row r="40">
          <cell r="B40" t="str">
            <v>2.1.1.002</v>
          </cell>
          <cell r="C40">
            <v>2</v>
          </cell>
          <cell r="D40" t="str">
            <v>Seguridad de la Información</v>
          </cell>
          <cell r="E40" t="str">
            <v>2.1</v>
          </cell>
          <cell r="F40" t="str">
            <v>Física</v>
          </cell>
          <cell r="G40" t="str">
            <v>2.1.1</v>
          </cell>
          <cell r="H40" t="str">
            <v>Revisión condiciones generales de la oficina</v>
          </cell>
          <cell r="I40" t="str">
            <v>2.1.1.002</v>
          </cell>
          <cell r="J40" t="str">
            <v>Estado aviso de la oficina.</v>
          </cell>
          <cell r="K40" t="str">
            <v>Presencial</v>
          </cell>
          <cell r="L40" t="str">
            <v>X</v>
          </cell>
          <cell r="M40" t="str">
            <v>SARO/SGSI</v>
          </cell>
          <cell r="N40" t="str">
            <v>SARO</v>
          </cell>
        </row>
        <row r="41">
          <cell r="B41" t="str">
            <v>2.1.1.003</v>
          </cell>
          <cell r="C41">
            <v>2</v>
          </cell>
          <cell r="D41" t="str">
            <v>Seguridad de la Información</v>
          </cell>
          <cell r="E41" t="str">
            <v>2.1</v>
          </cell>
          <cell r="F41" t="str">
            <v>Física</v>
          </cell>
          <cell r="G41" t="str">
            <v>2.1.1</v>
          </cell>
          <cell r="H41" t="str">
            <v>Revisión condiciones generales de la oficina</v>
          </cell>
          <cell r="I41" t="str">
            <v>2.1.1.003</v>
          </cell>
          <cell r="J41" t="str">
            <v>Estado del pasa documentos.</v>
          </cell>
          <cell r="K41" t="str">
            <v>Presencial</v>
          </cell>
          <cell r="L41" t="str">
            <v>X</v>
          </cell>
          <cell r="M41" t="str">
            <v>SARO/SGSI</v>
          </cell>
          <cell r="N41" t="str">
            <v>SARO</v>
          </cell>
        </row>
        <row r="42">
          <cell r="B42" t="str">
            <v>2.1.1.005</v>
          </cell>
          <cell r="C42">
            <v>2</v>
          </cell>
          <cell r="D42" t="str">
            <v>Seguridad de la Información</v>
          </cell>
          <cell r="E42" t="str">
            <v>2.1</v>
          </cell>
          <cell r="F42" t="str">
            <v>Física</v>
          </cell>
          <cell r="G42" t="str">
            <v>2.1.1</v>
          </cell>
          <cell r="H42" t="str">
            <v>Revisión condiciones generales de la oficina</v>
          </cell>
          <cell r="I42" t="str">
            <v>2.1.1.005</v>
          </cell>
          <cell r="J42" t="str">
            <v>El hall bancario esta ordenado.</v>
          </cell>
          <cell r="K42" t="str">
            <v>Actividad a Distancia</v>
          </cell>
          <cell r="L42" t="str">
            <v>X</v>
          </cell>
          <cell r="M42" t="str">
            <v>SARO/SGSI</v>
          </cell>
          <cell r="N42" t="str">
            <v>SARO</v>
          </cell>
        </row>
        <row r="43">
          <cell r="B43" t="str">
            <v>2.1.1.006</v>
          </cell>
          <cell r="C43">
            <v>2</v>
          </cell>
          <cell r="D43" t="str">
            <v>Seguridad de la Información</v>
          </cell>
          <cell r="E43" t="str">
            <v>2.1</v>
          </cell>
          <cell r="F43" t="str">
            <v>Física</v>
          </cell>
          <cell r="G43" t="str">
            <v>2.1.1</v>
          </cell>
          <cell r="H43" t="str">
            <v>Revisión condiciones generales de la oficina</v>
          </cell>
          <cell r="I43" t="str">
            <v>2.1.1.006</v>
          </cell>
          <cell r="J43" t="str">
            <v>La cocina esta ordenada y aseada.</v>
          </cell>
          <cell r="K43" t="str">
            <v>Presencial</v>
          </cell>
          <cell r="L43" t="str">
            <v>X</v>
          </cell>
          <cell r="M43" t="str">
            <v>SARO/SGSI</v>
          </cell>
          <cell r="N43" t="str">
            <v>SARO</v>
          </cell>
        </row>
        <row r="44">
          <cell r="B44" t="str">
            <v>2.1.1.007</v>
          </cell>
          <cell r="C44">
            <v>2</v>
          </cell>
          <cell r="D44" t="str">
            <v>Seguridad de la Información</v>
          </cell>
          <cell r="E44" t="str">
            <v>2.1</v>
          </cell>
          <cell r="F44" t="str">
            <v>Física</v>
          </cell>
          <cell r="G44" t="str">
            <v>2.1.1</v>
          </cell>
          <cell r="H44" t="str">
            <v>Revisión condiciones generales de la oficina</v>
          </cell>
          <cell r="I44" t="str">
            <v>2.1.1.007</v>
          </cell>
          <cell r="J44" t="str">
            <v>Los baños están ordenados y aseados.</v>
          </cell>
          <cell r="K44" t="str">
            <v>Presencial</v>
          </cell>
          <cell r="L44" t="str">
            <v>X</v>
          </cell>
          <cell r="M44" t="str">
            <v>SARO/SGSI</v>
          </cell>
          <cell r="N44" t="str">
            <v>SARO</v>
          </cell>
        </row>
        <row r="45">
          <cell r="B45" t="str">
            <v>2.1.1.008</v>
          </cell>
          <cell r="C45">
            <v>2</v>
          </cell>
          <cell r="D45" t="str">
            <v>Seguridad de la Información</v>
          </cell>
          <cell r="E45" t="str">
            <v>2.1</v>
          </cell>
          <cell r="F45" t="str">
            <v>Física</v>
          </cell>
          <cell r="G45" t="str">
            <v>2.1.1</v>
          </cell>
          <cell r="H45" t="str">
            <v>Revisión condiciones generales de la oficina</v>
          </cell>
          <cell r="I45" t="str">
            <v>2.1.1.008</v>
          </cell>
          <cell r="J45" t="str">
            <v>Los puestos de trabajo están ordenados.</v>
          </cell>
          <cell r="K45" t="str">
            <v>Presencial</v>
          </cell>
          <cell r="L45" t="str">
            <v>X</v>
          </cell>
          <cell r="M45" t="str">
            <v>SARO/SGSI</v>
          </cell>
          <cell r="N45" t="str">
            <v>SARO</v>
          </cell>
        </row>
        <row r="46">
          <cell r="B46" t="str">
            <v>2.1.2.001</v>
          </cell>
          <cell r="C46">
            <v>2</v>
          </cell>
          <cell r="D46" t="str">
            <v>Seguridad de la Información</v>
          </cell>
          <cell r="E46" t="str">
            <v>2.1</v>
          </cell>
          <cell r="F46" t="str">
            <v>Física</v>
          </cell>
          <cell r="G46" t="str">
            <v>2.1.2</v>
          </cell>
          <cell r="H46" t="str">
            <v>Revisión de muebles y enceres</v>
          </cell>
          <cell r="I46" t="str">
            <v>2.1.2.001</v>
          </cell>
          <cell r="J46" t="str">
            <v>Cuenta con archivador 4 gavetas o rodante.</v>
          </cell>
          <cell r="K46" t="str">
            <v>Actividad a Distancia</v>
          </cell>
          <cell r="L46" t="str">
            <v>X</v>
          </cell>
          <cell r="M46" t="str">
            <v>SARO/SGSI</v>
          </cell>
          <cell r="N46" t="str">
            <v>SARO</v>
          </cell>
        </row>
        <row r="47">
          <cell r="B47" t="str">
            <v>2.1.2.002</v>
          </cell>
          <cell r="C47">
            <v>2</v>
          </cell>
          <cell r="D47" t="str">
            <v>Seguridad de la Información</v>
          </cell>
          <cell r="E47" t="str">
            <v>2.1</v>
          </cell>
          <cell r="F47" t="str">
            <v>Física</v>
          </cell>
          <cell r="G47" t="str">
            <v>2.1.2</v>
          </cell>
          <cell r="H47" t="str">
            <v>Revisión de muebles y enceres</v>
          </cell>
          <cell r="I47" t="str">
            <v>2.1.2.002</v>
          </cell>
          <cell r="J47" t="str">
            <v>Cuenta con cajoneras en buen estado.</v>
          </cell>
          <cell r="K47" t="str">
            <v>Presencial</v>
          </cell>
          <cell r="L47" t="str">
            <v>X</v>
          </cell>
          <cell r="M47" t="str">
            <v>SARO/SGSI</v>
          </cell>
          <cell r="N47" t="str">
            <v>SARO</v>
          </cell>
        </row>
        <row r="48">
          <cell r="B48" t="str">
            <v>2.1.2.003</v>
          </cell>
          <cell r="C48">
            <v>2</v>
          </cell>
          <cell r="D48" t="str">
            <v>Seguridad de la Información</v>
          </cell>
          <cell r="E48" t="str">
            <v>2.1</v>
          </cell>
          <cell r="F48" t="str">
            <v>Física</v>
          </cell>
          <cell r="G48" t="str">
            <v>2.1.2</v>
          </cell>
          <cell r="H48" t="str">
            <v>Revisión de muebles y enceres</v>
          </cell>
          <cell r="I48" t="str">
            <v>2.1.2.003</v>
          </cell>
          <cell r="J48" t="str">
            <v>Cuenta con escalera para personal bajo.</v>
          </cell>
          <cell r="K48" t="str">
            <v>Actividad a Distancia</v>
          </cell>
          <cell r="L48" t="str">
            <v>X</v>
          </cell>
          <cell r="M48" t="str">
            <v>SARO/SGSI/SAC</v>
          </cell>
          <cell r="N48" t="str">
            <v>SARO</v>
          </cell>
        </row>
        <row r="49">
          <cell r="B49" t="str">
            <v>2.1.2.004</v>
          </cell>
          <cell r="C49">
            <v>2</v>
          </cell>
          <cell r="D49" t="str">
            <v>Seguridad de la Información</v>
          </cell>
          <cell r="E49" t="str">
            <v>2.1</v>
          </cell>
          <cell r="F49" t="str">
            <v>Física</v>
          </cell>
          <cell r="G49" t="str">
            <v>2.1.2</v>
          </cell>
          <cell r="H49" t="str">
            <v>Revisión de muebles y enceres</v>
          </cell>
          <cell r="I49" t="str">
            <v>2.1.2.004</v>
          </cell>
          <cell r="J49" t="str">
            <v>Cuenta con cartelera interna,  cartelera  cliente buzón,  cartelera  de ejecutivos, portapendón.</v>
          </cell>
          <cell r="K49" t="str">
            <v>Actividad a Distancia</v>
          </cell>
          <cell r="L49" t="str">
            <v>X</v>
          </cell>
          <cell r="M49" t="str">
            <v>SARO/SGSI/SAC</v>
          </cell>
          <cell r="N49" t="str">
            <v>SARO</v>
          </cell>
        </row>
        <row r="50">
          <cell r="B50" t="str">
            <v>2.1.2.005</v>
          </cell>
          <cell r="C50">
            <v>2</v>
          </cell>
          <cell r="D50" t="str">
            <v>Seguridad de la Información</v>
          </cell>
          <cell r="E50" t="str">
            <v>2.1</v>
          </cell>
          <cell r="F50" t="str">
            <v>Física</v>
          </cell>
          <cell r="G50" t="str">
            <v>2.1.2</v>
          </cell>
          <cell r="H50" t="str">
            <v>Revisión de muebles y enceres</v>
          </cell>
          <cell r="I50" t="str">
            <v>2.1.2.005</v>
          </cell>
          <cell r="J50" t="str">
            <v>Cuenta con mesa de trabajo.</v>
          </cell>
          <cell r="K50" t="str">
            <v>Actividad a Distancia</v>
          </cell>
          <cell r="L50" t="str">
            <v>X</v>
          </cell>
          <cell r="M50" t="str">
            <v>SARO/SGSI</v>
          </cell>
          <cell r="N50" t="str">
            <v>SARO</v>
          </cell>
        </row>
        <row r="51">
          <cell r="B51" t="str">
            <v>2.1.2.006</v>
          </cell>
          <cell r="C51">
            <v>2</v>
          </cell>
          <cell r="D51" t="str">
            <v>Seguridad de la Información</v>
          </cell>
          <cell r="E51" t="str">
            <v>2.1</v>
          </cell>
          <cell r="F51" t="str">
            <v>Física</v>
          </cell>
          <cell r="G51" t="str">
            <v>2.1.2</v>
          </cell>
          <cell r="H51" t="str">
            <v>Revisión de muebles y enceres</v>
          </cell>
          <cell r="I51" t="str">
            <v>2.1.2.006</v>
          </cell>
          <cell r="J51" t="str">
            <v>Cuenta con perchero en la sala de ejecutivos.</v>
          </cell>
          <cell r="K51" t="str">
            <v>Actividad a Distancia</v>
          </cell>
          <cell r="L51" t="str">
            <v>X</v>
          </cell>
          <cell r="M51" t="str">
            <v>SARO/SGSI</v>
          </cell>
          <cell r="N51" t="str">
            <v>SARO</v>
          </cell>
        </row>
        <row r="52">
          <cell r="B52" t="str">
            <v>2.1.2.007</v>
          </cell>
          <cell r="C52">
            <v>2</v>
          </cell>
          <cell r="D52" t="str">
            <v>Seguridad de la Información</v>
          </cell>
          <cell r="E52" t="str">
            <v>2.1</v>
          </cell>
          <cell r="F52" t="str">
            <v>Física</v>
          </cell>
          <cell r="G52" t="str">
            <v>2.1.2</v>
          </cell>
          <cell r="H52" t="str">
            <v>Revisión de muebles y enceres</v>
          </cell>
          <cell r="I52" t="str">
            <v>2.1.2.007</v>
          </cell>
          <cell r="J52" t="str">
            <v>Cuenta con separador de fila el hall bancario.</v>
          </cell>
          <cell r="K52" t="str">
            <v>Actividad a Distancia</v>
          </cell>
          <cell r="L52" t="str">
            <v>X</v>
          </cell>
          <cell r="M52" t="str">
            <v>SARO/SGSI</v>
          </cell>
          <cell r="N52" t="str">
            <v>SARO</v>
          </cell>
        </row>
        <row r="53">
          <cell r="B53" t="str">
            <v>2.1.2.008</v>
          </cell>
          <cell r="C53">
            <v>2</v>
          </cell>
          <cell r="D53" t="str">
            <v>Seguridad de la Información</v>
          </cell>
          <cell r="E53" t="str">
            <v>2.1</v>
          </cell>
          <cell r="F53" t="str">
            <v>Física</v>
          </cell>
          <cell r="G53" t="str">
            <v>2.1.2</v>
          </cell>
          <cell r="H53" t="str">
            <v>Revisión de muebles y enceres</v>
          </cell>
          <cell r="I53" t="str">
            <v>2.1.2.008</v>
          </cell>
          <cell r="J53" t="str">
            <v>Cuenta con silla secretarial con brazos.</v>
          </cell>
          <cell r="K53" t="str">
            <v>Actividad a Distancia</v>
          </cell>
          <cell r="L53" t="str">
            <v>X</v>
          </cell>
          <cell r="M53" t="str">
            <v>SARO/SGSI</v>
          </cell>
          <cell r="N53" t="str">
            <v>SARO</v>
          </cell>
        </row>
        <row r="54">
          <cell r="B54" t="str">
            <v>2.1.2.009</v>
          </cell>
          <cell r="C54">
            <v>2</v>
          </cell>
          <cell r="D54" t="str">
            <v>Seguridad de la Información</v>
          </cell>
          <cell r="E54" t="str">
            <v>2.1</v>
          </cell>
          <cell r="F54" t="str">
            <v>Física</v>
          </cell>
          <cell r="G54" t="str">
            <v>2.1.2</v>
          </cell>
          <cell r="H54" t="str">
            <v>Revisión de muebles y enceres</v>
          </cell>
          <cell r="I54" t="str">
            <v>2.1.2.009</v>
          </cell>
          <cell r="J54" t="str">
            <v>Cuenta con silla secretarial sin brazos.</v>
          </cell>
          <cell r="K54" t="str">
            <v>Actividad a Distancia</v>
          </cell>
          <cell r="L54" t="str">
            <v>X</v>
          </cell>
          <cell r="M54" t="str">
            <v>SARO/SGSI</v>
          </cell>
          <cell r="N54" t="str">
            <v>SARO</v>
          </cell>
        </row>
        <row r="55">
          <cell r="B55" t="str">
            <v>2.1.2.010</v>
          </cell>
          <cell r="C55">
            <v>2</v>
          </cell>
          <cell r="D55" t="str">
            <v>Seguridad de la Información</v>
          </cell>
          <cell r="E55" t="str">
            <v>2.1</v>
          </cell>
          <cell r="F55" t="str">
            <v>Física</v>
          </cell>
          <cell r="G55" t="str">
            <v>2.1.2</v>
          </cell>
          <cell r="H55" t="str">
            <v>Revisión de muebles y enceres</v>
          </cell>
          <cell r="I55" t="str">
            <v>2.1.2.010</v>
          </cell>
          <cell r="J55" t="str">
            <v>cuenta con silla tipo cajero.</v>
          </cell>
          <cell r="K55" t="str">
            <v>Actividad a Distancia</v>
          </cell>
          <cell r="L55" t="str">
            <v>X</v>
          </cell>
          <cell r="M55" t="str">
            <v>SARO/SGSI</v>
          </cell>
          <cell r="N55" t="str">
            <v>SARO</v>
          </cell>
        </row>
        <row r="56">
          <cell r="B56" t="str">
            <v>2.1.2.011</v>
          </cell>
          <cell r="C56">
            <v>2</v>
          </cell>
          <cell r="D56" t="str">
            <v>Seguridad de la Información</v>
          </cell>
          <cell r="E56" t="str">
            <v>2.1</v>
          </cell>
          <cell r="F56" t="str">
            <v>Física</v>
          </cell>
          <cell r="G56" t="str">
            <v>2.1.2</v>
          </cell>
          <cell r="H56" t="str">
            <v>Revisión de muebles y enceres</v>
          </cell>
          <cell r="I56" t="str">
            <v>2.1.2.011</v>
          </cell>
          <cell r="J56" t="str">
            <v>Cuenta con silla isósceles.</v>
          </cell>
          <cell r="K56" t="str">
            <v>Actividad a Distancia</v>
          </cell>
          <cell r="L56" t="str">
            <v>X</v>
          </cell>
          <cell r="M56" t="str">
            <v>SARO/SGSI</v>
          </cell>
          <cell r="N56" t="str">
            <v>SARO</v>
          </cell>
        </row>
        <row r="57">
          <cell r="B57" t="str">
            <v>2.1.2.012</v>
          </cell>
          <cell r="C57">
            <v>2</v>
          </cell>
          <cell r="D57" t="str">
            <v>Seguridad de la Información</v>
          </cell>
          <cell r="E57" t="str">
            <v>2.1</v>
          </cell>
          <cell r="F57" t="str">
            <v>Física</v>
          </cell>
          <cell r="G57" t="str">
            <v>2.1.2</v>
          </cell>
          <cell r="H57" t="str">
            <v>Revisión de muebles y enceres</v>
          </cell>
          <cell r="I57" t="str">
            <v>2.1.2.012</v>
          </cell>
          <cell r="J57" t="str">
            <v>Cuenta con Silla Tamdem.</v>
          </cell>
          <cell r="K57" t="str">
            <v>Actividad a Distancia</v>
          </cell>
          <cell r="L57" t="str">
            <v>X</v>
          </cell>
          <cell r="M57" t="str">
            <v>SARO/SGSI</v>
          </cell>
          <cell r="N57" t="str">
            <v>SARO</v>
          </cell>
        </row>
        <row r="58">
          <cell r="B58" t="str">
            <v>2.1.2.013</v>
          </cell>
          <cell r="C58">
            <v>2</v>
          </cell>
          <cell r="D58" t="str">
            <v>Seguridad de la Información</v>
          </cell>
          <cell r="E58" t="str">
            <v>2.1</v>
          </cell>
          <cell r="F58" t="str">
            <v>Física</v>
          </cell>
          <cell r="G58" t="str">
            <v>2.1.2</v>
          </cell>
          <cell r="H58" t="str">
            <v>Revisión de muebles y enceres</v>
          </cell>
          <cell r="I58" t="str">
            <v>2.1.2.013</v>
          </cell>
          <cell r="J58" t="str">
            <v>Cuenta con acometida planta eléctrica y su función es óptima.</v>
          </cell>
          <cell r="K58" t="str">
            <v>Actividad a Distancia</v>
          </cell>
          <cell r="M58" t="str">
            <v>SARO/SGSI</v>
          </cell>
          <cell r="N58" t="str">
            <v>SARO</v>
          </cell>
        </row>
        <row r="59">
          <cell r="B59" t="str">
            <v>2.1.2.014</v>
          </cell>
          <cell r="C59">
            <v>2</v>
          </cell>
          <cell r="D59" t="str">
            <v>Seguridad de la Información</v>
          </cell>
          <cell r="E59" t="str">
            <v>2.1</v>
          </cell>
          <cell r="F59" t="str">
            <v>Física</v>
          </cell>
          <cell r="G59" t="str">
            <v>2.1.2</v>
          </cell>
          <cell r="H59" t="str">
            <v>Revisión de muebles y enceres</v>
          </cell>
          <cell r="I59" t="str">
            <v>2.1.2.014</v>
          </cell>
          <cell r="J59" t="str">
            <v>Cuenta con aire acondicionado y su función es óptima.</v>
          </cell>
          <cell r="K59" t="str">
            <v>Actividad a Distancia</v>
          </cell>
          <cell r="M59" t="str">
            <v>SARO/SGSI</v>
          </cell>
          <cell r="N59" t="str">
            <v>SARO</v>
          </cell>
        </row>
        <row r="60">
          <cell r="B60" t="str">
            <v>2.1.2.015</v>
          </cell>
          <cell r="C60">
            <v>2</v>
          </cell>
          <cell r="D60" t="str">
            <v>Seguridad de la Información</v>
          </cell>
          <cell r="E60" t="str">
            <v>2.1</v>
          </cell>
          <cell r="F60" t="str">
            <v>Física</v>
          </cell>
          <cell r="G60" t="str">
            <v>2.1.2</v>
          </cell>
          <cell r="H60" t="str">
            <v>Revisión de muebles y enceres</v>
          </cell>
          <cell r="I60" t="str">
            <v>2.1.2.015</v>
          </cell>
          <cell r="J60" t="str">
            <v>Cuenta con condensadores aires acondicionados y su función es óptima.</v>
          </cell>
          <cell r="K60" t="str">
            <v>Actividad a Distancia</v>
          </cell>
          <cell r="M60" t="str">
            <v>SARO/SGSI</v>
          </cell>
          <cell r="N60" t="str">
            <v>SARO</v>
          </cell>
        </row>
        <row r="61">
          <cell r="B61" t="str">
            <v>2.1.2.016</v>
          </cell>
          <cell r="C61">
            <v>2</v>
          </cell>
          <cell r="D61" t="str">
            <v>Seguridad de la Información</v>
          </cell>
          <cell r="E61" t="str">
            <v>2.1</v>
          </cell>
          <cell r="F61" t="str">
            <v>Física</v>
          </cell>
          <cell r="G61" t="str">
            <v>2.1.2</v>
          </cell>
          <cell r="H61" t="str">
            <v>Revisión de muebles y enceres</v>
          </cell>
          <cell r="I61" t="str">
            <v>2.1.2.016</v>
          </cell>
          <cell r="J61" t="str">
            <v>Cuenta con televisor y su función es óptima.</v>
          </cell>
          <cell r="K61" t="str">
            <v>Actividad a Distancia</v>
          </cell>
          <cell r="M61" t="str">
            <v>SARO/SGSI</v>
          </cell>
          <cell r="N61" t="str">
            <v>SARO</v>
          </cell>
        </row>
        <row r="62">
          <cell r="B62" t="str">
            <v>2.1.2.017</v>
          </cell>
          <cell r="C62">
            <v>2</v>
          </cell>
          <cell r="D62" t="str">
            <v>Seguridad de la Información</v>
          </cell>
          <cell r="E62" t="str">
            <v>2.1</v>
          </cell>
          <cell r="F62" t="str">
            <v>Física</v>
          </cell>
          <cell r="G62" t="str">
            <v>2.1.2</v>
          </cell>
          <cell r="H62" t="str">
            <v>Revisión de muebles y enceres</v>
          </cell>
          <cell r="I62" t="str">
            <v>2.1.2.017</v>
          </cell>
          <cell r="J62" t="str">
            <v>Cuenta con DVD y su función es óptima.</v>
          </cell>
          <cell r="K62" t="str">
            <v>Actividad a Distancia</v>
          </cell>
          <cell r="M62" t="str">
            <v>SARO/SGSI</v>
          </cell>
          <cell r="N62" t="str">
            <v>SARO</v>
          </cell>
        </row>
        <row r="63">
          <cell r="B63" t="str">
            <v>2.1.2.018</v>
          </cell>
          <cell r="C63">
            <v>2</v>
          </cell>
          <cell r="D63" t="str">
            <v>Seguridad de la Información</v>
          </cell>
          <cell r="E63" t="str">
            <v>2.1</v>
          </cell>
          <cell r="F63" t="str">
            <v>Física</v>
          </cell>
          <cell r="G63" t="str">
            <v>2.1.2</v>
          </cell>
          <cell r="H63" t="str">
            <v>Revisión de muebles y enceres</v>
          </cell>
          <cell r="I63" t="str">
            <v>2.1.2.018</v>
          </cell>
          <cell r="J63" t="str">
            <v>Cuenta con horno microondas y su función es óptima.</v>
          </cell>
          <cell r="K63" t="str">
            <v>Actividad a Distancia</v>
          </cell>
          <cell r="M63" t="str">
            <v>SARO/SGSI</v>
          </cell>
          <cell r="N63" t="str">
            <v>SARO</v>
          </cell>
        </row>
        <row r="64">
          <cell r="B64" t="str">
            <v>2.1.2.019</v>
          </cell>
          <cell r="C64">
            <v>2</v>
          </cell>
          <cell r="D64" t="str">
            <v>Seguridad de la Información</v>
          </cell>
          <cell r="E64" t="str">
            <v>2.1</v>
          </cell>
          <cell r="F64" t="str">
            <v>Física</v>
          </cell>
          <cell r="G64" t="str">
            <v>2.1.2</v>
          </cell>
          <cell r="H64" t="str">
            <v>Revisión de muebles y enceres</v>
          </cell>
          <cell r="I64" t="str">
            <v>2.1.2.019</v>
          </cell>
          <cell r="J64" t="str">
            <v>Cuenta con nevera y su función es óptima.</v>
          </cell>
          <cell r="K64" t="str">
            <v>Actividad a Distancia</v>
          </cell>
          <cell r="M64" t="str">
            <v>SARO/SGSI</v>
          </cell>
          <cell r="N64" t="str">
            <v>SARO</v>
          </cell>
        </row>
        <row r="65">
          <cell r="B65" t="str">
            <v>2.1.2.020</v>
          </cell>
          <cell r="C65">
            <v>2</v>
          </cell>
          <cell r="D65" t="str">
            <v>Seguridad de la Información</v>
          </cell>
          <cell r="E65" t="str">
            <v>2.1</v>
          </cell>
          <cell r="F65" t="str">
            <v>Física</v>
          </cell>
          <cell r="G65" t="str">
            <v>2.1.2</v>
          </cell>
          <cell r="H65" t="str">
            <v>Revisión de muebles y enceres</v>
          </cell>
          <cell r="I65" t="str">
            <v>2.1.2.020</v>
          </cell>
          <cell r="J65" t="str">
            <v>Cuenta con dispensador de agua y su función es óptima.</v>
          </cell>
          <cell r="K65" t="str">
            <v>Actividad a Distancia</v>
          </cell>
          <cell r="M65" t="str">
            <v>SARO/SGSI</v>
          </cell>
          <cell r="N65" t="str">
            <v>SARO</v>
          </cell>
        </row>
        <row r="66">
          <cell r="B66" t="str">
            <v>2.1.2.021</v>
          </cell>
          <cell r="C66">
            <v>2</v>
          </cell>
          <cell r="D66" t="str">
            <v>Seguridad de la Información</v>
          </cell>
          <cell r="E66" t="str">
            <v>2.1</v>
          </cell>
          <cell r="F66" t="str">
            <v>Física</v>
          </cell>
          <cell r="G66" t="str">
            <v>2.1.2</v>
          </cell>
          <cell r="H66" t="str">
            <v>Revisión de muebles y enceres</v>
          </cell>
          <cell r="I66" t="str">
            <v>2.1.2.021</v>
          </cell>
          <cell r="J66" t="str">
            <v>Cuenta con filtro de agua y su función es óptima.</v>
          </cell>
          <cell r="K66" t="str">
            <v>Actividad a Distancia</v>
          </cell>
          <cell r="M66" t="str">
            <v>SARO/SGSI</v>
          </cell>
          <cell r="N66" t="str">
            <v>SARO</v>
          </cell>
        </row>
        <row r="67">
          <cell r="B67" t="str">
            <v>2.1.2.022</v>
          </cell>
          <cell r="C67">
            <v>2</v>
          </cell>
          <cell r="D67" t="str">
            <v>Seguridad de la Información</v>
          </cell>
          <cell r="E67" t="str">
            <v>2.1</v>
          </cell>
          <cell r="F67" t="str">
            <v>Física</v>
          </cell>
          <cell r="G67" t="str">
            <v>2.1.2</v>
          </cell>
          <cell r="H67" t="str">
            <v>Revisión de muebles y enceres</v>
          </cell>
          <cell r="I67" t="str">
            <v>2.1.2.022</v>
          </cell>
          <cell r="J67" t="str">
            <v>Cuenta con greca y su función es óptima.</v>
          </cell>
          <cell r="K67" t="str">
            <v>Actividad a Distancia</v>
          </cell>
          <cell r="M67" t="str">
            <v>SARO/SGSI</v>
          </cell>
          <cell r="N67" t="str">
            <v>SARO</v>
          </cell>
        </row>
        <row r="68">
          <cell r="B68" t="str">
            <v>2.1.3.001</v>
          </cell>
          <cell r="C68">
            <v>2</v>
          </cell>
          <cell r="D68" t="str">
            <v>Seguridad de la Información</v>
          </cell>
          <cell r="E68" t="str">
            <v>2.1</v>
          </cell>
          <cell r="F68" t="str">
            <v>Física</v>
          </cell>
          <cell r="G68" t="str">
            <v>2.1.3</v>
          </cell>
          <cell r="H68" t="str">
            <v>Revisión de suministros</v>
          </cell>
          <cell r="I68" t="str">
            <v>2.1.3.001</v>
          </cell>
          <cell r="J68" t="str">
            <v>Implementos y suministros de aseo.</v>
          </cell>
          <cell r="K68" t="str">
            <v>Actividad a Distancia</v>
          </cell>
          <cell r="L68" t="str">
            <v>X</v>
          </cell>
          <cell r="M68" t="str">
            <v>SARO/SGSI</v>
          </cell>
          <cell r="N68" t="str">
            <v>SARO</v>
          </cell>
        </row>
        <row r="69">
          <cell r="B69" t="str">
            <v>2.1.3.002</v>
          </cell>
          <cell r="C69">
            <v>2</v>
          </cell>
          <cell r="D69" t="str">
            <v>Seguridad de la Información</v>
          </cell>
          <cell r="E69" t="str">
            <v>2.1</v>
          </cell>
          <cell r="F69" t="str">
            <v>Física</v>
          </cell>
          <cell r="G69" t="str">
            <v>2.1.3</v>
          </cell>
          <cell r="H69" t="str">
            <v>Revisión de suministros</v>
          </cell>
          <cell r="I69" t="str">
            <v>2.1.3.002</v>
          </cell>
          <cell r="J69" t="str">
            <v>Suministros de cafetería.</v>
          </cell>
          <cell r="K69" t="str">
            <v>Actividad a Distancia</v>
          </cell>
          <cell r="L69" t="str">
            <v>X</v>
          </cell>
          <cell r="M69" t="str">
            <v>SARO/SGSI</v>
          </cell>
          <cell r="N69" t="str">
            <v>SARO</v>
          </cell>
        </row>
        <row r="70">
          <cell r="B70" t="str">
            <v>2.1.3.003</v>
          </cell>
          <cell r="C70">
            <v>2</v>
          </cell>
          <cell r="D70" t="str">
            <v>Seguridad de la Información</v>
          </cell>
          <cell r="E70" t="str">
            <v>2.1</v>
          </cell>
          <cell r="F70" t="str">
            <v>Física</v>
          </cell>
          <cell r="G70" t="str">
            <v>2.1.3</v>
          </cell>
          <cell r="H70" t="str">
            <v>Revisión de suministros</v>
          </cell>
          <cell r="I70" t="str">
            <v>2.1.3.003</v>
          </cell>
          <cell r="J70" t="str">
            <v>Suministros material POP.</v>
          </cell>
          <cell r="K70" t="str">
            <v>Actividad a Distancia</v>
          </cell>
          <cell r="L70" t="str">
            <v>X</v>
          </cell>
          <cell r="M70" t="str">
            <v>SARO/SGSI</v>
          </cell>
          <cell r="N70" t="str">
            <v>SARO</v>
          </cell>
        </row>
        <row r="71">
          <cell r="B71" t="str">
            <v>2.1.3.004</v>
          </cell>
          <cell r="C71">
            <v>2</v>
          </cell>
          <cell r="D71" t="str">
            <v>Seguridad de la Información</v>
          </cell>
          <cell r="E71" t="str">
            <v>2.1</v>
          </cell>
          <cell r="F71" t="str">
            <v>Física</v>
          </cell>
          <cell r="G71" t="str">
            <v>2.1.3</v>
          </cell>
          <cell r="H71" t="str">
            <v>Revisión de suministros</v>
          </cell>
          <cell r="I71" t="str">
            <v>2.1.3.004</v>
          </cell>
          <cell r="J71" t="str">
            <v>Suministros de papelería.</v>
          </cell>
          <cell r="K71" t="str">
            <v>Actividad a Distancia</v>
          </cell>
          <cell r="L71" t="str">
            <v>X</v>
          </cell>
          <cell r="M71" t="str">
            <v>SARO/SGSI</v>
          </cell>
          <cell r="N71" t="str">
            <v>SARO</v>
          </cell>
        </row>
        <row r="72">
          <cell r="B72" t="str">
            <v>2.1.3.005</v>
          </cell>
          <cell r="C72">
            <v>2</v>
          </cell>
          <cell r="D72" t="str">
            <v>Seguridad de la Información</v>
          </cell>
          <cell r="E72" t="str">
            <v>2.1</v>
          </cell>
          <cell r="F72" t="str">
            <v>Física</v>
          </cell>
          <cell r="G72" t="str">
            <v>2.1.2</v>
          </cell>
          <cell r="H72" t="str">
            <v>Revisión de suministros</v>
          </cell>
          <cell r="I72" t="str">
            <v>2.1.3.005</v>
          </cell>
          <cell r="J72" t="str">
            <v>Suministros de utilería.</v>
          </cell>
          <cell r="K72" t="str">
            <v>Actividad a Distancia</v>
          </cell>
          <cell r="L72" t="str">
            <v>X</v>
          </cell>
          <cell r="M72" t="str">
            <v>SARO/SGSI</v>
          </cell>
          <cell r="N72" t="str">
            <v>SARO</v>
          </cell>
        </row>
        <row r="73">
          <cell r="B73" t="str">
            <v>2.1.4.001</v>
          </cell>
          <cell r="C73">
            <v>2</v>
          </cell>
          <cell r="D73" t="str">
            <v>Seguridad de la Información</v>
          </cell>
          <cell r="E73" t="str">
            <v>2.1</v>
          </cell>
          <cell r="F73" t="str">
            <v>Física</v>
          </cell>
          <cell r="G73" t="str">
            <v>2.1.4</v>
          </cell>
          <cell r="H73" t="str">
            <v>Revisión mantenimiento de oficina</v>
          </cell>
          <cell r="I73" t="str">
            <v>2.1.4.001</v>
          </cell>
          <cell r="J73" t="str">
            <v>Se han realizado ajustes a los puestos de trabajo.</v>
          </cell>
          <cell r="K73" t="str">
            <v>Presencial</v>
          </cell>
          <cell r="L73" t="str">
            <v>X</v>
          </cell>
          <cell r="M73" t="str">
            <v>SARO/SGSI/SAC</v>
          </cell>
          <cell r="N73" t="str">
            <v>SARO</v>
          </cell>
        </row>
        <row r="74">
          <cell r="B74" t="str">
            <v>2.1.4.002</v>
          </cell>
          <cell r="C74">
            <v>2</v>
          </cell>
          <cell r="D74" t="str">
            <v>Seguridad de la Información</v>
          </cell>
          <cell r="E74" t="str">
            <v>2.1</v>
          </cell>
          <cell r="F74" t="str">
            <v>Física</v>
          </cell>
          <cell r="G74" t="str">
            <v>2.1.4</v>
          </cell>
          <cell r="H74" t="str">
            <v>Revisión mantenimiento de oficina</v>
          </cell>
          <cell r="I74" t="str">
            <v>2.1.4.002</v>
          </cell>
          <cell r="J74" t="str">
            <v>Se ha realizado cambio de lámparas.</v>
          </cell>
          <cell r="K74" t="str">
            <v>Presencial</v>
          </cell>
          <cell r="L74" t="str">
            <v>X</v>
          </cell>
          <cell r="M74" t="str">
            <v>SARO/SGSI</v>
          </cell>
          <cell r="N74" t="str">
            <v>SARO</v>
          </cell>
        </row>
        <row r="75">
          <cell r="B75" t="str">
            <v>2.1.4.003</v>
          </cell>
          <cell r="C75">
            <v>2</v>
          </cell>
          <cell r="D75" t="str">
            <v>Seguridad de la Información</v>
          </cell>
          <cell r="E75" t="str">
            <v>2.1</v>
          </cell>
          <cell r="F75" t="str">
            <v>Física</v>
          </cell>
          <cell r="G75" t="str">
            <v>2.1.4</v>
          </cell>
          <cell r="H75" t="str">
            <v>Revisión mantenimiento de oficina</v>
          </cell>
          <cell r="I75" t="str">
            <v>2.1.4.003</v>
          </cell>
          <cell r="J75" t="str">
            <v>Se ha realizado impermeabilización.</v>
          </cell>
          <cell r="K75" t="str">
            <v>Presencial</v>
          </cell>
          <cell r="L75" t="str">
            <v>X</v>
          </cell>
          <cell r="M75" t="str">
            <v>SARO/SGSI</v>
          </cell>
          <cell r="N75" t="str">
            <v>SARO</v>
          </cell>
        </row>
        <row r="76">
          <cell r="B76" t="str">
            <v>2.1.4.004</v>
          </cell>
          <cell r="C76">
            <v>2</v>
          </cell>
          <cell r="D76" t="str">
            <v>Seguridad de la Información</v>
          </cell>
          <cell r="E76" t="str">
            <v>2.1</v>
          </cell>
          <cell r="F76" t="str">
            <v>Física</v>
          </cell>
          <cell r="G76" t="str">
            <v>2.1.4</v>
          </cell>
          <cell r="H76" t="str">
            <v>Revisión mantenimiento de oficina</v>
          </cell>
          <cell r="I76" t="str">
            <v>2.1.4.004</v>
          </cell>
          <cell r="J76" t="str">
            <v>Se ha realizado mantenimiento de baños.</v>
          </cell>
          <cell r="K76" t="str">
            <v>Presencial</v>
          </cell>
          <cell r="L76" t="str">
            <v>X</v>
          </cell>
          <cell r="M76" t="str">
            <v>SARO/SGSI</v>
          </cell>
          <cell r="N76" t="str">
            <v>SARO</v>
          </cell>
        </row>
        <row r="77">
          <cell r="B77" t="str">
            <v>2.1.4.005</v>
          </cell>
          <cell r="C77">
            <v>2</v>
          </cell>
          <cell r="D77" t="str">
            <v>Seguridad de la Información</v>
          </cell>
          <cell r="E77" t="str">
            <v>2.1</v>
          </cell>
          <cell r="F77" t="str">
            <v>Física</v>
          </cell>
          <cell r="G77" t="str">
            <v>2.1.4</v>
          </cell>
          <cell r="H77" t="str">
            <v>Revisión mantenimiento de oficina</v>
          </cell>
          <cell r="I77" t="str">
            <v>2.1.4.005</v>
          </cell>
          <cell r="J77" t="str">
            <v>Se ha realizado mantenimiento de cielo raso.</v>
          </cell>
          <cell r="K77" t="str">
            <v>Presencial</v>
          </cell>
          <cell r="L77" t="str">
            <v>X</v>
          </cell>
          <cell r="M77" t="str">
            <v>SARO/SGSI</v>
          </cell>
          <cell r="N77" t="str">
            <v>SARO</v>
          </cell>
        </row>
        <row r="78">
          <cell r="B78" t="str">
            <v>2.1.4.006</v>
          </cell>
          <cell r="C78">
            <v>2</v>
          </cell>
          <cell r="D78" t="str">
            <v>Seguridad de la Información</v>
          </cell>
          <cell r="E78" t="str">
            <v>2.1</v>
          </cell>
          <cell r="F78" t="str">
            <v>Física</v>
          </cell>
          <cell r="G78" t="str">
            <v>2.1.4</v>
          </cell>
          <cell r="H78" t="str">
            <v>Revisión mantenimiento de oficina</v>
          </cell>
          <cell r="I78" t="str">
            <v>2.1.4.006</v>
          </cell>
          <cell r="J78" t="str">
            <v>Se ha realizado mantenimiento de cocina.</v>
          </cell>
          <cell r="K78" t="str">
            <v>Presencial</v>
          </cell>
          <cell r="L78" t="str">
            <v>X</v>
          </cell>
          <cell r="M78" t="str">
            <v>SARO/SGSI</v>
          </cell>
          <cell r="N78" t="str">
            <v>SARO</v>
          </cell>
        </row>
        <row r="79">
          <cell r="B79" t="str">
            <v>2.1.4.007</v>
          </cell>
          <cell r="C79">
            <v>2</v>
          </cell>
          <cell r="D79" t="str">
            <v>Seguridad de la Información</v>
          </cell>
          <cell r="E79" t="str">
            <v>2.1</v>
          </cell>
          <cell r="F79" t="str">
            <v>Física</v>
          </cell>
          <cell r="G79" t="str">
            <v>2.1.4</v>
          </cell>
          <cell r="H79" t="str">
            <v>Revisión mantenimiento de oficina</v>
          </cell>
          <cell r="I79" t="str">
            <v>2.1.4.007</v>
          </cell>
          <cell r="J79" t="str">
            <v>Se ha realizado mantenimiento de pisos.</v>
          </cell>
          <cell r="K79" t="str">
            <v>Presencial</v>
          </cell>
          <cell r="L79" t="str">
            <v>X</v>
          </cell>
          <cell r="M79" t="str">
            <v>SARO/SGSI</v>
          </cell>
          <cell r="N79" t="str">
            <v>SARO</v>
          </cell>
        </row>
        <row r="80">
          <cell r="B80" t="str">
            <v>2.1.4.008</v>
          </cell>
          <cell r="C80">
            <v>2</v>
          </cell>
          <cell r="D80" t="str">
            <v>Seguridad de la Información</v>
          </cell>
          <cell r="E80" t="str">
            <v>2.1</v>
          </cell>
          <cell r="F80" t="str">
            <v>Física</v>
          </cell>
          <cell r="G80" t="str">
            <v>2.1.4</v>
          </cell>
          <cell r="H80" t="str">
            <v>Revisión mantenimiento de oficina</v>
          </cell>
          <cell r="I80" t="str">
            <v>2.1.4.008</v>
          </cell>
          <cell r="J80" t="str">
            <v>Se ha realizado mantenimiento de techos.</v>
          </cell>
          <cell r="K80" t="str">
            <v>Presencial</v>
          </cell>
          <cell r="L80" t="str">
            <v>X</v>
          </cell>
          <cell r="M80" t="str">
            <v>SARO/SGSI</v>
          </cell>
          <cell r="N80" t="str">
            <v>SARO</v>
          </cell>
        </row>
        <row r="81">
          <cell r="B81" t="str">
            <v>2.1.4.009</v>
          </cell>
          <cell r="C81">
            <v>2</v>
          </cell>
          <cell r="D81" t="str">
            <v>Seguridad de la Información</v>
          </cell>
          <cell r="E81" t="str">
            <v>2.1</v>
          </cell>
          <cell r="F81" t="str">
            <v>Física</v>
          </cell>
          <cell r="G81" t="str">
            <v>2.1.4</v>
          </cell>
          <cell r="H81" t="str">
            <v>Revisión mantenimiento de oficina</v>
          </cell>
          <cell r="I81" t="str">
            <v>2.1.4.009</v>
          </cell>
          <cell r="J81" t="str">
            <v>Se ha realizado mantenimiento de pintura.</v>
          </cell>
          <cell r="K81" t="str">
            <v>Presencial</v>
          </cell>
          <cell r="L81" t="str">
            <v>X</v>
          </cell>
          <cell r="M81" t="str">
            <v>SARO/SGSI</v>
          </cell>
          <cell r="N81" t="str">
            <v>SARO</v>
          </cell>
        </row>
        <row r="82">
          <cell r="B82" t="str">
            <v>2.1.4.010</v>
          </cell>
          <cell r="C82">
            <v>2</v>
          </cell>
          <cell r="D82" t="str">
            <v>Seguridad de la Información</v>
          </cell>
          <cell r="E82" t="str">
            <v>2.1</v>
          </cell>
          <cell r="F82" t="str">
            <v>Física</v>
          </cell>
          <cell r="G82" t="str">
            <v>2.1.4</v>
          </cell>
          <cell r="H82" t="str">
            <v>Revisión mantenimiento de oficina</v>
          </cell>
          <cell r="I82" t="str">
            <v>2.1.4.010</v>
          </cell>
          <cell r="J82" t="str">
            <v>Se ha realizado remodelación de puesto de trabajo.</v>
          </cell>
          <cell r="K82" t="str">
            <v>Presencial</v>
          </cell>
          <cell r="L82" t="str">
            <v>X</v>
          </cell>
          <cell r="M82" t="str">
            <v>SARO/SGSI</v>
          </cell>
          <cell r="N82" t="str">
            <v>SARO</v>
          </cell>
        </row>
        <row r="83">
          <cell r="B83" t="str">
            <v>2.2.1.001</v>
          </cell>
          <cell r="C83">
            <v>2</v>
          </cell>
          <cell r="D83" t="str">
            <v>Seguridad de la Información</v>
          </cell>
          <cell r="E83" t="str">
            <v>2.2</v>
          </cell>
          <cell r="F83" t="str">
            <v>Humana</v>
          </cell>
          <cell r="G83" t="str">
            <v>2.2.1</v>
          </cell>
          <cell r="H83" t="str">
            <v>Revisión de ausencia y vacaciones del Personal</v>
          </cell>
          <cell r="I83" t="str">
            <v>2.2.1.001</v>
          </cell>
          <cell r="J83" t="str">
            <v>El personal se encuentra al día con sus periodos de vacaciones.</v>
          </cell>
          <cell r="K83" t="str">
            <v>Actividad a Distancia</v>
          </cell>
          <cell r="M83" t="str">
            <v>SARO/SAC</v>
          </cell>
          <cell r="N83" t="str">
            <v>SARO</v>
          </cell>
        </row>
        <row r="84">
          <cell r="B84" t="str">
            <v>2.2.1.002</v>
          </cell>
          <cell r="C84">
            <v>2</v>
          </cell>
          <cell r="D84" t="str">
            <v>Seguridad de la Información</v>
          </cell>
          <cell r="E84" t="str">
            <v>2.2</v>
          </cell>
          <cell r="F84" t="str">
            <v>Humana</v>
          </cell>
          <cell r="G84" t="str">
            <v>2.2.1</v>
          </cell>
          <cell r="H84" t="str">
            <v>Revisión de ausencia y vacaciones del Personal</v>
          </cell>
          <cell r="I84" t="str">
            <v>2.2.1.002</v>
          </cell>
          <cell r="J84" t="str">
            <v>Se lleva un cronograma de vacaciones para el personal de la oficina.</v>
          </cell>
          <cell r="K84" t="str">
            <v>Presencial</v>
          </cell>
          <cell r="M84" t="str">
            <v>SARO/SAC</v>
          </cell>
          <cell r="N84" t="str">
            <v>SARO</v>
          </cell>
        </row>
        <row r="85">
          <cell r="B85" t="str">
            <v>2.2.1.003</v>
          </cell>
          <cell r="C85">
            <v>2</v>
          </cell>
          <cell r="D85" t="str">
            <v>Seguridad de la Información</v>
          </cell>
          <cell r="E85" t="str">
            <v>2.2</v>
          </cell>
          <cell r="F85" t="str">
            <v>Humana</v>
          </cell>
          <cell r="G85" t="str">
            <v>2.2.1</v>
          </cell>
          <cell r="H85" t="str">
            <v>Revisión de ausencia y vacaciones del Personal</v>
          </cell>
          <cell r="I85" t="str">
            <v>2.2.1.003</v>
          </cell>
          <cell r="J85" t="str">
            <v>Número de colaboradores con periodos de vacaciones vencidos.</v>
          </cell>
          <cell r="K85" t="str">
            <v>Actividad a Distancia</v>
          </cell>
          <cell r="M85" t="str">
            <v>SARO/SAC</v>
          </cell>
          <cell r="N85" t="str">
            <v>SARO</v>
          </cell>
        </row>
        <row r="86">
          <cell r="B86" t="str">
            <v>2.2.1.004</v>
          </cell>
          <cell r="C86">
            <v>2</v>
          </cell>
          <cell r="D86" t="str">
            <v>Seguridad de la Información</v>
          </cell>
          <cell r="E86" t="str">
            <v>2.2</v>
          </cell>
          <cell r="F86" t="str">
            <v>Humana</v>
          </cell>
          <cell r="G86" t="str">
            <v>2.2.1</v>
          </cell>
          <cell r="H86" t="str">
            <v>Revisión de ausencia y vacaciones del Personal</v>
          </cell>
          <cell r="I86" t="str">
            <v>2.2.1.004</v>
          </cell>
          <cell r="J86" t="str">
            <v>Existe algún registro de permisos para el personal de la oficina.</v>
          </cell>
          <cell r="K86" t="str">
            <v>Actividad a Distancia</v>
          </cell>
          <cell r="M86" t="str">
            <v>SARO/SAC</v>
          </cell>
          <cell r="N86" t="str">
            <v>SARO</v>
          </cell>
        </row>
        <row r="87">
          <cell r="B87" t="str">
            <v>2.2.2.001</v>
          </cell>
          <cell r="C87">
            <v>2</v>
          </cell>
          <cell r="D87" t="str">
            <v>Seguridad de la Información</v>
          </cell>
          <cell r="E87" t="str">
            <v>2.2</v>
          </cell>
          <cell r="F87" t="str">
            <v>Humana</v>
          </cell>
          <cell r="G87" t="str">
            <v>2.2.2</v>
          </cell>
          <cell r="H87" t="str">
            <v>Revisión de Funciones y Responsabilidad</v>
          </cell>
          <cell r="I87" t="str">
            <v>2.2.2.001</v>
          </cell>
          <cell r="J87" t="str">
            <v>El practicante ejerce actividades de responsabilidad mayor</v>
          </cell>
          <cell r="K87" t="str">
            <v>Presencial</v>
          </cell>
          <cell r="M87" t="str">
            <v>SARO/SAC</v>
          </cell>
          <cell r="N87" t="str">
            <v>SARO</v>
          </cell>
        </row>
        <row r="88">
          <cell r="B88" t="str">
            <v>2.2.2.002</v>
          </cell>
          <cell r="C88">
            <v>2</v>
          </cell>
          <cell r="D88" t="str">
            <v>Seguridad de la Información</v>
          </cell>
          <cell r="E88" t="str">
            <v>2.2</v>
          </cell>
          <cell r="F88" t="str">
            <v>Humana</v>
          </cell>
          <cell r="G88" t="str">
            <v>2.2.2</v>
          </cell>
          <cell r="H88" t="str">
            <v>Revisión de Funciones y Responsabilidad</v>
          </cell>
          <cell r="I88" t="str">
            <v>2.2.2.002</v>
          </cell>
          <cell r="J88" t="str">
            <v>Las funciones realizadas por el personal son acordes a su rol</v>
          </cell>
          <cell r="K88" t="str">
            <v>Presencial</v>
          </cell>
          <cell r="M88" t="str">
            <v>SARO/SAC</v>
          </cell>
          <cell r="N88" t="str">
            <v>SARO</v>
          </cell>
        </row>
        <row r="89">
          <cell r="B89" t="str">
            <v>2.2.2.003</v>
          </cell>
          <cell r="C89">
            <v>2</v>
          </cell>
          <cell r="D89" t="str">
            <v>Seguridad de la Información</v>
          </cell>
          <cell r="E89" t="str">
            <v>2.2</v>
          </cell>
          <cell r="F89" t="str">
            <v>Humana</v>
          </cell>
          <cell r="G89" t="str">
            <v>2.2.2</v>
          </cell>
          <cell r="H89" t="str">
            <v>Revisión de Funciones y Responsabilidad</v>
          </cell>
          <cell r="I89" t="str">
            <v>2.2.2.003</v>
          </cell>
          <cell r="J89" t="str">
            <v>La oficina presenta carteras solas o abandonada</v>
          </cell>
          <cell r="K89" t="str">
            <v>Actividad a Distancia</v>
          </cell>
          <cell r="M89" t="str">
            <v>SARO/SAC</v>
          </cell>
          <cell r="N89" t="str">
            <v>SARO</v>
          </cell>
        </row>
        <row r="90">
          <cell r="B90" t="str">
            <v>2.2.2.004</v>
          </cell>
          <cell r="C90">
            <v>2</v>
          </cell>
          <cell r="D90" t="str">
            <v>Seguridad de la Información</v>
          </cell>
          <cell r="E90" t="str">
            <v>2.2</v>
          </cell>
          <cell r="F90" t="str">
            <v>Humana</v>
          </cell>
          <cell r="G90" t="str">
            <v>2.2.2</v>
          </cell>
          <cell r="H90" t="str">
            <v>Revisión de Funciones y Responsabilidad</v>
          </cell>
          <cell r="I90" t="str">
            <v>2.2.2.004</v>
          </cell>
          <cell r="J90" t="str">
            <v>El expediente de colaboradorees se encuentra vigente y actualizado</v>
          </cell>
          <cell r="K90" t="str">
            <v>Actividad a Distancia</v>
          </cell>
          <cell r="M90" t="str">
            <v>SARO/SAC</v>
          </cell>
          <cell r="N90" t="str">
            <v>SARO</v>
          </cell>
        </row>
        <row r="91">
          <cell r="B91" t="str">
            <v>2.2.2.005</v>
          </cell>
          <cell r="C91">
            <v>2</v>
          </cell>
          <cell r="D91" t="str">
            <v>Seguridad de la Información</v>
          </cell>
          <cell r="E91" t="str">
            <v>2.2</v>
          </cell>
          <cell r="F91" t="str">
            <v>Humana</v>
          </cell>
          <cell r="G91" t="str">
            <v>2.2.2</v>
          </cell>
          <cell r="H91" t="str">
            <v>Revisión de Funciones y Responsabilidad</v>
          </cell>
          <cell r="I91" t="str">
            <v>2.2.2.005</v>
          </cell>
          <cell r="J91" t="str">
            <v>Número de colaboradores con procesos disciplinarios activos.</v>
          </cell>
          <cell r="K91" t="str">
            <v>Actividad a Distancia</v>
          </cell>
          <cell r="M91" t="str">
            <v>SARO/SAC</v>
          </cell>
          <cell r="N91" t="str">
            <v>SARO</v>
          </cell>
        </row>
        <row r="92">
          <cell r="B92" t="str">
            <v>2.2.3.001</v>
          </cell>
          <cell r="C92">
            <v>2</v>
          </cell>
          <cell r="D92" t="str">
            <v>Seguridad de la Información</v>
          </cell>
          <cell r="E92" t="str">
            <v>2.2</v>
          </cell>
          <cell r="F92" t="str">
            <v>Humana</v>
          </cell>
          <cell r="G92" t="str">
            <v>2.2.3</v>
          </cell>
          <cell r="H92" t="str">
            <v>Revisión de la Planta de Personal</v>
          </cell>
          <cell r="I92" t="str">
            <v>2.2.3.001</v>
          </cell>
          <cell r="J92" t="str">
            <v>Cuenta con el recurso humano completo (planta aprobada para la oficina)</v>
          </cell>
          <cell r="K92" t="str">
            <v>Actividad a Distancia</v>
          </cell>
          <cell r="M92" t="str">
            <v>SARO/SAC</v>
          </cell>
          <cell r="N92" t="str">
            <v>SARO</v>
          </cell>
        </row>
        <row r="93">
          <cell r="B93" t="str">
            <v>2.2.3.002</v>
          </cell>
          <cell r="C93">
            <v>2</v>
          </cell>
          <cell r="D93" t="str">
            <v>Seguridad de la Información</v>
          </cell>
          <cell r="E93" t="str">
            <v>2.2</v>
          </cell>
          <cell r="F93" t="str">
            <v>Humana</v>
          </cell>
          <cell r="G93" t="str">
            <v>2.2.3</v>
          </cell>
          <cell r="H93" t="str">
            <v>Revisión de la Planta de Personal</v>
          </cell>
          <cell r="I93" t="str">
            <v>2.2.3.002</v>
          </cell>
          <cell r="J93" t="str">
            <v>La oficina cuenta con coordinador operativo.</v>
          </cell>
          <cell r="K93" t="str">
            <v>Actividad a Distancia</v>
          </cell>
          <cell r="M93" t="str">
            <v>SARO/SAC</v>
          </cell>
          <cell r="N93" t="str">
            <v>SARO</v>
          </cell>
        </row>
        <row r="94">
          <cell r="B94" t="str">
            <v>2.2.3.003</v>
          </cell>
          <cell r="C94">
            <v>2</v>
          </cell>
          <cell r="D94" t="str">
            <v>Seguridad de la Información</v>
          </cell>
          <cell r="E94" t="str">
            <v>2.2</v>
          </cell>
          <cell r="F94" t="str">
            <v>Humana</v>
          </cell>
          <cell r="G94" t="str">
            <v>2.2.3</v>
          </cell>
          <cell r="H94" t="str">
            <v>Revisión de la Planta de Personal</v>
          </cell>
          <cell r="I94" t="str">
            <v>2.2.3.003</v>
          </cell>
          <cell r="J94" t="str">
            <v>La oficina cuenta con coordinador de desarrollo productivo del cliente</v>
          </cell>
          <cell r="K94" t="str">
            <v>Actividad a Distancia</v>
          </cell>
          <cell r="M94" t="str">
            <v>SARO/SAC</v>
          </cell>
          <cell r="N94" t="str">
            <v>SARO</v>
          </cell>
        </row>
        <row r="95">
          <cell r="B95" t="str">
            <v>2.2.3.004</v>
          </cell>
          <cell r="C95">
            <v>2</v>
          </cell>
          <cell r="D95" t="str">
            <v>Seguridad de la Información</v>
          </cell>
          <cell r="E95" t="str">
            <v>2.2</v>
          </cell>
          <cell r="F95" t="str">
            <v>Humana</v>
          </cell>
          <cell r="G95" t="str">
            <v>2.2.3</v>
          </cell>
          <cell r="H95" t="str">
            <v>Revisión de la Planta de Personal</v>
          </cell>
          <cell r="I95" t="str">
            <v>2.2.3.004</v>
          </cell>
          <cell r="J95" t="str">
            <v>La oficina cuenta con EDP adicional o Supernumerario</v>
          </cell>
          <cell r="K95" t="str">
            <v>Actividad a Distancia</v>
          </cell>
          <cell r="M95" t="str">
            <v>SARO/SAC</v>
          </cell>
          <cell r="N95" t="str">
            <v>SARO</v>
          </cell>
        </row>
        <row r="96">
          <cell r="B96" t="str">
            <v>2.3.1.001</v>
          </cell>
          <cell r="C96">
            <v>2</v>
          </cell>
          <cell r="D96" t="str">
            <v>Seguridad de la Información</v>
          </cell>
          <cell r="E96" t="str">
            <v>2.3</v>
          </cell>
          <cell r="F96" t="str">
            <v>Tecnológica</v>
          </cell>
          <cell r="G96" t="str">
            <v>2.3.1</v>
          </cell>
          <cell r="H96" t="str">
            <v>Revisión equipos de comunicación</v>
          </cell>
          <cell r="I96" t="str">
            <v>2.3.1.001</v>
          </cell>
          <cell r="J96" t="str">
            <v>Cuenta con el 100% de los celulares asignados (diligenciar anexo no 1)</v>
          </cell>
          <cell r="K96" t="str">
            <v>Actividad a Distancia</v>
          </cell>
          <cell r="L96" t="str">
            <v>X</v>
          </cell>
          <cell r="M96" t="str">
            <v>SARO/SGSI/SAC</v>
          </cell>
          <cell r="N96" t="str">
            <v>SARO</v>
          </cell>
        </row>
        <row r="97">
          <cell r="B97" t="str">
            <v>2.3.1.002</v>
          </cell>
          <cell r="C97">
            <v>2</v>
          </cell>
          <cell r="D97" t="str">
            <v>Seguridad de la Información</v>
          </cell>
          <cell r="E97" t="str">
            <v>2.3</v>
          </cell>
          <cell r="F97" t="str">
            <v>Tecnológica</v>
          </cell>
          <cell r="G97" t="str">
            <v>2.3.1</v>
          </cell>
          <cell r="H97" t="str">
            <v>Revisión equipos de comunicación</v>
          </cell>
          <cell r="I97" t="str">
            <v>2.3.1.002</v>
          </cell>
          <cell r="J97" t="str">
            <v>Cuenta con fax y su función es óptima</v>
          </cell>
          <cell r="K97" t="str">
            <v>Actividad a Distancia</v>
          </cell>
          <cell r="L97" t="str">
            <v>X</v>
          </cell>
          <cell r="M97" t="str">
            <v>SARO/SGSI</v>
          </cell>
          <cell r="N97" t="str">
            <v>SARO</v>
          </cell>
        </row>
        <row r="98">
          <cell r="B98" t="str">
            <v>2.3.1.003</v>
          </cell>
          <cell r="C98">
            <v>2</v>
          </cell>
          <cell r="D98" t="str">
            <v>Seguridad de la Información</v>
          </cell>
          <cell r="E98" t="str">
            <v>2.3</v>
          </cell>
          <cell r="F98" t="str">
            <v>Tecnológica</v>
          </cell>
          <cell r="G98" t="str">
            <v>2.3.1</v>
          </cell>
          <cell r="H98" t="str">
            <v>Revisión equipos de comunicación</v>
          </cell>
          <cell r="I98" t="str">
            <v>2.3.1.003</v>
          </cell>
          <cell r="J98" t="str">
            <v>Cuenta con planta telefónica y su función es óptima.</v>
          </cell>
          <cell r="K98" t="str">
            <v>Actividad a Distancia</v>
          </cell>
          <cell r="L98" t="str">
            <v>X</v>
          </cell>
          <cell r="M98" t="str">
            <v>SARO/SGSI</v>
          </cell>
          <cell r="N98" t="str">
            <v>SARO</v>
          </cell>
        </row>
        <row r="99">
          <cell r="B99" t="str">
            <v>2.3.1.004</v>
          </cell>
          <cell r="C99">
            <v>2</v>
          </cell>
          <cell r="D99" t="str">
            <v>Seguridad de la Información</v>
          </cell>
          <cell r="E99" t="str">
            <v>2.3</v>
          </cell>
          <cell r="F99" t="str">
            <v>Tecnológica</v>
          </cell>
          <cell r="G99" t="str">
            <v>2.3.1</v>
          </cell>
          <cell r="H99" t="str">
            <v>Revisión equipos de comunicación</v>
          </cell>
          <cell r="I99" t="str">
            <v>2.3.1.004</v>
          </cell>
          <cell r="J99" t="str">
            <v>Cuenta con teléfonos fijos y su función es óptima.</v>
          </cell>
          <cell r="K99" t="str">
            <v>Actividad a Distancia</v>
          </cell>
          <cell r="L99" t="str">
            <v>X</v>
          </cell>
          <cell r="M99" t="str">
            <v>SARO/SGSI</v>
          </cell>
          <cell r="N99" t="str">
            <v>SARO</v>
          </cell>
        </row>
        <row r="100">
          <cell r="B100" t="str">
            <v>2.3.1.005</v>
          </cell>
          <cell r="C100">
            <v>2</v>
          </cell>
          <cell r="D100" t="str">
            <v>Seguridad de la Información</v>
          </cell>
          <cell r="E100" t="str">
            <v>2.3</v>
          </cell>
          <cell r="F100" t="str">
            <v>Tecnológica</v>
          </cell>
          <cell r="G100" t="str">
            <v>2.3.1</v>
          </cell>
          <cell r="H100" t="str">
            <v>Revisión equipos de comunicación</v>
          </cell>
          <cell r="I100" t="str">
            <v>2.3.1.005</v>
          </cell>
          <cell r="J100" t="str">
            <v>Cuenta con computadores fijos y portátil y su función es óptima.</v>
          </cell>
          <cell r="K100" t="str">
            <v>Actividad a Distancia</v>
          </cell>
          <cell r="L100" t="str">
            <v>X</v>
          </cell>
          <cell r="M100" t="str">
            <v>SARO/SGSI</v>
          </cell>
          <cell r="N100" t="str">
            <v>SARO</v>
          </cell>
        </row>
        <row r="101">
          <cell r="B101" t="str">
            <v>2.3.1.006</v>
          </cell>
          <cell r="C101">
            <v>2</v>
          </cell>
          <cell r="D101" t="str">
            <v>Seguridad de la Información</v>
          </cell>
          <cell r="E101" t="str">
            <v>2.3</v>
          </cell>
          <cell r="F101" t="str">
            <v>Tecnológica</v>
          </cell>
          <cell r="G101" t="str">
            <v>2.3.1</v>
          </cell>
          <cell r="H101" t="str">
            <v>Revisión equipos de comunicación</v>
          </cell>
          <cell r="I101" t="str">
            <v>2.3.1.006</v>
          </cell>
          <cell r="J101" t="str">
            <v>Cuenta con verificación biométrica dactilar y su función es óptima.</v>
          </cell>
          <cell r="K101" t="str">
            <v>Actividad a Distancia</v>
          </cell>
          <cell r="L101" t="str">
            <v>X</v>
          </cell>
          <cell r="M101" t="str">
            <v>SARO/SGSI</v>
          </cell>
          <cell r="N101" t="str">
            <v>SARO</v>
          </cell>
        </row>
        <row r="102">
          <cell r="B102" t="str">
            <v>2.3.1.007</v>
          </cell>
          <cell r="C102">
            <v>2</v>
          </cell>
          <cell r="D102" t="str">
            <v>Seguridad de la Información</v>
          </cell>
          <cell r="E102" t="str">
            <v>2.3</v>
          </cell>
          <cell r="F102" t="str">
            <v>Tecnológica</v>
          </cell>
          <cell r="G102" t="str">
            <v>2.3.1</v>
          </cell>
          <cell r="H102" t="str">
            <v>Revisión equipos de comunicación</v>
          </cell>
          <cell r="I102" t="str">
            <v>2.3.1.007</v>
          </cell>
          <cell r="J102" t="str">
            <v>Cuenta con datáfonos y su función es óptima.</v>
          </cell>
          <cell r="K102" t="str">
            <v>Actividad a Distancia</v>
          </cell>
          <cell r="L102" t="str">
            <v>X</v>
          </cell>
          <cell r="M102" t="str">
            <v>SARO/SGSI</v>
          </cell>
          <cell r="N102" t="str">
            <v>SARO</v>
          </cell>
        </row>
        <row r="103">
          <cell r="B103" t="str">
            <v>2.3.1.008</v>
          </cell>
          <cell r="C103">
            <v>2</v>
          </cell>
          <cell r="D103" t="str">
            <v>Seguridad de la Información</v>
          </cell>
          <cell r="E103" t="str">
            <v>2.3</v>
          </cell>
          <cell r="F103" t="str">
            <v>Tecnológica</v>
          </cell>
          <cell r="G103" t="str">
            <v>2.3.1</v>
          </cell>
          <cell r="H103" t="str">
            <v>Revisión equipos de comunicación</v>
          </cell>
          <cell r="I103" t="str">
            <v>2.3.1.008</v>
          </cell>
          <cell r="J103" t="str">
            <v>Cuenta con el 100% de las tabletas asignadas y su función es óptima.</v>
          </cell>
          <cell r="K103" t="str">
            <v>Actividad a Distancia</v>
          </cell>
          <cell r="L103" t="str">
            <v>X</v>
          </cell>
          <cell r="M103" t="str">
            <v>SARO/SGSI</v>
          </cell>
          <cell r="N103" t="str">
            <v>SARO</v>
          </cell>
        </row>
        <row r="104">
          <cell r="B104" t="str">
            <v>3.1.1.001</v>
          </cell>
          <cell r="C104">
            <v>3</v>
          </cell>
          <cell r="D104" t="str">
            <v>SAC</v>
          </cell>
          <cell r="E104" t="str">
            <v>3.1</v>
          </cell>
          <cell r="F104" t="str">
            <v>Atencición al consumidor</v>
          </cell>
          <cell r="G104" t="str">
            <v>3.1.1</v>
          </cell>
          <cell r="H104" t="str">
            <v>Revisión atención a clientes con discapacidad</v>
          </cell>
          <cell r="I104" t="str">
            <v>3.1.1.001</v>
          </cell>
          <cell r="J104" t="str">
            <v>Se cuenta con señalización de atención preferencial en caja para personas discapacitadas, tercera edad y mujeres embarazadas? (foto de avisos de caja)</v>
          </cell>
          <cell r="K104" t="str">
            <v>Actividad a Distancia</v>
          </cell>
          <cell r="L104" t="str">
            <v>X</v>
          </cell>
          <cell r="M104" t="str">
            <v>SARO/SGSF/SAC/SGSI</v>
          </cell>
          <cell r="N104" t="str">
            <v>SARO</v>
          </cell>
        </row>
        <row r="105">
          <cell r="B105" t="str">
            <v>3.1.1.002</v>
          </cell>
          <cell r="C105">
            <v>3</v>
          </cell>
          <cell r="D105" t="str">
            <v>SAC</v>
          </cell>
          <cell r="E105" t="str">
            <v>3.1</v>
          </cell>
          <cell r="F105" t="str">
            <v>Atencición al consumidor</v>
          </cell>
          <cell r="G105" t="str">
            <v>3.1.1</v>
          </cell>
          <cell r="H105" t="str">
            <v>Revisión atención a clientes con discapacidad</v>
          </cell>
          <cell r="I105" t="str">
            <v>3.1.1.002</v>
          </cell>
          <cell r="J105" t="str">
            <v>El personal de la oficina conoce el acceso tecnológico para la atención de clientes con discapacidad.</v>
          </cell>
          <cell r="K105" t="str">
            <v>Presencial</v>
          </cell>
          <cell r="M105" t="str">
            <v>SARO/SAC</v>
          </cell>
          <cell r="N105" t="str">
            <v>SARO</v>
          </cell>
        </row>
        <row r="106">
          <cell r="B106" t="str">
            <v>3.1.1.003</v>
          </cell>
          <cell r="C106">
            <v>3</v>
          </cell>
          <cell r="D106" t="str">
            <v>SAC</v>
          </cell>
          <cell r="E106" t="str">
            <v>3.1</v>
          </cell>
          <cell r="F106" t="str">
            <v>Atencición al consumidor</v>
          </cell>
          <cell r="G106" t="str">
            <v>3.1.1</v>
          </cell>
          <cell r="H106" t="str">
            <v>Revisión atención a clientes con discapacidad</v>
          </cell>
          <cell r="I106" t="str">
            <v>3.1.1.003</v>
          </cell>
          <cell r="J106" t="str">
            <v>La oficina cuenta con el acceso y los elementos para la atención de clientes con discapacidad.</v>
          </cell>
          <cell r="K106" t="str">
            <v>Presencial</v>
          </cell>
          <cell r="M106" t="str">
            <v>SARO/SAC</v>
          </cell>
          <cell r="N106" t="str">
            <v>SARO</v>
          </cell>
        </row>
        <row r="107">
          <cell r="B107" t="str">
            <v>3.1.1.004</v>
          </cell>
          <cell r="C107">
            <v>3</v>
          </cell>
          <cell r="D107" t="str">
            <v>SAC</v>
          </cell>
          <cell r="E107" t="str">
            <v>3.1</v>
          </cell>
          <cell r="F107" t="str">
            <v>Atencición al consumidor</v>
          </cell>
          <cell r="G107" t="str">
            <v>3.1.1</v>
          </cell>
          <cell r="H107" t="str">
            <v>Revisión atención a clientes con discapacidad</v>
          </cell>
          <cell r="I107" t="str">
            <v>3.1.1.004</v>
          </cell>
          <cell r="J107" t="str">
            <v>La oficina cuenta con la señalización para el acceso a discapacitados.</v>
          </cell>
          <cell r="K107" t="str">
            <v>Presencial</v>
          </cell>
          <cell r="M107" t="str">
            <v>SARO/SAC</v>
          </cell>
          <cell r="N107" t="str">
            <v>SARO</v>
          </cell>
        </row>
        <row r="108">
          <cell r="B108" t="str">
            <v>3.1.1.005</v>
          </cell>
          <cell r="C108">
            <v>3</v>
          </cell>
          <cell r="D108" t="str">
            <v>SAC</v>
          </cell>
          <cell r="E108" t="str">
            <v>3.1</v>
          </cell>
          <cell r="F108" t="str">
            <v>Atencición al consumidor</v>
          </cell>
          <cell r="G108" t="str">
            <v>3.1.1</v>
          </cell>
          <cell r="H108" t="str">
            <v>Revisión atención a clientes con discapacidad</v>
          </cell>
          <cell r="I108" t="str">
            <v>3.1.1.005</v>
          </cell>
          <cell r="J108" t="str">
            <v>Cuenta con rampa para discapacitados.</v>
          </cell>
          <cell r="K108" t="str">
            <v>Actividad a Distancia</v>
          </cell>
          <cell r="L108" t="str">
            <v>X</v>
          </cell>
          <cell r="M108" t="str">
            <v>SARO/SGSI/SAC</v>
          </cell>
          <cell r="N108" t="str">
            <v>SARO</v>
          </cell>
        </row>
        <row r="109">
          <cell r="B109" t="str">
            <v>3.2.1.001</v>
          </cell>
          <cell r="C109">
            <v>3</v>
          </cell>
          <cell r="D109" t="str">
            <v>SAC</v>
          </cell>
          <cell r="E109" t="str">
            <v>3.2</v>
          </cell>
          <cell r="F109" t="str">
            <v>Control de publicidad y carteleras</v>
          </cell>
          <cell r="G109" t="str">
            <v>3.2.1</v>
          </cell>
          <cell r="H109" t="str">
            <v>Verificación contenido cartelera externa</v>
          </cell>
          <cell r="I109" t="str">
            <v>3.2.1.001</v>
          </cell>
          <cell r="J109" t="str">
            <v>Se encuentra publicado material informativo de utilidad en materia de SAC; el afiche de prevención de fleteo y documentos internos del banco? (foto de la cartelera).</v>
          </cell>
          <cell r="K109" t="str">
            <v>Actividad a Distancia</v>
          </cell>
          <cell r="L109" t="str">
            <v>X</v>
          </cell>
          <cell r="M109" t="str">
            <v>SARO/SAC/SGSF</v>
          </cell>
          <cell r="N109" t="str">
            <v>SARO</v>
          </cell>
        </row>
        <row r="110">
          <cell r="B110" t="str">
            <v>3.2.1.002</v>
          </cell>
          <cell r="C110">
            <v>3</v>
          </cell>
          <cell r="D110" t="str">
            <v>SAC</v>
          </cell>
          <cell r="E110" t="str">
            <v>3.2</v>
          </cell>
          <cell r="F110" t="str">
            <v>Control de publicidad y carteleras</v>
          </cell>
          <cell r="G110" t="str">
            <v>3.2.1</v>
          </cell>
          <cell r="H110" t="str">
            <v>Verificación contenido cartelera externa</v>
          </cell>
          <cell r="I110" t="str">
            <v>3.2.1.002</v>
          </cell>
          <cell r="J110" t="str">
            <v>Se encuentra publicado material informativo sobre el Defensor del Consumidor Financiero? (foto de la cartelera).</v>
          </cell>
          <cell r="K110" t="str">
            <v>Actividad a Distancia</v>
          </cell>
          <cell r="L110" t="str">
            <v>X</v>
          </cell>
          <cell r="M110" t="str">
            <v>SARO/SAC</v>
          </cell>
          <cell r="N110" t="str">
            <v>SARO</v>
          </cell>
        </row>
        <row r="111">
          <cell r="B111" t="str">
            <v>3.2.1.003</v>
          </cell>
          <cell r="C111">
            <v>3</v>
          </cell>
          <cell r="D111" t="str">
            <v>SAC</v>
          </cell>
          <cell r="E111" t="str">
            <v>3.2</v>
          </cell>
          <cell r="F111" t="str">
            <v>Control de publicidad y carteleras</v>
          </cell>
          <cell r="G111" t="str">
            <v>3.2.1</v>
          </cell>
          <cell r="H111" t="str">
            <v>Verificación contenido cartelera externa</v>
          </cell>
          <cell r="I111" t="str">
            <v>3.2.1.003</v>
          </cell>
          <cell r="J111" t="str">
            <v>Se encuentra publicado material informativo sobre los canales para la recepción de quejas, peticiones y reclamos. (foto de la cartelera).</v>
          </cell>
          <cell r="K111" t="str">
            <v>Actividad a Distancia</v>
          </cell>
          <cell r="L111" t="str">
            <v>X</v>
          </cell>
          <cell r="M111" t="str">
            <v>SARO/SAC</v>
          </cell>
          <cell r="N111" t="str">
            <v>SARO</v>
          </cell>
        </row>
        <row r="112">
          <cell r="B112" t="str">
            <v>3.2.1.004</v>
          </cell>
          <cell r="C112">
            <v>3</v>
          </cell>
          <cell r="D112" t="str">
            <v>SAC</v>
          </cell>
          <cell r="E112" t="str">
            <v>3.2</v>
          </cell>
          <cell r="F112" t="str">
            <v>Control de publicidad y carteleras</v>
          </cell>
          <cell r="G112" t="str">
            <v>3.2.1</v>
          </cell>
          <cell r="H112" t="str">
            <v>Verificación contenido cartelera externa</v>
          </cell>
          <cell r="I112" t="str">
            <v>3.2.1.004</v>
          </cell>
          <cell r="J112" t="str">
            <v>Se encuentra publicado al alcance del público información con las tasas de interés para productos del activo y del pasivo? (tarifario).</v>
          </cell>
          <cell r="K112" t="str">
            <v>Actividad a Distancia</v>
          </cell>
          <cell r="L112" t="str">
            <v>X</v>
          </cell>
          <cell r="M112" t="str">
            <v>SARO/SAC</v>
          </cell>
          <cell r="N112" t="str">
            <v>SARO</v>
          </cell>
        </row>
        <row r="113">
          <cell r="B113" t="str">
            <v>3.2.1.005</v>
          </cell>
          <cell r="C113">
            <v>3</v>
          </cell>
          <cell r="D113" t="str">
            <v>SAC</v>
          </cell>
          <cell r="E113" t="str">
            <v>3.2</v>
          </cell>
          <cell r="F113" t="str">
            <v>Control de publicidad y carteleras</v>
          </cell>
          <cell r="G113" t="str">
            <v>3.2.1</v>
          </cell>
          <cell r="H113" t="str">
            <v>Verificación contenido cartelera externa</v>
          </cell>
          <cell r="I113" t="str">
            <v>3.2.1.005</v>
          </cell>
          <cell r="J113" t="str">
            <v>Se encuentra publicado en un sitio accesible al público información sobre topes para retiros en efectivo? (foto cartelera).</v>
          </cell>
          <cell r="K113" t="str">
            <v>Actividad a Distancia</v>
          </cell>
          <cell r="L113" t="str">
            <v>X</v>
          </cell>
          <cell r="M113" t="str">
            <v>SARO/SAC</v>
          </cell>
          <cell r="N113" t="str">
            <v>SARO</v>
          </cell>
        </row>
        <row r="114">
          <cell r="B114" t="str">
            <v>3.2.1.006</v>
          </cell>
          <cell r="C114">
            <v>3</v>
          </cell>
          <cell r="D114" t="str">
            <v>SAC</v>
          </cell>
          <cell r="E114" t="str">
            <v>3.2</v>
          </cell>
          <cell r="F114" t="str">
            <v>Control de publicidad y carteleras</v>
          </cell>
          <cell r="G114" t="str">
            <v>3.2.1</v>
          </cell>
          <cell r="H114" t="str">
            <v>Verificación contenido cartelera externa</v>
          </cell>
          <cell r="I114" t="str">
            <v>3.2.1.006</v>
          </cell>
          <cell r="J114" t="str">
            <v>Se encuentra publicada al alcance del público información sobre dónde encontrar o cómo acceder a los reglamentos de los productos que ofrece ?</v>
          </cell>
          <cell r="K114" t="str">
            <v>Actividad a Distancia</v>
          </cell>
          <cell r="L114" t="str">
            <v>X</v>
          </cell>
          <cell r="M114" t="str">
            <v>SARO/SAC</v>
          </cell>
          <cell r="N114" t="str">
            <v>SARO</v>
          </cell>
        </row>
        <row r="115">
          <cell r="B115" t="str">
            <v>3.2.2.001</v>
          </cell>
          <cell r="C115">
            <v>3</v>
          </cell>
          <cell r="D115" t="str">
            <v>SAC</v>
          </cell>
          <cell r="E115" t="str">
            <v>3.2</v>
          </cell>
          <cell r="F115" t="str">
            <v>Control de publicidad y carteleras</v>
          </cell>
          <cell r="G115" t="str">
            <v>3.2.2</v>
          </cell>
          <cell r="H115" t="str">
            <v>Verificación contenido cartelera interna</v>
          </cell>
          <cell r="I115" t="str">
            <v>3.2.2.001</v>
          </cell>
          <cell r="J115" t="str">
            <v>Se encuentra publicado en la cartelera interna material informativo de utilidad en materia de protección de datos? (foto).</v>
          </cell>
          <cell r="K115" t="str">
            <v>Actividad a Distancia</v>
          </cell>
          <cell r="L115" t="str">
            <v>X</v>
          </cell>
          <cell r="M115" t="str">
            <v>SARO/SAC</v>
          </cell>
          <cell r="N115" t="str">
            <v>SARO</v>
          </cell>
        </row>
        <row r="116">
          <cell r="B116" t="str">
            <v>3.2.3.001</v>
          </cell>
          <cell r="C116">
            <v>3</v>
          </cell>
          <cell r="D116" t="str">
            <v>SAC</v>
          </cell>
          <cell r="E116" t="str">
            <v>3.2</v>
          </cell>
          <cell r="F116" t="str">
            <v>Control de publicidad y carteleras</v>
          </cell>
          <cell r="G116" t="str">
            <v>3.2.2</v>
          </cell>
          <cell r="H116" t="str">
            <v>Verificación de material de publicidad</v>
          </cell>
          <cell r="I116" t="str">
            <v>3.2.3.001</v>
          </cell>
          <cell r="J116" t="str">
            <v>La oficina cuenta con material de apoyo POP actualizado.</v>
          </cell>
          <cell r="K116" t="str">
            <v>Actividad a Distancia</v>
          </cell>
          <cell r="M116" t="str">
            <v>SARO</v>
          </cell>
          <cell r="N116" t="str">
            <v>SARO</v>
          </cell>
        </row>
        <row r="117">
          <cell r="B117" t="str">
            <v>3.2.3.002</v>
          </cell>
          <cell r="C117">
            <v>3</v>
          </cell>
          <cell r="D117" t="str">
            <v>SAC</v>
          </cell>
          <cell r="E117" t="str">
            <v>3.2</v>
          </cell>
          <cell r="F117" t="str">
            <v>Control de publicidad y carteleras</v>
          </cell>
          <cell r="G117" t="str">
            <v>3.2.2</v>
          </cell>
          <cell r="H117" t="str">
            <v>Verificación de material de publicidad</v>
          </cell>
          <cell r="I117" t="str">
            <v>3.2.3.002</v>
          </cell>
          <cell r="J117" t="str">
            <v>Los eventos, campañas y perifoneo van acompañados de material POP actualizado.</v>
          </cell>
          <cell r="K117" t="str">
            <v>Actividad a Distancia</v>
          </cell>
          <cell r="M117" t="str">
            <v>SARO</v>
          </cell>
          <cell r="N117" t="str">
            <v>SARO</v>
          </cell>
        </row>
        <row r="118">
          <cell r="B118" t="str">
            <v>3.3.1.001</v>
          </cell>
          <cell r="C118">
            <v>3</v>
          </cell>
          <cell r="D118" t="str">
            <v>SAC</v>
          </cell>
          <cell r="E118" t="str">
            <v>3.3</v>
          </cell>
          <cell r="F118" t="str">
            <v>Protección de datos</v>
          </cell>
          <cell r="G118" t="str">
            <v>3.3.1</v>
          </cell>
          <cell r="H118" t="str">
            <v xml:space="preserve">Revisión control de documentos </v>
          </cell>
          <cell r="I118" t="str">
            <v>3.3.1.001</v>
          </cell>
          <cell r="J118" t="str">
            <v>Cuenta con una máquina destructora de papel? (foto de la máquina).</v>
          </cell>
          <cell r="K118" t="str">
            <v>Presencial</v>
          </cell>
          <cell r="L118" t="str">
            <v>X</v>
          </cell>
          <cell r="M118" t="str">
            <v>SARO/SGSI/SAC</v>
          </cell>
          <cell r="N118" t="str">
            <v>SARO</v>
          </cell>
        </row>
        <row r="119">
          <cell r="B119" t="str">
            <v>3.3.1.002</v>
          </cell>
          <cell r="C119">
            <v>3</v>
          </cell>
          <cell r="D119" t="str">
            <v>SAC</v>
          </cell>
          <cell r="E119" t="str">
            <v>3.3</v>
          </cell>
          <cell r="F119" t="str">
            <v>Protección de datos</v>
          </cell>
          <cell r="G119" t="str">
            <v>3.3.1</v>
          </cell>
          <cell r="H119" t="str">
            <v xml:space="preserve">Revisión control de documentos </v>
          </cell>
          <cell r="I119" t="str">
            <v>3.3.1.002</v>
          </cell>
          <cell r="J119" t="str">
            <v>El archivo de las carpetas donde reposan los datos y documentos  de los clientes están bajo llave? (foto de archivo).</v>
          </cell>
          <cell r="K119" t="str">
            <v>Presencial</v>
          </cell>
          <cell r="L119" t="str">
            <v>X</v>
          </cell>
          <cell r="M119" t="str">
            <v>SARO/SAC</v>
          </cell>
          <cell r="N119" t="str">
            <v>SARO</v>
          </cell>
        </row>
        <row r="120">
          <cell r="B120" t="str">
            <v>3.3.1.003</v>
          </cell>
          <cell r="C120">
            <v>3</v>
          </cell>
          <cell r="D120" t="str">
            <v>SAC</v>
          </cell>
          <cell r="E120" t="str">
            <v>3.3</v>
          </cell>
          <cell r="F120" t="str">
            <v>Protección de datos</v>
          </cell>
          <cell r="G120" t="str">
            <v>3.3.1</v>
          </cell>
          <cell r="H120" t="str">
            <v xml:space="preserve">Revisión control de documentos </v>
          </cell>
          <cell r="I120" t="str">
            <v>3.3.1.003</v>
          </cell>
          <cell r="J120" t="str">
            <v>El archivo se encuentra en un lugar idóneo que asegure la conservación e integridad de los documentos? (foto de la ubicación del archivo y carpetas en la oficina).</v>
          </cell>
          <cell r="K120" t="str">
            <v>Actividad a Distancia</v>
          </cell>
          <cell r="L120" t="str">
            <v>X</v>
          </cell>
          <cell r="M120" t="str">
            <v>SARO/SGSI/SAC</v>
          </cell>
          <cell r="N120" t="str">
            <v>SARO</v>
          </cell>
        </row>
        <row r="121">
          <cell r="B121" t="str">
            <v>3.3.1.004</v>
          </cell>
          <cell r="C121">
            <v>3</v>
          </cell>
          <cell r="D121" t="str">
            <v>SAC</v>
          </cell>
          <cell r="E121" t="str">
            <v>3.3</v>
          </cell>
          <cell r="F121" t="str">
            <v>Protección de datos</v>
          </cell>
          <cell r="G121" t="str">
            <v>3.3.1</v>
          </cell>
          <cell r="H121" t="str">
            <v xml:space="preserve">Revisión control de documentos </v>
          </cell>
          <cell r="I121" t="str">
            <v>3.3.1.004</v>
          </cell>
          <cell r="J121" t="str">
            <v>Se lleva un registro de las personas que acceden al archivo en donde se especifique la información que consultó o extrajo del mismo? (foto del registro).</v>
          </cell>
          <cell r="K121" t="str">
            <v>Actividad a Distancia</v>
          </cell>
          <cell r="L121" t="str">
            <v>X</v>
          </cell>
          <cell r="M121" t="str">
            <v>SARO/SAC</v>
          </cell>
          <cell r="N121" t="str">
            <v>SARO</v>
          </cell>
        </row>
        <row r="122">
          <cell r="B122" t="str">
            <v>3.3.1.005</v>
          </cell>
          <cell r="C122">
            <v>3</v>
          </cell>
          <cell r="D122" t="str">
            <v>SAC</v>
          </cell>
          <cell r="E122" t="str">
            <v>3.3</v>
          </cell>
          <cell r="F122" t="str">
            <v>Protección de datos</v>
          </cell>
          <cell r="G122" t="str">
            <v>3.3.1</v>
          </cell>
          <cell r="H122" t="str">
            <v xml:space="preserve">Revisión control de documentos </v>
          </cell>
          <cell r="I122" t="str">
            <v>3.3.1.005</v>
          </cell>
          <cell r="J122" t="str">
            <v>Al verificar las estaciones de reciclaje de papel, éste contiene datos personales de los clientes (tablas de amortización, cartas de cobro, consulta de cuotas, etc)? (fotos de las estaciones de reciclaje y de la información que allí reposa).</v>
          </cell>
          <cell r="K122" t="str">
            <v>Presencial</v>
          </cell>
          <cell r="L122" t="str">
            <v>X</v>
          </cell>
          <cell r="M122" t="str">
            <v>SARO/SAC</v>
          </cell>
          <cell r="N122" t="str">
            <v>SARO</v>
          </cell>
        </row>
        <row r="123">
          <cell r="B123" t="str">
            <v>4.1.1.001</v>
          </cell>
          <cell r="C123">
            <v>4</v>
          </cell>
          <cell r="D123" t="str">
            <v>Seguridad Financiera</v>
          </cell>
          <cell r="E123" t="str">
            <v>4.1</v>
          </cell>
          <cell r="F123" t="str">
            <v>Seguridad de la Información electrónica</v>
          </cell>
          <cell r="G123" t="str">
            <v>4.1.1</v>
          </cell>
          <cell r="H123" t="str">
            <v>Revisión área de bóveda</v>
          </cell>
          <cell r="I123" t="str">
            <v>4.1.1.001</v>
          </cell>
          <cell r="J123" t="str">
            <v>Cuenta con sensor anti máscara - cubrimiento estado óptimo.</v>
          </cell>
          <cell r="K123" t="str">
            <v>Presencial</v>
          </cell>
          <cell r="L123" t="str">
            <v>X</v>
          </cell>
          <cell r="M123" t="str">
            <v>SARO/SGSI/SGSF</v>
          </cell>
          <cell r="N123" t="str">
            <v>SARO</v>
          </cell>
        </row>
        <row r="124">
          <cell r="B124" t="str">
            <v>4.1.1.002</v>
          </cell>
          <cell r="C124">
            <v>4</v>
          </cell>
          <cell r="D124" t="str">
            <v>Seguridad Financiera</v>
          </cell>
          <cell r="E124" t="str">
            <v>4.1</v>
          </cell>
          <cell r="F124" t="str">
            <v>Seguridad de la Información electrónica</v>
          </cell>
          <cell r="G124" t="str">
            <v>4.1.1</v>
          </cell>
          <cell r="H124" t="str">
            <v>Revisión área de bóveda</v>
          </cell>
          <cell r="I124" t="str">
            <v>4.1.1.002</v>
          </cell>
          <cell r="J124" t="str">
            <v>Cuenta con pulsador de pánico fijo - estado óptimo.</v>
          </cell>
          <cell r="K124" t="str">
            <v>Presencial</v>
          </cell>
          <cell r="L124" t="str">
            <v>X</v>
          </cell>
          <cell r="M124" t="str">
            <v>SARO/SGSI/SGSF</v>
          </cell>
          <cell r="N124" t="str">
            <v>SARO</v>
          </cell>
        </row>
        <row r="125">
          <cell r="B125" t="str">
            <v>4.1.1.003</v>
          </cell>
          <cell r="C125">
            <v>4</v>
          </cell>
          <cell r="D125" t="str">
            <v>Seguridad Financiera</v>
          </cell>
          <cell r="E125" t="str">
            <v>4.1</v>
          </cell>
          <cell r="F125" t="str">
            <v>Seguridad de la Información electrónica</v>
          </cell>
          <cell r="G125" t="str">
            <v>4.1.1</v>
          </cell>
          <cell r="H125" t="str">
            <v>Revisión área de bóveda</v>
          </cell>
          <cell r="I125" t="str">
            <v>4.1.1.003</v>
          </cell>
          <cell r="J125" t="str">
            <v>Cuenta con sensor de humo - estado  óptimo.</v>
          </cell>
          <cell r="K125" t="str">
            <v>Presencial</v>
          </cell>
          <cell r="L125" t="str">
            <v>X</v>
          </cell>
          <cell r="M125" t="str">
            <v>SARO/SGSI/SGSF</v>
          </cell>
          <cell r="N125" t="str">
            <v>SARO</v>
          </cell>
        </row>
        <row r="126">
          <cell r="B126" t="str">
            <v>4.1.1.004</v>
          </cell>
          <cell r="C126">
            <v>4</v>
          </cell>
          <cell r="D126" t="str">
            <v>Seguridad Financiera</v>
          </cell>
          <cell r="E126" t="str">
            <v>4.1</v>
          </cell>
          <cell r="F126" t="str">
            <v>Seguridad de la Información electrónica</v>
          </cell>
          <cell r="G126" t="str">
            <v>4.1.1</v>
          </cell>
          <cell r="H126" t="str">
            <v>Revisión área de bóveda</v>
          </cell>
          <cell r="I126" t="str">
            <v>4.1.1.004</v>
          </cell>
          <cell r="J126" t="str">
            <v>Cuenta con magnético en la puerta principal- estado óptimo.</v>
          </cell>
          <cell r="K126" t="str">
            <v>Presencial</v>
          </cell>
          <cell r="L126" t="str">
            <v>X</v>
          </cell>
          <cell r="M126" t="str">
            <v>SARO/SGSI/SGSF</v>
          </cell>
          <cell r="N126" t="str">
            <v>SARO</v>
          </cell>
        </row>
        <row r="127">
          <cell r="B127" t="str">
            <v>4.1.1.005</v>
          </cell>
          <cell r="C127">
            <v>4</v>
          </cell>
          <cell r="D127" t="str">
            <v>Seguridad Financiera</v>
          </cell>
          <cell r="E127" t="str">
            <v>4.1</v>
          </cell>
          <cell r="F127" t="str">
            <v>Seguridad de la Información electrónica</v>
          </cell>
          <cell r="G127" t="str">
            <v>4.1.1</v>
          </cell>
          <cell r="H127" t="str">
            <v>Revisión área de bóveda</v>
          </cell>
          <cell r="I127" t="str">
            <v>4.1.1.005</v>
          </cell>
          <cell r="J127" t="str">
            <v>Cuenta con sensor antisísmico, estado óptimo.</v>
          </cell>
          <cell r="K127" t="str">
            <v>Presencial</v>
          </cell>
          <cell r="L127" t="str">
            <v>X</v>
          </cell>
          <cell r="M127" t="str">
            <v>SARO/SGSI/SGSF</v>
          </cell>
          <cell r="N127" t="str">
            <v>SARO</v>
          </cell>
        </row>
        <row r="128">
          <cell r="B128" t="str">
            <v>4.1.1.006</v>
          </cell>
          <cell r="C128">
            <v>4</v>
          </cell>
          <cell r="D128" t="str">
            <v>Seguridad Financiera</v>
          </cell>
          <cell r="E128" t="str">
            <v>4.1</v>
          </cell>
          <cell r="F128" t="str">
            <v>Seguridad de la Información electrónica</v>
          </cell>
          <cell r="G128" t="str">
            <v>4.1.1</v>
          </cell>
          <cell r="H128" t="str">
            <v>Revisión área de bóveda</v>
          </cell>
          <cell r="I128" t="str">
            <v>4.1.1.006</v>
          </cell>
          <cell r="J128" t="str">
            <v>Cuenta con cámara interna - cubrimiento y se cuenta con luces led.</v>
          </cell>
          <cell r="K128" t="str">
            <v>Presencial</v>
          </cell>
          <cell r="L128" t="str">
            <v>X</v>
          </cell>
          <cell r="M128" t="str">
            <v>SARO/SGSI/SGSF</v>
          </cell>
          <cell r="N128" t="str">
            <v>SARO</v>
          </cell>
        </row>
        <row r="129">
          <cell r="B129" t="str">
            <v>4.1.2.001</v>
          </cell>
          <cell r="C129">
            <v>4</v>
          </cell>
          <cell r="D129" t="str">
            <v>Seguridad Financiera</v>
          </cell>
          <cell r="E129" t="str">
            <v>4.1</v>
          </cell>
          <cell r="F129" t="str">
            <v>Seguridad de la Información electrónica</v>
          </cell>
          <cell r="G129" t="str">
            <v>4.1.2</v>
          </cell>
          <cell r="H129" t="str">
            <v>Revisión área de ejecutivos</v>
          </cell>
          <cell r="I129" t="str">
            <v>4.1.2.001</v>
          </cell>
          <cell r="J129" t="str">
            <v>Cuenta con sensor de movimiento y su cubrimiento es optimo.</v>
          </cell>
          <cell r="K129" t="str">
            <v>Actividad a Distancia</v>
          </cell>
          <cell r="L129" t="str">
            <v>X</v>
          </cell>
          <cell r="M129" t="str">
            <v>SARO/SGSI/SGSF</v>
          </cell>
          <cell r="N129" t="str">
            <v>SARO</v>
          </cell>
        </row>
        <row r="130">
          <cell r="B130" t="str">
            <v>4.1.2.002</v>
          </cell>
          <cell r="C130">
            <v>4</v>
          </cell>
          <cell r="D130" t="str">
            <v>Seguridad Financiera</v>
          </cell>
          <cell r="E130" t="str">
            <v>4.1</v>
          </cell>
          <cell r="F130" t="str">
            <v>Seguridad de la Información electrónica</v>
          </cell>
          <cell r="G130" t="str">
            <v>4.1.2</v>
          </cell>
          <cell r="H130" t="str">
            <v>Revisión área de ejecutivos</v>
          </cell>
          <cell r="I130" t="str">
            <v>4.1.2.002</v>
          </cell>
          <cell r="J130" t="str">
            <v>Cuenta con discriminadores de audio.</v>
          </cell>
          <cell r="K130" t="str">
            <v>Actividad a Distancia</v>
          </cell>
          <cell r="L130" t="str">
            <v>X</v>
          </cell>
          <cell r="M130" t="str">
            <v>SARO/SGSI/SGSF</v>
          </cell>
          <cell r="N130" t="str">
            <v>SARO</v>
          </cell>
        </row>
        <row r="131">
          <cell r="B131" t="str">
            <v>4.1.2.003</v>
          </cell>
          <cell r="C131">
            <v>4</v>
          </cell>
          <cell r="D131" t="str">
            <v>Seguridad Financiera</v>
          </cell>
          <cell r="E131" t="str">
            <v>4.1</v>
          </cell>
          <cell r="F131" t="str">
            <v>Seguridad de la Información electrónica</v>
          </cell>
          <cell r="G131" t="str">
            <v>4.1.2</v>
          </cell>
          <cell r="H131" t="str">
            <v>Revisión área de ejecutivos</v>
          </cell>
          <cell r="I131" t="str">
            <v>4.1.2.003</v>
          </cell>
          <cell r="J131" t="str">
            <v>Cuenta con sensor de humo.</v>
          </cell>
          <cell r="K131" t="str">
            <v>Actividad a Distancia</v>
          </cell>
          <cell r="L131" t="str">
            <v>X</v>
          </cell>
          <cell r="M131" t="str">
            <v>SARO/SGSI/SGSF</v>
          </cell>
          <cell r="N131" t="str">
            <v>SARO</v>
          </cell>
        </row>
        <row r="132">
          <cell r="B132" t="str">
            <v>4.1.2.004</v>
          </cell>
          <cell r="C132">
            <v>4</v>
          </cell>
          <cell r="D132" t="str">
            <v>Seguridad Financiera</v>
          </cell>
          <cell r="E132" t="str">
            <v>4.1</v>
          </cell>
          <cell r="F132" t="str">
            <v>Seguridad de la Información electrónica</v>
          </cell>
          <cell r="G132" t="str">
            <v>4.1.2</v>
          </cell>
          <cell r="H132" t="str">
            <v>Revisión área de ejecutivos</v>
          </cell>
          <cell r="I132" t="str">
            <v>4.1.2.004</v>
          </cell>
          <cell r="J132" t="str">
            <v>Cuenta con sensores de choque.</v>
          </cell>
          <cell r="K132" t="str">
            <v>Actividad a Distancia</v>
          </cell>
          <cell r="L132" t="str">
            <v>X</v>
          </cell>
          <cell r="M132" t="str">
            <v>SARO/SGSI/SGSF</v>
          </cell>
          <cell r="N132" t="str">
            <v>SARO</v>
          </cell>
        </row>
        <row r="133">
          <cell r="B133" t="str">
            <v>4.1.2.005</v>
          </cell>
          <cell r="C133">
            <v>4</v>
          </cell>
          <cell r="D133" t="str">
            <v>Seguridad Financiera</v>
          </cell>
          <cell r="E133" t="str">
            <v>4.1</v>
          </cell>
          <cell r="F133" t="str">
            <v>Seguridad de la Información electrónica</v>
          </cell>
          <cell r="G133" t="str">
            <v>4.1.2</v>
          </cell>
          <cell r="H133" t="str">
            <v>Revisión área de ejecutivos</v>
          </cell>
          <cell r="I133" t="str">
            <v>4.1.2.005</v>
          </cell>
          <cell r="J133" t="str">
            <v>Cuenta con cámara de cctv cubrimiento es óptimo.</v>
          </cell>
          <cell r="K133" t="str">
            <v>Actividad a Distancia</v>
          </cell>
          <cell r="L133" t="str">
            <v>X</v>
          </cell>
          <cell r="M133" t="str">
            <v>SARO/SGSI/SGSF</v>
          </cell>
          <cell r="N133" t="str">
            <v>SARO</v>
          </cell>
        </row>
        <row r="134">
          <cell r="B134" t="str">
            <v>4.1.3.001</v>
          </cell>
          <cell r="C134">
            <v>4</v>
          </cell>
          <cell r="D134" t="str">
            <v>Seguridad Financiera</v>
          </cell>
          <cell r="E134" t="str">
            <v>4.1</v>
          </cell>
          <cell r="F134" t="str">
            <v>Seguridad de la Información electrónica</v>
          </cell>
          <cell r="G134" t="str">
            <v>4.1.3</v>
          </cell>
          <cell r="H134" t="str">
            <v>Revisión en caja</v>
          </cell>
          <cell r="I134" t="str">
            <v>4.1.3.001</v>
          </cell>
          <cell r="J134" t="str">
            <v>Cuenta con sensor de movimiento su cubrimiento.</v>
          </cell>
          <cell r="K134" t="str">
            <v>Actividad a Distancia</v>
          </cell>
          <cell r="L134" t="str">
            <v>X</v>
          </cell>
          <cell r="M134" t="str">
            <v>SARO/SGSI/SGSF</v>
          </cell>
          <cell r="N134" t="str">
            <v>SARO</v>
          </cell>
        </row>
        <row r="135">
          <cell r="B135" t="str">
            <v>4.1.3.002</v>
          </cell>
          <cell r="C135">
            <v>4</v>
          </cell>
          <cell r="D135" t="str">
            <v>Seguridad Financiera</v>
          </cell>
          <cell r="E135" t="str">
            <v>4.1</v>
          </cell>
          <cell r="F135" t="str">
            <v>Seguridad de la Información electrónica</v>
          </cell>
          <cell r="G135" t="str">
            <v>4.1.3</v>
          </cell>
          <cell r="H135" t="str">
            <v>Revisión en caja</v>
          </cell>
          <cell r="I135" t="str">
            <v>4.1.3.002</v>
          </cell>
          <cell r="J135" t="str">
            <v>Cuenta con pulsadores de pánico fijo en caja.</v>
          </cell>
          <cell r="K135" t="str">
            <v>Actividad a Distancia</v>
          </cell>
          <cell r="L135" t="str">
            <v>X</v>
          </cell>
          <cell r="M135" t="str">
            <v>SARO/SGSI/SGSF</v>
          </cell>
          <cell r="N135" t="str">
            <v>SARO</v>
          </cell>
        </row>
        <row r="136">
          <cell r="B136" t="str">
            <v>4.1.3.003</v>
          </cell>
          <cell r="C136">
            <v>4</v>
          </cell>
          <cell r="D136" t="str">
            <v>Seguridad Financiera</v>
          </cell>
          <cell r="E136" t="str">
            <v>4.1</v>
          </cell>
          <cell r="F136" t="str">
            <v>Seguridad de la Información electrónica</v>
          </cell>
          <cell r="G136" t="str">
            <v>4.1.3</v>
          </cell>
          <cell r="H136" t="str">
            <v>Revisión en caja</v>
          </cell>
          <cell r="I136" t="str">
            <v>4.1.3.003</v>
          </cell>
          <cell r="J136" t="str">
            <v>Cuenta con sensor de humo.</v>
          </cell>
          <cell r="K136" t="str">
            <v>Actividad a Distancia</v>
          </cell>
          <cell r="L136" t="str">
            <v>X</v>
          </cell>
          <cell r="M136" t="str">
            <v>SARO/SGSI/SGSF</v>
          </cell>
          <cell r="N136" t="str">
            <v>SARO</v>
          </cell>
        </row>
        <row r="137">
          <cell r="B137" t="str">
            <v>4.1.3.004</v>
          </cell>
          <cell r="C137">
            <v>4</v>
          </cell>
          <cell r="D137" t="str">
            <v>Seguridad Financiera</v>
          </cell>
          <cell r="E137" t="str">
            <v>4.1</v>
          </cell>
          <cell r="F137" t="str">
            <v>Seguridad de la Información electrónica</v>
          </cell>
          <cell r="G137" t="str">
            <v>4.1.3</v>
          </cell>
          <cell r="H137" t="str">
            <v>Revisión en caja</v>
          </cell>
          <cell r="I137" t="str">
            <v>4.1.3.004</v>
          </cell>
          <cell r="J137" t="str">
            <v>Cuenta con fajo trampa.</v>
          </cell>
          <cell r="K137" t="str">
            <v>Actividad a Distancia</v>
          </cell>
          <cell r="L137" t="str">
            <v>X</v>
          </cell>
          <cell r="M137" t="str">
            <v>SARO/SGSI/SGSF</v>
          </cell>
          <cell r="N137" t="str">
            <v>SARO</v>
          </cell>
        </row>
        <row r="138">
          <cell r="B138" t="str">
            <v>4.1.3.005</v>
          </cell>
          <cell r="C138">
            <v>4</v>
          </cell>
          <cell r="D138" t="str">
            <v>Seguridad Financiera</v>
          </cell>
          <cell r="E138" t="str">
            <v>4.1</v>
          </cell>
          <cell r="F138" t="str">
            <v>Seguridad de la Información electrónica</v>
          </cell>
          <cell r="G138" t="str">
            <v>4.1.3</v>
          </cell>
          <cell r="H138" t="str">
            <v>Revisión en caja</v>
          </cell>
          <cell r="I138" t="str">
            <v>4.1.3.005</v>
          </cell>
          <cell r="J138" t="str">
            <v>Cuenta con cámara de cctv cubrimiento es óptimo.</v>
          </cell>
          <cell r="K138" t="str">
            <v>Actividad a Distancia</v>
          </cell>
          <cell r="L138" t="str">
            <v>X</v>
          </cell>
          <cell r="M138" t="str">
            <v>SARO/SGSI/SGSF</v>
          </cell>
          <cell r="N138" t="str">
            <v>SARO</v>
          </cell>
        </row>
        <row r="139">
          <cell r="B139" t="str">
            <v>4.1.4.001</v>
          </cell>
          <cell r="C139">
            <v>4</v>
          </cell>
          <cell r="D139" t="str">
            <v>Seguridad Financiera</v>
          </cell>
          <cell r="E139" t="str">
            <v>4.1</v>
          </cell>
          <cell r="F139" t="str">
            <v>Seguridad de la Información electrónica</v>
          </cell>
          <cell r="G139" t="str">
            <v>4.1.4</v>
          </cell>
          <cell r="H139" t="str">
            <v>Revisión hall de servicios</v>
          </cell>
          <cell r="I139" t="str">
            <v>4.1.4.001</v>
          </cell>
          <cell r="J139" t="str">
            <v>Cuenta con sensor de movimiento.</v>
          </cell>
          <cell r="K139" t="str">
            <v>Actividad a Distancia</v>
          </cell>
          <cell r="L139" t="str">
            <v>X</v>
          </cell>
          <cell r="M139" t="str">
            <v>SARO/SGSI/SGSF</v>
          </cell>
          <cell r="N139" t="str">
            <v>SARO</v>
          </cell>
        </row>
        <row r="140">
          <cell r="B140" t="str">
            <v>4.1.4.002</v>
          </cell>
          <cell r="C140">
            <v>4</v>
          </cell>
          <cell r="D140" t="str">
            <v>Seguridad Financiera</v>
          </cell>
          <cell r="E140" t="str">
            <v>4.1</v>
          </cell>
          <cell r="F140" t="str">
            <v>Seguridad de la Información electrónica</v>
          </cell>
          <cell r="G140" t="str">
            <v>4.1.4</v>
          </cell>
          <cell r="H140" t="str">
            <v>Revisión hall de servicios</v>
          </cell>
          <cell r="I140" t="str">
            <v>4.1.4.002</v>
          </cell>
          <cell r="J140" t="str">
            <v>Cuenta con pulsadores de pánico fijo en asesorías.</v>
          </cell>
          <cell r="K140" t="str">
            <v>Presencial</v>
          </cell>
          <cell r="L140" t="str">
            <v>X</v>
          </cell>
          <cell r="M140" t="str">
            <v>SARO/SGSI/SGSF</v>
          </cell>
          <cell r="N140" t="str">
            <v>SARO</v>
          </cell>
        </row>
        <row r="141">
          <cell r="B141" t="str">
            <v>4.1.4.003</v>
          </cell>
          <cell r="C141">
            <v>4</v>
          </cell>
          <cell r="D141" t="str">
            <v>Seguridad Financiera</v>
          </cell>
          <cell r="E141" t="str">
            <v>4.1</v>
          </cell>
          <cell r="F141" t="str">
            <v>Seguridad de la Información electrónica</v>
          </cell>
          <cell r="G141" t="str">
            <v>4.1.4</v>
          </cell>
          <cell r="H141" t="str">
            <v>Revisión hall de servicios</v>
          </cell>
          <cell r="I141" t="str">
            <v>4.1.4.003</v>
          </cell>
          <cell r="J141" t="str">
            <v>Cuenta con discriminadores de audio.</v>
          </cell>
          <cell r="K141" t="str">
            <v>Presencial</v>
          </cell>
          <cell r="L141" t="str">
            <v>X</v>
          </cell>
          <cell r="M141" t="str">
            <v>SARO/SGSI/SGSF</v>
          </cell>
          <cell r="N141" t="str">
            <v>SARO</v>
          </cell>
        </row>
        <row r="142">
          <cell r="B142" t="str">
            <v>4.1.4.004</v>
          </cell>
          <cell r="C142">
            <v>4</v>
          </cell>
          <cell r="D142" t="str">
            <v>Seguridad Financiera</v>
          </cell>
          <cell r="E142" t="str">
            <v>4.1</v>
          </cell>
          <cell r="F142" t="str">
            <v>Seguridad de la Información electrónica</v>
          </cell>
          <cell r="G142" t="str">
            <v>4.1.4</v>
          </cell>
          <cell r="H142" t="str">
            <v>Revisión hall de servicios</v>
          </cell>
          <cell r="I142" t="str">
            <v>4.1.4.004</v>
          </cell>
          <cell r="J142" t="str">
            <v>Cuenta con sensor de humo.</v>
          </cell>
          <cell r="K142" t="str">
            <v>Actividad a Distancia</v>
          </cell>
          <cell r="L142" t="str">
            <v>X</v>
          </cell>
          <cell r="M142" t="str">
            <v>SARO/SGSI/SGSF</v>
          </cell>
          <cell r="N142" t="str">
            <v>SARO</v>
          </cell>
        </row>
        <row r="143">
          <cell r="B143" t="str">
            <v>4.1.4.005</v>
          </cell>
          <cell r="C143">
            <v>4</v>
          </cell>
          <cell r="D143" t="str">
            <v>Seguridad Financiera</v>
          </cell>
          <cell r="E143" t="str">
            <v>4.1</v>
          </cell>
          <cell r="F143" t="str">
            <v>Seguridad de la Información electrónica</v>
          </cell>
          <cell r="G143" t="str">
            <v>4.1.4</v>
          </cell>
          <cell r="H143" t="str">
            <v>Revisión hall de servicios</v>
          </cell>
          <cell r="I143" t="str">
            <v>4.1.4.005</v>
          </cell>
          <cell r="J143" t="str">
            <v>Cuenta con magnético en la puerta principal.</v>
          </cell>
          <cell r="K143" t="str">
            <v>Presencial</v>
          </cell>
          <cell r="L143" t="str">
            <v>X</v>
          </cell>
          <cell r="M143" t="str">
            <v>SARO/SGSI/SGSF</v>
          </cell>
          <cell r="N143" t="str">
            <v>SARO</v>
          </cell>
        </row>
        <row r="144">
          <cell r="B144" t="str">
            <v>4.1.4.006</v>
          </cell>
          <cell r="C144">
            <v>4</v>
          </cell>
          <cell r="D144" t="str">
            <v>Seguridad Financiera</v>
          </cell>
          <cell r="E144" t="str">
            <v>4.1</v>
          </cell>
          <cell r="F144" t="str">
            <v>Seguridad de la Información electrónica</v>
          </cell>
          <cell r="G144" t="str">
            <v>4.1.4</v>
          </cell>
          <cell r="H144" t="str">
            <v>Revisión hall de servicios</v>
          </cell>
          <cell r="I144" t="str">
            <v>4.1.4.006</v>
          </cell>
          <cell r="J144" t="str">
            <v>Cuenta con pulsador de pánico inalámbrico.</v>
          </cell>
          <cell r="K144" t="str">
            <v>Actividad a Distancia</v>
          </cell>
          <cell r="L144" t="str">
            <v>X</v>
          </cell>
          <cell r="M144" t="str">
            <v>SARO/SGSI/SGSF</v>
          </cell>
          <cell r="N144" t="str">
            <v>SARO</v>
          </cell>
        </row>
        <row r="145">
          <cell r="B145" t="str">
            <v>4.1.4.007</v>
          </cell>
          <cell r="C145">
            <v>4</v>
          </cell>
          <cell r="D145" t="str">
            <v>Seguridad Financiera</v>
          </cell>
          <cell r="E145" t="str">
            <v>4.1</v>
          </cell>
          <cell r="F145" t="str">
            <v>Seguridad de la Información electrónica</v>
          </cell>
          <cell r="G145" t="str">
            <v>4.1.4</v>
          </cell>
          <cell r="H145" t="str">
            <v>Revisión hall de servicios</v>
          </cell>
          <cell r="I145" t="str">
            <v>4.1.4.007</v>
          </cell>
          <cell r="J145" t="str">
            <v>Cuenta con sensores de choque.</v>
          </cell>
          <cell r="K145" t="str">
            <v>Presencial</v>
          </cell>
          <cell r="L145" t="str">
            <v>X</v>
          </cell>
          <cell r="M145" t="str">
            <v>SARO/SGSI/SGSF</v>
          </cell>
          <cell r="N145" t="str">
            <v>SARO</v>
          </cell>
        </row>
        <row r="146">
          <cell r="B146" t="str">
            <v>4.1.4.008</v>
          </cell>
          <cell r="C146">
            <v>4</v>
          </cell>
          <cell r="D146" t="str">
            <v>Seguridad Financiera</v>
          </cell>
          <cell r="E146" t="str">
            <v>4.1</v>
          </cell>
          <cell r="F146" t="str">
            <v>Seguridad de la Información electrónica</v>
          </cell>
          <cell r="G146" t="str">
            <v>4.1.4</v>
          </cell>
          <cell r="H146" t="str">
            <v>Revisión hall de servicios</v>
          </cell>
          <cell r="I146" t="str">
            <v>4.1.4.008</v>
          </cell>
          <cell r="J146" t="str">
            <v>Cuenta con cámara de cctv cubrimiento es óptimo.</v>
          </cell>
          <cell r="K146" t="str">
            <v>Actividad a Distancia</v>
          </cell>
          <cell r="L146" t="str">
            <v>X</v>
          </cell>
          <cell r="M146" t="str">
            <v>SARO/SGSI/SGSF</v>
          </cell>
          <cell r="N146" t="str">
            <v>SARO</v>
          </cell>
        </row>
        <row r="147">
          <cell r="B147" t="str">
            <v>4.1.5.001</v>
          </cell>
          <cell r="C147">
            <v>4</v>
          </cell>
          <cell r="D147" t="str">
            <v>Seguridad Financiera</v>
          </cell>
          <cell r="E147" t="str">
            <v>4.1</v>
          </cell>
          <cell r="F147" t="str">
            <v>Seguridad de la Información electrónica</v>
          </cell>
          <cell r="G147" t="str">
            <v>4.1.5</v>
          </cell>
          <cell r="H147" t="str">
            <v>Revisión otras zonas de la oficina</v>
          </cell>
          <cell r="I147" t="str">
            <v>4.1.5.001</v>
          </cell>
          <cell r="J147" t="str">
            <v>Los baños y cocina cuenta con pulsadores de pánico fijo.</v>
          </cell>
          <cell r="K147" t="str">
            <v>Actividad a Distancia</v>
          </cell>
          <cell r="L147" t="str">
            <v>X</v>
          </cell>
          <cell r="M147" t="str">
            <v>SARO/SGSF</v>
          </cell>
          <cell r="N147" t="str">
            <v>SARO</v>
          </cell>
        </row>
        <row r="148">
          <cell r="B148" t="str">
            <v>4.1.5.002</v>
          </cell>
          <cell r="C148">
            <v>4</v>
          </cell>
          <cell r="D148" t="str">
            <v>Seguridad Financiera</v>
          </cell>
          <cell r="E148" t="str">
            <v>4.1</v>
          </cell>
          <cell r="F148" t="str">
            <v>Seguridad de la Información electrónica</v>
          </cell>
          <cell r="G148" t="str">
            <v>4.1.5</v>
          </cell>
          <cell r="H148" t="str">
            <v>Revisión otras zonas de la oficina</v>
          </cell>
          <cell r="I148" t="str">
            <v>4.1.5.002</v>
          </cell>
          <cell r="J148" t="str">
            <v>Área de archivo, papeleria, otros cuentan con dispositivos de alarma adecuados</v>
          </cell>
          <cell r="K148" t="str">
            <v>Actividad a Distancia</v>
          </cell>
          <cell r="L148" t="str">
            <v>X</v>
          </cell>
          <cell r="M148" t="str">
            <v>SARO/SGSF</v>
          </cell>
          <cell r="N148" t="str">
            <v>SARO</v>
          </cell>
        </row>
        <row r="149">
          <cell r="B149" t="str">
            <v>4.1.5.003</v>
          </cell>
          <cell r="C149">
            <v>4</v>
          </cell>
          <cell r="D149" t="str">
            <v>Seguridad Financiera</v>
          </cell>
          <cell r="E149" t="str">
            <v>4.1</v>
          </cell>
          <cell r="F149" t="str">
            <v>Seguridad de la Información electrónica</v>
          </cell>
          <cell r="G149" t="str">
            <v>4.1.5</v>
          </cell>
          <cell r="H149" t="str">
            <v>Revisión otras zonas de la oficina</v>
          </cell>
          <cell r="I149" t="str">
            <v>4.1.5.003</v>
          </cell>
          <cell r="J149" t="str">
            <v>Cuenta con DVR y el sistema transmite y adelanta grabación.</v>
          </cell>
          <cell r="K149" t="str">
            <v>Actividad a Distancia</v>
          </cell>
          <cell r="L149" t="str">
            <v>X</v>
          </cell>
          <cell r="M149" t="str">
            <v>SARO/SGSI/SGSF</v>
          </cell>
          <cell r="N149" t="str">
            <v>SARO</v>
          </cell>
        </row>
        <row r="150">
          <cell r="B150" t="str">
            <v>4.2.1.001</v>
          </cell>
          <cell r="C150">
            <v>4</v>
          </cell>
          <cell r="D150" t="str">
            <v>Seguridad Financiera</v>
          </cell>
          <cell r="E150" t="str">
            <v>4.2</v>
          </cell>
          <cell r="F150" t="str">
            <v>Seguridad de la Información física</v>
          </cell>
          <cell r="G150" t="str">
            <v>4.2.1</v>
          </cell>
          <cell r="H150" t="str">
            <v>Revisión área de bóveda</v>
          </cell>
          <cell r="I150" t="str">
            <v>4.2.1.001</v>
          </cell>
          <cell r="J150" t="str">
            <v>El área de bóveda cuenta con cuarto de conteo y este cuenta con  puerta metálica anclada, cerradura y ventanilla con vidrio de Seguridad de la Información, pasador interno y brazo hidráulico.</v>
          </cell>
          <cell r="K150" t="str">
            <v>Presencial</v>
          </cell>
          <cell r="L150" t="str">
            <v>X</v>
          </cell>
          <cell r="M150" t="str">
            <v>SARO/SGSI/SGSF</v>
          </cell>
          <cell r="N150" t="str">
            <v>SARO</v>
          </cell>
        </row>
        <row r="151">
          <cell r="B151" t="str">
            <v>4.2.1.002</v>
          </cell>
          <cell r="C151">
            <v>4</v>
          </cell>
          <cell r="D151" t="str">
            <v>Seguridad Financiera</v>
          </cell>
          <cell r="E151" t="str">
            <v>4.2</v>
          </cell>
          <cell r="F151" t="str">
            <v>Seguridad de la Información física</v>
          </cell>
          <cell r="G151" t="str">
            <v>4.2.1</v>
          </cell>
          <cell r="H151" t="str">
            <v>Revisión área de bóveda</v>
          </cell>
          <cell r="I151" t="str">
            <v>4.2.1.002</v>
          </cell>
          <cell r="J151" t="str">
            <v>El cuarto de bóveda cuenta con doble muro o es reforzado.</v>
          </cell>
          <cell r="K151" t="str">
            <v>Presencial</v>
          </cell>
          <cell r="L151" t="str">
            <v>X</v>
          </cell>
          <cell r="M151" t="str">
            <v>SARO/SGSI/SGSF</v>
          </cell>
          <cell r="N151" t="str">
            <v>SARO</v>
          </cell>
        </row>
        <row r="152">
          <cell r="B152" t="str">
            <v>4.2.1.003</v>
          </cell>
          <cell r="C152">
            <v>4</v>
          </cell>
          <cell r="D152" t="str">
            <v>Seguridad Financiera</v>
          </cell>
          <cell r="E152" t="str">
            <v>4.2</v>
          </cell>
          <cell r="F152" t="str">
            <v>Seguridad de la Información física</v>
          </cell>
          <cell r="G152" t="str">
            <v>4.2.1</v>
          </cell>
          <cell r="H152" t="str">
            <v>Revisión área de bóveda</v>
          </cell>
          <cell r="I152" t="str">
            <v>4.2.1.003</v>
          </cell>
          <cell r="J152" t="str">
            <v>El techo del cuarto de bóveda cuenta con placa de concreto.</v>
          </cell>
          <cell r="K152" t="str">
            <v>Presencial</v>
          </cell>
          <cell r="L152" t="str">
            <v>X</v>
          </cell>
          <cell r="M152" t="str">
            <v>SARO/SGSI/SGSF</v>
          </cell>
          <cell r="N152" t="str">
            <v>SARO</v>
          </cell>
        </row>
        <row r="153">
          <cell r="B153" t="str">
            <v>4.2.1.004</v>
          </cell>
          <cell r="C153">
            <v>4</v>
          </cell>
          <cell r="D153" t="str">
            <v>Seguridad Financiera</v>
          </cell>
          <cell r="E153" t="str">
            <v>4.2</v>
          </cell>
          <cell r="F153" t="str">
            <v>Seguridad de la Información física</v>
          </cell>
          <cell r="G153" t="str">
            <v>4.2.1</v>
          </cell>
          <cell r="H153" t="str">
            <v>Revisión área de bóveda</v>
          </cell>
          <cell r="I153" t="str">
            <v>4.2.1.004</v>
          </cell>
          <cell r="J153" t="str">
            <v>Cuenta con cofre de bóveda, este tiene dial mecánico y digitales temporizados.</v>
          </cell>
          <cell r="K153" t="str">
            <v>Presencial</v>
          </cell>
          <cell r="L153" t="str">
            <v>X</v>
          </cell>
          <cell r="M153" t="str">
            <v>SARO/SGSI/SGSF</v>
          </cell>
          <cell r="N153" t="str">
            <v>SARO</v>
          </cell>
        </row>
        <row r="154">
          <cell r="B154" t="str">
            <v>4.2.1.005</v>
          </cell>
          <cell r="C154">
            <v>4</v>
          </cell>
          <cell r="D154" t="str">
            <v>Seguridad Financiera</v>
          </cell>
          <cell r="E154" t="str">
            <v>4.2</v>
          </cell>
          <cell r="F154" t="str">
            <v>Seguridad de la Información física</v>
          </cell>
          <cell r="G154" t="str">
            <v>4.2.1</v>
          </cell>
          <cell r="H154" t="str">
            <v>Revisión área de bóveda</v>
          </cell>
          <cell r="I154" t="str">
            <v>4.2.1.005</v>
          </cell>
          <cell r="J154" t="str">
            <v>El cuarto cuenta con ductos de ventilación, y pasafajos.</v>
          </cell>
          <cell r="K154" t="str">
            <v>Presencial</v>
          </cell>
          <cell r="L154" t="str">
            <v>X</v>
          </cell>
          <cell r="M154" t="str">
            <v>SARO/SGSI/SGSF</v>
          </cell>
          <cell r="N154" t="str">
            <v>SARO</v>
          </cell>
        </row>
        <row r="155">
          <cell r="B155" t="str">
            <v>4.2.1.006</v>
          </cell>
          <cell r="C155">
            <v>4</v>
          </cell>
          <cell r="D155" t="str">
            <v>Seguridad Financiera</v>
          </cell>
          <cell r="E155" t="str">
            <v>4.2</v>
          </cell>
          <cell r="F155" t="str">
            <v>Seguridad de la Información física</v>
          </cell>
          <cell r="G155" t="str">
            <v>4.2.1</v>
          </cell>
          <cell r="H155" t="str">
            <v>Revisión área de bóveda</v>
          </cell>
          <cell r="I155" t="str">
            <v>4.2.1.006</v>
          </cell>
          <cell r="J155" t="str">
            <v>El cuarto cuenta con buena iluminación y se encuentra ordenado.</v>
          </cell>
          <cell r="K155" t="str">
            <v>Presencial</v>
          </cell>
          <cell r="L155" t="str">
            <v>X</v>
          </cell>
          <cell r="M155" t="str">
            <v>SARO/SGSI/SGSF</v>
          </cell>
          <cell r="N155" t="str">
            <v>SARO</v>
          </cell>
        </row>
        <row r="156">
          <cell r="B156" t="str">
            <v>4.2.2.001</v>
          </cell>
          <cell r="C156">
            <v>4</v>
          </cell>
          <cell r="D156" t="str">
            <v>Seguridad Financiera</v>
          </cell>
          <cell r="E156" t="str">
            <v>4.2</v>
          </cell>
          <cell r="F156" t="str">
            <v>Seguridad de la Información física</v>
          </cell>
          <cell r="G156" t="str">
            <v>4.2.2</v>
          </cell>
          <cell r="H156" t="str">
            <v>Revisión areas internas y posteriores</v>
          </cell>
          <cell r="I156" t="str">
            <v>4.2.2.001</v>
          </cell>
          <cell r="J156" t="str">
            <v>Las cerraduras de puertas y ventanas internas se encuentra en buen estado, cuentan con llaves.</v>
          </cell>
          <cell r="K156" t="str">
            <v>Actividad a Distancia</v>
          </cell>
          <cell r="L156" t="str">
            <v>X</v>
          </cell>
          <cell r="M156" t="str">
            <v>SARO/SGSI/SGSF</v>
          </cell>
          <cell r="N156" t="str">
            <v>SARO</v>
          </cell>
        </row>
        <row r="157">
          <cell r="B157" t="str">
            <v>4.2.2.002</v>
          </cell>
          <cell r="C157">
            <v>4</v>
          </cell>
          <cell r="D157" t="str">
            <v>Seguridad Financiera</v>
          </cell>
          <cell r="E157" t="str">
            <v>4.2</v>
          </cell>
          <cell r="F157" t="str">
            <v>Seguridad de la Información física</v>
          </cell>
          <cell r="G157" t="str">
            <v>4.2.2</v>
          </cell>
          <cell r="H157" t="str">
            <v>Revisión areas internas y posteriores</v>
          </cell>
          <cell r="I157" t="str">
            <v>4.2.2.002</v>
          </cell>
          <cell r="J157" t="str">
            <v xml:space="preserve">Las puertas que comunican a patios posteriores brindan Seguridad de la Información y resistencia. </v>
          </cell>
          <cell r="K157" t="str">
            <v>Presencial</v>
          </cell>
          <cell r="L157" t="str">
            <v>X</v>
          </cell>
          <cell r="M157" t="str">
            <v>SARO/SGSI/SGSF</v>
          </cell>
          <cell r="N157" t="str">
            <v>SARO</v>
          </cell>
        </row>
        <row r="158">
          <cell r="B158" t="str">
            <v>4.2.2.003</v>
          </cell>
          <cell r="C158">
            <v>4</v>
          </cell>
          <cell r="D158" t="str">
            <v>Seguridad Financiera</v>
          </cell>
          <cell r="E158" t="str">
            <v>4.2</v>
          </cell>
          <cell r="F158" t="str">
            <v>Seguridad de la Información física</v>
          </cell>
          <cell r="G158" t="str">
            <v>4.2.2</v>
          </cell>
          <cell r="H158" t="str">
            <v>Revisión areas internas y posteriores</v>
          </cell>
          <cell r="I158" t="str">
            <v>4.2.2.003</v>
          </cell>
          <cell r="J158" t="str">
            <v>La oficina cuenta con planta eléctrica, UPS para atención de fallas de energía esta se encuentra con encerramiento y los colaboradores se encuentra capacitados para ponerla en marcha.</v>
          </cell>
          <cell r="K158" t="str">
            <v>Actividad a Distancia</v>
          </cell>
          <cell r="L158" t="str">
            <v>X</v>
          </cell>
          <cell r="M158" t="str">
            <v>SARO/SGSI/SGSF</v>
          </cell>
          <cell r="N158" t="str">
            <v>SARO</v>
          </cell>
        </row>
        <row r="159">
          <cell r="B159" t="str">
            <v>4.2.2.004</v>
          </cell>
          <cell r="C159">
            <v>4</v>
          </cell>
          <cell r="D159" t="str">
            <v>Seguridad Financiera</v>
          </cell>
          <cell r="E159" t="str">
            <v>4.2</v>
          </cell>
          <cell r="F159" t="str">
            <v>Seguridad de la Información física</v>
          </cell>
          <cell r="G159" t="str">
            <v>4.2.2</v>
          </cell>
          <cell r="H159" t="str">
            <v>Revisión areas internas y posteriores</v>
          </cell>
          <cell r="I159" t="str">
            <v>4.2.2.004</v>
          </cell>
          <cell r="J159" t="str">
            <v>El patio posterior del inmueble cuenta con encerramiento, muros y elementos que detecten, retarden e impidan una posible intrusión.</v>
          </cell>
          <cell r="K159" t="str">
            <v>Presencial</v>
          </cell>
          <cell r="L159" t="str">
            <v>X</v>
          </cell>
          <cell r="M159" t="str">
            <v>SARO/SGSI/SGSF</v>
          </cell>
          <cell r="N159" t="str">
            <v>SARO</v>
          </cell>
        </row>
        <row r="160">
          <cell r="B160" t="str">
            <v>4.2.2.005</v>
          </cell>
          <cell r="C160">
            <v>4</v>
          </cell>
          <cell r="D160" t="str">
            <v>Seguridad Financiera</v>
          </cell>
          <cell r="E160" t="str">
            <v>4.2</v>
          </cell>
          <cell r="F160" t="str">
            <v>Seguridad de la Información física</v>
          </cell>
          <cell r="G160" t="str">
            <v>4.2.2</v>
          </cell>
          <cell r="H160" t="str">
            <v>Revisión areas internas y posteriores</v>
          </cell>
          <cell r="I160" t="str">
            <v>4.2.2.005</v>
          </cell>
          <cell r="J160" t="str">
            <v>Las escaleras cuentan con antideslizante y apoyamanos</v>
          </cell>
          <cell r="K160" t="str">
            <v>Presencial</v>
          </cell>
          <cell r="L160" t="str">
            <v>X</v>
          </cell>
          <cell r="M160" t="str">
            <v>SARO/SGSI/SGSF</v>
          </cell>
          <cell r="N160" t="str">
            <v>SARO</v>
          </cell>
        </row>
        <row r="161">
          <cell r="B161" t="str">
            <v>4.2.2.006</v>
          </cell>
          <cell r="C161">
            <v>4</v>
          </cell>
          <cell r="D161" t="str">
            <v>Seguridad Financiera</v>
          </cell>
          <cell r="E161" t="str">
            <v>4.2</v>
          </cell>
          <cell r="F161" t="str">
            <v>Seguridad de la Información física</v>
          </cell>
          <cell r="G161" t="str">
            <v>4.2.2</v>
          </cell>
          <cell r="H161" t="str">
            <v>Revisión areas internas y posteriores</v>
          </cell>
          <cell r="I161" t="str">
            <v>4.2.2.006</v>
          </cell>
          <cell r="J161" t="str">
            <v>Existen cables con su respectiva canaleta que no generan riesgo eléctrico</v>
          </cell>
          <cell r="K161" t="str">
            <v>Presencial</v>
          </cell>
          <cell r="L161" t="str">
            <v>X</v>
          </cell>
          <cell r="M161" t="str">
            <v>SARO/SGSI/SGSF</v>
          </cell>
          <cell r="N161" t="str">
            <v>SARO</v>
          </cell>
        </row>
        <row r="162">
          <cell r="B162" t="str">
            <v>4.2.2.007</v>
          </cell>
          <cell r="C162">
            <v>4</v>
          </cell>
          <cell r="D162" t="str">
            <v>Seguridad Financiera</v>
          </cell>
          <cell r="E162" t="str">
            <v>4.2</v>
          </cell>
          <cell r="F162" t="str">
            <v>Seguridad de la Información física</v>
          </cell>
          <cell r="G162" t="str">
            <v>4.2.2</v>
          </cell>
          <cell r="H162" t="str">
            <v>Revisión areas internas y posteriores</v>
          </cell>
          <cell r="I162" t="str">
            <v>4.2.2.007</v>
          </cell>
          <cell r="J162" t="str">
            <v>En la oficina están controladas las plagas  que puedan afectar la salud de los colaboradores</v>
          </cell>
          <cell r="K162" t="str">
            <v>Presencial</v>
          </cell>
          <cell r="L162" t="str">
            <v>X</v>
          </cell>
          <cell r="M162" t="str">
            <v>SARO/SGSI/SGSF</v>
          </cell>
          <cell r="N162" t="str">
            <v>SARO</v>
          </cell>
        </row>
        <row r="163">
          <cell r="B163" t="str">
            <v>4.2.2.008</v>
          </cell>
          <cell r="C163">
            <v>4</v>
          </cell>
          <cell r="D163" t="str">
            <v>Seguridad Financiera</v>
          </cell>
          <cell r="E163" t="str">
            <v>4.2</v>
          </cell>
          <cell r="F163" t="str">
            <v>Seguridad de la Información física</v>
          </cell>
          <cell r="G163" t="str">
            <v>4.2.2</v>
          </cell>
          <cell r="H163" t="str">
            <v>Revisión areas internas y posteriores</v>
          </cell>
          <cell r="I163" t="str">
            <v>4.2.2.008</v>
          </cell>
          <cell r="J163" t="str">
            <v>Se realizan fumigaciones con la frecuencia pertinente</v>
          </cell>
          <cell r="K163" t="str">
            <v>Presencial</v>
          </cell>
          <cell r="L163" t="str">
            <v>X</v>
          </cell>
          <cell r="M163" t="str">
            <v>SARO/SGSI/SGSF</v>
          </cell>
          <cell r="N163" t="str">
            <v>SARO</v>
          </cell>
        </row>
        <row r="164">
          <cell r="B164" t="str">
            <v>4.2.3.001</v>
          </cell>
          <cell r="C164">
            <v>4</v>
          </cell>
          <cell r="D164" t="str">
            <v>Seguridad Financiera</v>
          </cell>
          <cell r="E164" t="str">
            <v>4.2</v>
          </cell>
          <cell r="F164" t="str">
            <v>Seguridad de la Información física</v>
          </cell>
          <cell r="G164" t="str">
            <v>4.2.3</v>
          </cell>
          <cell r="H164" t="str">
            <v>Revisión en caja</v>
          </cell>
          <cell r="I164" t="str">
            <v>4.2.3.001</v>
          </cell>
          <cell r="J164" t="str">
            <v>Cuenta con  puerta que divide el área de caja, cerradura funcional y llave. Los puestos de trabajo cuentan con cofres tipo tramperos anclados en buen estado  y los cajeros tienen claves de los mismos.</v>
          </cell>
          <cell r="K164" t="str">
            <v>Actividad a Distancia</v>
          </cell>
          <cell r="L164" t="str">
            <v>X</v>
          </cell>
          <cell r="M164" t="str">
            <v>SARO/SGSI/SGSF</v>
          </cell>
          <cell r="N164" t="str">
            <v>SARO</v>
          </cell>
        </row>
        <row r="165">
          <cell r="B165" t="str">
            <v>4.2.3.002</v>
          </cell>
          <cell r="C165">
            <v>4</v>
          </cell>
          <cell r="D165" t="str">
            <v>Seguridad Financiera</v>
          </cell>
          <cell r="E165" t="str">
            <v>4.2</v>
          </cell>
          <cell r="F165" t="str">
            <v>Seguridad de la Información física</v>
          </cell>
          <cell r="G165" t="str">
            <v>4.2.3</v>
          </cell>
          <cell r="H165" t="str">
            <v>Revisión en caja</v>
          </cell>
          <cell r="I165" t="str">
            <v>4.2.3.002</v>
          </cell>
          <cell r="J165" t="str">
            <v>Cuenta con cofres y billeteros anclados a los puestos de trabajo, estos poseen sus respectivas cerraduras y llaves.</v>
          </cell>
          <cell r="K165" t="str">
            <v>Actividad a Distancia</v>
          </cell>
          <cell r="L165" t="str">
            <v>X</v>
          </cell>
          <cell r="M165" t="str">
            <v>SARO/SGSI/SGSF</v>
          </cell>
          <cell r="N165" t="str">
            <v>SARO</v>
          </cell>
        </row>
        <row r="166">
          <cell r="B166" t="str">
            <v>4.2.3.003</v>
          </cell>
          <cell r="C166">
            <v>4</v>
          </cell>
          <cell r="D166" t="str">
            <v>Seguridad Financiera</v>
          </cell>
          <cell r="E166" t="str">
            <v>4.2</v>
          </cell>
          <cell r="F166" t="str">
            <v>Seguridad de la Información física</v>
          </cell>
          <cell r="G166" t="str">
            <v>4.2.3</v>
          </cell>
          <cell r="H166" t="str">
            <v>Revisión en caja</v>
          </cell>
          <cell r="I166" t="str">
            <v>4.2.3.003</v>
          </cell>
          <cell r="J166" t="str">
            <v>El área de caja cuenta con ventanillas adecuadas que brinden Seguridad de la Información al cajero y visualización del cliente.</v>
          </cell>
          <cell r="K166" t="str">
            <v>Actividad a Distancia</v>
          </cell>
          <cell r="L166" t="str">
            <v>X</v>
          </cell>
          <cell r="M166" t="str">
            <v>SARO/SGSI/SGSF</v>
          </cell>
          <cell r="N166" t="str">
            <v>SARO</v>
          </cell>
        </row>
        <row r="167">
          <cell r="B167" t="str">
            <v>4.2.3.004</v>
          </cell>
          <cell r="C167">
            <v>4</v>
          </cell>
          <cell r="D167" t="str">
            <v>Seguridad Financiera</v>
          </cell>
          <cell r="E167" t="str">
            <v>4.2</v>
          </cell>
          <cell r="F167" t="str">
            <v>Seguridad de la Información física</v>
          </cell>
          <cell r="G167" t="str">
            <v>4.2.3</v>
          </cell>
          <cell r="H167" t="str">
            <v>Revisión en caja</v>
          </cell>
          <cell r="I167" t="str">
            <v>4.2.3.004</v>
          </cell>
          <cell r="J167" t="str">
            <v>Cuenta con contadora de billetes, contadora de monedas, detectora de billetes falsos, luz ultravioleta.</v>
          </cell>
          <cell r="K167" t="str">
            <v>Actividad a Distancia</v>
          </cell>
          <cell r="L167" t="str">
            <v>X</v>
          </cell>
          <cell r="M167" t="str">
            <v>SARO/SGSI/SGSF</v>
          </cell>
          <cell r="N167" t="str">
            <v>SARO</v>
          </cell>
        </row>
        <row r="168">
          <cell r="B168" t="str">
            <v>4.2.4.001</v>
          </cell>
          <cell r="C168">
            <v>4</v>
          </cell>
          <cell r="D168" t="str">
            <v>Seguridad Financiera</v>
          </cell>
          <cell r="E168" t="str">
            <v>4.2</v>
          </cell>
          <cell r="F168" t="str">
            <v>Seguridad de la Información física</v>
          </cell>
          <cell r="G168" t="str">
            <v>4.2.4</v>
          </cell>
          <cell r="H168" t="str">
            <v>Revisión fachada</v>
          </cell>
          <cell r="I168" t="str">
            <v>4.2.4.001</v>
          </cell>
          <cell r="J168" t="str">
            <v>La puerta principal cuenta con: vidrio, reja y/o cortina de Seguridad de la Información.</v>
          </cell>
          <cell r="K168" t="str">
            <v>Actividad a Distancia</v>
          </cell>
          <cell r="L168" t="str">
            <v>X</v>
          </cell>
          <cell r="M168" t="str">
            <v>SARO/SGSI/SGSF</v>
          </cell>
          <cell r="N168" t="str">
            <v>SARO</v>
          </cell>
        </row>
        <row r="169">
          <cell r="B169" t="str">
            <v>4.2.4.002</v>
          </cell>
          <cell r="C169">
            <v>4</v>
          </cell>
          <cell r="D169" t="str">
            <v>Seguridad Financiera</v>
          </cell>
          <cell r="E169" t="str">
            <v>4.2</v>
          </cell>
          <cell r="F169" t="str">
            <v>Seguridad de la Información física</v>
          </cell>
          <cell r="G169" t="str">
            <v>4.2.4</v>
          </cell>
          <cell r="H169" t="str">
            <v>Revisión fachada</v>
          </cell>
          <cell r="I169" t="str">
            <v>4.2.4.002</v>
          </cell>
          <cell r="J169" t="str">
            <v>La puerta principal cuenta con: cerradura convencional y cerradura de Seguridad de la Información.</v>
          </cell>
          <cell r="K169" t="str">
            <v>Actividad a Distancia</v>
          </cell>
          <cell r="L169" t="str">
            <v>X</v>
          </cell>
          <cell r="M169" t="str">
            <v>SARO/SGSI/SGSF</v>
          </cell>
          <cell r="N169" t="str">
            <v>SARO</v>
          </cell>
        </row>
        <row r="170">
          <cell r="B170" t="str">
            <v>4.2.4.003</v>
          </cell>
          <cell r="C170">
            <v>4</v>
          </cell>
          <cell r="D170" t="str">
            <v>Seguridad Financiera</v>
          </cell>
          <cell r="E170" t="str">
            <v>4.2</v>
          </cell>
          <cell r="F170" t="str">
            <v>Seguridad de la Información física</v>
          </cell>
          <cell r="G170" t="str">
            <v>4.2.4</v>
          </cell>
          <cell r="H170" t="str">
            <v>Revisión fachada</v>
          </cell>
          <cell r="I170" t="str">
            <v>4.2.4.003</v>
          </cell>
          <cell r="J170" t="str">
            <v>La reja o cortina de la puerta principal cuenta con: sus respectivos candados acerados.</v>
          </cell>
          <cell r="K170" t="str">
            <v>Actividad a Distancia</v>
          </cell>
          <cell r="L170" t="str">
            <v>X</v>
          </cell>
          <cell r="M170" t="str">
            <v>SARO/SGSI/SGSF</v>
          </cell>
          <cell r="N170" t="str">
            <v>SARO</v>
          </cell>
        </row>
        <row r="171">
          <cell r="B171" t="str">
            <v>4.2.4.004</v>
          </cell>
          <cell r="C171">
            <v>4</v>
          </cell>
          <cell r="D171" t="str">
            <v>Seguridad Financiera</v>
          </cell>
          <cell r="E171" t="str">
            <v>4.2</v>
          </cell>
          <cell r="F171" t="str">
            <v>Seguridad de la Información física</v>
          </cell>
          <cell r="G171" t="str">
            <v>4.2.4</v>
          </cell>
          <cell r="H171" t="str">
            <v>Revisión fachada</v>
          </cell>
          <cell r="I171" t="str">
            <v>4.2.4.004</v>
          </cell>
          <cell r="J171" t="str">
            <v>La puertas y ventanas cuentan con sandblasting.</v>
          </cell>
          <cell r="K171" t="str">
            <v>Actividad a Distancia</v>
          </cell>
          <cell r="L171" t="str">
            <v>X</v>
          </cell>
          <cell r="M171" t="str">
            <v>SARO/SGSI/SGSF</v>
          </cell>
          <cell r="N171" t="str">
            <v>SARO</v>
          </cell>
        </row>
        <row r="172">
          <cell r="B172" t="str">
            <v>4.2.4.005</v>
          </cell>
          <cell r="C172">
            <v>4</v>
          </cell>
          <cell r="D172" t="str">
            <v>Seguridad Financiera</v>
          </cell>
          <cell r="E172" t="str">
            <v>4.2</v>
          </cell>
          <cell r="F172" t="str">
            <v>Seguridad de la Información física</v>
          </cell>
          <cell r="G172" t="str">
            <v>4.2.4</v>
          </cell>
          <cell r="H172" t="str">
            <v>Revisión fachada</v>
          </cell>
          <cell r="I172" t="str">
            <v>4.2.4.005</v>
          </cell>
          <cell r="J172" t="str">
            <v>Los contadores del agua y luz cuentan con elementos que los protejan de actos bandálicos.</v>
          </cell>
          <cell r="K172" t="str">
            <v>Presencial</v>
          </cell>
          <cell r="L172" t="str">
            <v>X</v>
          </cell>
          <cell r="M172" t="str">
            <v>SARO/SGSI/SGSF</v>
          </cell>
          <cell r="N172" t="str">
            <v>SARO</v>
          </cell>
        </row>
        <row r="173">
          <cell r="B173" t="str">
            <v>4.2.5.001</v>
          </cell>
          <cell r="C173">
            <v>4</v>
          </cell>
          <cell r="D173" t="str">
            <v>Seguridad Financiera</v>
          </cell>
          <cell r="E173" t="str">
            <v>4.2</v>
          </cell>
          <cell r="F173" t="str">
            <v>Seguridad de la Información física</v>
          </cell>
          <cell r="G173" t="str">
            <v>4.2.5</v>
          </cell>
          <cell r="H173" t="str">
            <v>Revisión hall de servicios</v>
          </cell>
          <cell r="I173" t="str">
            <v>4.2.5.001</v>
          </cell>
          <cell r="J173" t="str">
            <v>Los muros y ventanas son resistentes e impiden posibles intrusiones delincuenciales.</v>
          </cell>
          <cell r="K173" t="str">
            <v>Presencial</v>
          </cell>
          <cell r="L173" t="str">
            <v>X</v>
          </cell>
          <cell r="M173" t="str">
            <v>SARO/SGSI/SGSF</v>
          </cell>
          <cell r="N173" t="str">
            <v>SARO</v>
          </cell>
        </row>
        <row r="174">
          <cell r="B174" t="str">
            <v>4.2.5.002</v>
          </cell>
          <cell r="C174">
            <v>4</v>
          </cell>
          <cell r="D174" t="str">
            <v>Seguridad Financiera</v>
          </cell>
          <cell r="E174" t="str">
            <v>4.2</v>
          </cell>
          <cell r="F174" t="str">
            <v>Seguridad de la Información física</v>
          </cell>
          <cell r="G174" t="str">
            <v>4.2.5</v>
          </cell>
          <cell r="H174" t="str">
            <v>Revisión hall de servicios</v>
          </cell>
          <cell r="I174" t="str">
            <v>4.2.5.002</v>
          </cell>
          <cell r="J174" t="str">
            <v>La estructura del techo de la oficina evita posibles intrusiones delincuenciales.</v>
          </cell>
          <cell r="K174" t="str">
            <v>Presencial</v>
          </cell>
          <cell r="L174" t="str">
            <v>X</v>
          </cell>
          <cell r="M174" t="str">
            <v>SARO/SGSI/SGSF</v>
          </cell>
          <cell r="N174" t="str">
            <v>SARO</v>
          </cell>
        </row>
        <row r="175">
          <cell r="B175" t="str">
            <v>4.2.5.003</v>
          </cell>
          <cell r="C175">
            <v>4</v>
          </cell>
          <cell r="D175" t="str">
            <v>Seguridad Financiera</v>
          </cell>
          <cell r="E175" t="str">
            <v>4.2</v>
          </cell>
          <cell r="F175" t="str">
            <v>Seguridad de la Información física</v>
          </cell>
          <cell r="G175" t="str">
            <v>4.2.5</v>
          </cell>
          <cell r="H175" t="str">
            <v>Revisión hall de servicios</v>
          </cell>
          <cell r="I175" t="str">
            <v>4.2.5.003</v>
          </cell>
          <cell r="J175" t="str">
            <v>Existe puerta que divide el hall bancario del interno, cuenta con sanblasting, cerradura con pomo de Seguridad de la Información y cantonera funcional.</v>
          </cell>
          <cell r="K175" t="str">
            <v>Actividad a Distancia</v>
          </cell>
          <cell r="L175" t="str">
            <v>X</v>
          </cell>
          <cell r="M175" t="str">
            <v>SARO/SGSI/SGSF</v>
          </cell>
          <cell r="N175" t="str">
            <v>SARO</v>
          </cell>
        </row>
        <row r="176">
          <cell r="B176" t="str">
            <v>4.2.6.001</v>
          </cell>
          <cell r="C176">
            <v>4</v>
          </cell>
          <cell r="D176" t="str">
            <v>Seguridad Financiera</v>
          </cell>
          <cell r="E176" t="str">
            <v>4.2</v>
          </cell>
          <cell r="F176" t="str">
            <v>Seguridad de la Información física</v>
          </cell>
          <cell r="G176" t="str">
            <v>4.2.6</v>
          </cell>
          <cell r="H176" t="str">
            <v>Revisión zona perimetral</v>
          </cell>
          <cell r="I176" t="str">
            <v>4.2.6.001</v>
          </cell>
          <cell r="J176" t="str">
            <v>La oficina se ubica dentro de la zona comercial del municipio.</v>
          </cell>
          <cell r="K176" t="str">
            <v>Presencial</v>
          </cell>
          <cell r="L176" t="str">
            <v>X</v>
          </cell>
          <cell r="M176" t="str">
            <v>SARO/SGSF</v>
          </cell>
          <cell r="N176" t="str">
            <v>SARO</v>
          </cell>
        </row>
        <row r="177">
          <cell r="B177" t="str">
            <v>4.2.6.002</v>
          </cell>
          <cell r="C177">
            <v>4</v>
          </cell>
          <cell r="D177" t="str">
            <v>Seguridad Financiera</v>
          </cell>
          <cell r="E177" t="str">
            <v>4.2</v>
          </cell>
          <cell r="F177" t="str">
            <v>Seguridad de la Información física</v>
          </cell>
          <cell r="G177" t="str">
            <v>4.2.6</v>
          </cell>
          <cell r="H177" t="str">
            <v>Revisión zona perimetral</v>
          </cell>
          <cell r="I177" t="str">
            <v>4.2.6.002</v>
          </cell>
          <cell r="J177" t="str">
            <v>Frente a la oficina se ubican vendedores ambulantes, estos son conocidos en la zona.</v>
          </cell>
          <cell r="K177" t="str">
            <v>Presencial</v>
          </cell>
          <cell r="L177" t="str">
            <v>X</v>
          </cell>
          <cell r="M177" t="str">
            <v>SARO/SGSF</v>
          </cell>
          <cell r="N177" t="str">
            <v>SARO</v>
          </cell>
        </row>
        <row r="178">
          <cell r="B178" t="str">
            <v>4.2.6.003</v>
          </cell>
          <cell r="C178">
            <v>4</v>
          </cell>
          <cell r="D178" t="str">
            <v>Seguridad Financiera</v>
          </cell>
          <cell r="E178" t="str">
            <v>4.2</v>
          </cell>
          <cell r="F178" t="str">
            <v>Seguridad de la Información física</v>
          </cell>
          <cell r="G178" t="str">
            <v>4.2.6</v>
          </cell>
          <cell r="H178" t="str">
            <v>Revisión zona perimetral</v>
          </cell>
          <cell r="I178" t="str">
            <v>4.2.6.003</v>
          </cell>
          <cell r="J178" t="str">
            <v>Alrededor de la oficina existen, bares, discotecas o sitios de lenocidio.</v>
          </cell>
          <cell r="K178" t="str">
            <v>Presencial</v>
          </cell>
          <cell r="L178" t="str">
            <v>X</v>
          </cell>
          <cell r="M178" t="str">
            <v>SARO/SGSF</v>
          </cell>
          <cell r="N178" t="str">
            <v>SARO</v>
          </cell>
        </row>
        <row r="179">
          <cell r="B179" t="str">
            <v>4.2.6.004</v>
          </cell>
          <cell r="C179">
            <v>4</v>
          </cell>
          <cell r="D179" t="str">
            <v>Seguridad Financiera</v>
          </cell>
          <cell r="E179" t="str">
            <v>4.2</v>
          </cell>
          <cell r="F179" t="str">
            <v>Seguridad de la Información física</v>
          </cell>
          <cell r="G179" t="str">
            <v>4.2.6</v>
          </cell>
          <cell r="H179" t="str">
            <v>Revisión zona perimetral</v>
          </cell>
          <cell r="I179" t="str">
            <v>4.2.6.004</v>
          </cell>
          <cell r="J179" t="str">
            <v>Se observa presencia de otras entidades financieras y presencia de la policía.</v>
          </cell>
          <cell r="K179" t="str">
            <v>Presencial</v>
          </cell>
          <cell r="L179" t="str">
            <v>X</v>
          </cell>
          <cell r="M179" t="str">
            <v>SARO/SGSF</v>
          </cell>
          <cell r="N179" t="str">
            <v>SARO</v>
          </cell>
        </row>
        <row r="180">
          <cell r="B180" t="str">
            <v>4.2.6.005</v>
          </cell>
          <cell r="C180">
            <v>4</v>
          </cell>
          <cell r="D180" t="str">
            <v>Seguridad Financiera</v>
          </cell>
          <cell r="E180" t="str">
            <v>4.2</v>
          </cell>
          <cell r="F180" t="str">
            <v>Seguridad de la Información física</v>
          </cell>
          <cell r="G180" t="str">
            <v>4.2.6</v>
          </cell>
          <cell r="H180" t="str">
            <v>Revisión zona perimetral</v>
          </cell>
          <cell r="I180" t="str">
            <v>4.2.6.005</v>
          </cell>
          <cell r="J180" t="str">
            <v>La oficina se encuentra dentro de un centro comercial y este cuenta con cctv externo y vigilancia externa?</v>
          </cell>
          <cell r="K180" t="str">
            <v>Presencial</v>
          </cell>
          <cell r="L180" t="str">
            <v>X</v>
          </cell>
          <cell r="M180" t="str">
            <v>SARO/SGSF</v>
          </cell>
          <cell r="N180" t="str">
            <v>SARO</v>
          </cell>
        </row>
        <row r="181">
          <cell r="B181" t="str">
            <v>4.2.6.006</v>
          </cell>
          <cell r="C181">
            <v>4</v>
          </cell>
          <cell r="D181" t="str">
            <v>Seguridad Financiera</v>
          </cell>
          <cell r="E181" t="str">
            <v>4.2</v>
          </cell>
          <cell r="F181" t="str">
            <v>Seguridad de la Información física</v>
          </cell>
          <cell r="G181" t="str">
            <v>4.2.6</v>
          </cell>
          <cell r="H181" t="str">
            <v>Revisión zona perimetral</v>
          </cell>
          <cell r="I181" t="str">
            <v>4.2.6.006</v>
          </cell>
          <cell r="J181" t="str">
            <v>Parquean vehículos (motos y carros) frente a la oficina.</v>
          </cell>
          <cell r="K181" t="str">
            <v>Actividad a Distancia</v>
          </cell>
          <cell r="L181" t="str">
            <v>X</v>
          </cell>
          <cell r="M181" t="str">
            <v>SARO/SGSI/SGSF</v>
          </cell>
          <cell r="N181" t="str">
            <v>SARO</v>
          </cell>
        </row>
        <row r="182">
          <cell r="B182" t="str">
            <v>4.3.1.001</v>
          </cell>
          <cell r="C182">
            <v>4</v>
          </cell>
          <cell r="D182" t="str">
            <v>Seguridad Financiera</v>
          </cell>
          <cell r="E182" t="str">
            <v>4.3</v>
          </cell>
          <cell r="F182" t="str">
            <v>Seguridad de la Información Humana</v>
          </cell>
          <cell r="G182" t="str">
            <v>4.3.1</v>
          </cell>
          <cell r="H182" t="str">
            <v>Revisión Guarda de Seguridad de la Información</v>
          </cell>
          <cell r="I182" t="str">
            <v>4.3.1.001</v>
          </cell>
          <cell r="J182" t="str">
            <v>Existe guarda de Seguridad de la Información en la oficina.</v>
          </cell>
          <cell r="K182" t="str">
            <v>Actividad a Distancia</v>
          </cell>
          <cell r="L182" t="str">
            <v>X</v>
          </cell>
          <cell r="M182" t="str">
            <v>SARO/SGSF</v>
          </cell>
          <cell r="N182" t="str">
            <v>SARO</v>
          </cell>
        </row>
        <row r="183">
          <cell r="B183" t="str">
            <v>4.3.1.002</v>
          </cell>
          <cell r="C183">
            <v>4</v>
          </cell>
          <cell r="D183" t="str">
            <v>Seguridad Financiera</v>
          </cell>
          <cell r="E183" t="str">
            <v>4.3</v>
          </cell>
          <cell r="F183" t="str">
            <v>Seguridad de la Información Humana</v>
          </cell>
          <cell r="G183" t="str">
            <v>4.3.1</v>
          </cell>
          <cell r="H183" t="str">
            <v>Revisión Guarda de Seguridad de la Información</v>
          </cell>
          <cell r="I183" t="str">
            <v>4.3.1.002</v>
          </cell>
          <cell r="J183" t="str">
            <v>El guarda de Seguridad de la Información cumple con el perfil establecido por la gerencia de Seguridad de la Información, conocimiento de consignas específicas y presentación personal es la adecuada.</v>
          </cell>
          <cell r="K183" t="str">
            <v>Presencial</v>
          </cell>
          <cell r="L183" t="str">
            <v>X</v>
          </cell>
          <cell r="M183" t="str">
            <v>SARO/SGSF</v>
          </cell>
          <cell r="N183" t="str">
            <v>SARO</v>
          </cell>
        </row>
        <row r="184">
          <cell r="B184" t="str">
            <v>4.3.1.003</v>
          </cell>
          <cell r="C184">
            <v>4</v>
          </cell>
          <cell r="D184" t="str">
            <v>Seguridad Financiera</v>
          </cell>
          <cell r="E184" t="str">
            <v>4.3</v>
          </cell>
          <cell r="F184" t="str">
            <v>Seguridad de la Información Humana</v>
          </cell>
          <cell r="G184" t="str">
            <v>4.3.1</v>
          </cell>
          <cell r="H184" t="str">
            <v>Revisión Guarda de Seguridad de la Información</v>
          </cell>
          <cell r="I184" t="str">
            <v>4.3.1.003</v>
          </cell>
          <cell r="J184" t="str">
            <v>Dotación uniforme: el guarda cuenta con camisa, pantalón, zapatos, placa, apellido, kepis y ha recibido dotación en el último semestre.</v>
          </cell>
          <cell r="K184" t="str">
            <v>Presencial</v>
          </cell>
          <cell r="L184" t="str">
            <v>X</v>
          </cell>
          <cell r="M184" t="str">
            <v>SARO/SGSF</v>
          </cell>
          <cell r="N184" t="str">
            <v>SARO</v>
          </cell>
        </row>
        <row r="185">
          <cell r="B185" t="str">
            <v>4.3.1.004</v>
          </cell>
          <cell r="C185">
            <v>4</v>
          </cell>
          <cell r="D185" t="str">
            <v>Seguridad Financiera</v>
          </cell>
          <cell r="E185" t="str">
            <v>4.3</v>
          </cell>
          <cell r="F185" t="str">
            <v>Seguridad de la Información Humana</v>
          </cell>
          <cell r="G185" t="str">
            <v>4.3.1</v>
          </cell>
          <cell r="H185" t="str">
            <v>Revisión Guarda de Seguridad de la Información</v>
          </cell>
          <cell r="I185" t="str">
            <v>4.3.1.004</v>
          </cell>
          <cell r="J185" t="str">
            <v>Dotación armamento: cuenta con arma de fuego, chapuza, riata, canana, munición, tonfa, pito y se encuentra en buen estado.</v>
          </cell>
          <cell r="K185" t="str">
            <v>Presencial</v>
          </cell>
          <cell r="L185" t="str">
            <v>X</v>
          </cell>
          <cell r="M185" t="str">
            <v>SARO/SGSF</v>
          </cell>
          <cell r="N185" t="str">
            <v>SARO</v>
          </cell>
        </row>
        <row r="186">
          <cell r="B186" t="str">
            <v>4.3.1.005</v>
          </cell>
          <cell r="C186">
            <v>4</v>
          </cell>
          <cell r="D186" t="str">
            <v>Seguridad Financiera</v>
          </cell>
          <cell r="E186" t="str">
            <v>4.3</v>
          </cell>
          <cell r="F186" t="str">
            <v>Seguridad de la Información Humana</v>
          </cell>
          <cell r="G186" t="str">
            <v>4.3.1</v>
          </cell>
          <cell r="H186" t="str">
            <v>Revisión Guarda de Seguridad de la Información</v>
          </cell>
          <cell r="I186" t="str">
            <v>4.3.1.005</v>
          </cell>
          <cell r="J186" t="str">
            <v>Documentación puesto-registros: existe minuta de puesto, consignas generales y específicas, registro de ingreso de terceros y minuta de visitas de policía.</v>
          </cell>
          <cell r="K186" t="str">
            <v>Presencial</v>
          </cell>
          <cell r="L186" t="str">
            <v>X</v>
          </cell>
          <cell r="M186" t="str">
            <v>SARO/SGSF</v>
          </cell>
          <cell r="N186" t="str">
            <v>SARO</v>
          </cell>
        </row>
        <row r="187">
          <cell r="B187" t="str">
            <v>4.3.1.006</v>
          </cell>
          <cell r="C187">
            <v>4</v>
          </cell>
          <cell r="D187" t="str">
            <v>Seguridad Financiera</v>
          </cell>
          <cell r="E187" t="str">
            <v>4.3</v>
          </cell>
          <cell r="F187" t="str">
            <v>Seguridad de la Información Humana</v>
          </cell>
          <cell r="G187" t="str">
            <v>4.3.1</v>
          </cell>
          <cell r="H187" t="str">
            <v>Revisión Guarda de Seguridad de la Información</v>
          </cell>
          <cell r="I187" t="str">
            <v>4.3.1.006</v>
          </cell>
          <cell r="J187" t="str">
            <v>Documentación puesto-permisos: salvo conducto de tenencia del arma (vigente) y licencia de comunicaciones(vigente), cursos vigentes de Seguridad de la Información. el guarda de Seguridad de la Información ha sido rotado por la empresa según lo establecido por la gerencia de Seguridad de la Información.</v>
          </cell>
          <cell r="K187" t="str">
            <v>Presencial</v>
          </cell>
          <cell r="L187" t="str">
            <v>X</v>
          </cell>
          <cell r="M187" t="str">
            <v>SARO/SGSF</v>
          </cell>
          <cell r="N187" t="str">
            <v>SARO</v>
          </cell>
        </row>
        <row r="188">
          <cell r="B188" t="str">
            <v>4.3.1.007</v>
          </cell>
          <cell r="C188">
            <v>4</v>
          </cell>
          <cell r="D188" t="str">
            <v>Seguridad Financiera</v>
          </cell>
          <cell r="E188" t="str">
            <v>4.3</v>
          </cell>
          <cell r="F188" t="str">
            <v>Seguridad de la Información Humana</v>
          </cell>
          <cell r="G188" t="str">
            <v>4.3.1</v>
          </cell>
          <cell r="H188" t="str">
            <v>Revisión Guarda de Seguridad de la Información</v>
          </cell>
          <cell r="I188" t="str">
            <v>4.3.1.007</v>
          </cell>
          <cell r="J188" t="str">
            <v>Documentación identificacion personal: cédula, libreta militar, carné empresa, EPS, ARL.</v>
          </cell>
          <cell r="K188" t="str">
            <v>Presencial</v>
          </cell>
          <cell r="L188" t="str">
            <v>X</v>
          </cell>
          <cell r="M188" t="str">
            <v>SARO/SGSF</v>
          </cell>
          <cell r="N188" t="str">
            <v>SARO</v>
          </cell>
        </row>
        <row r="189">
          <cell r="B189" t="str">
            <v>4.3.1.008</v>
          </cell>
          <cell r="C189">
            <v>4</v>
          </cell>
          <cell r="D189" t="str">
            <v>Seguridad Financiera</v>
          </cell>
          <cell r="E189" t="str">
            <v>4.3</v>
          </cell>
          <cell r="F189" t="str">
            <v>Seguridad de la Información Humana</v>
          </cell>
          <cell r="G189" t="str">
            <v>4.3.1</v>
          </cell>
          <cell r="H189" t="str">
            <v>Revisión Guarda de Seguridad de la Información</v>
          </cell>
          <cell r="I189" t="str">
            <v>4.3.1.008</v>
          </cell>
          <cell r="J189" t="str">
            <v>Ubicación vigilante: el guarda se ubica detrás de la puerta que divide el hall bancario, área de cajas o lugar que no sea de fácil acceso por parte de la delincuencia.</v>
          </cell>
          <cell r="K189" t="str">
            <v>Presencial</v>
          </cell>
          <cell r="L189" t="str">
            <v>X</v>
          </cell>
          <cell r="M189" t="str">
            <v>SARO/SGSF</v>
          </cell>
          <cell r="N189" t="str">
            <v>SARO</v>
          </cell>
        </row>
        <row r="190">
          <cell r="B190" t="str">
            <v>4.3.2.001</v>
          </cell>
          <cell r="C190">
            <v>4</v>
          </cell>
          <cell r="D190" t="str">
            <v>Seguridad Financiera</v>
          </cell>
          <cell r="E190" t="str">
            <v>4.3</v>
          </cell>
          <cell r="F190" t="str">
            <v>Seguridad de la Información Humana</v>
          </cell>
          <cell r="G190" t="str">
            <v>4.3.2</v>
          </cell>
          <cell r="H190" t="str">
            <v>Revisión otros elementos de Seguridad de la Información</v>
          </cell>
          <cell r="I190" t="str">
            <v>4.3.2.001</v>
          </cell>
          <cell r="J190" t="str">
            <v>Pánico inalámbrico: el Guarda cuenta con el elemento y  funciona correctamente.</v>
          </cell>
          <cell r="K190" t="str">
            <v>Presencial</v>
          </cell>
          <cell r="L190" t="str">
            <v>X</v>
          </cell>
          <cell r="M190" t="str">
            <v>SARO/SGSF</v>
          </cell>
          <cell r="N190" t="str">
            <v>SARO</v>
          </cell>
        </row>
        <row r="191">
          <cell r="B191" t="str">
            <v>4.3.2.002</v>
          </cell>
          <cell r="C191">
            <v>4</v>
          </cell>
          <cell r="D191" t="str">
            <v>Seguridad Financiera</v>
          </cell>
          <cell r="E191" t="str">
            <v>4.3</v>
          </cell>
          <cell r="F191" t="str">
            <v>Seguridad de la Información Humana</v>
          </cell>
          <cell r="G191" t="str">
            <v>4.3.2</v>
          </cell>
          <cell r="H191" t="str">
            <v>Revisión otros elementos de Seguridad de la Información</v>
          </cell>
          <cell r="I191" t="str">
            <v>4.3.2.002</v>
          </cell>
          <cell r="J191" t="str">
            <v xml:space="preserve">Cajilla de Seguridad de la Información: se encuentra anclada bajo la visual de una camara de CCTV, el guarda tiene clave o llaves del elemento de custodia y  es utilizada de manera correcta. </v>
          </cell>
          <cell r="K191" t="str">
            <v>Actividad a Distancia</v>
          </cell>
          <cell r="L191" t="str">
            <v>X</v>
          </cell>
          <cell r="M191" t="str">
            <v>SARO/SGSF</v>
          </cell>
          <cell r="N191" t="str">
            <v>SARO</v>
          </cell>
        </row>
        <row r="192">
          <cell r="B192" t="str">
            <v>4.3.3.001</v>
          </cell>
          <cell r="C192">
            <v>4</v>
          </cell>
          <cell r="D192" t="str">
            <v>Seguridad Financiera</v>
          </cell>
          <cell r="E192" t="str">
            <v>4.3</v>
          </cell>
          <cell r="F192" t="str">
            <v>Seguridad de la Información Humana</v>
          </cell>
          <cell r="G192" t="str">
            <v>4.3.3</v>
          </cell>
          <cell r="H192" t="str">
            <v>Revisión supervisión presencial</v>
          </cell>
          <cell r="I192" t="str">
            <v>4.3.3.001</v>
          </cell>
          <cell r="J192" t="str">
            <v>Supervisión presencial: el puesto cuenta con supervisión diaria, semanal o mensual según la distancia de la oficina respecto a ciudad principal. tiene revista telefónica.</v>
          </cell>
          <cell r="K192" t="str">
            <v>Presencial</v>
          </cell>
          <cell r="L192" t="str">
            <v>X</v>
          </cell>
          <cell r="M192" t="str">
            <v>SARO/SGSF</v>
          </cell>
          <cell r="N192" t="str">
            <v>SARO</v>
          </cell>
        </row>
        <row r="193">
          <cell r="B193" t="str">
            <v>4.4.1.001</v>
          </cell>
          <cell r="C193">
            <v>4</v>
          </cell>
          <cell r="D193" t="str">
            <v>Seguridad Financiera</v>
          </cell>
          <cell r="E193" t="str">
            <v>4.4</v>
          </cell>
          <cell r="F193" t="str">
            <v>Seguridad de la Información Lógica</v>
          </cell>
          <cell r="G193" t="str">
            <v>4.4.1</v>
          </cell>
          <cell r="H193" t="str">
            <v>Manejo de claves y llaves</v>
          </cell>
          <cell r="I193" t="str">
            <v>4.4.1.001</v>
          </cell>
          <cell r="J193" t="str">
            <v>El gerente de oficina cuenta con clave maestra del sistema de alarma, realiza asignación de claves a los colaboradores de acuerdo al procedimiento AIL 457 y AIL 462.</v>
          </cell>
          <cell r="K193" t="str">
            <v>Presencial</v>
          </cell>
          <cell r="L193" t="str">
            <v>X</v>
          </cell>
          <cell r="M193" t="str">
            <v>SARO/SGSF</v>
          </cell>
          <cell r="N193" t="str">
            <v>SARO</v>
          </cell>
        </row>
        <row r="194">
          <cell r="B194" t="str">
            <v>4.4.1.002</v>
          </cell>
          <cell r="C194">
            <v>4</v>
          </cell>
          <cell r="D194" t="str">
            <v>Seguridad Financiera</v>
          </cell>
          <cell r="E194" t="str">
            <v>4.4</v>
          </cell>
          <cell r="F194" t="str">
            <v>Seguridad de la Información Lógica</v>
          </cell>
          <cell r="G194" t="str">
            <v>4.4.1</v>
          </cell>
          <cell r="H194" t="str">
            <v>Manejo de claves y llaves</v>
          </cell>
          <cell r="I194" t="str">
            <v>4.4.1.002</v>
          </cell>
          <cell r="J194" t="str">
            <v>Los  colaboradores de la oficina conocen el procedimiento AIL 457 y AIL 462 del manejo de llaves y claves de la oficina.</v>
          </cell>
          <cell r="K194" t="str">
            <v>Presencial</v>
          </cell>
          <cell r="L194" t="str">
            <v>X</v>
          </cell>
          <cell r="M194" t="str">
            <v>SARO/SGSF</v>
          </cell>
          <cell r="N194" t="str">
            <v>SARO</v>
          </cell>
        </row>
        <row r="195">
          <cell r="B195" t="str">
            <v>4.4.1.003</v>
          </cell>
          <cell r="C195">
            <v>4</v>
          </cell>
          <cell r="D195" t="str">
            <v>Seguridad Financiera</v>
          </cell>
          <cell r="E195" t="str">
            <v>4.4</v>
          </cell>
          <cell r="F195" t="str">
            <v>Seguridad de la Información Lógica</v>
          </cell>
          <cell r="G195" t="str">
            <v>4.4.1</v>
          </cell>
          <cell r="H195" t="str">
            <v>Manejo de claves y llaves</v>
          </cell>
          <cell r="I195" t="str">
            <v>4.4.1.003</v>
          </cell>
          <cell r="J195" t="str">
            <v>La asignación de claves y llaves entre colaboradores de  la oficina  se encuentra según lo dispuesto en el procedimiento AIL 457 y AIL 462</v>
          </cell>
          <cell r="K195" t="str">
            <v>Presencial</v>
          </cell>
          <cell r="L195" t="str">
            <v>X</v>
          </cell>
          <cell r="M195" t="str">
            <v>SARO/SGSF</v>
          </cell>
          <cell r="N195" t="str">
            <v>SARO</v>
          </cell>
        </row>
        <row r="196">
          <cell r="B196" t="str">
            <v>4.4.1.004</v>
          </cell>
          <cell r="C196">
            <v>4</v>
          </cell>
          <cell r="D196" t="str">
            <v>Seguridad Financiera</v>
          </cell>
          <cell r="E196" t="str">
            <v>4.4</v>
          </cell>
          <cell r="F196" t="str">
            <v>Seguridad de la Información Lógica</v>
          </cell>
          <cell r="G196" t="str">
            <v>4.4.1</v>
          </cell>
          <cell r="H196" t="str">
            <v>Manejo de claves y llaves</v>
          </cell>
          <cell r="I196" t="str">
            <v>4.4.1.004</v>
          </cell>
          <cell r="J196" t="str">
            <v>Que los cambios de claves, llaves y alarma cuentan con el formato "FB-OP04-007 acta de entrega de llaves, claves bóvedas, cajas fuertes, cofres y sistema de alarma" completamente diligenciado y firmado.</v>
          </cell>
          <cell r="K196" t="str">
            <v>Presencial</v>
          </cell>
          <cell r="L196" t="str">
            <v>X</v>
          </cell>
          <cell r="M196" t="str">
            <v>SARO/SGSF</v>
          </cell>
          <cell r="N196" t="str">
            <v>SARO</v>
          </cell>
        </row>
        <row r="197">
          <cell r="B197" t="str">
            <v>4.4.1.005</v>
          </cell>
          <cell r="C197">
            <v>4</v>
          </cell>
          <cell r="D197" t="str">
            <v>Seguridad Financiera</v>
          </cell>
          <cell r="E197" t="str">
            <v>4.4</v>
          </cell>
          <cell r="F197" t="str">
            <v>Seguridad de la Información Lógica</v>
          </cell>
          <cell r="G197" t="str">
            <v>4.4.1</v>
          </cell>
          <cell r="H197" t="str">
            <v>Manejo de claves y llaves</v>
          </cell>
          <cell r="I197" t="str">
            <v>4.4.1.005</v>
          </cell>
          <cell r="J197" t="str">
            <v>Existe plan de contingencia en caso de pérdida y/o olvido de claves y  llaves.</v>
          </cell>
          <cell r="K197" t="str">
            <v>Presencial</v>
          </cell>
          <cell r="L197" t="str">
            <v>X</v>
          </cell>
          <cell r="M197" t="str">
            <v>SARO/SGSF</v>
          </cell>
          <cell r="N197" t="str">
            <v>SARO</v>
          </cell>
        </row>
        <row r="198">
          <cell r="B198" t="str">
            <v>4.4.1.006</v>
          </cell>
          <cell r="C198">
            <v>4</v>
          </cell>
          <cell r="D198" t="str">
            <v>Seguridad Financiera</v>
          </cell>
          <cell r="E198" t="str">
            <v>4.4</v>
          </cell>
          <cell r="F198" t="str">
            <v>Seguridad de la Información Lógica</v>
          </cell>
          <cell r="G198" t="str">
            <v>4.4.1</v>
          </cell>
          <cell r="H198" t="str">
            <v>Manejo de claves y llaves</v>
          </cell>
          <cell r="I198" t="str">
            <v>4.4.1.006</v>
          </cell>
          <cell r="J198" t="str">
            <v>Las llaves de respaldo se encuentran custodiadas en la oficina más cercana y cuenta con actas de entrega.</v>
          </cell>
          <cell r="K198" t="str">
            <v>Presencial</v>
          </cell>
          <cell r="L198" t="str">
            <v>X</v>
          </cell>
          <cell r="M198" t="str">
            <v>SARO/SGSF</v>
          </cell>
          <cell r="N198" t="str">
            <v>SARO</v>
          </cell>
        </row>
        <row r="199">
          <cell r="B199" t="str">
            <v>4.4.1.007</v>
          </cell>
          <cell r="C199">
            <v>4</v>
          </cell>
          <cell r="D199" t="str">
            <v>Seguridad Financiera</v>
          </cell>
          <cell r="E199" t="str">
            <v>4.4</v>
          </cell>
          <cell r="F199" t="str">
            <v>Seguridad de la Información Lógica</v>
          </cell>
          <cell r="G199" t="str">
            <v>4.4.1</v>
          </cell>
          <cell r="H199" t="str">
            <v>Manejo de claves y llaves</v>
          </cell>
          <cell r="I199" t="str">
            <v>4.4.1.007</v>
          </cell>
          <cell r="J199" t="str">
            <v>Las claves de los diales digitales y mecánicos se encuentran custodiadas en el centro administrativo regional (CAR) y se cuentan con las actas o memorando de entrega.</v>
          </cell>
          <cell r="K199" t="str">
            <v>Presencial</v>
          </cell>
          <cell r="L199" t="str">
            <v>X</v>
          </cell>
          <cell r="M199" t="str">
            <v>SARO/SGSF</v>
          </cell>
          <cell r="N199" t="str">
            <v>SARO</v>
          </cell>
        </row>
        <row r="200">
          <cell r="B200" t="str">
            <v>4.4.1.008</v>
          </cell>
          <cell r="C200">
            <v>4</v>
          </cell>
          <cell r="D200" t="str">
            <v>Seguridad Financiera</v>
          </cell>
          <cell r="E200" t="str">
            <v>4.4</v>
          </cell>
          <cell r="F200" t="str">
            <v>Seguridad de la Información Lógica</v>
          </cell>
          <cell r="G200" t="str">
            <v>4.4.1</v>
          </cell>
          <cell r="H200" t="str">
            <v>Manejo de claves y llaves</v>
          </cell>
          <cell r="I200" t="str">
            <v>4.4.1.008</v>
          </cell>
          <cell r="J200" t="str">
            <v>Los colaboradores conocen la clave de coacción de la oficina,  santo y seña en caso de eventos de riesgo.</v>
          </cell>
          <cell r="K200" t="str">
            <v>Presencial</v>
          </cell>
          <cell r="L200" t="str">
            <v>X</v>
          </cell>
          <cell r="M200" t="str">
            <v>SARO/SGSF</v>
          </cell>
          <cell r="N200" t="str">
            <v>SARO</v>
          </cell>
        </row>
        <row r="201">
          <cell r="B201" t="str">
            <v>4.4.1.009</v>
          </cell>
          <cell r="C201">
            <v>4</v>
          </cell>
          <cell r="D201" t="str">
            <v>Seguridad Financiera</v>
          </cell>
          <cell r="E201" t="str">
            <v>4.4</v>
          </cell>
          <cell r="F201" t="str">
            <v>Seguridad de la Información Lógica</v>
          </cell>
          <cell r="G201" t="str">
            <v>4.4.1</v>
          </cell>
          <cell r="H201" t="str">
            <v>Manejo de claves y llaves</v>
          </cell>
          <cell r="I201" t="str">
            <v>4.4.1.009</v>
          </cell>
          <cell r="J201" t="str">
            <v xml:space="preserve">Validar en el último mes que:
cada empleado utiliza la clave de acceso acorde a su perfil funcional y que no presta su clave a otro empleado (vacaciones, baja, etc..), comprobar además que cuando se ausenta de su puesto de trabajo (café, visita cliente, notaría, fin jornada, etc.) bloquea el terminal abierto con su clave. </v>
          </cell>
          <cell r="K201" t="str">
            <v>Presencial</v>
          </cell>
          <cell r="L201" t="str">
            <v>X</v>
          </cell>
          <cell r="M201" t="str">
            <v>SARO/SGSF</v>
          </cell>
          <cell r="N201" t="str">
            <v>SARO</v>
          </cell>
        </row>
        <row r="202">
          <cell r="B202" t="str">
            <v>4.5.1.001</v>
          </cell>
          <cell r="C202">
            <v>4</v>
          </cell>
          <cell r="D202" t="str">
            <v>Seguridad Financiera</v>
          </cell>
          <cell r="E202" t="str">
            <v>4.5</v>
          </cell>
          <cell r="F202" t="str">
            <v>Seguridad de la Información y salud en el trabajo</v>
          </cell>
          <cell r="G202" t="str">
            <v>4.5.1</v>
          </cell>
          <cell r="H202" t="str">
            <v>Revisión área de Ejecutivos</v>
          </cell>
          <cell r="I202" t="str">
            <v>4.5.1.001</v>
          </cell>
          <cell r="J202" t="str">
            <v>Existen riesgos psicosociales, biomecánicos, biológicos, físicos, como temperatura, ilumincación, radición,  vibración, ruido que afecten al colaborador.</v>
          </cell>
          <cell r="K202" t="str">
            <v>Presencial</v>
          </cell>
          <cell r="L202" t="str">
            <v>X</v>
          </cell>
          <cell r="M202" t="str">
            <v>SARO/SGSI/SAC</v>
          </cell>
          <cell r="N202" t="str">
            <v>SARO</v>
          </cell>
        </row>
        <row r="203">
          <cell r="B203" t="str">
            <v>4.5.1.002</v>
          </cell>
          <cell r="C203">
            <v>4</v>
          </cell>
          <cell r="D203" t="str">
            <v>Seguridad Financiera</v>
          </cell>
          <cell r="E203" t="str">
            <v>4.5</v>
          </cell>
          <cell r="F203" t="str">
            <v>Seguridad de la Información y salud en el trabajo</v>
          </cell>
          <cell r="G203" t="str">
            <v>4.5.1</v>
          </cell>
          <cell r="H203" t="str">
            <v>Revisión área de Ejecutivos</v>
          </cell>
          <cell r="I203" t="str">
            <v>4.5.1.002</v>
          </cell>
          <cell r="J203" t="str">
            <v>Existe extintor multipropósito capacidad 10 lbs, recargado, vigente  y  debidamente señalizado.</v>
          </cell>
          <cell r="K203" t="str">
            <v>Actividad a Distancia</v>
          </cell>
          <cell r="L203" t="str">
            <v>X</v>
          </cell>
          <cell r="M203" t="str">
            <v>SARO/SGSI/SGSF</v>
          </cell>
          <cell r="N203" t="str">
            <v>SARO</v>
          </cell>
        </row>
        <row r="204">
          <cell r="B204" t="str">
            <v>4.5.1.003</v>
          </cell>
          <cell r="C204">
            <v>4</v>
          </cell>
          <cell r="D204" t="str">
            <v>Seguridad Financiera</v>
          </cell>
          <cell r="E204" t="str">
            <v>4.5</v>
          </cell>
          <cell r="F204" t="str">
            <v>Seguridad de la Información y salud en el trabajo</v>
          </cell>
          <cell r="G204" t="str">
            <v>4.5.1</v>
          </cell>
          <cell r="H204" t="str">
            <v>Revisión área de Ejecutivos</v>
          </cell>
          <cell r="I204" t="str">
            <v>4.5.1.003</v>
          </cell>
          <cell r="J204" t="str">
            <v>Cuenta con señalización de evacuación de emergencia,  es visible para personal en general.</v>
          </cell>
          <cell r="K204" t="str">
            <v>Actividad a Distancia</v>
          </cell>
          <cell r="L204" t="str">
            <v>X</v>
          </cell>
          <cell r="M204" t="str">
            <v>SARO/SGSI/SGSF</v>
          </cell>
          <cell r="N204" t="str">
            <v>SARO</v>
          </cell>
        </row>
        <row r="205">
          <cell r="B205" t="str">
            <v>4.5.2.001</v>
          </cell>
          <cell r="C205">
            <v>4</v>
          </cell>
          <cell r="D205" t="str">
            <v>Seguridad Financiera</v>
          </cell>
          <cell r="E205" t="str">
            <v>4.5</v>
          </cell>
          <cell r="F205" t="str">
            <v>Seguridad de la Información y salud en el trabajo</v>
          </cell>
          <cell r="G205" t="str">
            <v>4.5.2</v>
          </cell>
          <cell r="H205" t="str">
            <v>Revisión de otros factores</v>
          </cell>
          <cell r="I205" t="str">
            <v>4.5.2.001</v>
          </cell>
          <cell r="J205" t="str">
            <v>Se evidencia almacenamiento de combustibles o líquidos inflamables cerca a la oficina.</v>
          </cell>
          <cell r="K205" t="str">
            <v>Presencial</v>
          </cell>
          <cell r="L205" t="str">
            <v>X</v>
          </cell>
          <cell r="M205" t="str">
            <v>SARO/SGSI/SGSF</v>
          </cell>
          <cell r="N205" t="str">
            <v>SARO</v>
          </cell>
        </row>
        <row r="206">
          <cell r="B206" t="str">
            <v>4.5.2.002</v>
          </cell>
          <cell r="C206">
            <v>4</v>
          </cell>
          <cell r="D206" t="str">
            <v>Seguridad Financiera</v>
          </cell>
          <cell r="E206" t="str">
            <v>4.5</v>
          </cell>
          <cell r="F206" t="str">
            <v>Seguridad de la Información y salud en el trabajo</v>
          </cell>
          <cell r="G206" t="str">
            <v>4.5.2</v>
          </cell>
          <cell r="H206" t="str">
            <v>Revisión de otros factores</v>
          </cell>
          <cell r="I206" t="str">
            <v>4.5.2.002</v>
          </cell>
          <cell r="J206" t="str">
            <v>La oficina cuenta con un botiquín de primeros auxilios, y Camilla, están debidamente señalizados, de fácil ubicación y cuenta con llave custodiada por el brigadista.</v>
          </cell>
          <cell r="K206" t="str">
            <v>Actividad a Distancia</v>
          </cell>
          <cell r="L206" t="str">
            <v>X</v>
          </cell>
          <cell r="M206" t="str">
            <v>SARO/SGSI</v>
          </cell>
          <cell r="N206" t="str">
            <v>SARO</v>
          </cell>
        </row>
        <row r="207">
          <cell r="B207" t="str">
            <v>4.5.2.003</v>
          </cell>
          <cell r="C207">
            <v>4</v>
          </cell>
          <cell r="D207" t="str">
            <v>Seguridad Financiera</v>
          </cell>
          <cell r="E207" t="str">
            <v>4.5</v>
          </cell>
          <cell r="F207" t="str">
            <v>Seguridad de la Información y salud en el trabajo</v>
          </cell>
          <cell r="G207" t="str">
            <v>4.5.2</v>
          </cell>
          <cell r="H207" t="str">
            <v>Revisión de otros factores</v>
          </cell>
          <cell r="I207" t="str">
            <v>4.5.2.003</v>
          </cell>
          <cell r="J207" t="str">
            <v>Los colaboradores conocen el plan de emergencias como rutas y proceso de evacuación,  punto de encuentro en caso de emergencias.</v>
          </cell>
          <cell r="K207" t="str">
            <v>Presencial</v>
          </cell>
          <cell r="L207" t="str">
            <v>X</v>
          </cell>
          <cell r="M207" t="str">
            <v>SARO/SAC/SGSF</v>
          </cell>
          <cell r="N207" t="str">
            <v>SARO</v>
          </cell>
        </row>
        <row r="208">
          <cell r="B208" t="str">
            <v>4.5.2.004</v>
          </cell>
          <cell r="C208">
            <v>4</v>
          </cell>
          <cell r="D208" t="str">
            <v>Seguridad Financiera</v>
          </cell>
          <cell r="E208" t="str">
            <v>4.5</v>
          </cell>
          <cell r="F208" t="str">
            <v>Seguridad de la Información y salud en el trabajo</v>
          </cell>
          <cell r="G208" t="str">
            <v>4.5.2</v>
          </cell>
          <cell r="H208" t="str">
            <v>Revisión de otros factores</v>
          </cell>
          <cell r="I208" t="str">
            <v>4.5.2.004</v>
          </cell>
          <cell r="J208" t="str">
            <v>El plano de evacuación es acorde con la estructura de la oficina.</v>
          </cell>
          <cell r="K208" t="str">
            <v>Presencial</v>
          </cell>
          <cell r="L208" t="str">
            <v>X</v>
          </cell>
          <cell r="M208" t="str">
            <v>SARO/SGSI/SGSF</v>
          </cell>
          <cell r="N208" t="str">
            <v>SARO</v>
          </cell>
        </row>
        <row r="209">
          <cell r="B209" t="str">
            <v>4.5.3.001</v>
          </cell>
          <cell r="C209">
            <v>4</v>
          </cell>
          <cell r="D209" t="str">
            <v>Seguridad Financiera</v>
          </cell>
          <cell r="E209" t="str">
            <v>4.5</v>
          </cell>
          <cell r="F209" t="str">
            <v>Seguridad de la Información y salud en el trabajo</v>
          </cell>
          <cell r="G209" t="str">
            <v>4.5.3</v>
          </cell>
          <cell r="H209" t="str">
            <v>Revisión en caja</v>
          </cell>
          <cell r="I209" t="str">
            <v>4.5.3.001</v>
          </cell>
          <cell r="J209" t="str">
            <v>Existen riesgos psicosociales, biomecánicos, biológicos, físicos, como temperatura, ilumincación, radición,  vibración, ruido que afecten al colaborador.</v>
          </cell>
          <cell r="K209" t="str">
            <v>Presencial</v>
          </cell>
          <cell r="L209" t="str">
            <v>X</v>
          </cell>
          <cell r="M209" t="str">
            <v>SARO/SGSF/SAC/SGSI</v>
          </cell>
          <cell r="N209" t="str">
            <v>SARO</v>
          </cell>
        </row>
        <row r="210">
          <cell r="B210" t="str">
            <v>4.5.3.002</v>
          </cell>
          <cell r="C210">
            <v>4</v>
          </cell>
          <cell r="D210" t="str">
            <v>Seguridad Financiera</v>
          </cell>
          <cell r="E210" t="str">
            <v>4.5</v>
          </cell>
          <cell r="F210" t="str">
            <v>Seguridad de la Información y salud en el trabajo</v>
          </cell>
          <cell r="G210" t="str">
            <v>4.5.3</v>
          </cell>
          <cell r="H210" t="str">
            <v>Revisión en caja</v>
          </cell>
          <cell r="I210" t="str">
            <v>4.5.3.002</v>
          </cell>
          <cell r="J210" t="str">
            <v>Existe extintor solkaflam y/o co2, capacidad 10 lbs, recargado, vigente y debidamente señalizado.</v>
          </cell>
          <cell r="K210" t="str">
            <v>Actividad a Distancia</v>
          </cell>
          <cell r="L210" t="str">
            <v>X</v>
          </cell>
          <cell r="M210" t="str">
            <v>SARO/SGSI/SGSF</v>
          </cell>
          <cell r="N210" t="str">
            <v>SARO</v>
          </cell>
        </row>
        <row r="211">
          <cell r="B211" t="str">
            <v>4.5.3.003</v>
          </cell>
          <cell r="C211">
            <v>4</v>
          </cell>
          <cell r="D211" t="str">
            <v>Seguridad Financiera</v>
          </cell>
          <cell r="E211" t="str">
            <v>4.5</v>
          </cell>
          <cell r="F211" t="str">
            <v>Seguridad de la Información y salud en el trabajo</v>
          </cell>
          <cell r="G211" t="str">
            <v>4.5.3</v>
          </cell>
          <cell r="H211" t="str">
            <v>Revisión en caja</v>
          </cell>
          <cell r="I211" t="str">
            <v>4.5.3.003</v>
          </cell>
          <cell r="J211" t="str">
            <v>Cuenta con señalización de evacuación de emergencia, es visible  para personal en general.</v>
          </cell>
          <cell r="K211" t="str">
            <v>Actividad a Distancia</v>
          </cell>
          <cell r="L211" t="str">
            <v>X</v>
          </cell>
          <cell r="M211" t="str">
            <v>SARO/SGSI/SGSF</v>
          </cell>
          <cell r="N211" t="str">
            <v>SARO</v>
          </cell>
        </row>
        <row r="212">
          <cell r="B212" t="str">
            <v>4.5.4.001</v>
          </cell>
          <cell r="C212">
            <v>4</v>
          </cell>
          <cell r="D212" t="str">
            <v>Seguridad Financiera</v>
          </cell>
          <cell r="E212" t="str">
            <v>4.5</v>
          </cell>
          <cell r="F212" t="str">
            <v>Seguridad de la Información y salud en el trabajo</v>
          </cell>
          <cell r="G212" t="str">
            <v>4.5.4</v>
          </cell>
          <cell r="H212" t="str">
            <v>Revisión hall de servicios</v>
          </cell>
          <cell r="I212" t="str">
            <v>4.5.4.001</v>
          </cell>
          <cell r="J212" t="str">
            <v>Existen riesgos psicosociales, biomecánicos, biológicos, físicos, como temperatura, ilumincación, radición,  vibración, ruido que fecten al colaborador.</v>
          </cell>
          <cell r="K212" t="str">
            <v>Presencial</v>
          </cell>
          <cell r="L212" t="str">
            <v>X</v>
          </cell>
          <cell r="M212" t="str">
            <v>SARO/SAC/SGSF</v>
          </cell>
          <cell r="N212" t="str">
            <v>SARO</v>
          </cell>
        </row>
        <row r="213">
          <cell r="B213" t="str">
            <v>4.5.4.002</v>
          </cell>
          <cell r="C213">
            <v>4</v>
          </cell>
          <cell r="D213" t="str">
            <v>Seguridad Financiera</v>
          </cell>
          <cell r="E213" t="str">
            <v>4.5</v>
          </cell>
          <cell r="F213" t="str">
            <v>Seguridad de la Información y salud en el trabajo</v>
          </cell>
          <cell r="G213" t="str">
            <v>4.5.4</v>
          </cell>
          <cell r="H213" t="str">
            <v>Revisión hall de servicios</v>
          </cell>
          <cell r="I213" t="str">
            <v>4.5.4.002</v>
          </cell>
          <cell r="J213" t="str">
            <v>Existe extintor multipropósito capacidad 10 lbs, recargado, vigente  y  debidamente señalizado.</v>
          </cell>
          <cell r="K213" t="str">
            <v>Actividad a Distancia</v>
          </cell>
          <cell r="L213" t="str">
            <v>X</v>
          </cell>
          <cell r="M213" t="str">
            <v>SARO/SGSI/SGSF</v>
          </cell>
          <cell r="N213" t="str">
            <v>SARO</v>
          </cell>
        </row>
        <row r="214">
          <cell r="B214" t="str">
            <v>4.5.4.003</v>
          </cell>
          <cell r="C214">
            <v>4</v>
          </cell>
          <cell r="D214" t="str">
            <v>Seguridad Financiera</v>
          </cell>
          <cell r="E214" t="str">
            <v>4.5</v>
          </cell>
          <cell r="F214" t="str">
            <v>Seguridad de la Información y salud en el trabajo</v>
          </cell>
          <cell r="G214" t="str">
            <v>4.5.4</v>
          </cell>
          <cell r="H214" t="str">
            <v>Revisión hall de servicios</v>
          </cell>
          <cell r="I214" t="str">
            <v>4.5.4.003</v>
          </cell>
          <cell r="J214" t="str">
            <v>Cuenta con plano y señalización de ruta de Evacuación de emergencia,  es visible para personal en general.</v>
          </cell>
          <cell r="K214" t="str">
            <v>Actividad a Distancia</v>
          </cell>
          <cell r="L214" t="str">
            <v>X</v>
          </cell>
          <cell r="M214" t="str">
            <v>SARO/SGSI/SGSF</v>
          </cell>
          <cell r="N214" t="str">
            <v>SARO</v>
          </cell>
        </row>
        <row r="215">
          <cell r="B215" t="str">
            <v>4.5.4.004</v>
          </cell>
          <cell r="C215">
            <v>4</v>
          </cell>
          <cell r="D215" t="str">
            <v>Seguridad Financiera</v>
          </cell>
          <cell r="E215" t="str">
            <v>4.5</v>
          </cell>
          <cell r="F215" t="str">
            <v>Seguridad de la Información y salud en el trabajo</v>
          </cell>
          <cell r="G215" t="str">
            <v>4.5.4</v>
          </cell>
          <cell r="H215" t="str">
            <v>Revisión hall de servicios</v>
          </cell>
          <cell r="I215" t="str">
            <v>4.5.4.004</v>
          </cell>
          <cell r="J215" t="str">
            <v>Cuenta con brigadista capacitado.</v>
          </cell>
          <cell r="K215" t="str">
            <v>Presencial</v>
          </cell>
          <cell r="L215" t="str">
            <v>X</v>
          </cell>
          <cell r="M215" t="str">
            <v>SARO/SAC/SGSF</v>
          </cell>
          <cell r="N215" t="str">
            <v>SARO</v>
          </cell>
        </row>
        <row r="216">
          <cell r="B216" t="str">
            <v>4.5.4.005</v>
          </cell>
          <cell r="C216">
            <v>4</v>
          </cell>
          <cell r="D216" t="str">
            <v>Seguridad Financiera</v>
          </cell>
          <cell r="E216" t="str">
            <v>4.5</v>
          </cell>
          <cell r="F216" t="str">
            <v>Seguridad de la Información y salud en el trabajo</v>
          </cell>
          <cell r="G216" t="str">
            <v>4.5.4</v>
          </cell>
          <cell r="H216" t="str">
            <v>Revisión hall de servicios</v>
          </cell>
          <cell r="I216" t="str">
            <v>4.5.4.005</v>
          </cell>
          <cell r="J216" t="str">
            <v>La oficina cuenta con plan de emergencia y punto de encuentro.</v>
          </cell>
          <cell r="K216" t="str">
            <v>Actividad a Distancia</v>
          </cell>
          <cell r="L216" t="str">
            <v>X</v>
          </cell>
          <cell r="M216" t="str">
            <v>SARO/SGSI/SGSF</v>
          </cell>
          <cell r="N216" t="str">
            <v>SARO</v>
          </cell>
        </row>
        <row r="217">
          <cell r="B217" t="str">
            <v>4.5.5.001</v>
          </cell>
          <cell r="C217">
            <v>4</v>
          </cell>
          <cell r="D217" t="str">
            <v>Seguridad Financiera</v>
          </cell>
          <cell r="E217" t="str">
            <v>4.5</v>
          </cell>
          <cell r="F217" t="str">
            <v>Seguridad de la Información y salud en el trabajo</v>
          </cell>
          <cell r="G217" t="str">
            <v>4.5.5</v>
          </cell>
          <cell r="H217" t="str">
            <v>Zona de cuarto técnico</v>
          </cell>
          <cell r="I217" t="str">
            <v>4.5.5.001</v>
          </cell>
          <cell r="J217" t="str">
            <v>Existe extintor solkaflam y/o co2, capacidad 10 lbs, recargado, vigente   y  debidamente señalizado.</v>
          </cell>
          <cell r="K217" t="str">
            <v>Actividad a Distancia</v>
          </cell>
          <cell r="L217" t="str">
            <v>X</v>
          </cell>
          <cell r="M217" t="str">
            <v>SARO/SGSI/SGSF</v>
          </cell>
          <cell r="N217" t="str">
            <v>SARO</v>
          </cell>
        </row>
        <row r="218">
          <cell r="B218" t="str">
            <v>4.5.5.002</v>
          </cell>
          <cell r="C218">
            <v>4</v>
          </cell>
          <cell r="D218" t="str">
            <v>Seguridad Financiera</v>
          </cell>
          <cell r="E218" t="str">
            <v>4.5</v>
          </cell>
          <cell r="F218" t="str">
            <v>Seguridad de la Información y salud en el trabajo</v>
          </cell>
          <cell r="G218" t="str">
            <v>4.5.5</v>
          </cell>
          <cell r="H218" t="str">
            <v>Zona de cuarto técnico</v>
          </cell>
          <cell r="I218" t="str">
            <v>4.5.5.002</v>
          </cell>
          <cell r="J218" t="str">
            <v>El área de cuarto técnico permanece cerrado, asegurado y las llaves con custodiadas por el gesto II o coordinador.</v>
          </cell>
          <cell r="K218" t="str">
            <v>Actividad a Distancia</v>
          </cell>
          <cell r="L218" t="str">
            <v>X</v>
          </cell>
          <cell r="M218" t="str">
            <v>SARO/SGSF</v>
          </cell>
          <cell r="N218" t="str">
            <v>SARO</v>
          </cell>
        </row>
        <row r="219">
          <cell r="B219" t="str">
            <v>4.5.5.003</v>
          </cell>
          <cell r="C219">
            <v>4</v>
          </cell>
          <cell r="D219" t="str">
            <v>Seguridad Financiera</v>
          </cell>
          <cell r="E219" t="str">
            <v>4.5</v>
          </cell>
          <cell r="F219" t="str">
            <v>Seguridad de la Información y salud en el trabajo</v>
          </cell>
          <cell r="G219" t="str">
            <v>4.5.5</v>
          </cell>
          <cell r="H219" t="str">
            <v>Zona de cuarto técnico</v>
          </cell>
          <cell r="I219" t="str">
            <v>4.5.5.003</v>
          </cell>
          <cell r="J219" t="str">
            <v>Existe sistema de refrigeración para los elementos custodiados.</v>
          </cell>
          <cell r="K219" t="str">
            <v>Presencial</v>
          </cell>
          <cell r="L219" t="str">
            <v>X</v>
          </cell>
          <cell r="M219" t="str">
            <v>SARO/SGSI/SGSF</v>
          </cell>
          <cell r="N219" t="str">
            <v>SARO</v>
          </cell>
        </row>
        <row r="220">
          <cell r="B220" t="str">
            <v>5.1.1.001</v>
          </cell>
          <cell r="C220">
            <v>5</v>
          </cell>
          <cell r="D220" t="str">
            <v>SARLAFT</v>
          </cell>
          <cell r="E220" t="str">
            <v>5.1</v>
          </cell>
          <cell r="F220" t="str">
            <v>Control conocimiento del cliente</v>
          </cell>
          <cell r="G220" t="str">
            <v>5.1.1</v>
          </cell>
          <cell r="H220" t="str">
            <v>Conocimiento del cliente</v>
          </cell>
          <cell r="I220" t="str">
            <v>5.1.1.001</v>
          </cell>
          <cell r="J220" t="str">
            <v>El personal realiza validación de las referencias y deja evidencia de los hallazgos (Dejan soportes).</v>
          </cell>
          <cell r="K220" t="str">
            <v>Presencial</v>
          </cell>
          <cell r="M220" t="str">
            <v>SARO/SARLAFT</v>
          </cell>
          <cell r="N220" t="str">
            <v>SARO</v>
          </cell>
        </row>
        <row r="221">
          <cell r="B221" t="str">
            <v>5.1.1.002</v>
          </cell>
          <cell r="C221">
            <v>5</v>
          </cell>
          <cell r="D221" t="str">
            <v>SARLAFT</v>
          </cell>
          <cell r="E221" t="str">
            <v>5.1</v>
          </cell>
          <cell r="F221" t="str">
            <v>Control conocimiento del cliente</v>
          </cell>
          <cell r="G221" t="str">
            <v>5.1.1</v>
          </cell>
          <cell r="H221" t="str">
            <v>Conocimiento del cliente</v>
          </cell>
          <cell r="I221" t="str">
            <v>5.1.1.002</v>
          </cell>
          <cell r="J221" t="str">
            <v>Revisión del diligenciamiento del formato de actualización de información del cliente con su firma y la respectiva actualización en el core bancario.</v>
          </cell>
          <cell r="K221" t="str">
            <v>Presencial</v>
          </cell>
          <cell r="M221" t="str">
            <v>SARO/SARLAFT</v>
          </cell>
          <cell r="N221" t="str">
            <v>SARO</v>
          </cell>
        </row>
        <row r="222">
          <cell r="B222" t="str">
            <v>5.1.1.003</v>
          </cell>
          <cell r="C222">
            <v>5</v>
          </cell>
          <cell r="D222" t="str">
            <v>SARLAFT</v>
          </cell>
          <cell r="E222" t="str">
            <v>5.1</v>
          </cell>
          <cell r="F222" t="str">
            <v>Control conocimiento del cliente</v>
          </cell>
          <cell r="G222" t="str">
            <v>5.1.1</v>
          </cell>
          <cell r="H222" t="str">
            <v>Conocimiento del cliente</v>
          </cell>
          <cell r="I222" t="str">
            <v>5.1.1.003</v>
          </cell>
          <cell r="J222" t="str">
            <v>Validar que  la información registrada en el core bancario este acorde a la registrada en los formatos de vinculación de .</v>
          </cell>
          <cell r="K222" t="str">
            <v>Presencial</v>
          </cell>
          <cell r="M222" t="str">
            <v>SARO/SARLAFT</v>
          </cell>
          <cell r="N222" t="str">
            <v>SARO</v>
          </cell>
        </row>
        <row r="223">
          <cell r="B223" t="str">
            <v>5.1.1.004</v>
          </cell>
          <cell r="C223">
            <v>5</v>
          </cell>
          <cell r="D223" t="str">
            <v>SARLAFT</v>
          </cell>
          <cell r="E223" t="str">
            <v>5.1</v>
          </cell>
          <cell r="F223" t="str">
            <v>Control conocimiento del cliente</v>
          </cell>
          <cell r="G223" t="str">
            <v>5.1.1</v>
          </cell>
          <cell r="H223" t="str">
            <v>Conocimiento del cliente</v>
          </cell>
          <cell r="I223" t="str">
            <v>5.1.1.004</v>
          </cell>
          <cell r="J223" t="str">
            <v>Se realiza visita a las instalaciones de la unidad productiva del cliente previo al otorgamiento del producto dejando evidencia del concepto en el formato de visita.</v>
          </cell>
          <cell r="K223" t="str">
            <v>Presencial</v>
          </cell>
          <cell r="M223" t="str">
            <v>SARO/SARLAFT</v>
          </cell>
          <cell r="N223" t="str">
            <v>SARO</v>
          </cell>
        </row>
        <row r="224">
          <cell r="B224" t="str">
            <v>5.1.2.001</v>
          </cell>
          <cell r="C224">
            <v>5</v>
          </cell>
          <cell r="D224" t="str">
            <v>SARLAFT</v>
          </cell>
          <cell r="E224" t="str">
            <v>5.1</v>
          </cell>
          <cell r="F224" t="str">
            <v>Control conocimiento del cliente</v>
          </cell>
          <cell r="G224" t="str">
            <v>5.1.2</v>
          </cell>
          <cell r="H224" t="str">
            <v>Monitoreo transaccional de los clientes.</v>
          </cell>
          <cell r="I224" t="str">
            <v>5.1.2.001</v>
          </cell>
          <cell r="J224" t="str">
            <v>Se encuentra diligenciada la declaración de operaciones en efectivo superiores o iguales a $10 MM con huella y firma del cliente.</v>
          </cell>
          <cell r="K224" t="str">
            <v>Presencial</v>
          </cell>
          <cell r="M224" t="str">
            <v>SARO/SARLAFT</v>
          </cell>
          <cell r="N224" t="str">
            <v>SARO</v>
          </cell>
        </row>
        <row r="225">
          <cell r="B225" t="str">
            <v>5.1.3.001</v>
          </cell>
          <cell r="C225">
            <v>5</v>
          </cell>
          <cell r="D225" t="str">
            <v>SARLAFT</v>
          </cell>
          <cell r="E225" t="str">
            <v>5.1</v>
          </cell>
          <cell r="F225" t="str">
            <v>Control conocimiento del cliente</v>
          </cell>
          <cell r="G225" t="str">
            <v>5.1.2</v>
          </cell>
          <cell r="H225" t="str">
            <v>Revisión del control de vinculación de Clientes</v>
          </cell>
          <cell r="I225" t="str">
            <v>5.1.3.001</v>
          </cell>
          <cell r="J225" t="str">
            <v>Revisión de la completitud del diligenciamiento del  formato de vinculación de clientes.</v>
          </cell>
          <cell r="K225" t="str">
            <v>Presencial</v>
          </cell>
          <cell r="M225" t="str">
            <v>SARO/SARLAFT</v>
          </cell>
          <cell r="N225" t="str">
            <v>SARO</v>
          </cell>
        </row>
        <row r="226">
          <cell r="B226" t="str">
            <v>5.2.1.001</v>
          </cell>
          <cell r="C226">
            <v>5</v>
          </cell>
          <cell r="D226" t="str">
            <v>SARLAFT</v>
          </cell>
          <cell r="E226" t="str">
            <v>5.2</v>
          </cell>
          <cell r="F226" t="str">
            <v>Control de soportes y autorizaciones</v>
          </cell>
          <cell r="G226" t="str">
            <v>5.2.1</v>
          </cell>
          <cell r="H226" t="str">
            <v>Revisión del control de vinculación de Clientes</v>
          </cell>
          <cell r="I226" t="str">
            <v>5.2.1.001</v>
          </cell>
          <cell r="J226" t="str">
            <v>Revisión sobre la completitud  de los documentos que soportan la apertura del producto del cliente.</v>
          </cell>
          <cell r="K226" t="str">
            <v>Presencial</v>
          </cell>
          <cell r="M226" t="str">
            <v>SARO/SARLAFT</v>
          </cell>
          <cell r="N226" t="str">
            <v>SARO</v>
          </cell>
        </row>
        <row r="227">
          <cell r="B227" t="str">
            <v>5.2.1.002</v>
          </cell>
          <cell r="C227">
            <v>5</v>
          </cell>
          <cell r="D227" t="str">
            <v>SARLAFT</v>
          </cell>
          <cell r="E227" t="str">
            <v>5.2</v>
          </cell>
          <cell r="F227" t="str">
            <v>Control de soportes y autorizaciones</v>
          </cell>
          <cell r="G227" t="str">
            <v>5.2.1</v>
          </cell>
          <cell r="H227" t="str">
            <v>Revisión del control de vinculación de Clientes</v>
          </cell>
          <cell r="I227" t="str">
            <v>5.2.1.002</v>
          </cell>
          <cell r="J227" t="str">
            <v>Se valida que la aprobación de los PEP fue realizada en el core bancario por parte del Gerente Zonal.</v>
          </cell>
          <cell r="K227" t="str">
            <v>Actividad a Distancia</v>
          </cell>
          <cell r="M227" t="str">
            <v>SARO/SARLAFT</v>
          </cell>
          <cell r="N227" t="str">
            <v>SARO</v>
          </cell>
        </row>
        <row r="228">
          <cell r="B228" t="str">
            <v>6.1.1.001</v>
          </cell>
          <cell r="C228">
            <v>6</v>
          </cell>
          <cell r="D228" t="str">
            <v>Continuidad de Negocio</v>
          </cell>
          <cell r="E228" t="str">
            <v>6.1</v>
          </cell>
          <cell r="F228" t="str">
            <v>Continuidad de Negocio</v>
          </cell>
          <cell r="G228" t="str">
            <v>6.1.1</v>
          </cell>
          <cell r="H228" t="str">
            <v>Testing Controles</v>
          </cell>
          <cell r="I228" t="str">
            <v>6.1.1.001</v>
          </cell>
          <cell r="J228" t="str">
            <v>La oficina tiene impreso y disponible para su uso la Planilla De Operaciones Por Contingencia</v>
          </cell>
          <cell r="K228" t="str">
            <v>Presencial</v>
          </cell>
          <cell r="L228" t="str">
            <v>SARO</v>
          </cell>
          <cell r="M228" t="str">
            <v>SARO/PCN</v>
          </cell>
          <cell r="N228" t="str">
            <v>SARO</v>
          </cell>
        </row>
        <row r="229">
          <cell r="B229" t="str">
            <v>6.1.1.002</v>
          </cell>
          <cell r="C229">
            <v>6</v>
          </cell>
          <cell r="D229" t="str">
            <v>Continuidad de Negocio</v>
          </cell>
          <cell r="E229" t="str">
            <v>6.1</v>
          </cell>
          <cell r="F229" t="str">
            <v>Continuidad de Negocio</v>
          </cell>
          <cell r="G229" t="str">
            <v>6.1.1</v>
          </cell>
          <cell r="H229" t="str">
            <v>Testing Controles</v>
          </cell>
          <cell r="I229" t="str">
            <v>6.1.1.002</v>
          </cell>
          <cell r="J229" t="str">
            <v>La oficina tiene impreso y disponible para su uso la planilla arqueo de caja</v>
          </cell>
          <cell r="K229" t="str">
            <v>Presencial</v>
          </cell>
          <cell r="L229" t="str">
            <v>SARO</v>
          </cell>
          <cell r="M229" t="str">
            <v>SARO/PCN</v>
          </cell>
          <cell r="N229" t="str">
            <v>SARO</v>
          </cell>
        </row>
        <row r="230">
          <cell r="B230" t="str">
            <v>6.1.1.003</v>
          </cell>
          <cell r="C230">
            <v>6</v>
          </cell>
          <cell r="D230" t="str">
            <v>Continuidad de Negocio</v>
          </cell>
          <cell r="E230" t="str">
            <v>6.1</v>
          </cell>
          <cell r="F230" t="str">
            <v>Continuidad de Negocio</v>
          </cell>
          <cell r="G230" t="str">
            <v>6.1.1</v>
          </cell>
          <cell r="H230" t="str">
            <v>Testing Controles</v>
          </cell>
          <cell r="I230" t="str">
            <v>6.1.1.003</v>
          </cell>
          <cell r="J230" t="str">
            <v>La oficina tiene impreso y disponible para su uso la Cuadre de Caja</v>
          </cell>
          <cell r="K230" t="str">
            <v>Presencial</v>
          </cell>
          <cell r="L230" t="str">
            <v>SARO</v>
          </cell>
          <cell r="M230" t="str">
            <v>SARO/PCN</v>
          </cell>
          <cell r="N230" t="str">
            <v>SARO</v>
          </cell>
        </row>
        <row r="231">
          <cell r="B231" t="str">
            <v>6.1.1.004</v>
          </cell>
          <cell r="C231">
            <v>6</v>
          </cell>
          <cell r="D231" t="str">
            <v>Continuidad de Negocio</v>
          </cell>
          <cell r="E231" t="str">
            <v>6.1</v>
          </cell>
          <cell r="F231" t="str">
            <v>Continuidad de Negocio</v>
          </cell>
          <cell r="G231" t="str">
            <v>6.1.1</v>
          </cell>
          <cell r="H231" t="str">
            <v>Testing Controles</v>
          </cell>
          <cell r="I231" t="str">
            <v>6.1.1.004</v>
          </cell>
          <cell r="J231" t="str">
            <v>La oficina tiene impreso y disponible para su uso el Material Practico Para El Uso De Bantotal</v>
          </cell>
          <cell r="K231" t="str">
            <v>Presencial</v>
          </cell>
          <cell r="L231" t="str">
            <v>SARO</v>
          </cell>
          <cell r="M231" t="str">
            <v>SARO/PCN</v>
          </cell>
          <cell r="N231" t="str">
            <v>SARO</v>
          </cell>
        </row>
        <row r="232">
          <cell r="B232" t="str">
            <v>6.1.1.005</v>
          </cell>
          <cell r="C232">
            <v>6</v>
          </cell>
          <cell r="D232" t="str">
            <v>Continuidad de Negocio</v>
          </cell>
          <cell r="E232" t="str">
            <v>6.1</v>
          </cell>
          <cell r="F232" t="str">
            <v>Continuidad de Negocio</v>
          </cell>
          <cell r="G232" t="str">
            <v>6.1.1</v>
          </cell>
          <cell r="H232" t="str">
            <v>Testing Controles</v>
          </cell>
          <cell r="I232" t="str">
            <v>6.1.1.005</v>
          </cell>
          <cell r="J232" t="str">
            <v>La oficina ha tenido que operar de forma manual cuando se han presentado situaciones tales como: Caída del fluido, Indisponibilidad de los canales de comunicación, Fallas en Bantotal etc.?</v>
          </cell>
          <cell r="K232" t="str">
            <v>Presencial</v>
          </cell>
          <cell r="L232" t="str">
            <v>SARO</v>
          </cell>
          <cell r="M232" t="str">
            <v>SARO/PCN</v>
          </cell>
          <cell r="N232" t="str">
            <v>SARO</v>
          </cell>
        </row>
        <row r="233">
          <cell r="B233" t="str">
            <v>6.1.1.006</v>
          </cell>
          <cell r="C233">
            <v>6</v>
          </cell>
          <cell r="D233" t="str">
            <v>Continuidad de Negocio</v>
          </cell>
          <cell r="E233" t="str">
            <v>6.1</v>
          </cell>
          <cell r="F233" t="str">
            <v>Continuidad de Negocio</v>
          </cell>
          <cell r="G233" t="str">
            <v>6.1.1</v>
          </cell>
          <cell r="H233" t="str">
            <v>Testing Controles</v>
          </cell>
          <cell r="I233" t="str">
            <v>6.1.1.006</v>
          </cell>
          <cell r="J233" t="str">
            <v xml:space="preserve"> La oficina cuenta con los soportes (Correo electrónico y/o número de Tikect) en donde se haya  dado la autorización de la operación manual.</v>
          </cell>
          <cell r="K233" t="str">
            <v>Presencial</v>
          </cell>
          <cell r="L233" t="str">
            <v>SARO</v>
          </cell>
          <cell r="M233" t="str">
            <v>SARO/PCN</v>
          </cell>
          <cell r="N233" t="str">
            <v>SARO</v>
          </cell>
        </row>
        <row r="234">
          <cell r="B234" t="str">
            <v>6.1.1.007</v>
          </cell>
          <cell r="C234">
            <v>6</v>
          </cell>
          <cell r="D234" t="str">
            <v>Continuidad de Negocio</v>
          </cell>
          <cell r="E234" t="str">
            <v>6.1</v>
          </cell>
          <cell r="F234" t="str">
            <v>Continuidad de Negocio</v>
          </cell>
          <cell r="G234" t="str">
            <v>6.1.1</v>
          </cell>
          <cell r="H234" t="str">
            <v>Testing Controles</v>
          </cell>
          <cell r="I234" t="str">
            <v>6.1.1.007</v>
          </cell>
          <cell r="J234" t="str">
            <v xml:space="preserve"> En caso de que la oficina haya realizado cierre en contingencia, esta tiene los soportes del envío al Centro de Efectivos de los formatos Arqueo de Caja y Cuadre de Caja.</v>
          </cell>
          <cell r="K234" t="str">
            <v>Presencial</v>
          </cell>
          <cell r="L234" t="str">
            <v>SARO</v>
          </cell>
          <cell r="M234" t="str">
            <v>SARO/PCN</v>
          </cell>
          <cell r="N234" t="str">
            <v>SARO</v>
          </cell>
        </row>
        <row r="235">
          <cell r="B235" t="str">
            <v>6.2.1.001</v>
          </cell>
          <cell r="C235">
            <v>6</v>
          </cell>
          <cell r="D235" t="str">
            <v>Continuidad de Negocio</v>
          </cell>
          <cell r="E235" t="str">
            <v>6.2</v>
          </cell>
          <cell r="F235" t="str">
            <v>Riesgo Operacional</v>
          </cell>
          <cell r="G235" t="str">
            <v>6.2.1</v>
          </cell>
          <cell r="H235" t="str">
            <v>Testing Controles</v>
          </cell>
          <cell r="I235" t="str">
            <v>6.2.1.001</v>
          </cell>
          <cell r="J235" t="str">
            <v>Testeo Control: C1310
Proceso: Creación Persona Natural</v>
          </cell>
          <cell r="K235" t="str">
            <v>Presencial</v>
          </cell>
          <cell r="L235" t="str">
            <v>SARO</v>
          </cell>
          <cell r="M235" t="str">
            <v>SARO</v>
          </cell>
          <cell r="N235" t="str">
            <v>SARO</v>
          </cell>
        </row>
        <row r="236">
          <cell r="B236" t="str">
            <v>6.2.1.002</v>
          </cell>
          <cell r="C236">
            <v>6</v>
          </cell>
          <cell r="D236" t="str">
            <v>Continuidad de Negocio</v>
          </cell>
          <cell r="E236" t="str">
            <v>6.2</v>
          </cell>
          <cell r="F236" t="str">
            <v>Riesgo Operacional</v>
          </cell>
          <cell r="G236" t="str">
            <v>6.2.1</v>
          </cell>
          <cell r="H236" t="str">
            <v>Testing Controles</v>
          </cell>
          <cell r="I236" t="str">
            <v>6.2.1.002</v>
          </cell>
          <cell r="J236" t="str">
            <v>Testeo Control: C1559
Proceso: Depósitos en Cuentas de Ahorros en Oficina</v>
          </cell>
          <cell r="K236" t="str">
            <v>Presencial</v>
          </cell>
          <cell r="L236" t="str">
            <v>SARO</v>
          </cell>
          <cell r="M236" t="str">
            <v>SARO</v>
          </cell>
          <cell r="N236" t="str">
            <v>SARO</v>
          </cell>
        </row>
        <row r="237">
          <cell r="B237" t="str">
            <v>6.2.1.003</v>
          </cell>
          <cell r="C237">
            <v>6</v>
          </cell>
          <cell r="D237" t="str">
            <v>Continuidad de Negocio</v>
          </cell>
          <cell r="E237" t="str">
            <v>6.2</v>
          </cell>
          <cell r="F237" t="str">
            <v>Riesgo Operacional</v>
          </cell>
          <cell r="G237" t="str">
            <v>6.2.1</v>
          </cell>
          <cell r="H237" t="str">
            <v>Testing Controles</v>
          </cell>
          <cell r="I237" t="str">
            <v>6.2.1.003</v>
          </cell>
          <cell r="J237" t="str">
            <v>Testeo Control: C1559
Proceso: Recaudo Cuota de Crédito en Oficina</v>
          </cell>
          <cell r="K237" t="str">
            <v>Presencial</v>
          </cell>
          <cell r="L237" t="str">
            <v>SARO</v>
          </cell>
          <cell r="M237" t="str">
            <v>SARO</v>
          </cell>
          <cell r="N237" t="str">
            <v>SARO</v>
          </cell>
        </row>
        <row r="238">
          <cell r="B238" t="str">
            <v>6.2.1.004</v>
          </cell>
          <cell r="C238">
            <v>6</v>
          </cell>
          <cell r="D238" t="str">
            <v>Continuidad de Negocio</v>
          </cell>
          <cell r="E238" t="str">
            <v>6.2</v>
          </cell>
          <cell r="F238" t="str">
            <v>Riesgo Operacional</v>
          </cell>
          <cell r="G238" t="str">
            <v>6.2.1</v>
          </cell>
          <cell r="H238" t="str">
            <v>Testing Controles</v>
          </cell>
          <cell r="I238" t="str">
            <v>6.2.1.004</v>
          </cell>
          <cell r="J238" t="str">
            <v>Testeo Control: C488
Proceso: Administración de Cupos de Efectivo en Oficina</v>
          </cell>
          <cell r="K238" t="str">
            <v>Presencial</v>
          </cell>
          <cell r="L238" t="str">
            <v>SARO</v>
          </cell>
          <cell r="M238" t="str">
            <v>SARO</v>
          </cell>
          <cell r="N238" t="str">
            <v>SARO</v>
          </cell>
        </row>
        <row r="239">
          <cell r="B239" t="str">
            <v>6.2.1.005</v>
          </cell>
          <cell r="C239">
            <v>6</v>
          </cell>
          <cell r="D239" t="str">
            <v>Continuidad de Negocio</v>
          </cell>
          <cell r="E239" t="str">
            <v>6.2</v>
          </cell>
          <cell r="F239" t="str">
            <v>Riesgo Operacional</v>
          </cell>
          <cell r="G239" t="str">
            <v>6.2.1</v>
          </cell>
          <cell r="H239" t="str">
            <v>Testing Controles</v>
          </cell>
          <cell r="I239" t="str">
            <v>6.2.1.005</v>
          </cell>
          <cell r="J239" t="str">
            <v>Testeo Control: C490
Proceso: Administración de Cupos de Efectivo en Oficina</v>
          </cell>
          <cell r="K239" t="str">
            <v>Presencial</v>
          </cell>
          <cell r="L239" t="str">
            <v>SARO</v>
          </cell>
          <cell r="M239" t="str">
            <v>SARO</v>
          </cell>
          <cell r="N239" t="str">
            <v>SARO</v>
          </cell>
        </row>
        <row r="240">
          <cell r="B240" t="str">
            <v>6.2.1.006</v>
          </cell>
          <cell r="C240">
            <v>6</v>
          </cell>
          <cell r="D240" t="str">
            <v>Continuidad de Negocio</v>
          </cell>
          <cell r="E240" t="str">
            <v>6.2</v>
          </cell>
          <cell r="F240" t="str">
            <v>Riesgo Operacional</v>
          </cell>
          <cell r="G240" t="str">
            <v>6.2.1</v>
          </cell>
          <cell r="H240" t="str">
            <v>Testing Controles</v>
          </cell>
          <cell r="I240" t="str">
            <v>6.2.1.006</v>
          </cell>
          <cell r="J240" t="str">
            <v>Testeo Control: C1104
Proceso: Administración Documental</v>
          </cell>
          <cell r="K240" t="str">
            <v>Presencial</v>
          </cell>
          <cell r="L240" t="str">
            <v>SARO</v>
          </cell>
          <cell r="M240" t="str">
            <v>SARO</v>
          </cell>
          <cell r="N240" t="str">
            <v>SARO</v>
          </cell>
        </row>
        <row r="241">
          <cell r="B241" t="str">
            <v>6.2.1.007</v>
          </cell>
          <cell r="C241">
            <v>6</v>
          </cell>
          <cell r="D241" t="str">
            <v>Continuidad de Negocio</v>
          </cell>
          <cell r="E241" t="str">
            <v>6.2</v>
          </cell>
          <cell r="F241" t="str">
            <v>Riesgo Operacional</v>
          </cell>
          <cell r="G241" t="str">
            <v>6.2.1</v>
          </cell>
          <cell r="H241" t="str">
            <v>Testing Controles</v>
          </cell>
          <cell r="I241" t="str">
            <v>6.2.1.007</v>
          </cell>
          <cell r="J241" t="str">
            <v>Testeo Control: C1102
Proceso: Administración Documental</v>
          </cell>
          <cell r="K241" t="str">
            <v>Presencial</v>
          </cell>
          <cell r="L241" t="str">
            <v>SARO</v>
          </cell>
          <cell r="M241" t="str">
            <v>SARO</v>
          </cell>
          <cell r="N241" t="str">
            <v>SARO</v>
          </cell>
        </row>
        <row r="242">
          <cell r="B242" t="str">
            <v>6.2.1.008</v>
          </cell>
          <cell r="C242">
            <v>6</v>
          </cell>
          <cell r="D242" t="str">
            <v>Continuidad de Negocio</v>
          </cell>
          <cell r="E242" t="str">
            <v>6.2</v>
          </cell>
          <cell r="F242" t="str">
            <v>Riesgo Operacional</v>
          </cell>
          <cell r="G242" t="str">
            <v>6.2.1</v>
          </cell>
          <cell r="H242" t="str">
            <v>Testing Controles</v>
          </cell>
          <cell r="I242" t="str">
            <v>6.2.1.008</v>
          </cell>
          <cell r="J242" t="str">
            <v>Testeo Control: C1116
Proceso: Evaluación de Solicitudes de Microcrédito</v>
          </cell>
          <cell r="K242" t="str">
            <v>Presencial</v>
          </cell>
          <cell r="L242" t="str">
            <v>SARO</v>
          </cell>
          <cell r="M242" t="str">
            <v>SARO</v>
          </cell>
          <cell r="N242" t="str">
            <v>SARO</v>
          </cell>
        </row>
        <row r="243">
          <cell r="B243" t="str">
            <v>6.2.1.009</v>
          </cell>
          <cell r="C243">
            <v>6</v>
          </cell>
          <cell r="D243" t="str">
            <v>Continuidad de Negocio</v>
          </cell>
          <cell r="E243" t="str">
            <v>6.2</v>
          </cell>
          <cell r="F243" t="str">
            <v>Riesgo Operacional</v>
          </cell>
          <cell r="G243" t="str">
            <v>6.2.1</v>
          </cell>
          <cell r="H243" t="str">
            <v>Testing Controles</v>
          </cell>
          <cell r="I243" t="str">
            <v>6.2.1.009</v>
          </cell>
          <cell r="J243" t="str">
            <v>Testeo Control: C172
Proceso: Desembolso de Microcréditos</v>
          </cell>
          <cell r="K243" t="str">
            <v>Presencial</v>
          </cell>
          <cell r="L243" t="str">
            <v>SARO</v>
          </cell>
          <cell r="M243" t="str">
            <v>SARO</v>
          </cell>
          <cell r="N243" t="str">
            <v>SARO</v>
          </cell>
        </row>
        <row r="244">
          <cell r="B244" t="str">
            <v>6.2.1.010</v>
          </cell>
          <cell r="C244">
            <v>6</v>
          </cell>
          <cell r="D244" t="str">
            <v>Continuidad de Negocio</v>
          </cell>
          <cell r="E244" t="str">
            <v>6.2</v>
          </cell>
          <cell r="F244" t="str">
            <v>Riesgo Operacional</v>
          </cell>
          <cell r="G244" t="str">
            <v>6.2.1</v>
          </cell>
          <cell r="H244" t="str">
            <v>Testing Controles</v>
          </cell>
          <cell r="I244" t="str">
            <v>6.2.1.010</v>
          </cell>
          <cell r="J244" t="str">
            <v>Testeo Control: C484
Proceso: Cuadre de Caja</v>
          </cell>
          <cell r="K244" t="str">
            <v>Presencial</v>
          </cell>
          <cell r="L244" t="str">
            <v>SARO</v>
          </cell>
          <cell r="M244" t="str">
            <v>SARO</v>
          </cell>
          <cell r="N244" t="str">
            <v>SARO</v>
          </cell>
        </row>
        <row r="245">
          <cell r="B245" t="str">
            <v>6.2.1.011</v>
          </cell>
          <cell r="C245">
            <v>6</v>
          </cell>
          <cell r="D245" t="str">
            <v>Continuidad de Negocio</v>
          </cell>
          <cell r="E245" t="str">
            <v>6.2</v>
          </cell>
          <cell r="F245" t="str">
            <v>Riesgo Operacional</v>
          </cell>
          <cell r="G245" t="str">
            <v>6.2.1</v>
          </cell>
          <cell r="H245" t="str">
            <v>Testing Controles</v>
          </cell>
          <cell r="I245" t="str">
            <v>6.2.1.011</v>
          </cell>
          <cell r="J245" t="str">
            <v>Testeo Control: CN1643
Proceso: Retiros de Cuentas de Ahorros en Oficinas</v>
          </cell>
          <cell r="K245" t="str">
            <v>Presencial</v>
          </cell>
          <cell r="L245" t="str">
            <v>SARO</v>
          </cell>
          <cell r="M245" t="str">
            <v>SARO</v>
          </cell>
          <cell r="N245" t="str">
            <v>SARO</v>
          </cell>
        </row>
      </sheetData>
      <sheetData sheetId="4"/>
      <sheetData sheetId="5"/>
      <sheetData sheetId="6"/>
      <sheetData sheetId="7"/>
      <sheetData sheetId="8"/>
      <sheetData sheetId="9"/>
      <sheetData sheetId="10"/>
      <sheetData sheetId="11"/>
      <sheetData sheetId="12">
        <row r="8">
          <cell r="B8" t="str">
            <v>1.1</v>
          </cell>
          <cell r="C8" t="str">
            <v>Controles de Seguridad</v>
          </cell>
          <cell r="D8">
            <v>18</v>
          </cell>
          <cell r="E8">
            <v>7</v>
          </cell>
          <cell r="F8">
            <v>0</v>
          </cell>
          <cell r="G8">
            <v>0</v>
          </cell>
          <cell r="H8">
            <v>0</v>
          </cell>
        </row>
        <row r="9">
          <cell r="B9" t="str">
            <v>1.1.1</v>
          </cell>
          <cell r="C9" t="str">
            <v>Revisión de imagen corporativa</v>
          </cell>
          <cell r="D9">
            <v>3</v>
          </cell>
          <cell r="E9">
            <v>0</v>
          </cell>
          <cell r="F9">
            <v>0</v>
          </cell>
          <cell r="G9">
            <v>0</v>
          </cell>
          <cell r="H9">
            <v>0</v>
          </cell>
        </row>
        <row r="10">
          <cell r="B10" t="str">
            <v>1.1.1.001</v>
          </cell>
          <cell r="C10" t="str">
            <v>Los colaboradores portan el uniforme según lo establecido en el manual de imagen.</v>
          </cell>
          <cell r="D10" t="str">
            <v>x</v>
          </cell>
        </row>
        <row r="11">
          <cell r="B11" t="str">
            <v>1.1.1.002</v>
          </cell>
          <cell r="C11" t="str">
            <v>Los colaboradores tiene y usan el carné en un lugar visible durante la jornada laboral.</v>
          </cell>
          <cell r="D11" t="str">
            <v>x</v>
          </cell>
        </row>
        <row r="12">
          <cell r="B12" t="str">
            <v>1.1.1.003</v>
          </cell>
          <cell r="C12" t="str">
            <v>Los colaboradores parquean vehículos (motos) dentro de la oficina.</v>
          </cell>
          <cell r="D12" t="str">
            <v>x</v>
          </cell>
        </row>
        <row r="13">
          <cell r="B13" t="str">
            <v>1.1.2</v>
          </cell>
          <cell r="C13" t="str">
            <v>Revisión de Inventario</v>
          </cell>
          <cell r="D13">
            <v>1</v>
          </cell>
          <cell r="E13">
            <v>0</v>
          </cell>
          <cell r="F13">
            <v>0</v>
          </cell>
          <cell r="G13">
            <v>0</v>
          </cell>
          <cell r="H13">
            <v>0</v>
          </cell>
        </row>
        <row r="14">
          <cell r="B14" t="str">
            <v>1.1.2.001</v>
          </cell>
          <cell r="C14" t="str">
            <v>Se realiza inventario a los activos de la oficina (solicitar último inventario).</v>
          </cell>
          <cell r="D14" t="str">
            <v>X</v>
          </cell>
        </row>
        <row r="15">
          <cell r="B15" t="str">
            <v>1.1.3</v>
          </cell>
          <cell r="C15" t="str">
            <v>Revisión en bóveda</v>
          </cell>
          <cell r="D15">
            <v>2</v>
          </cell>
          <cell r="E15">
            <v>3</v>
          </cell>
          <cell r="F15">
            <v>0</v>
          </cell>
          <cell r="G15">
            <v>0</v>
          </cell>
          <cell r="H15">
            <v>0</v>
          </cell>
        </row>
        <row r="16">
          <cell r="B16" t="str">
            <v>1.1.3.001</v>
          </cell>
          <cell r="C16" t="str">
            <v>La puerta principal de la oficina permanece cerrada cuando la bóveda está abierta.</v>
          </cell>
          <cell r="D16" t="str">
            <v>X</v>
          </cell>
        </row>
        <row r="17">
          <cell r="B17" t="str">
            <v>1.1.3.002</v>
          </cell>
          <cell r="C17" t="str">
            <v>Existe libro de bóveda y  este evidencia  del registro de las operaciones diarias.</v>
          </cell>
          <cell r="E17" t="str">
            <v>x</v>
          </cell>
        </row>
        <row r="18">
          <cell r="B18" t="str">
            <v>1.1.3.003</v>
          </cell>
          <cell r="C18" t="str">
            <v>Mensualmente se realiza el arqueo de fin de mes a bóveda según lo estipulado en el manual de manejo de efectivo. OP-MME. y se encuentran actas de arqueo.</v>
          </cell>
          <cell r="E18" t="str">
            <v>x</v>
          </cell>
        </row>
        <row r="19">
          <cell r="B19" t="str">
            <v>1.1.3.004</v>
          </cell>
          <cell r="C19" t="str">
            <v>La bóveda permanece cerrada, diales borrados y asegurada cuando no esta en uso.</v>
          </cell>
          <cell r="E19" t="str">
            <v>x</v>
          </cell>
        </row>
        <row r="20">
          <cell r="B20" t="str">
            <v>1.1.3.005</v>
          </cell>
          <cell r="C20" t="str">
            <v>Se realiza el control dual para la apertura de bóveda.</v>
          </cell>
          <cell r="D20" t="str">
            <v>X</v>
          </cell>
        </row>
        <row r="21">
          <cell r="B21" t="str">
            <v>1.1.4</v>
          </cell>
          <cell r="C21" t="str">
            <v>Revisión en caja</v>
          </cell>
          <cell r="D21">
            <v>9</v>
          </cell>
          <cell r="E21">
            <v>4</v>
          </cell>
          <cell r="F21">
            <v>0</v>
          </cell>
          <cell r="G21">
            <v>0</v>
          </cell>
          <cell r="H21">
            <v>0</v>
          </cell>
        </row>
        <row r="22">
          <cell r="B22" t="str">
            <v>1.1.4.001</v>
          </cell>
          <cell r="C22" t="str">
            <v>Verificar que durante la apertura, atención y cierre al público, el efectivo se encuentra debidamente custodiado: comprobar que la bóveda o caja fuerte se encuentre cerrada con llave, clave y con el retardo activado y que no exista efectivo fuera de los medios de custodia (puestos de caja, dispensadores habilitados, etc.).</v>
          </cell>
          <cell r="D22" t="str">
            <v>X</v>
          </cell>
        </row>
        <row r="23">
          <cell r="B23" t="str">
            <v>1.1.4.002</v>
          </cell>
          <cell r="C23" t="str">
            <v>Se realizan arqueos en caja diariamente.</v>
          </cell>
          <cell r="D23" t="str">
            <v>X</v>
          </cell>
        </row>
        <row r="24">
          <cell r="B24" t="str">
            <v>1.1.4.003</v>
          </cell>
          <cell r="C24" t="str">
            <v>Se conservan actas de arqueo de caja general.</v>
          </cell>
          <cell r="D24" t="str">
            <v>X</v>
          </cell>
        </row>
        <row r="25">
          <cell r="B25" t="str">
            <v>1.1.4.004</v>
          </cell>
          <cell r="C25" t="str">
            <v>Se conservan actas de la verificación del control en la custodia del efectivo.</v>
          </cell>
          <cell r="D25" t="str">
            <v>X</v>
          </cell>
        </row>
        <row r="26">
          <cell r="B26" t="str">
            <v>1.1.4.005</v>
          </cell>
          <cell r="C26" t="str">
            <v>El biométrico y los datáfonos se encuentran ubicados adecuadamente.</v>
          </cell>
          <cell r="D26" t="str">
            <v>X</v>
          </cell>
        </row>
        <row r="27">
          <cell r="B27" t="str">
            <v>1.1.4.006</v>
          </cell>
          <cell r="C27" t="str">
            <v>La puerta de acceso al área de caja permanece cerrada.</v>
          </cell>
          <cell r="D27" t="str">
            <v>X</v>
          </cell>
        </row>
        <row r="28">
          <cell r="B28" t="str">
            <v>1.1.4.007</v>
          </cell>
          <cell r="C28" t="str">
            <v>El cofre o trampero permanece cerrado y asegurado cuando no se usa.</v>
          </cell>
          <cell r="D28" t="str">
            <v>X</v>
          </cell>
        </row>
        <row r="29">
          <cell r="B29" t="str">
            <v>1.1.4.008</v>
          </cell>
          <cell r="C29" t="str">
            <v xml:space="preserve">El tope de efectivo en caja  se encuentra de acuerdo a lo establecido en manual de manejo de efectivo. </v>
          </cell>
          <cell r="D29" t="str">
            <v>X</v>
          </cell>
        </row>
        <row r="30">
          <cell r="B30" t="str">
            <v>1.1.4.009</v>
          </cell>
          <cell r="C30" t="str">
            <v>Se realiza control dual por parte del gestor II en la transacciones que se requiere en caja.</v>
          </cell>
          <cell r="E30" t="str">
            <v>x</v>
          </cell>
        </row>
        <row r="31">
          <cell r="B31" t="str">
            <v>1.1.4.010</v>
          </cell>
          <cell r="C31" t="str">
            <v>El cajero conoce sobre  validación del documento de identidad, visacion de huella y firma en las transacciones.</v>
          </cell>
          <cell r="E31" t="str">
            <v>x</v>
          </cell>
        </row>
        <row r="32">
          <cell r="B32" t="str">
            <v>1.1.4.011</v>
          </cell>
          <cell r="C32" t="str">
            <v>Se lleva por parte del cajero planilla de ofrecimiento de acompañamiento por parte de la policía.</v>
          </cell>
          <cell r="E32" t="str">
            <v>x</v>
          </cell>
        </row>
        <row r="33">
          <cell r="B33" t="str">
            <v>1.1.4.012</v>
          </cell>
          <cell r="C33" t="str">
            <v>El cajero no utiliza celuar en el área de caja</v>
          </cell>
          <cell r="E33" t="str">
            <v>x</v>
          </cell>
        </row>
        <row r="34">
          <cell r="B34" t="str">
            <v>1.1.4.013</v>
          </cell>
          <cell r="C34" t="str">
            <v>El cajero no ingresa maletines, bolsos, o elementos similares al área de caja.</v>
          </cell>
          <cell r="D34" t="str">
            <v>X</v>
          </cell>
        </row>
        <row r="35">
          <cell r="B35" t="str">
            <v>1.1.5</v>
          </cell>
          <cell r="C35" t="str">
            <v>Revisión en caja menor</v>
          </cell>
          <cell r="D35">
            <v>2</v>
          </cell>
          <cell r="E35">
            <v>0</v>
          </cell>
          <cell r="F35">
            <v>0</v>
          </cell>
          <cell r="G35">
            <v>0</v>
          </cell>
          <cell r="H35">
            <v>0</v>
          </cell>
        </row>
        <row r="36">
          <cell r="B36" t="str">
            <v>1.1.5.001</v>
          </cell>
          <cell r="C36" t="str">
            <v>Se realiza arqueo de caja menor (caja menor administrativa).</v>
          </cell>
          <cell r="D36" t="str">
            <v>X</v>
          </cell>
        </row>
        <row r="37">
          <cell r="B37" t="str">
            <v>1.1.5.002</v>
          </cell>
          <cell r="C37" t="str">
            <v>Se conservan los formato de arqueo de caja menor realizados (verificar formatos).</v>
          </cell>
          <cell r="D37" t="str">
            <v>X</v>
          </cell>
        </row>
        <row r="38">
          <cell r="B38" t="str">
            <v>1.1.6</v>
          </cell>
          <cell r="C38" t="str">
            <v>Verificación transaccional</v>
          </cell>
          <cell r="D38">
            <v>1</v>
          </cell>
          <cell r="E38">
            <v>0</v>
          </cell>
          <cell r="F38">
            <v>0</v>
          </cell>
          <cell r="G38">
            <v>0</v>
          </cell>
          <cell r="H38">
            <v>0</v>
          </cell>
        </row>
        <row r="39">
          <cell r="B39" t="str">
            <v>1.1.6.001</v>
          </cell>
          <cell r="C39" t="str">
            <v>El gestor I y II o  coordinador conocen sobre validación de cédula, visan huella y firma al momento del trámite del  desembolso.</v>
          </cell>
          <cell r="D39" t="str">
            <v>X</v>
          </cell>
        </row>
        <row r="40">
          <cell r="B40" t="str">
            <v>1.2</v>
          </cell>
          <cell r="C40" t="str">
            <v>Controles Gestión Documental</v>
          </cell>
          <cell r="D40">
            <v>3</v>
          </cell>
          <cell r="E40">
            <v>3</v>
          </cell>
          <cell r="F40">
            <v>0</v>
          </cell>
          <cell r="G40">
            <v>0</v>
          </cell>
          <cell r="H40">
            <v>0</v>
          </cell>
        </row>
        <row r="41">
          <cell r="B41" t="str">
            <v>1.2.1</v>
          </cell>
          <cell r="C41" t="str">
            <v>Verificación custodia de títulos valores</v>
          </cell>
          <cell r="D41">
            <v>3</v>
          </cell>
          <cell r="E41">
            <v>3</v>
          </cell>
          <cell r="F41">
            <v>0</v>
          </cell>
          <cell r="G41">
            <v>0</v>
          </cell>
          <cell r="H41">
            <v>0</v>
          </cell>
        </row>
        <row r="42">
          <cell r="B42" t="str">
            <v>1.2.1.001</v>
          </cell>
          <cell r="C42" t="str">
            <v>Se conservan en el archivador de tarjetas de firmas y se encuentra debidamente cerrado y asegurado, el gestor II o coordinador custodia las llaves.</v>
          </cell>
          <cell r="D42" t="str">
            <v>X</v>
          </cell>
        </row>
        <row r="43">
          <cell r="B43" t="str">
            <v>1.2.1.002</v>
          </cell>
          <cell r="C43" t="str">
            <v>Verificar para  el último mes, la realización del arqueo de pagarés, en el formato fb-rc02-003-v01-2014 acta de verificación y existencia de pagarés vigentes y castigados.</v>
          </cell>
          <cell r="E43" t="str">
            <v>x</v>
          </cell>
        </row>
        <row r="44">
          <cell r="B44" t="str">
            <v>1.2.1.003</v>
          </cell>
          <cell r="C44" t="str">
            <v>Verificar que los talonarios de cheques/pagarés, tarjetas débito, formularios de cheques bancarios, se custodian con las debidas medidas de Seguridad de la Información y en los expedientes de los clientes.</v>
          </cell>
          <cell r="E44" t="str">
            <v>x</v>
          </cell>
        </row>
        <row r="45">
          <cell r="B45" t="str">
            <v>1.2.1.004</v>
          </cell>
          <cell r="C45" t="str">
            <v>Verificar que los recibos provisionales son adecuadamente custodiados y se realiza un control de los recibos.</v>
          </cell>
          <cell r="E45" t="str">
            <v>x</v>
          </cell>
        </row>
        <row r="46">
          <cell r="B46" t="str">
            <v>1.2.1.005</v>
          </cell>
          <cell r="C46" t="str">
            <v>Se conservan actas de arqueo de cheques de cuentas de otros bancos firmadas por el gerente de oficina.</v>
          </cell>
          <cell r="D46" t="str">
            <v>X</v>
          </cell>
        </row>
        <row r="47">
          <cell r="B47" t="str">
            <v>1.2.1.006</v>
          </cell>
          <cell r="C47" t="str">
            <v>Se conservan actas de arqueo de títulos valores (cdt) firmadas por el gerente de oficina.</v>
          </cell>
          <cell r="D47" t="str">
            <v>X</v>
          </cell>
        </row>
        <row r="48">
          <cell r="B48" t="str">
            <v>1.3</v>
          </cell>
          <cell r="C48" t="str">
            <v>Seguimiento Operacional</v>
          </cell>
          <cell r="D48">
            <v>1</v>
          </cell>
          <cell r="E48">
            <v>3</v>
          </cell>
          <cell r="F48">
            <v>0</v>
          </cell>
          <cell r="G48">
            <v>0</v>
          </cell>
          <cell r="H48">
            <v>0</v>
          </cell>
        </row>
        <row r="49">
          <cell r="B49" t="str">
            <v>1.3.1</v>
          </cell>
          <cell r="C49" t="str">
            <v>Seguimiento Operacional</v>
          </cell>
          <cell r="D49">
            <v>1</v>
          </cell>
          <cell r="E49">
            <v>3</v>
          </cell>
          <cell r="F49">
            <v>0</v>
          </cell>
          <cell r="G49">
            <v>0</v>
          </cell>
          <cell r="H49">
            <v>0</v>
          </cell>
        </row>
        <row r="50">
          <cell r="B50" t="str">
            <v>1.3.1.001</v>
          </cell>
          <cell r="C50" t="str">
            <v>Diligencia diariamente el tablero con los compromisos y resultados.</v>
          </cell>
          <cell r="E50" t="str">
            <v>x</v>
          </cell>
        </row>
        <row r="51">
          <cell r="B51" t="str">
            <v>1.3.1.002</v>
          </cell>
          <cell r="C51" t="str">
            <v>Verifica que todos los colaboradores ingresen puntualmente a la oficina en el horario establecido.</v>
          </cell>
          <cell r="E51" t="str">
            <v>x</v>
          </cell>
        </row>
        <row r="52">
          <cell r="B52" t="str">
            <v>1.3.1.003</v>
          </cell>
          <cell r="C52" t="str">
            <v xml:space="preserve">Supervisa que el  tablero de gestión esta diligenciado con los compromisos y resultados del día. </v>
          </cell>
          <cell r="D52" t="str">
            <v>x</v>
          </cell>
        </row>
        <row r="53">
          <cell r="B53" t="str">
            <v>1.3.1.004</v>
          </cell>
          <cell r="C53" t="str">
            <v>Los EDP están utilizando las tabletas portátiles en su gestión en campo.</v>
          </cell>
          <cell r="E53" t="str">
            <v>x</v>
          </cell>
        </row>
        <row r="54">
          <cell r="C54" t="str">
            <v>Cantidad de Observaciones</v>
          </cell>
          <cell r="D54">
            <v>22</v>
          </cell>
          <cell r="E54">
            <v>13</v>
          </cell>
          <cell r="F54">
            <v>0</v>
          </cell>
          <cell r="G54">
            <v>0</v>
          </cell>
          <cell r="H54">
            <v>0</v>
          </cell>
        </row>
      </sheetData>
      <sheetData sheetId="13">
        <row r="10">
          <cell r="B10" t="str">
            <v>2.1.1.001</v>
          </cell>
          <cell r="C10" t="str">
            <v>Estado de la fachada de la oficina.</v>
          </cell>
          <cell r="D10" t="str">
            <v>X</v>
          </cell>
        </row>
        <row r="11">
          <cell r="B11" t="str">
            <v>2.1.1.002</v>
          </cell>
          <cell r="C11" t="str">
            <v>Estado aviso de la oficina.</v>
          </cell>
          <cell r="D11" t="str">
            <v>X</v>
          </cell>
        </row>
        <row r="12">
          <cell r="B12" t="str">
            <v>2.1.1.003</v>
          </cell>
          <cell r="C12" t="str">
            <v>Estado del pasa documentos.</v>
          </cell>
          <cell r="D12" t="str">
            <v>X</v>
          </cell>
        </row>
        <row r="13">
          <cell r="B13" t="str">
            <v>2.1.1.005</v>
          </cell>
          <cell r="C13" t="str">
            <v>El hall bancario esta ordenado.</v>
          </cell>
          <cell r="D13" t="str">
            <v>X</v>
          </cell>
        </row>
        <row r="14">
          <cell r="B14" t="str">
            <v>2.1.1.006</v>
          </cell>
          <cell r="C14" t="str">
            <v>La cocina esta ordenada y aseada.</v>
          </cell>
          <cell r="D14" t="str">
            <v>X</v>
          </cell>
        </row>
        <row r="15">
          <cell r="B15" t="str">
            <v>2.1.1.007</v>
          </cell>
          <cell r="C15" t="str">
            <v>Los baños están ordenados y aseados.</v>
          </cell>
          <cell r="D15" t="str">
            <v>X</v>
          </cell>
        </row>
        <row r="16">
          <cell r="B16" t="str">
            <v>2.1.1.008</v>
          </cell>
          <cell r="C16" t="str">
            <v>Los puestos de trabajo están ordenados.</v>
          </cell>
          <cell r="D16" t="str">
            <v>X</v>
          </cell>
        </row>
        <row r="17">
          <cell r="B17" t="str">
            <v>2.1.2</v>
          </cell>
          <cell r="C17" t="str">
            <v>Revisión de muebles y enceres</v>
          </cell>
          <cell r="D17">
            <v>22</v>
          </cell>
          <cell r="E17">
            <v>0</v>
          </cell>
          <cell r="F17">
            <v>0</v>
          </cell>
          <cell r="G17">
            <v>0</v>
          </cell>
          <cell r="H17">
            <v>0</v>
          </cell>
        </row>
        <row r="18">
          <cell r="B18" t="str">
            <v>2.1.2.001</v>
          </cell>
          <cell r="C18" t="str">
            <v>Cuenta con archivador 4 gavetas o rodante.</v>
          </cell>
          <cell r="D18" t="str">
            <v>X</v>
          </cell>
        </row>
        <row r="19">
          <cell r="B19" t="str">
            <v>2.1.2.002</v>
          </cell>
          <cell r="C19" t="str">
            <v>Cuenta con cajoneras en buen estado.</v>
          </cell>
          <cell r="D19" t="str">
            <v>X</v>
          </cell>
        </row>
        <row r="20">
          <cell r="B20" t="str">
            <v>2.1.2.003</v>
          </cell>
          <cell r="C20" t="str">
            <v>Cuenta con escalera para personal bajo.</v>
          </cell>
          <cell r="D20" t="str">
            <v>X</v>
          </cell>
        </row>
        <row r="21">
          <cell r="B21" t="str">
            <v>2.1.2.004</v>
          </cell>
          <cell r="C21" t="str">
            <v>Cuenta con cartelera interna,  cartelera  cliente buzón,  cartelera  de ejecutivos, portapendón.</v>
          </cell>
          <cell r="D21" t="str">
            <v>X</v>
          </cell>
        </row>
        <row r="22">
          <cell r="B22" t="str">
            <v>2.1.2.005</v>
          </cell>
          <cell r="C22" t="str">
            <v>Cuenta con mesa de trabajo.</v>
          </cell>
          <cell r="D22" t="str">
            <v>X</v>
          </cell>
        </row>
        <row r="23">
          <cell r="B23" t="str">
            <v>2.1.2.006</v>
          </cell>
          <cell r="C23" t="str">
            <v>Cuenta con perchero en la sala de ejecutivos.</v>
          </cell>
          <cell r="D23" t="str">
            <v>X</v>
          </cell>
        </row>
        <row r="24">
          <cell r="B24" t="str">
            <v>2.1.2.007</v>
          </cell>
          <cell r="C24" t="str">
            <v>Cuenta con separador de fila el hall bancario.</v>
          </cell>
          <cell r="D24" t="str">
            <v>X</v>
          </cell>
        </row>
        <row r="25">
          <cell r="B25" t="str">
            <v>2.1.2.008</v>
          </cell>
          <cell r="C25" t="str">
            <v>Cuenta con silla secretarial con brazos.</v>
          </cell>
          <cell r="D25" t="str">
            <v>X</v>
          </cell>
        </row>
        <row r="26">
          <cell r="B26" t="str">
            <v>2.1.2.009</v>
          </cell>
          <cell r="C26" t="str">
            <v>Cuenta con silla secretarial sin brazos.</v>
          </cell>
          <cell r="D26" t="str">
            <v>X</v>
          </cell>
        </row>
        <row r="27">
          <cell r="B27" t="str">
            <v>2.1.2.010</v>
          </cell>
          <cell r="C27" t="str">
            <v>cuenta con silla tipo cajero.</v>
          </cell>
          <cell r="D27" t="str">
            <v>X</v>
          </cell>
        </row>
        <row r="28">
          <cell r="B28" t="str">
            <v>2.1.2.011</v>
          </cell>
          <cell r="C28" t="str">
            <v>Cuenta con silla isósceles.</v>
          </cell>
          <cell r="D28" t="str">
            <v>X</v>
          </cell>
        </row>
        <row r="29">
          <cell r="B29" t="str">
            <v>2.1.2.012</v>
          </cell>
          <cell r="C29" t="str">
            <v>Cuenta con Silla Tamdem.</v>
          </cell>
          <cell r="D29" t="str">
            <v>X</v>
          </cell>
        </row>
        <row r="30">
          <cell r="B30" t="str">
            <v>2.1.2.013</v>
          </cell>
          <cell r="C30" t="str">
            <v>Cuenta con acometida planta eléctrica y su función es óptima.</v>
          </cell>
          <cell r="D30" t="str">
            <v>X</v>
          </cell>
        </row>
        <row r="31">
          <cell r="B31" t="str">
            <v>2.1.2.014</v>
          </cell>
          <cell r="C31" t="str">
            <v>Cuenta con aire acondicionado y su función es óptima.</v>
          </cell>
          <cell r="D31" t="str">
            <v>X</v>
          </cell>
        </row>
        <row r="32">
          <cell r="B32" t="str">
            <v>2.1.2.015</v>
          </cell>
          <cell r="C32" t="str">
            <v>Cuenta con condensadores aires acondicionados y su función es óptima.</v>
          </cell>
          <cell r="D32" t="str">
            <v>X</v>
          </cell>
        </row>
        <row r="33">
          <cell r="B33" t="str">
            <v>2.1.2.016</v>
          </cell>
          <cell r="C33" t="str">
            <v>Cuenta con televisor y su función es óptima.</v>
          </cell>
          <cell r="D33" t="str">
            <v>X</v>
          </cell>
        </row>
        <row r="34">
          <cell r="B34" t="str">
            <v>2.1.2.017</v>
          </cell>
          <cell r="C34" t="str">
            <v>Cuenta con DVD y su función es óptima.</v>
          </cell>
          <cell r="D34" t="str">
            <v>X</v>
          </cell>
        </row>
        <row r="35">
          <cell r="B35" t="str">
            <v>2.1.2.018</v>
          </cell>
          <cell r="C35" t="str">
            <v>Cuenta con horno microondas y su función es óptima.</v>
          </cell>
          <cell r="D35" t="str">
            <v>X</v>
          </cell>
        </row>
        <row r="36">
          <cell r="B36" t="str">
            <v>2.1.2.019</v>
          </cell>
          <cell r="C36" t="str">
            <v>Cuenta con nevera y su función es óptima.</v>
          </cell>
          <cell r="D36" t="str">
            <v>X</v>
          </cell>
        </row>
        <row r="37">
          <cell r="B37" t="str">
            <v>2.1.2.020</v>
          </cell>
          <cell r="C37" t="str">
            <v>Cuenta con dispensador de agua y su función es óptima.</v>
          </cell>
          <cell r="D37" t="str">
            <v>X</v>
          </cell>
        </row>
        <row r="38">
          <cell r="B38" t="str">
            <v>2.1.2.021</v>
          </cell>
          <cell r="C38" t="str">
            <v>Cuenta con filtro de agua y su función es óptima.</v>
          </cell>
          <cell r="D38" t="str">
            <v>X</v>
          </cell>
        </row>
        <row r="39">
          <cell r="B39" t="str">
            <v>2.1.2.022</v>
          </cell>
          <cell r="C39" t="str">
            <v>Cuenta con greca y su función es óptima.</v>
          </cell>
          <cell r="D39" t="str">
            <v>X</v>
          </cell>
        </row>
        <row r="40">
          <cell r="B40" t="str">
            <v>2.1.3</v>
          </cell>
          <cell r="C40" t="str">
            <v>Revisión de suministros</v>
          </cell>
          <cell r="D40">
            <v>5</v>
          </cell>
          <cell r="E40">
            <v>0</v>
          </cell>
          <cell r="F40">
            <v>0</v>
          </cell>
          <cell r="G40">
            <v>0</v>
          </cell>
          <cell r="H40">
            <v>0</v>
          </cell>
        </row>
        <row r="41">
          <cell r="B41" t="str">
            <v>2.1.3.001</v>
          </cell>
          <cell r="C41" t="str">
            <v>Implementos y suministros de aseo.</v>
          </cell>
          <cell r="D41" t="str">
            <v>X</v>
          </cell>
        </row>
        <row r="42">
          <cell r="B42" t="str">
            <v>2.1.3.002</v>
          </cell>
          <cell r="C42" t="str">
            <v>Suministros de cafetería.</v>
          </cell>
          <cell r="D42" t="str">
            <v>X</v>
          </cell>
        </row>
        <row r="43">
          <cell r="B43" t="str">
            <v>2.1.3.003</v>
          </cell>
          <cell r="C43" t="str">
            <v>Suministros material POP.</v>
          </cell>
          <cell r="D43" t="str">
            <v>X</v>
          </cell>
        </row>
        <row r="44">
          <cell r="B44" t="str">
            <v>2.1.3.004</v>
          </cell>
          <cell r="C44" t="str">
            <v>Suministros de papelería.</v>
          </cell>
          <cell r="D44" t="str">
            <v>X</v>
          </cell>
        </row>
        <row r="45">
          <cell r="B45" t="str">
            <v>2.1.3.005</v>
          </cell>
          <cell r="C45" t="str">
            <v>Suministros de utilería.</v>
          </cell>
          <cell r="D45" t="str">
            <v>X</v>
          </cell>
        </row>
        <row r="46">
          <cell r="B46" t="str">
            <v>2.1.4</v>
          </cell>
          <cell r="C46" t="str">
            <v>Revisión mantenimiento de oficina</v>
          </cell>
          <cell r="D46">
            <v>10</v>
          </cell>
          <cell r="E46">
            <v>0</v>
          </cell>
          <cell r="F46">
            <v>0</v>
          </cell>
          <cell r="G46">
            <v>0</v>
          </cell>
          <cell r="H46">
            <v>0</v>
          </cell>
        </row>
        <row r="47">
          <cell r="B47" t="str">
            <v>2.1.4.001</v>
          </cell>
          <cell r="C47" t="str">
            <v>Se han realizado ajustes a los puestos de trabajo.</v>
          </cell>
          <cell r="D47" t="str">
            <v>X</v>
          </cell>
        </row>
        <row r="48">
          <cell r="B48" t="str">
            <v>2.1.4.002</v>
          </cell>
          <cell r="C48" t="str">
            <v>Se ha realizado cambio de lámparas.</v>
          </cell>
          <cell r="D48" t="str">
            <v>X</v>
          </cell>
        </row>
        <row r="49">
          <cell r="B49" t="str">
            <v>2.1.4.003</v>
          </cell>
          <cell r="C49" t="str">
            <v>Se ha realizado impermeabilización.</v>
          </cell>
          <cell r="D49" t="str">
            <v>X</v>
          </cell>
        </row>
        <row r="50">
          <cell r="B50" t="str">
            <v>2.1.4.004</v>
          </cell>
          <cell r="C50" t="str">
            <v>Se ha realizado mantenimiento de baños.</v>
          </cell>
          <cell r="D50" t="str">
            <v>X</v>
          </cell>
        </row>
        <row r="51">
          <cell r="B51" t="str">
            <v>2.1.4.005</v>
          </cell>
          <cell r="C51" t="str">
            <v>Se ha realizado mantenimiento de cielo raso.</v>
          </cell>
          <cell r="D51" t="str">
            <v>X</v>
          </cell>
        </row>
        <row r="52">
          <cell r="B52" t="str">
            <v>2.1.4.006</v>
          </cell>
          <cell r="C52" t="str">
            <v>Se ha realizado mantenimiento de cocina.</v>
          </cell>
          <cell r="D52" t="str">
            <v>X</v>
          </cell>
        </row>
        <row r="53">
          <cell r="B53" t="str">
            <v>2.1.4.007</v>
          </cell>
          <cell r="C53" t="str">
            <v>Se ha realizado mantenimiento de pisos.</v>
          </cell>
          <cell r="D53" t="str">
            <v>X</v>
          </cell>
        </row>
        <row r="54">
          <cell r="B54" t="str">
            <v>2.1.4.008</v>
          </cell>
          <cell r="C54" t="str">
            <v>Se ha realizado mantenimiento de techos.</v>
          </cell>
          <cell r="D54" t="str">
            <v>X</v>
          </cell>
        </row>
        <row r="55">
          <cell r="B55" t="str">
            <v>2.1.4.009</v>
          </cell>
          <cell r="C55" t="str">
            <v>Se ha realizado mantenimiento de pintura.</v>
          </cell>
          <cell r="D55" t="str">
            <v>X</v>
          </cell>
        </row>
        <row r="56">
          <cell r="B56" t="str">
            <v>2.1.4.010</v>
          </cell>
          <cell r="C56" t="str">
            <v>Se ha realizado remodelación de puesto de trabajo.</v>
          </cell>
          <cell r="D56" t="str">
            <v>X</v>
          </cell>
        </row>
        <row r="57">
          <cell r="B57" t="str">
            <v>2.2</v>
          </cell>
          <cell r="C57" t="str">
            <v>Humana</v>
          </cell>
          <cell r="D57">
            <v>13</v>
          </cell>
          <cell r="E57">
            <v>0</v>
          </cell>
          <cell r="F57">
            <v>0</v>
          </cell>
          <cell r="G57">
            <v>0</v>
          </cell>
          <cell r="H57">
            <v>0</v>
          </cell>
        </row>
        <row r="58">
          <cell r="B58" t="str">
            <v>2.2.1</v>
          </cell>
          <cell r="C58" t="str">
            <v>Revisión de ausencia y vacaciones del Personal</v>
          </cell>
          <cell r="D58">
            <v>4</v>
          </cell>
          <cell r="E58">
            <v>0</v>
          </cell>
          <cell r="F58">
            <v>0</v>
          </cell>
          <cell r="G58">
            <v>0</v>
          </cell>
          <cell r="H58">
            <v>0</v>
          </cell>
        </row>
        <row r="59">
          <cell r="B59" t="str">
            <v>2.2.1.001</v>
          </cell>
          <cell r="C59" t="str">
            <v>El personal se encuentra al día con sus periodos de vacaciones.</v>
          </cell>
          <cell r="D59" t="str">
            <v>X</v>
          </cell>
        </row>
        <row r="60">
          <cell r="B60" t="str">
            <v>2.2.1.002</v>
          </cell>
          <cell r="C60" t="str">
            <v>Se lleva un cronograma de vacaciones para el personal de la oficina.</v>
          </cell>
          <cell r="D60" t="str">
            <v>X</v>
          </cell>
        </row>
        <row r="61">
          <cell r="B61" t="str">
            <v>2.2.1.003</v>
          </cell>
          <cell r="C61" t="str">
            <v>Número de colaboradores con periodos de vacaciones vencidos.</v>
          </cell>
          <cell r="D61" t="str">
            <v>X</v>
          </cell>
        </row>
        <row r="62">
          <cell r="B62" t="str">
            <v>2.2.1.004</v>
          </cell>
          <cell r="C62" t="str">
            <v>Existe algún registro de permisos para el personal de la oficina.</v>
          </cell>
          <cell r="D62" t="str">
            <v>X</v>
          </cell>
        </row>
        <row r="63">
          <cell r="B63" t="str">
            <v>2.2.2</v>
          </cell>
          <cell r="C63" t="str">
            <v>Revisión de Funciones y Responsabilidad</v>
          </cell>
          <cell r="D63">
            <v>5</v>
          </cell>
          <cell r="E63">
            <v>0</v>
          </cell>
          <cell r="F63">
            <v>0</v>
          </cell>
          <cell r="G63">
            <v>0</v>
          </cell>
          <cell r="H63">
            <v>0</v>
          </cell>
        </row>
        <row r="64">
          <cell r="B64" t="str">
            <v>2.2.2.001</v>
          </cell>
          <cell r="C64" t="str">
            <v>El practicante ejerce actividades de responsabilidad mayor</v>
          </cell>
          <cell r="D64" t="str">
            <v>X</v>
          </cell>
        </row>
        <row r="65">
          <cell r="B65" t="str">
            <v>2.2.2.002</v>
          </cell>
          <cell r="C65" t="str">
            <v>Las funciones realizadas por el personal son acordes a su rol</v>
          </cell>
          <cell r="D65" t="str">
            <v>X</v>
          </cell>
        </row>
        <row r="66">
          <cell r="B66" t="str">
            <v>2.2.2.003</v>
          </cell>
          <cell r="C66" t="str">
            <v>La oficina presenta carteras solas o abandonada</v>
          </cell>
          <cell r="D66" t="str">
            <v>X</v>
          </cell>
        </row>
        <row r="67">
          <cell r="B67" t="str">
            <v>2.2.2.004</v>
          </cell>
          <cell r="C67" t="str">
            <v>El expediente de colaboradorees se encuentra vigente y actualizado</v>
          </cell>
          <cell r="D67" t="str">
            <v>X</v>
          </cell>
        </row>
        <row r="68">
          <cell r="B68" t="str">
            <v>2.2.2.005</v>
          </cell>
          <cell r="C68" t="str">
            <v>Número de colaboradores con procesos disciplinarios activos.</v>
          </cell>
          <cell r="D68" t="str">
            <v>X</v>
          </cell>
        </row>
        <row r="69">
          <cell r="B69" t="str">
            <v>2.2.3</v>
          </cell>
          <cell r="C69" t="str">
            <v>Revisión de la Planta de Personal</v>
          </cell>
          <cell r="D69">
            <v>4</v>
          </cell>
          <cell r="E69">
            <v>0</v>
          </cell>
          <cell r="F69">
            <v>0</v>
          </cell>
          <cell r="G69">
            <v>0</v>
          </cell>
          <cell r="H69">
            <v>0</v>
          </cell>
        </row>
        <row r="70">
          <cell r="B70" t="str">
            <v>2.2.3.001</v>
          </cell>
          <cell r="C70" t="str">
            <v>Cuenta con el recurso humano completo (planta aprobada para la oficina)</v>
          </cell>
          <cell r="D70" t="str">
            <v>X</v>
          </cell>
        </row>
        <row r="71">
          <cell r="B71" t="str">
            <v>2.2.3.002</v>
          </cell>
          <cell r="C71" t="str">
            <v>La oficina cuenta con coordinador operativo.</v>
          </cell>
          <cell r="D71" t="str">
            <v>X</v>
          </cell>
        </row>
        <row r="72">
          <cell r="B72" t="str">
            <v>2.2.3.003</v>
          </cell>
          <cell r="C72" t="str">
            <v>La oficina cuenta con coordinador de desarrollo productivo del cliente</v>
          </cell>
          <cell r="D72" t="str">
            <v>X</v>
          </cell>
        </row>
        <row r="73">
          <cell r="B73" t="str">
            <v>2.2.3.004</v>
          </cell>
          <cell r="C73" t="str">
            <v>La oficina cuenta con EDP adicional o Supernumerario</v>
          </cell>
          <cell r="D73" t="str">
            <v>X</v>
          </cell>
        </row>
        <row r="74">
          <cell r="B74" t="str">
            <v>2.3</v>
          </cell>
          <cell r="C74" t="str">
            <v>Tecnológica</v>
          </cell>
          <cell r="D74">
            <v>3</v>
          </cell>
          <cell r="E74">
            <v>5</v>
          </cell>
          <cell r="F74">
            <v>0</v>
          </cell>
          <cell r="G74">
            <v>0</v>
          </cell>
          <cell r="H74">
            <v>0</v>
          </cell>
        </row>
        <row r="75">
          <cell r="B75" t="str">
            <v>2.3.1</v>
          </cell>
          <cell r="C75" t="str">
            <v>Revisión equipos de comunicación</v>
          </cell>
          <cell r="D75">
            <v>3</v>
          </cell>
          <cell r="E75">
            <v>5</v>
          </cell>
          <cell r="F75">
            <v>0</v>
          </cell>
          <cell r="G75">
            <v>0</v>
          </cell>
          <cell r="H75">
            <v>0</v>
          </cell>
        </row>
        <row r="76">
          <cell r="B76" t="str">
            <v>2.3.1.001</v>
          </cell>
          <cell r="C76" t="str">
            <v>Cuenta con el 100% de los celulares asignados (diligenciar anexo no 1)</v>
          </cell>
          <cell r="D76" t="str">
            <v>X</v>
          </cell>
        </row>
        <row r="77">
          <cell r="B77" t="str">
            <v>2.3.1.002</v>
          </cell>
          <cell r="C77" t="str">
            <v>Cuenta con fax y su función es óptima</v>
          </cell>
          <cell r="D77" t="str">
            <v>X</v>
          </cell>
        </row>
        <row r="78">
          <cell r="B78" t="str">
            <v>2.3.1.003</v>
          </cell>
          <cell r="C78" t="str">
            <v>Cuenta con planta telefónica y su función es óptima.</v>
          </cell>
          <cell r="E78" t="str">
            <v>x</v>
          </cell>
        </row>
        <row r="79">
          <cell r="B79" t="str">
            <v>2.3.1.004</v>
          </cell>
          <cell r="C79" t="str">
            <v>Cuenta con teléfonos fijos y su función es óptima.</v>
          </cell>
          <cell r="E79" t="str">
            <v>x</v>
          </cell>
        </row>
        <row r="80">
          <cell r="B80" t="str">
            <v>2.3.1.005</v>
          </cell>
          <cell r="C80" t="str">
            <v>Cuenta con computadores fijos y portátil y su función es óptima.</v>
          </cell>
          <cell r="E80" t="str">
            <v>x</v>
          </cell>
        </row>
        <row r="81">
          <cell r="B81" t="str">
            <v>2.3.1.006</v>
          </cell>
          <cell r="C81" t="str">
            <v>Cuenta con verificación biométrica dactilar y su función es óptima.</v>
          </cell>
          <cell r="E81" t="str">
            <v>x</v>
          </cell>
        </row>
        <row r="82">
          <cell r="B82" t="str">
            <v>2.3.1.007</v>
          </cell>
          <cell r="C82" t="str">
            <v>Cuenta con datáfonos y su función es óptima.</v>
          </cell>
          <cell r="E82" t="str">
            <v>x</v>
          </cell>
        </row>
        <row r="83">
          <cell r="B83" t="str">
            <v>2.3.1.008</v>
          </cell>
          <cell r="C83" t="str">
            <v>Cuenta con el 100% de las tabletas asignadas y su función es óptima.</v>
          </cell>
          <cell r="D83" t="str">
            <v>X</v>
          </cell>
        </row>
      </sheetData>
      <sheetData sheetId="14">
        <row r="10">
          <cell r="B10" t="str">
            <v>3.1.1.001</v>
          </cell>
          <cell r="C10" t="str">
            <v>Se cuenta con señalización de atención preferencial en caja para personas discapacitadas, tercera edad y mujeres embarazadas? (foto de avisos de caja)</v>
          </cell>
          <cell r="D10" t="str">
            <v>X</v>
          </cell>
        </row>
        <row r="11">
          <cell r="B11" t="str">
            <v>3.1.1.002</v>
          </cell>
          <cell r="C11" t="str">
            <v>El personal de la oficina conoce el acceso tecnológico para la atención de clientes con discapacidad.</v>
          </cell>
          <cell r="D11" t="str">
            <v>X</v>
          </cell>
        </row>
        <row r="12">
          <cell r="B12" t="str">
            <v>3.1.1.003</v>
          </cell>
          <cell r="C12" t="str">
            <v>La oficina cuenta con el acceso y los elementos para la atención de clientes con discapacidad.</v>
          </cell>
          <cell r="D12" t="str">
            <v>X</v>
          </cell>
        </row>
        <row r="13">
          <cell r="B13" t="str">
            <v>3.1.1.004</v>
          </cell>
          <cell r="C13" t="str">
            <v>La oficina cuenta con la señalización para el acceso a discapacitados.</v>
          </cell>
          <cell r="D13" t="str">
            <v>X</v>
          </cell>
        </row>
        <row r="14">
          <cell r="B14" t="str">
            <v>3.1.1.005</v>
          </cell>
          <cell r="C14" t="str">
            <v>Cuenta con rampa para discapacitados.</v>
          </cell>
          <cell r="D14" t="str">
            <v>X</v>
          </cell>
        </row>
        <row r="15">
          <cell r="B15" t="str">
            <v>3.2</v>
          </cell>
          <cell r="C15" t="str">
            <v>Control de publicidad y carteleras</v>
          </cell>
          <cell r="D15">
            <v>6</v>
          </cell>
          <cell r="E15">
            <v>3</v>
          </cell>
          <cell r="F15">
            <v>0</v>
          </cell>
          <cell r="G15">
            <v>0</v>
          </cell>
          <cell r="H15">
            <v>0</v>
          </cell>
        </row>
        <row r="16">
          <cell r="B16" t="str">
            <v>3.2.1</v>
          </cell>
          <cell r="C16" t="str">
            <v>Verificación contenido cartelera externa</v>
          </cell>
          <cell r="D16">
            <v>3</v>
          </cell>
          <cell r="E16">
            <v>3</v>
          </cell>
          <cell r="F16">
            <v>0</v>
          </cell>
          <cell r="G16">
            <v>0</v>
          </cell>
          <cell r="H16">
            <v>0</v>
          </cell>
        </row>
        <row r="17">
          <cell r="B17" t="str">
            <v>3.2.1.001</v>
          </cell>
          <cell r="C17" t="str">
            <v>Se encuentra publicado material informativo de utilidad en materia de SAC; el afiche de prevención de fleteo y documentos internos del banco? (foto de la cartelera).</v>
          </cell>
          <cell r="E17" t="str">
            <v>X</v>
          </cell>
        </row>
        <row r="18">
          <cell r="B18" t="str">
            <v>3.2.1.002</v>
          </cell>
          <cell r="C18" t="str">
            <v>Se encuentra publicado material informativo sobre el Defensor del Consumidor Financiero? (foto de la cartelera).</v>
          </cell>
          <cell r="D18" t="str">
            <v>X</v>
          </cell>
        </row>
        <row r="19">
          <cell r="B19" t="str">
            <v>3.2.1.003</v>
          </cell>
          <cell r="C19" t="str">
            <v>Se encuentra publicado material informativo sobre los canales para la recepción de quejas, peticiones y reclamos. (foto de la cartelera).</v>
          </cell>
          <cell r="D19" t="str">
            <v>X</v>
          </cell>
        </row>
        <row r="20">
          <cell r="B20" t="str">
            <v>3.2.1.004</v>
          </cell>
          <cell r="C20" t="str">
            <v>Se encuentra publicado al alcance del público información con las tasas de interés para productos del activo y del pasivo? (tarifario).</v>
          </cell>
          <cell r="D20" t="str">
            <v>x</v>
          </cell>
        </row>
        <row r="21">
          <cell r="B21" t="str">
            <v>3.2.1.005</v>
          </cell>
          <cell r="C21" t="str">
            <v>Se encuentra publicado en un sitio accesible al público información sobre topes para retiros en efectivo? (foto cartelera).</v>
          </cell>
          <cell r="E21" t="str">
            <v>X</v>
          </cell>
        </row>
        <row r="22">
          <cell r="B22" t="str">
            <v>3.2.1.006</v>
          </cell>
          <cell r="C22" t="str">
            <v>Se encuentra publicada al alcance del público información sobre dónde encontrar o cómo acceder a los reglamentos de los productos que ofrece ?</v>
          </cell>
          <cell r="E22" t="str">
            <v>X</v>
          </cell>
        </row>
        <row r="23">
          <cell r="B23" t="str">
            <v>3.2.2</v>
          </cell>
          <cell r="C23" t="str">
            <v>Verificación contenido cartelera interna</v>
          </cell>
          <cell r="D23">
            <v>1</v>
          </cell>
          <cell r="E23">
            <v>0</v>
          </cell>
          <cell r="F23">
            <v>0</v>
          </cell>
          <cell r="G23">
            <v>0</v>
          </cell>
          <cell r="H23">
            <v>0</v>
          </cell>
        </row>
        <row r="24">
          <cell r="B24" t="str">
            <v>3.2.2.001</v>
          </cell>
          <cell r="C24" t="str">
            <v>Se encuentra publicado en la cartelera interna material informativo de utilidad en materia de protección de datos? (foto).</v>
          </cell>
          <cell r="D24" t="str">
            <v>x</v>
          </cell>
        </row>
        <row r="25">
          <cell r="B25" t="str">
            <v>3.2.3</v>
          </cell>
          <cell r="C25" t="str">
            <v>Verificación de material de publicidad</v>
          </cell>
          <cell r="D25">
            <v>2</v>
          </cell>
          <cell r="E25">
            <v>0</v>
          </cell>
          <cell r="F25">
            <v>0</v>
          </cell>
          <cell r="G25">
            <v>0</v>
          </cell>
          <cell r="H25">
            <v>0</v>
          </cell>
        </row>
        <row r="26">
          <cell r="B26" t="str">
            <v>3.2.3.001</v>
          </cell>
          <cell r="C26" t="str">
            <v>La oficina cuenta con material de apoyo POP actualizado.</v>
          </cell>
          <cell r="D26" t="str">
            <v>X</v>
          </cell>
        </row>
        <row r="27">
          <cell r="B27" t="str">
            <v>3.2.3.002</v>
          </cell>
          <cell r="C27" t="str">
            <v>Los eventos, campañas y perifoneo van acompañados de material POP actualizado.</v>
          </cell>
          <cell r="D27" t="str">
            <v>X</v>
          </cell>
        </row>
        <row r="28">
          <cell r="B28" t="str">
            <v>3.3</v>
          </cell>
          <cell r="C28" t="str">
            <v>Protección de datos</v>
          </cell>
          <cell r="D28">
            <v>5</v>
          </cell>
          <cell r="E28">
            <v>0</v>
          </cell>
          <cell r="F28">
            <v>0</v>
          </cell>
          <cell r="G28">
            <v>0</v>
          </cell>
          <cell r="H28">
            <v>0</v>
          </cell>
        </row>
        <row r="29">
          <cell r="B29" t="str">
            <v>3.3.1</v>
          </cell>
          <cell r="C29" t="str">
            <v xml:space="preserve">Revisión control de documentos </v>
          </cell>
          <cell r="D29">
            <v>5</v>
          </cell>
          <cell r="E29">
            <v>0</v>
          </cell>
          <cell r="F29">
            <v>0</v>
          </cell>
          <cell r="G29">
            <v>0</v>
          </cell>
          <cell r="H29">
            <v>0</v>
          </cell>
        </row>
        <row r="30">
          <cell r="B30" t="str">
            <v>3.3.1.001</v>
          </cell>
          <cell r="C30" t="str">
            <v>Cuenta con una máquina destructora de papel? (foto de la máquina).</v>
          </cell>
          <cell r="D30" t="str">
            <v>X</v>
          </cell>
        </row>
        <row r="31">
          <cell r="B31" t="str">
            <v>3.3.1.002</v>
          </cell>
          <cell r="C31" t="str">
            <v>El archivo de las carpetas donde reposan los datos y documentos  de los clientes están bajo llave? (foto de archivo).</v>
          </cell>
          <cell r="D31" t="str">
            <v>X</v>
          </cell>
        </row>
        <row r="32">
          <cell r="B32" t="str">
            <v>3.3.1.003</v>
          </cell>
          <cell r="C32" t="str">
            <v>El archivo se encuentra en un lugar idóneo que asegure la conservación e integridad de los documentos? (foto de la ubicación del archivo y carpetas en la oficina).</v>
          </cell>
          <cell r="D32" t="str">
            <v>X</v>
          </cell>
        </row>
        <row r="33">
          <cell r="B33" t="str">
            <v>3.3.1.004</v>
          </cell>
          <cell r="C33" t="str">
            <v>Se lleva un registro de las personas que acceden al archivo en donde se especifique la información que consultó o extrajo del mismo? (foto del registro).</v>
          </cell>
          <cell r="D33" t="str">
            <v>X</v>
          </cell>
        </row>
        <row r="34">
          <cell r="B34" t="str">
            <v>3.3.1.005</v>
          </cell>
          <cell r="C34" t="str">
            <v>Al verificar las estaciones de reciclaje de papel, éste contiene datos personales de los clientes (tablas de amortización, cartas de cobro, consulta de cuotas, etc)? (fotos de las estaciones de reciclaje y de la información que allí reposa).</v>
          </cell>
          <cell r="D34" t="str">
            <v>x</v>
          </cell>
        </row>
      </sheetData>
      <sheetData sheetId="15">
        <row r="8">
          <cell r="B8" t="str">
            <v>4.1</v>
          </cell>
          <cell r="C8" t="str">
            <v>Seguridad electrónica</v>
          </cell>
          <cell r="D8">
            <v>20</v>
          </cell>
          <cell r="E8">
            <v>7</v>
          </cell>
          <cell r="F8">
            <v>0</v>
          </cell>
          <cell r="G8">
            <v>0</v>
          </cell>
          <cell r="H8">
            <v>0</v>
          </cell>
        </row>
        <row r="9">
          <cell r="B9" t="str">
            <v>4.1.1</v>
          </cell>
          <cell r="C9" t="str">
            <v>Revisión área de bóveda</v>
          </cell>
          <cell r="D9">
            <v>6</v>
          </cell>
          <cell r="E9">
            <v>0</v>
          </cell>
          <cell r="F9">
            <v>0</v>
          </cell>
          <cell r="G9">
            <v>0</v>
          </cell>
          <cell r="H9">
            <v>0</v>
          </cell>
        </row>
        <row r="10">
          <cell r="B10" t="str">
            <v>4.1.1.001</v>
          </cell>
          <cell r="C10" t="str">
            <v>Cuenta con sensor anti máscara - cubrimiento estado óptimo.</v>
          </cell>
          <cell r="D10" t="str">
            <v>X</v>
          </cell>
        </row>
        <row r="11">
          <cell r="B11" t="str">
            <v>4.1.1.002</v>
          </cell>
          <cell r="C11" t="str">
            <v>Cuenta con pulsador de pánico fijo - estado óptimo.</v>
          </cell>
          <cell r="D11" t="str">
            <v>X</v>
          </cell>
        </row>
        <row r="12">
          <cell r="B12" t="str">
            <v>4.1.1.003</v>
          </cell>
          <cell r="C12" t="str">
            <v>Cuenta con sensor de humo - estado  óptimo.</v>
          </cell>
          <cell r="D12" t="str">
            <v>X</v>
          </cell>
        </row>
        <row r="13">
          <cell r="B13" t="str">
            <v>4.1.1.004</v>
          </cell>
          <cell r="C13" t="str">
            <v>Cuenta con magnético en la puerta principal- estado óptimo.</v>
          </cell>
          <cell r="D13" t="str">
            <v>X</v>
          </cell>
        </row>
        <row r="14">
          <cell r="B14" t="str">
            <v>4.1.1.005</v>
          </cell>
          <cell r="C14" t="str">
            <v>Cuenta con sensor antisísmico, estado óptimo.</v>
          </cell>
          <cell r="D14" t="str">
            <v>X</v>
          </cell>
        </row>
        <row r="15">
          <cell r="B15" t="str">
            <v>4.1.1.006</v>
          </cell>
          <cell r="C15" t="str">
            <v>Cuenta con cámara interna - cubrimiento y se cuenta con luces led.</v>
          </cell>
          <cell r="D15" t="str">
            <v>X</v>
          </cell>
        </row>
        <row r="16">
          <cell r="B16" t="str">
            <v>4.1.2</v>
          </cell>
          <cell r="C16" t="str">
            <v>Revisión área de ejecutivos</v>
          </cell>
          <cell r="D16">
            <v>3</v>
          </cell>
          <cell r="E16">
            <v>2</v>
          </cell>
          <cell r="F16">
            <v>0</v>
          </cell>
          <cell r="G16">
            <v>0</v>
          </cell>
          <cell r="H16">
            <v>0</v>
          </cell>
        </row>
        <row r="17">
          <cell r="B17" t="str">
            <v>4.1.2.001</v>
          </cell>
          <cell r="C17" t="str">
            <v>Cuenta con sensor de movimiento y su cubrimiento es optimo.</v>
          </cell>
          <cell r="E17" t="str">
            <v>X</v>
          </cell>
        </row>
        <row r="18">
          <cell r="B18" t="str">
            <v>4.1.2.002</v>
          </cell>
          <cell r="C18" t="str">
            <v>Cuenta con discriminadores de audio.</v>
          </cell>
          <cell r="D18" t="str">
            <v>X</v>
          </cell>
        </row>
        <row r="19">
          <cell r="B19" t="str">
            <v>4.1.2.003</v>
          </cell>
          <cell r="C19" t="str">
            <v>Cuenta con sensor de humo.</v>
          </cell>
          <cell r="D19" t="str">
            <v>X</v>
          </cell>
        </row>
        <row r="20">
          <cell r="B20" t="str">
            <v>4.1.2.004</v>
          </cell>
          <cell r="C20" t="str">
            <v>Cuenta con sensores de choque.</v>
          </cell>
          <cell r="D20" t="str">
            <v>X</v>
          </cell>
        </row>
        <row r="21">
          <cell r="B21" t="str">
            <v>4.1.2.005</v>
          </cell>
          <cell r="C21" t="str">
            <v>Cuenta con cámara de cctv cubrimiento es óptimo.</v>
          </cell>
          <cell r="E21" t="str">
            <v>X</v>
          </cell>
        </row>
        <row r="22">
          <cell r="B22" t="str">
            <v>4.1.3</v>
          </cell>
          <cell r="C22" t="str">
            <v>Revisión en caja</v>
          </cell>
          <cell r="D22">
            <v>0</v>
          </cell>
          <cell r="E22">
            <v>5</v>
          </cell>
          <cell r="F22">
            <v>0</v>
          </cell>
          <cell r="G22">
            <v>0</v>
          </cell>
          <cell r="H22">
            <v>0</v>
          </cell>
        </row>
        <row r="23">
          <cell r="B23" t="str">
            <v>4.1.3.001</v>
          </cell>
          <cell r="C23" t="str">
            <v>Cuenta con sensor de movimiento su cubrimiento.</v>
          </cell>
          <cell r="E23" t="str">
            <v>X</v>
          </cell>
        </row>
        <row r="24">
          <cell r="B24" t="str">
            <v>4.1.3.002</v>
          </cell>
          <cell r="C24" t="str">
            <v>Cuenta con pulsadores de pánico fijo en caja.</v>
          </cell>
          <cell r="E24" t="str">
            <v>X</v>
          </cell>
        </row>
        <row r="25">
          <cell r="B25" t="str">
            <v>4.1.3.003</v>
          </cell>
          <cell r="C25" t="str">
            <v>Cuenta con sensor de humo.</v>
          </cell>
          <cell r="E25" t="str">
            <v>X</v>
          </cell>
        </row>
        <row r="26">
          <cell r="B26" t="str">
            <v>4.1.3.004</v>
          </cell>
          <cell r="C26" t="str">
            <v>Cuenta con fajo trampa.</v>
          </cell>
          <cell r="E26" t="str">
            <v>X</v>
          </cell>
        </row>
        <row r="27">
          <cell r="B27" t="str">
            <v>4.1.3.005</v>
          </cell>
          <cell r="C27" t="str">
            <v>Cuenta con cámara de cctv cubrimiento es óptimo.</v>
          </cell>
          <cell r="E27" t="str">
            <v>X</v>
          </cell>
        </row>
        <row r="28">
          <cell r="B28" t="str">
            <v>4.1.4</v>
          </cell>
          <cell r="C28" t="str">
            <v>Revisión hall de servicios</v>
          </cell>
          <cell r="D28">
            <v>8</v>
          </cell>
          <cell r="E28">
            <v>0</v>
          </cell>
          <cell r="F28">
            <v>0</v>
          </cell>
          <cell r="G28">
            <v>0</v>
          </cell>
          <cell r="H28">
            <v>0</v>
          </cell>
        </row>
        <row r="29">
          <cell r="B29" t="str">
            <v>4.1.4.001</v>
          </cell>
          <cell r="C29" t="str">
            <v>Cuenta con sensor de movimiento.</v>
          </cell>
          <cell r="D29" t="str">
            <v>X</v>
          </cell>
        </row>
        <row r="30">
          <cell r="B30" t="str">
            <v>4.1.4.002</v>
          </cell>
          <cell r="C30" t="str">
            <v>Cuenta con pulsadores de pánico fijo en asesorías.</v>
          </cell>
          <cell r="D30" t="str">
            <v>X</v>
          </cell>
        </row>
        <row r="31">
          <cell r="B31" t="str">
            <v>4.1.4.003</v>
          </cell>
          <cell r="C31" t="str">
            <v>Cuenta con discriminadores de audio.</v>
          </cell>
          <cell r="D31" t="str">
            <v>X</v>
          </cell>
        </row>
        <row r="32">
          <cell r="B32" t="str">
            <v>4.1.4.004</v>
          </cell>
          <cell r="C32" t="str">
            <v>Cuenta con sensor de humo.</v>
          </cell>
          <cell r="D32" t="str">
            <v>X</v>
          </cell>
        </row>
        <row r="33">
          <cell r="B33" t="str">
            <v>4.1.4.005</v>
          </cell>
          <cell r="C33" t="str">
            <v>Cuenta con magnético en la puerta principal.</v>
          </cell>
          <cell r="D33" t="str">
            <v>X</v>
          </cell>
        </row>
        <row r="34">
          <cell r="B34" t="str">
            <v>4.1.4.006</v>
          </cell>
          <cell r="C34" t="str">
            <v>Cuenta con pulsador de pánico inalámbrico.</v>
          </cell>
          <cell r="D34" t="str">
            <v>X</v>
          </cell>
        </row>
        <row r="35">
          <cell r="B35" t="str">
            <v>4.1.4.007</v>
          </cell>
          <cell r="C35" t="str">
            <v>Cuenta con sensores de choque.</v>
          </cell>
          <cell r="D35" t="str">
            <v>X</v>
          </cell>
        </row>
        <row r="36">
          <cell r="B36" t="str">
            <v>4.1.4.008</v>
          </cell>
          <cell r="C36" t="str">
            <v>Cuenta con cámara de cctv cubrimiento es óptimo.</v>
          </cell>
          <cell r="D36" t="str">
            <v>X</v>
          </cell>
        </row>
        <row r="37">
          <cell r="B37" t="str">
            <v>4.1.5</v>
          </cell>
          <cell r="C37" t="str">
            <v>Revisión otras zonas de la oficina</v>
          </cell>
          <cell r="D37">
            <v>3</v>
          </cell>
          <cell r="E37">
            <v>0</v>
          </cell>
          <cell r="F37">
            <v>0</v>
          </cell>
          <cell r="G37">
            <v>0</v>
          </cell>
          <cell r="H37">
            <v>0</v>
          </cell>
        </row>
        <row r="38">
          <cell r="B38" t="str">
            <v>4.1.5.001</v>
          </cell>
          <cell r="C38" t="str">
            <v>Los baños y cocina cuenta con pulsadores de pánico fijo.</v>
          </cell>
          <cell r="D38" t="str">
            <v>X</v>
          </cell>
        </row>
        <row r="39">
          <cell r="B39" t="str">
            <v>4.1.5.002</v>
          </cell>
          <cell r="C39" t="str">
            <v>Área de archivo, papeleria, otros cuentan con dispositivos de alarma adecuados</v>
          </cell>
          <cell r="D39" t="str">
            <v>X</v>
          </cell>
        </row>
        <row r="40">
          <cell r="B40" t="str">
            <v>4.1.5.003</v>
          </cell>
          <cell r="C40" t="str">
            <v>Cuenta con DVR y el sistema transmite y adelanta grabación.</v>
          </cell>
          <cell r="D40" t="str">
            <v>X</v>
          </cell>
        </row>
        <row r="41">
          <cell r="B41" t="str">
            <v>4.2</v>
          </cell>
          <cell r="C41" t="str">
            <v>Seguridad física</v>
          </cell>
          <cell r="D41">
            <v>24</v>
          </cell>
          <cell r="E41">
            <v>4</v>
          </cell>
          <cell r="F41">
            <v>0</v>
          </cell>
          <cell r="G41">
            <v>0</v>
          </cell>
          <cell r="H41">
            <v>0</v>
          </cell>
        </row>
        <row r="42">
          <cell r="B42" t="str">
            <v>4.2.1</v>
          </cell>
          <cell r="C42" t="str">
            <v>Revisión área de bóveda</v>
          </cell>
          <cell r="D42">
            <v>2</v>
          </cell>
          <cell r="E42">
            <v>4</v>
          </cell>
          <cell r="F42">
            <v>0</v>
          </cell>
          <cell r="G42">
            <v>0</v>
          </cell>
          <cell r="H42">
            <v>0</v>
          </cell>
        </row>
        <row r="43">
          <cell r="B43" t="str">
            <v>4.2.1.001</v>
          </cell>
          <cell r="C43" t="str">
            <v>El área de bóveda cuenta con cuarto de conteo y este cuenta con  puerta metálica anclada, cerradura y ventanilla con vidrio de Seguridad de la Información, pasador interno y brazo hidráulico.</v>
          </cell>
          <cell r="E43" t="str">
            <v>X</v>
          </cell>
        </row>
        <row r="44">
          <cell r="B44" t="str">
            <v>4.2.1.002</v>
          </cell>
          <cell r="C44" t="str">
            <v>El cuarto de bóveda cuenta con doble muro o es reforzado.</v>
          </cell>
          <cell r="D44" t="str">
            <v>x</v>
          </cell>
        </row>
        <row r="45">
          <cell r="B45" t="str">
            <v>4.2.1.003</v>
          </cell>
          <cell r="C45" t="str">
            <v>El techo del cuarto de bóveda cuenta con placa de concreto.</v>
          </cell>
          <cell r="E45" t="str">
            <v>X</v>
          </cell>
        </row>
        <row r="46">
          <cell r="B46" t="str">
            <v>4.2.1.004</v>
          </cell>
          <cell r="C46" t="str">
            <v>Cuenta con cofre de bóveda, este tiene dial mecánico y digitales temporizados.</v>
          </cell>
          <cell r="E46" t="str">
            <v>X</v>
          </cell>
        </row>
        <row r="47">
          <cell r="B47" t="str">
            <v>4.2.1.005</v>
          </cell>
          <cell r="C47" t="str">
            <v>El cuarto cuenta con ductos de ventilación, y pasafajos.</v>
          </cell>
          <cell r="E47" t="str">
            <v>X</v>
          </cell>
        </row>
        <row r="48">
          <cell r="B48" t="str">
            <v>4.2.1.006</v>
          </cell>
          <cell r="C48" t="str">
            <v>El cuarto cuenta con buena iluminación y se encuentra ordenado.</v>
          </cell>
          <cell r="D48" t="str">
            <v>X</v>
          </cell>
        </row>
        <row r="49">
          <cell r="B49" t="str">
            <v>4.2.2</v>
          </cell>
          <cell r="C49" t="str">
            <v>Revisión areas internas y posteriores</v>
          </cell>
          <cell r="D49">
            <v>4</v>
          </cell>
          <cell r="E49">
            <v>0</v>
          </cell>
          <cell r="F49">
            <v>0</v>
          </cell>
          <cell r="G49">
            <v>0</v>
          </cell>
          <cell r="H49">
            <v>0</v>
          </cell>
        </row>
        <row r="50">
          <cell r="B50" t="str">
            <v>4.2.2.001</v>
          </cell>
          <cell r="C50" t="str">
            <v>Las cerraduras de puertas y ventanas internas se encuentra en buen estado, cuentan con llaves.</v>
          </cell>
          <cell r="D50" t="str">
            <v>X</v>
          </cell>
        </row>
        <row r="51">
          <cell r="B51" t="str">
            <v>4.2.2.002</v>
          </cell>
          <cell r="C51" t="str">
            <v xml:space="preserve">Las puertas que comunican a patios posteriores brindan Seguridad de la Información y resistencia. </v>
          </cell>
          <cell r="D51" t="str">
            <v>X</v>
          </cell>
        </row>
        <row r="52">
          <cell r="B52" t="str">
            <v>4.2.2.003</v>
          </cell>
          <cell r="C52" t="str">
            <v>La oficina cuenta con planta eléctrica, UPS para atención de fallas de energía esta se encuentra con encerramiento y los colaboradores se encuentra capacitados para ponerla en marcha.</v>
          </cell>
          <cell r="D52" t="str">
            <v>X</v>
          </cell>
        </row>
        <row r="53">
          <cell r="B53" t="str">
            <v>4.2.2.004</v>
          </cell>
          <cell r="C53" t="str">
            <v>El patio posterior del inmueble cuenta con encerramiento, muros y elementos que detecten, retarden e impidan una posible intrusión.</v>
          </cell>
          <cell r="D53" t="str">
            <v>X</v>
          </cell>
        </row>
        <row r="54">
          <cell r="B54" t="str">
            <v>4.2.2.005</v>
          </cell>
          <cell r="C54" t="str">
            <v>Las escaleras cuentan con antideslizante y apoyamanos</v>
          </cell>
          <cell r="D54" t="str">
            <v>X</v>
          </cell>
        </row>
        <row r="55">
          <cell r="B55" t="str">
            <v>4.2.2.006</v>
          </cell>
          <cell r="C55" t="str">
            <v>Existen cables con su respectiva canaleta que no generan riesgo eléctrico</v>
          </cell>
          <cell r="D55" t="str">
            <v>X</v>
          </cell>
        </row>
        <row r="56">
          <cell r="B56" t="str">
            <v>4.2.2.007</v>
          </cell>
          <cell r="C56" t="str">
            <v>En la oficina están controladas las plagas  que puedan afectar la salud de los colaboradores</v>
          </cell>
          <cell r="D56" t="str">
            <v>X</v>
          </cell>
        </row>
        <row r="57">
          <cell r="B57" t="str">
            <v>4.2.2.008</v>
          </cell>
          <cell r="C57" t="str">
            <v>Se realizan fumigaciones con la frecuencia pertinente</v>
          </cell>
          <cell r="D57" t="str">
            <v>X</v>
          </cell>
        </row>
        <row r="58">
          <cell r="B58" t="str">
            <v>4.2.3</v>
          </cell>
          <cell r="C58" t="str">
            <v>Revisión en caja</v>
          </cell>
          <cell r="D58">
            <v>4</v>
          </cell>
          <cell r="E58">
            <v>0</v>
          </cell>
          <cell r="F58">
            <v>0</v>
          </cell>
          <cell r="G58">
            <v>0</v>
          </cell>
          <cell r="H58">
            <v>0</v>
          </cell>
        </row>
        <row r="59">
          <cell r="B59" t="str">
            <v>4.2.3.001</v>
          </cell>
          <cell r="C59" t="str">
            <v>Cuenta con  puerta que divide el área de caja, cerradura funcional y llave. Los puestos de trabajo cuentan con cofres tipo tramperos anclados en buen estado  y los cajeros tienen claves de los mismos.</v>
          </cell>
          <cell r="D59" t="str">
            <v>X</v>
          </cell>
        </row>
        <row r="60">
          <cell r="B60" t="str">
            <v>4.2.3.002</v>
          </cell>
          <cell r="C60" t="str">
            <v>Cuenta con cofres y billeteros anclados a los puestos de trabajo, estos poseen sus respectivas cerraduras y llaves.</v>
          </cell>
          <cell r="D60" t="str">
            <v>X</v>
          </cell>
        </row>
        <row r="61">
          <cell r="B61" t="str">
            <v>4.2.3.003</v>
          </cell>
          <cell r="C61" t="str">
            <v>El área de caja cuenta con ventanillas adecuadas que brinden Seguridad de la Información al cajero y visualización del cliente.</v>
          </cell>
          <cell r="D61" t="str">
            <v>X</v>
          </cell>
        </row>
        <row r="62">
          <cell r="B62" t="str">
            <v>4.2.3.004</v>
          </cell>
          <cell r="C62" t="str">
            <v>Cuenta con contadora de billetes, contadora de monedas, detectora de billetes falsos, luz ultravioleta.</v>
          </cell>
          <cell r="D62" t="str">
            <v>X</v>
          </cell>
        </row>
        <row r="63">
          <cell r="B63" t="str">
            <v>4.2.4</v>
          </cell>
          <cell r="C63" t="str">
            <v>Revisión fachada</v>
          </cell>
          <cell r="D63">
            <v>5</v>
          </cell>
          <cell r="E63">
            <v>0</v>
          </cell>
          <cell r="F63">
            <v>0</v>
          </cell>
          <cell r="G63">
            <v>0</v>
          </cell>
          <cell r="H63">
            <v>0</v>
          </cell>
        </row>
        <row r="64">
          <cell r="B64" t="str">
            <v>4.2.4.001</v>
          </cell>
          <cell r="C64" t="str">
            <v>La puerta principal cuenta con: vidrio, reja y/o cortina de Seguridad de la Información.</v>
          </cell>
          <cell r="D64" t="str">
            <v>X</v>
          </cell>
        </row>
        <row r="65">
          <cell r="B65" t="str">
            <v>4.2.4.002</v>
          </cell>
          <cell r="C65" t="str">
            <v>La puerta principal cuenta con: cerradura convencional y cerradura de Seguridad de la Información.</v>
          </cell>
          <cell r="D65" t="str">
            <v>X</v>
          </cell>
        </row>
        <row r="66">
          <cell r="B66" t="str">
            <v>4.2.4.003</v>
          </cell>
          <cell r="C66" t="str">
            <v>La reja o cortina de la puerta principal cuenta con: sus respectivos candados acerados.</v>
          </cell>
          <cell r="D66" t="str">
            <v>X</v>
          </cell>
        </row>
        <row r="67">
          <cell r="B67" t="str">
            <v>4.2.4.004</v>
          </cell>
          <cell r="C67" t="str">
            <v>La puertas y ventanas cuentan con sandblasting.</v>
          </cell>
          <cell r="D67" t="str">
            <v>X</v>
          </cell>
        </row>
        <row r="68">
          <cell r="B68" t="str">
            <v>4.2.4.005</v>
          </cell>
          <cell r="C68" t="str">
            <v>Los contadores del agua y luz cuentan con elementos que los protejan de actos bandálicos.</v>
          </cell>
          <cell r="D68" t="str">
            <v>X</v>
          </cell>
        </row>
        <row r="69">
          <cell r="B69" t="str">
            <v>4.2.5</v>
          </cell>
          <cell r="C69" t="str">
            <v>Revisión hall de servicios</v>
          </cell>
          <cell r="D69">
            <v>3</v>
          </cell>
          <cell r="E69">
            <v>0</v>
          </cell>
          <cell r="F69">
            <v>0</v>
          </cell>
          <cell r="G69">
            <v>0</v>
          </cell>
          <cell r="H69">
            <v>0</v>
          </cell>
        </row>
        <row r="70">
          <cell r="B70" t="str">
            <v>4.2.5.001</v>
          </cell>
          <cell r="C70" t="str">
            <v>Los muros y ventanas son resistentes e impiden posibles intrusiones delincuenciales.</v>
          </cell>
          <cell r="D70" t="str">
            <v>X</v>
          </cell>
        </row>
        <row r="71">
          <cell r="B71" t="str">
            <v>4.2.5.002</v>
          </cell>
          <cell r="C71" t="str">
            <v>La estructura del techo de la oficina evita posibles intrusiones delincuenciales.</v>
          </cell>
          <cell r="D71" t="str">
            <v>X</v>
          </cell>
        </row>
        <row r="72">
          <cell r="B72" t="str">
            <v>4.2.5.003</v>
          </cell>
          <cell r="C72" t="str">
            <v>Existe puerta que divide el hall bancario del interno, cuenta con sanblasting, cerradura con pomo de Seguridad de la Información y cantonera funcional.</v>
          </cell>
          <cell r="D72" t="str">
            <v>X</v>
          </cell>
        </row>
        <row r="73">
          <cell r="B73" t="str">
            <v>4.2.6</v>
          </cell>
          <cell r="C73" t="str">
            <v>Revisión zona perimetral</v>
          </cell>
          <cell r="D73">
            <v>6</v>
          </cell>
          <cell r="E73">
            <v>0</v>
          </cell>
          <cell r="F73">
            <v>0</v>
          </cell>
          <cell r="G73">
            <v>0</v>
          </cell>
          <cell r="H73">
            <v>0</v>
          </cell>
        </row>
        <row r="74">
          <cell r="B74" t="str">
            <v>4.2.6.001</v>
          </cell>
          <cell r="C74" t="str">
            <v>La oficina se ubica dentro de la zona comercial del municipio.</v>
          </cell>
          <cell r="D74" t="str">
            <v>X</v>
          </cell>
        </row>
        <row r="75">
          <cell r="B75" t="str">
            <v>4.2.6.002</v>
          </cell>
          <cell r="C75" t="str">
            <v>Frente a la oficina se ubican vendedores ambulantes, estos son conocidos en la zona.</v>
          </cell>
          <cell r="D75" t="str">
            <v>X</v>
          </cell>
        </row>
        <row r="76">
          <cell r="B76" t="str">
            <v>4.2.6.003</v>
          </cell>
          <cell r="C76" t="str">
            <v>Alrededor de la oficina existen, bares, discotecas o sitios de lenocidio.</v>
          </cell>
          <cell r="D76" t="str">
            <v>X</v>
          </cell>
        </row>
        <row r="77">
          <cell r="B77" t="str">
            <v>4.2.6.004</v>
          </cell>
          <cell r="C77" t="str">
            <v>Se observa presencia de otras entidades financieras y presencia de la policía.</v>
          </cell>
          <cell r="D77" t="str">
            <v>X</v>
          </cell>
        </row>
        <row r="78">
          <cell r="B78" t="str">
            <v>4.2.6.005</v>
          </cell>
          <cell r="C78" t="str">
            <v>La oficina se encuentra dentro de un centro comercial y este cuenta con cctv externo y vigilancia externa?</v>
          </cell>
          <cell r="D78" t="str">
            <v>X</v>
          </cell>
        </row>
        <row r="79">
          <cell r="B79" t="str">
            <v>4.2.6.006</v>
          </cell>
          <cell r="C79" t="str">
            <v>Parquean vehículos (motos y carros) frente a la oficina.</v>
          </cell>
          <cell r="D79" t="str">
            <v>X</v>
          </cell>
        </row>
        <row r="80">
          <cell r="B80" t="str">
            <v>4.3</v>
          </cell>
          <cell r="C80" t="str">
            <v>Seguridad Humana</v>
          </cell>
          <cell r="D80">
            <v>11</v>
          </cell>
          <cell r="E80">
            <v>0</v>
          </cell>
          <cell r="F80">
            <v>0</v>
          </cell>
          <cell r="G80">
            <v>0</v>
          </cell>
          <cell r="H80">
            <v>0</v>
          </cell>
        </row>
        <row r="81">
          <cell r="B81" t="str">
            <v>4.3.1</v>
          </cell>
          <cell r="C81" t="str">
            <v>Revisión Guarda de Seguridad</v>
          </cell>
          <cell r="D81">
            <v>8</v>
          </cell>
          <cell r="E81">
            <v>0</v>
          </cell>
          <cell r="F81">
            <v>0</v>
          </cell>
          <cell r="G81">
            <v>0</v>
          </cell>
          <cell r="H81">
            <v>0</v>
          </cell>
        </row>
        <row r="82">
          <cell r="B82" t="str">
            <v>4.3.1.001</v>
          </cell>
          <cell r="C82" t="str">
            <v>Existe guarda de Seguridad de la Información en la oficina.</v>
          </cell>
          <cell r="D82" t="str">
            <v>X</v>
          </cell>
        </row>
        <row r="83">
          <cell r="B83" t="str">
            <v>4.3.1.002</v>
          </cell>
          <cell r="C83" t="str">
            <v>El guarda de Seguridad de la Información cumple con el perfil establecido por la gerencia de Seguridad de la Información, conocimiento de consignas específicas y presentación personal es la adecuada.</v>
          </cell>
          <cell r="D83" t="str">
            <v>X</v>
          </cell>
        </row>
        <row r="84">
          <cell r="B84" t="str">
            <v>4.3.1.003</v>
          </cell>
          <cell r="C84" t="str">
            <v>Dotación uniforme: el guarda cuenta con camisa, pantalón, zapatos, placa, apellido, kepis y ha recibido dotación en el último semestre.</v>
          </cell>
          <cell r="D84" t="str">
            <v>X</v>
          </cell>
        </row>
        <row r="85">
          <cell r="B85" t="str">
            <v>4.3.1.004</v>
          </cell>
          <cell r="C85" t="str">
            <v>Dotación armamento: cuenta con arma de fuego, chapuza, riata, canana, munición, tonfa, pito y se encuentra en buen estado.</v>
          </cell>
          <cell r="D85" t="str">
            <v>X</v>
          </cell>
        </row>
        <row r="86">
          <cell r="B86" t="str">
            <v>4.3.1.005</v>
          </cell>
          <cell r="C86" t="str">
            <v>Documentación puesto-registros: existe minuta de puesto, consignas generales y específicas, registro de ingreso de terceros y minuta de visitas de policía.</v>
          </cell>
          <cell r="D86" t="str">
            <v>X</v>
          </cell>
        </row>
        <row r="87">
          <cell r="B87" t="str">
            <v>4.3.1.006</v>
          </cell>
          <cell r="C87" t="str">
            <v>Documentación puesto-permisos: salvo conducto de tenencia del arma (vigente) y licencia de comunicaciones(vigente), cursos vigentes de Seguridad de la Información. el guarda de Seguridad de la Información ha sido rotado por la empresa según lo establecido por la gerencia de Seguridad de la Información.</v>
          </cell>
          <cell r="D87" t="str">
            <v>X</v>
          </cell>
        </row>
        <row r="88">
          <cell r="B88" t="str">
            <v>4.3.1.007</v>
          </cell>
          <cell r="C88" t="str">
            <v>Documentación identificacion personal: cédula, libreta militar, carné empresa, EPS, ARL.</v>
          </cell>
          <cell r="D88" t="str">
            <v>X</v>
          </cell>
        </row>
        <row r="89">
          <cell r="B89" t="str">
            <v>4.3.1.008</v>
          </cell>
          <cell r="C89" t="str">
            <v>Ubicación vigilante: el guarda se ubica detrás de la puerta que divide el hall bancario, área de cajas o lugar que no sea de fácil acceso por parte de la delincuencia.</v>
          </cell>
          <cell r="D89" t="str">
            <v>X</v>
          </cell>
        </row>
        <row r="90">
          <cell r="B90" t="str">
            <v>4.3.2</v>
          </cell>
          <cell r="C90" t="str">
            <v>Revisión otros elementos de seguridad</v>
          </cell>
          <cell r="D90">
            <v>2</v>
          </cell>
          <cell r="E90">
            <v>0</v>
          </cell>
          <cell r="F90">
            <v>0</v>
          </cell>
          <cell r="G90">
            <v>0</v>
          </cell>
          <cell r="H90">
            <v>0</v>
          </cell>
        </row>
        <row r="91">
          <cell r="B91" t="str">
            <v>4.3.2.001</v>
          </cell>
          <cell r="C91" t="str">
            <v>Pánico inalámbrico: el Guarda cuenta con el elemento y  funciona correctamente.</v>
          </cell>
          <cell r="D91" t="str">
            <v>X</v>
          </cell>
        </row>
        <row r="92">
          <cell r="B92" t="str">
            <v>4.3.2.002</v>
          </cell>
          <cell r="C92" t="str">
            <v xml:space="preserve">Cajilla de Seguridad de la Información: se encuentra anclada bajo la visual de una camara de CCTV, el guarda tiene clave o llaves del elemento de custodia y  es utilizada de manera correcta. </v>
          </cell>
          <cell r="D92" t="str">
            <v>X</v>
          </cell>
        </row>
        <row r="93">
          <cell r="B93" t="str">
            <v>4.3.3</v>
          </cell>
          <cell r="C93" t="str">
            <v>Revisión supervisión presencial</v>
          </cell>
          <cell r="D93">
            <v>1</v>
          </cell>
          <cell r="E93">
            <v>0</v>
          </cell>
          <cell r="F93">
            <v>0</v>
          </cell>
          <cell r="G93">
            <v>0</v>
          </cell>
          <cell r="H93">
            <v>0</v>
          </cell>
        </row>
        <row r="94">
          <cell r="B94" t="str">
            <v>4.3.3.001</v>
          </cell>
          <cell r="C94" t="str">
            <v>Supervisión presencial: el puesto cuenta con supervisión diaria, semanal o mensual según la distancia de la oficina respecto a ciudad principal. tiene revista telefónica.</v>
          </cell>
          <cell r="D94" t="str">
            <v>X</v>
          </cell>
        </row>
        <row r="95">
          <cell r="B95" t="str">
            <v>4.4</v>
          </cell>
          <cell r="C95" t="str">
            <v>Seguridad Lógica</v>
          </cell>
          <cell r="D95">
            <v>9</v>
          </cell>
          <cell r="E95">
            <v>0</v>
          </cell>
          <cell r="F95">
            <v>0</v>
          </cell>
          <cell r="G95">
            <v>0</v>
          </cell>
          <cell r="H95">
            <v>0</v>
          </cell>
        </row>
        <row r="96">
          <cell r="B96" t="str">
            <v>4.4.1</v>
          </cell>
          <cell r="C96" t="str">
            <v>Manejo de claves y llaves</v>
          </cell>
          <cell r="D96">
            <v>9</v>
          </cell>
          <cell r="E96">
            <v>0</v>
          </cell>
          <cell r="F96">
            <v>0</v>
          </cell>
          <cell r="G96">
            <v>0</v>
          </cell>
          <cell r="H96">
            <v>0</v>
          </cell>
        </row>
        <row r="97">
          <cell r="B97" t="str">
            <v>4.4.1.001</v>
          </cell>
          <cell r="C97" t="str">
            <v>El gerente de oficina cuenta con clave maestra del sistema de alarma, realiza asignación de claves a los colaboradores de acuerdo al procedimiento AIL 457 y AIL 462.</v>
          </cell>
          <cell r="D97" t="str">
            <v>X</v>
          </cell>
        </row>
        <row r="98">
          <cell r="B98" t="str">
            <v>4.4.1.002</v>
          </cell>
          <cell r="C98" t="str">
            <v>Los  colaboradores de la oficina conocen el procedimiento AIL 457 y AIL 462 del manejo de llaves y claves de la oficina.</v>
          </cell>
          <cell r="D98" t="str">
            <v>X</v>
          </cell>
        </row>
        <row r="99">
          <cell r="B99" t="str">
            <v>4.4.1.003</v>
          </cell>
          <cell r="C99" t="str">
            <v>La asignación de claves y llaves entre colaboradores de  la oficina  se encuentra según lo dispuesto en el procedimiento AIL 457 y AIL 462</v>
          </cell>
          <cell r="D99" t="str">
            <v>X</v>
          </cell>
        </row>
        <row r="100">
          <cell r="B100" t="str">
            <v>4.4.1.004</v>
          </cell>
          <cell r="C100" t="str">
            <v>Que los cambios de claves, llaves y alarma cuentan con el formato "FB-OP04-007 acta de entrega de llaves, claves bóvedas, cajas fuertes, cofres y sistema de alarma" completamente diligenciado y firmado.</v>
          </cell>
          <cell r="D100" t="str">
            <v>X</v>
          </cell>
        </row>
        <row r="101">
          <cell r="B101" t="str">
            <v>4.4.1.005</v>
          </cell>
          <cell r="C101" t="str">
            <v>Existe plan de contingencia en caso de pérdida y/o olvido de claves y  llaves.</v>
          </cell>
          <cell r="D101" t="str">
            <v>X</v>
          </cell>
        </row>
        <row r="102">
          <cell r="B102" t="str">
            <v>4.4.1.006</v>
          </cell>
          <cell r="C102" t="str">
            <v>Las llaves de respaldo se encuentran custodiadas en la oficina más cercana y cuenta con actas de entrega.</v>
          </cell>
          <cell r="D102" t="str">
            <v>X</v>
          </cell>
        </row>
        <row r="103">
          <cell r="B103" t="str">
            <v>4.4.1.007</v>
          </cell>
          <cell r="C103" t="str">
            <v>Las claves de los diales digitales y mecánicos se encuentran custodiadas en el centro administrativo regional (CAR) y se cuentan con las actas o memorando de entrega.</v>
          </cell>
          <cell r="D103" t="str">
            <v>X</v>
          </cell>
        </row>
        <row r="104">
          <cell r="B104" t="str">
            <v>4.4.1.008</v>
          </cell>
          <cell r="C104" t="str">
            <v>Los colaboradores conocen la clave de coacción de la oficina,  santo y seña en caso de eventos de riesgo.</v>
          </cell>
          <cell r="D104" t="str">
            <v>X</v>
          </cell>
        </row>
        <row r="105">
          <cell r="B105" t="str">
            <v>4.4.1.009</v>
          </cell>
          <cell r="C105" t="str">
            <v xml:space="preserve">Validar en el último mes que:
cada empleado utiliza la clave de acceso acorde a su perfil funcional y que no presta su clave a otro empleado (vacaciones, baja, etc..), comprobar además que cuando se ausenta de su puesto de trabajo (café, visita cliente, notaría, fin jornada, etc.) bloquea el terminal abierto con su clave. </v>
          </cell>
          <cell r="D105" t="str">
            <v>X</v>
          </cell>
        </row>
        <row r="106">
          <cell r="B106" t="str">
            <v>4.5</v>
          </cell>
          <cell r="C106" t="str">
            <v>Seguridad y salud en el trabajo</v>
          </cell>
          <cell r="D106">
            <v>16</v>
          </cell>
          <cell r="E106">
            <v>2</v>
          </cell>
          <cell r="F106">
            <v>0</v>
          </cell>
          <cell r="G106">
            <v>0</v>
          </cell>
          <cell r="H106">
            <v>0</v>
          </cell>
        </row>
        <row r="107">
          <cell r="B107" t="str">
            <v>4.5.1</v>
          </cell>
          <cell r="C107" t="str">
            <v>Revisión área de Ejecutivos</v>
          </cell>
          <cell r="D107">
            <v>3</v>
          </cell>
          <cell r="E107">
            <v>0</v>
          </cell>
          <cell r="F107">
            <v>0</v>
          </cell>
          <cell r="G107">
            <v>0</v>
          </cell>
          <cell r="H107">
            <v>0</v>
          </cell>
        </row>
        <row r="108">
          <cell r="B108" t="str">
            <v>4.5.1.001</v>
          </cell>
          <cell r="C108" t="str">
            <v>Existen riesgos psicosociales, biomecánicos, biológicos, físicos, como temperatura, ilumincación, radición,  vibración, ruido que afecten al colaborador.</v>
          </cell>
          <cell r="D108" t="str">
            <v>X</v>
          </cell>
        </row>
        <row r="109">
          <cell r="B109" t="str">
            <v>4.5.1.002</v>
          </cell>
          <cell r="C109" t="str">
            <v>Existe extintor multipropósito capacidad 10 lbs, recargado, vigente  y  debidamente señalizado.</v>
          </cell>
          <cell r="D109" t="str">
            <v>X</v>
          </cell>
        </row>
        <row r="110">
          <cell r="B110" t="str">
            <v>4.5.1.003</v>
          </cell>
          <cell r="C110" t="str">
            <v>Cuenta con señalización de evacuación de emergencia,  es visible para personal en general.</v>
          </cell>
          <cell r="D110" t="str">
            <v>X</v>
          </cell>
        </row>
        <row r="111">
          <cell r="B111" t="str">
            <v>4.5.2</v>
          </cell>
          <cell r="C111" t="str">
            <v>Revisión de otros factores</v>
          </cell>
          <cell r="D111">
            <v>2</v>
          </cell>
          <cell r="E111">
            <v>2</v>
          </cell>
          <cell r="F111">
            <v>0</v>
          </cell>
          <cell r="G111">
            <v>0</v>
          </cell>
          <cell r="H111">
            <v>0</v>
          </cell>
        </row>
        <row r="112">
          <cell r="B112" t="str">
            <v>4.5.2.001</v>
          </cell>
          <cell r="C112" t="str">
            <v>Se evidencia almacenamiento de combustibles o líquidos inflamables cerca a la oficina.</v>
          </cell>
          <cell r="E112" t="str">
            <v>X</v>
          </cell>
        </row>
        <row r="113">
          <cell r="B113" t="str">
            <v>4.5.2.002</v>
          </cell>
          <cell r="C113" t="str">
            <v>La oficina cuenta con un botiquín de primeros auxilios, y Camilla, están debidamente señalizados, de fácil ubicación y cuenta con llave custodiada por el brigadista.</v>
          </cell>
          <cell r="D113" t="str">
            <v>X</v>
          </cell>
        </row>
        <row r="114">
          <cell r="B114" t="str">
            <v>4.5.2.003</v>
          </cell>
          <cell r="C114" t="str">
            <v>Los colaboradores conocen el plan de emergencias como rutas y proceso de evacuación,  punto de encuentro en caso de emergencias.</v>
          </cell>
          <cell r="D114" t="str">
            <v>X</v>
          </cell>
        </row>
        <row r="115">
          <cell r="B115" t="str">
            <v>4.5.2.004</v>
          </cell>
          <cell r="C115" t="str">
            <v>El plano de evacuación es acorde con la estructura de la oficina.</v>
          </cell>
          <cell r="E115" t="str">
            <v>X</v>
          </cell>
        </row>
        <row r="116">
          <cell r="B116" t="str">
            <v>4.5.3</v>
          </cell>
          <cell r="C116" t="str">
            <v>Revisión en caja</v>
          </cell>
          <cell r="D116">
            <v>3</v>
          </cell>
          <cell r="E116">
            <v>0</v>
          </cell>
          <cell r="F116">
            <v>0</v>
          </cell>
          <cell r="G116">
            <v>0</v>
          </cell>
          <cell r="H116">
            <v>0</v>
          </cell>
        </row>
        <row r="117">
          <cell r="B117" t="str">
            <v>4.5.3.001</v>
          </cell>
          <cell r="C117" t="str">
            <v>Existen riesgos psicosociales, biomecánicos, biológicos, físicos, como temperatura, ilumincación, radición,  vibración, ruido que afecten al colaborador.</v>
          </cell>
          <cell r="D117" t="str">
            <v>X</v>
          </cell>
        </row>
        <row r="118">
          <cell r="B118" t="str">
            <v>4.5.3.002</v>
          </cell>
          <cell r="C118" t="str">
            <v>Existe extintor solkaflam y/o co2, capacidad 10 lbs, recargado, vigente y debidamente señalizado.</v>
          </cell>
          <cell r="D118" t="str">
            <v>X</v>
          </cell>
        </row>
        <row r="119">
          <cell r="B119" t="str">
            <v>4.5.3.003</v>
          </cell>
          <cell r="C119" t="str">
            <v>Cuenta con señalización de evacuación de emergencia, es visible  para personal en general.</v>
          </cell>
          <cell r="D119" t="str">
            <v>X</v>
          </cell>
        </row>
        <row r="120">
          <cell r="B120" t="str">
            <v>4.5.4</v>
          </cell>
          <cell r="C120" t="str">
            <v>Revisión hall de servicios</v>
          </cell>
          <cell r="D120">
            <v>5</v>
          </cell>
          <cell r="E120">
            <v>0</v>
          </cell>
          <cell r="F120">
            <v>0</v>
          </cell>
          <cell r="G120">
            <v>0</v>
          </cell>
          <cell r="H120">
            <v>0</v>
          </cell>
        </row>
        <row r="121">
          <cell r="B121" t="str">
            <v>4.5.4.001</v>
          </cell>
          <cell r="C121" t="str">
            <v>Existen riesgos psicosociales, biomecánicos, biológicos, físicos, como temperatura, ilumincación, radición,  vibración, ruido que fecten al colaborador.</v>
          </cell>
          <cell r="D121" t="str">
            <v>X</v>
          </cell>
        </row>
        <row r="122">
          <cell r="B122" t="str">
            <v>4.5.4.002</v>
          </cell>
          <cell r="C122" t="str">
            <v>Existe extintor multipropósito capacidad 10 lbs, recargado, vigente  y  debidamente señalizado.</v>
          </cell>
          <cell r="D122" t="str">
            <v>X</v>
          </cell>
        </row>
        <row r="123">
          <cell r="B123" t="str">
            <v>4.5.4.003</v>
          </cell>
          <cell r="C123" t="str">
            <v>Cuenta con plano y señalización de ruta de Evacuación de emergencia,  es visible para personal en general.</v>
          </cell>
          <cell r="D123" t="str">
            <v>X</v>
          </cell>
        </row>
        <row r="124">
          <cell r="B124" t="str">
            <v>4.5.4.004</v>
          </cell>
          <cell r="C124" t="str">
            <v>Cuenta con brigadista capacitado.</v>
          </cell>
          <cell r="D124" t="str">
            <v>X</v>
          </cell>
        </row>
        <row r="125">
          <cell r="B125" t="str">
            <v>4.5.4.005</v>
          </cell>
          <cell r="C125" t="str">
            <v>La oficina cuenta con plan de emergencia y punto de encuentro.</v>
          </cell>
          <cell r="D125" t="str">
            <v>X</v>
          </cell>
        </row>
        <row r="126">
          <cell r="B126" t="str">
            <v>4.5.5</v>
          </cell>
          <cell r="C126" t="str">
            <v>Zona de cuarto técnico</v>
          </cell>
          <cell r="D126">
            <v>3</v>
          </cell>
          <cell r="E126">
            <v>0</v>
          </cell>
          <cell r="F126">
            <v>0</v>
          </cell>
          <cell r="G126">
            <v>0</v>
          </cell>
          <cell r="H126">
            <v>0</v>
          </cell>
        </row>
        <row r="127">
          <cell r="B127" t="str">
            <v>4.5.5.001</v>
          </cell>
          <cell r="C127" t="str">
            <v>Existe extintor solkaflam y/o co2, capacidad 10 lbs, recargado, vigente   y  debidamente señalizado.</v>
          </cell>
          <cell r="D127" t="str">
            <v>X</v>
          </cell>
        </row>
        <row r="128">
          <cell r="B128" t="str">
            <v>4.5.5.002</v>
          </cell>
          <cell r="C128" t="str">
            <v>El área de cuarto técnico permanece cerrado, asegurado y las llaves con custodiadas por el gesto II o coordinador.</v>
          </cell>
          <cell r="D128" t="str">
            <v>X</v>
          </cell>
        </row>
        <row r="129">
          <cell r="B129" t="str">
            <v>4.5.5.003</v>
          </cell>
          <cell r="C129" t="str">
            <v>Existe sistema de refrigeración para los elementos custodiados.</v>
          </cell>
          <cell r="D129" t="str">
            <v>X</v>
          </cell>
        </row>
      </sheetData>
      <sheetData sheetId="16">
        <row r="8">
          <cell r="B8" t="str">
            <v>5.1</v>
          </cell>
          <cell r="C8" t="str">
            <v>Control conocimiento del cliente</v>
          </cell>
          <cell r="D8">
            <v>4</v>
          </cell>
          <cell r="E8">
            <v>2</v>
          </cell>
          <cell r="F8">
            <v>0</v>
          </cell>
          <cell r="G8">
            <v>0</v>
          </cell>
          <cell r="H8">
            <v>0</v>
          </cell>
        </row>
        <row r="9">
          <cell r="B9" t="str">
            <v>5.1.1</v>
          </cell>
          <cell r="C9" t="str">
            <v>Conocimiento del cliente</v>
          </cell>
          <cell r="D9">
            <v>4</v>
          </cell>
          <cell r="E9">
            <v>0</v>
          </cell>
          <cell r="F9">
            <v>0</v>
          </cell>
          <cell r="G9">
            <v>0</v>
          </cell>
          <cell r="H9">
            <v>0</v>
          </cell>
        </row>
        <row r="10">
          <cell r="B10" t="str">
            <v>5.1.1.001</v>
          </cell>
          <cell r="C10" t="str">
            <v>El personal realiza validación de las referencias y deja evidencia de los hallazgos (Dejan soportes).</v>
          </cell>
          <cell r="D10" t="str">
            <v>X</v>
          </cell>
        </row>
        <row r="11">
          <cell r="B11" t="str">
            <v>5.1.1.002</v>
          </cell>
          <cell r="C11" t="str">
            <v>Revisión del diligenciamiento del formato de actualización de información del cliente con su firma y la respectiva actualización en el core bancario.</v>
          </cell>
          <cell r="D11" t="str">
            <v>X</v>
          </cell>
        </row>
        <row r="12">
          <cell r="B12" t="str">
            <v>5.1.1.003</v>
          </cell>
          <cell r="C12" t="str">
            <v>Validar que  la información registrada en el core bancario este acorde a la registrada en los formatos de vinculación de .</v>
          </cell>
          <cell r="D12" t="str">
            <v>X</v>
          </cell>
        </row>
        <row r="13">
          <cell r="B13" t="str">
            <v>5.1.1.004</v>
          </cell>
          <cell r="C13" t="str">
            <v>Se realiza visita a las instalaciones de la unidad productiva del cliente previo al otorgamiento del producto dejando evidencia del concepto en el formato de visita.</v>
          </cell>
          <cell r="D13" t="str">
            <v>X</v>
          </cell>
        </row>
        <row r="14">
          <cell r="B14" t="str">
            <v>5.1.2</v>
          </cell>
          <cell r="C14" t="str">
            <v>Monitoreo transaccional de los clientes.</v>
          </cell>
          <cell r="D14">
            <v>0</v>
          </cell>
          <cell r="E14">
            <v>1</v>
          </cell>
          <cell r="F14">
            <v>0</v>
          </cell>
          <cell r="G14">
            <v>0</v>
          </cell>
          <cell r="H14">
            <v>0</v>
          </cell>
        </row>
        <row r="15">
          <cell r="B15" t="str">
            <v>5.1.2.001</v>
          </cell>
          <cell r="C15" t="str">
            <v>Se encuentra diligenciada la declaración de operaciones en efectivo superiores o iguales a $10 MM con huella y firma del cliente.</v>
          </cell>
          <cell r="E15" t="str">
            <v>X</v>
          </cell>
        </row>
        <row r="16">
          <cell r="B16" t="str">
            <v>5.1.3</v>
          </cell>
          <cell r="C16" t="str">
            <v>Revisión del control de vinculación de Clientes</v>
          </cell>
          <cell r="D16">
            <v>0</v>
          </cell>
          <cell r="E16">
            <v>1</v>
          </cell>
          <cell r="F16">
            <v>0</v>
          </cell>
          <cell r="G16">
            <v>0</v>
          </cell>
          <cell r="H16">
            <v>0</v>
          </cell>
        </row>
        <row r="17">
          <cell r="B17" t="str">
            <v>5.1.3.001</v>
          </cell>
          <cell r="C17" t="str">
            <v>Revisión de la completitud del diligenciamiento del  formato de vinculación de clientes.</v>
          </cell>
          <cell r="E17" t="str">
            <v>X</v>
          </cell>
        </row>
        <row r="18">
          <cell r="B18" t="str">
            <v>5.2</v>
          </cell>
          <cell r="C18" t="str">
            <v>Control de soportes y autorizaciones</v>
          </cell>
          <cell r="D18">
            <v>2</v>
          </cell>
          <cell r="E18">
            <v>0</v>
          </cell>
          <cell r="F18">
            <v>0</v>
          </cell>
          <cell r="G18">
            <v>0</v>
          </cell>
          <cell r="H18">
            <v>0</v>
          </cell>
        </row>
        <row r="19">
          <cell r="B19" t="str">
            <v>5.2.1</v>
          </cell>
          <cell r="C19" t="str">
            <v>Revisión del control de vinculación de Clientes</v>
          </cell>
          <cell r="D19">
            <v>2</v>
          </cell>
          <cell r="E19">
            <v>0</v>
          </cell>
          <cell r="F19">
            <v>0</v>
          </cell>
          <cell r="G19">
            <v>0</v>
          </cell>
          <cell r="H19">
            <v>0</v>
          </cell>
        </row>
        <row r="20">
          <cell r="B20" t="str">
            <v>5.2.1.001</v>
          </cell>
          <cell r="C20" t="str">
            <v>Revisión sobre la completitud  de los documentos que soportan la apertura del producto del cliente.</v>
          </cell>
          <cell r="D20" t="str">
            <v>X</v>
          </cell>
        </row>
        <row r="21">
          <cell r="B21" t="str">
            <v>5.2.1.002</v>
          </cell>
          <cell r="C21" t="str">
            <v>Se valida que la aprobación de los PEP fue realizada en el core bancario por parte del Gerente Zonal.</v>
          </cell>
          <cell r="D21" t="str">
            <v>X</v>
          </cell>
        </row>
      </sheetData>
      <sheetData sheetId="17"/>
      <sheetData sheetId="18"/>
      <sheetData sheetId="19"/>
      <sheetData sheetId="20"/>
      <sheetData sheetId="21"/>
      <sheetData sheetId="22"/>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ub_Componente" xr10:uid="{FCA5C724-F2FF-4FD9-BDA4-2E040765CB4E}" sourceName="Componente">
  <extLst>
    <x:ext xmlns:x15="http://schemas.microsoft.com/office/spreadsheetml/2010/11/main" uri="{2F2917AC-EB37-4324-AD4E-5DD8C200BD13}">
      <x15:tableSlicerCache tableId="1" column="2"/>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tividad121" xr10:uid="{35224543-6B0B-4470-8827-5BE08A4E394C}" sourceName="Actividad">
  <extLst>
    <x:ext xmlns:x15="http://schemas.microsoft.com/office/spreadsheetml/2010/11/main" uri="{2F2917AC-EB37-4324-AD4E-5DD8C200BD13}">
      <x15:tableSlicerCache tableId="5" column="14"/>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ub_Componente1" xr10:uid="{6205D6D4-A36D-4336-8822-8CEC9CE3FFE8}" sourceName="Sub Componente">
  <extLst>
    <x:ext xmlns:x15="http://schemas.microsoft.com/office/spreadsheetml/2010/11/main" uri="{2F2917AC-EB37-4324-AD4E-5DD8C200BD13}">
      <x15:tableSlicerCache tableId="6" column="2"/>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tividad13" xr10:uid="{002E86AC-2190-4866-9224-E17C1802D6C8}" sourceName="Actividad">
  <extLst>
    <x:ext xmlns:x15="http://schemas.microsoft.com/office/spreadsheetml/2010/11/main" uri="{2F2917AC-EB37-4324-AD4E-5DD8C200BD13}">
      <x15:tableSlicerCache tableId="6" column="1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tividad1" xr10:uid="{16AB1899-E4A1-4152-80F2-9D8C1976EE63}" sourceName="Sub Componente">
  <extLst>
    <x:ext xmlns:x15="http://schemas.microsoft.com/office/spreadsheetml/2010/11/main" uri="{2F2917AC-EB37-4324-AD4E-5DD8C200BD13}">
      <x15:tableSlicerCache tableId="1" column="1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ub_Componente2" xr10:uid="{DC580FFD-70AD-49BA-B0B2-C0C0B8E3D766}" sourceName="Sub Componente">
  <extLst>
    <x:ext xmlns:x15="http://schemas.microsoft.com/office/spreadsheetml/2010/11/main" uri="{2F2917AC-EB37-4324-AD4E-5DD8C200BD13}">
      <x15:tableSlicerCache tableId="2"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tividad11" xr10:uid="{C9FDC78A-F3FC-4B9F-907C-295989A72272}" sourceName="Actividad">
  <extLst>
    <x:ext xmlns:x15="http://schemas.microsoft.com/office/spreadsheetml/2010/11/main" uri="{2F2917AC-EB37-4324-AD4E-5DD8C200BD13}">
      <x15:tableSlicerCache tableId="2" column="1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tividad111" xr10:uid="{0D883D2F-EB2F-4526-92F5-04B20BD5FB02}" sourceName="Sub Componente">
  <extLst>
    <x:ext xmlns:x15="http://schemas.microsoft.com/office/spreadsheetml/2010/11/main" uri="{2F2917AC-EB37-4324-AD4E-5DD8C200BD13}">
      <x15:tableSlicerCache tableId="3" column="14"/>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tividad2" xr10:uid="{825D8525-5F6F-48E6-90A0-E66B03D532D5}" sourceName="Actividad">
  <extLst>
    <x:ext xmlns:x15="http://schemas.microsoft.com/office/spreadsheetml/2010/11/main" uri="{2F2917AC-EB37-4324-AD4E-5DD8C200BD13}">
      <x15:tableSlicerCache tableId="3" column="23"/>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ub_Componente3" xr10:uid="{B8E1DA76-0C16-405C-A430-FFDAC90DA6F9}" sourceName="Sub Componente">
  <extLst>
    <x:ext xmlns:x15="http://schemas.microsoft.com/office/spreadsheetml/2010/11/main" uri="{2F2917AC-EB37-4324-AD4E-5DD8C200BD13}">
      <x15:tableSlicerCache tableId="4" column="2"/>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tividad12" xr10:uid="{943E4344-6F6E-4966-A319-249A6128AF5D}" sourceName="Actividad">
  <extLst>
    <x:ext xmlns:x15="http://schemas.microsoft.com/office/spreadsheetml/2010/11/main" uri="{2F2917AC-EB37-4324-AD4E-5DD8C200BD13}">
      <x15:tableSlicerCache tableId="4" column="14"/>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ub_Componente31" xr10:uid="{08E3AA3E-2BB9-4805-8126-E02876EA7EDB}" sourceName="Sub Componente">
  <extLst>
    <x:ext xmlns:x15="http://schemas.microsoft.com/office/spreadsheetml/2010/11/main" uri="{2F2917AC-EB37-4324-AD4E-5DD8C200BD13}">
      <x15:tableSlicerCache tableId="5"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 Componente" xr10:uid="{B282E184-F97D-4AB8-BE4E-B3D8EC5726DD}" cache="SegmentaciónDeDatos_Sub_Componente" caption="Componente" style="SlicerStyleOther1" rowHeight="241300"/>
  <slicer name="Actividad 1" xr10:uid="{7F56F2DD-0E2B-4F42-88ED-0798C183D8F7}" cache="SegmentaciónDeDatos_Actividad1" caption="Sub Componente" style="SlicerStyleOther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 Componente 2" xr10:uid="{8ABA52DB-39A3-4DDC-BDAE-D17D737FF4DB}" cache="SegmentaciónDeDatos_Sub_Componente2" caption="Sub Componente" style="SlicerStyleOther1" rowHeight="241300"/>
  <slicer name="Actividad 2" xr10:uid="{3DB8CF8B-2C48-4700-A63D-822031995DD7}" cache="SegmentaciónDeDatos_Actividad11" caption="Actividad" style="SlicerStyleOther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ctividad 3" xr10:uid="{6FD7BFF6-2C0F-4060-A31F-231B0C5D0EC0}" cache="SegmentaciónDeDatos_Actividad111" caption="Sub Componente" style="SlicerStyleOther1" rowHeight="241300"/>
  <slicer name="Actividad 6" xr10:uid="{03AFEE60-B06E-496C-8BB7-B0B412001194}" cache="SegmentaciónDeDatos_Actividad2" caption="Actividad" style="SlicerStyleOther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 Componente 4" xr10:uid="{F85E8340-5362-45F7-9BFC-2D0C1E22F809}" cache="SegmentaciónDeDatos_Sub_Componente3" caption="Sub Componente" style="SlicerStyleOther1" rowHeight="241300"/>
  <slicer name="Actividad 4" xr10:uid="{09C33715-631C-449F-A943-71DA6B438DC0}" cache="SegmentaciónDeDatos_Actividad12" caption="Actividad" startItem="4" style="SlicerStyleOther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 Componente 5" xr10:uid="{499E96D8-D765-4681-99B7-B52003609150}" cache="SegmentaciónDeDatos_Sub_Componente31" caption="Sub Componente" style="SlicerStyleOther1" rowHeight="241300"/>
  <slicer name="Actividad 5" xr10:uid="{984199CE-4B71-456C-A28C-C42F032ADE4B}" cache="SegmentaciónDeDatos_Actividad121" caption="Actividad" style="SlicerStyleOther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b Componente 1" xr10:uid="{F5E685F9-83F6-4A9D-A756-5060185FA796}" cache="SegmentaciónDeDatos_Sub_Componente1" caption="Sub Componente" style="SlicerStyleOther1" rowHeight="241300"/>
  <slicer name="Actividad 7" xr10:uid="{0C712FE6-E4E0-446A-8DBB-B880803902D1}" cache="SegmentaciónDeDatos_Actividad13" caption="Actividad" style="SlicerStyleOther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2E5866-7313-4CA7-9E80-F0EA85CFCCA8}" name="Contacts" displayName="Contacts" ref="C8:R43" headerRowDxfId="194" dataDxfId="193" totalsRowDxfId="192">
  <autoFilter ref="C8:R43" xr:uid="{00000000-0009-0000-0100-000008000000}">
    <filterColumn colId="3">
      <filters>
        <filter val="Controles de Seguridad de la Información"/>
      </filters>
    </filterColumn>
  </autoFilter>
  <tableColumns count="16">
    <tableColumn id="24" xr3:uid="{B4A41C56-395B-4CC6-B257-4C66C2CB4D2F}" name="Código" dataDxfId="191" totalsRowDxfId="190">
      <calculatedColumnFormula>VLOOKUP(Contacts[[#This Row],[Código Tarea]],'[7]4. Directorio Integrado'!$B$4:$N$245,2,0)</calculatedColumnFormula>
    </tableColumn>
    <tableColumn id="23" xr3:uid="{9BC93DB1-DAE9-44C1-899A-43EE9A23FEA3}" name="Sistema" dataDxfId="189" totalsRowDxfId="188">
      <calculatedColumnFormula>VLOOKUP(Contacts[[#This Row],[Código Tarea]],'[7]4. Directorio Integrado'!$B$4:$N$245,3,0)</calculatedColumnFormula>
    </tableColumn>
    <tableColumn id="1" xr3:uid="{9DCBB793-5F17-4C8B-B921-22ADCD6ECBAD}" name="Código2" totalsRowLabel="Total" dataDxfId="187">
      <calculatedColumnFormula>VLOOKUP(Contacts[[#This Row],[Código Tarea]],'[7]4. Directorio Integrado'!$B$4:$N$245,4,0)</calculatedColumnFormula>
    </tableColumn>
    <tableColumn id="2" xr3:uid="{FB01FA05-AF2A-4F5E-ACDE-49B51D73C6B1}" name="Componente" dataDxfId="186">
      <calculatedColumnFormula>VLOOKUP(Contacts[[#This Row],[Código Tarea]],'[7]4. Directorio Integrado'!$B$4:$N$245,5,0)</calculatedColumnFormula>
    </tableColumn>
    <tableColumn id="3" xr3:uid="{EF7D0044-648D-4C56-9DCF-E2A467D1C4F0}" name="Código actividad" totalsRowFunction="count" dataDxfId="185">
      <calculatedColumnFormula>VLOOKUP(Contacts[[#This Row],[Código Tarea]],'[7]4. Directorio Integrado'!$B$4:$N$245,6,0)</calculatedColumnFormula>
    </tableColumn>
    <tableColumn id="14" xr3:uid="{5838B7F5-2653-48BC-8ADC-C3368A5D30EA}" name="Sub Componente" dataDxfId="184">
      <calculatedColumnFormula>VLOOKUP(Contacts[[#This Row],[Código Tarea]],'[7]4. Directorio Integrado'!$B$4:$N$245,7,0)</calculatedColumnFormula>
    </tableColumn>
    <tableColumn id="4" xr3:uid="{AE490CA2-6346-41F7-8CF6-8FC0CFAC43D7}" name="Código Tarea" dataDxfId="183">
      <calculatedColumnFormula>IFERROR((IF('[7]4. Directorio Integrado'!C4=1,'[7]4. Directorio Integrado'!I4,IF('[7]4. Directorio Integrado'!C4=2,"",IF('[7]4. Directorio Integrado'!C4=3,"",IF('[7]4. Directorio Integrado'!C4=4,"",IF('[7]4. Directorio Integrado'!C4=5,"",IF('[7]4. Directorio Integrado'!C4=6,""))))))),"")</calculatedColumnFormula>
    </tableColumn>
    <tableColumn id="5" xr3:uid="{71897ED2-A71C-49F3-B752-56410E9E67C3}" name="Tarea de verificación" dataDxfId="182">
      <calculatedColumnFormula>IFERROR((VLOOKUP(Contacts[[#This Row],[Código Tarea]],'[7]4. Directorio Integrado'!I$4:J$1048576,2,0)),"")</calculatedColumnFormula>
    </tableColumn>
    <tableColumn id="6" xr3:uid="{ADBA0428-1C96-4B99-88FA-D1BAAAF0FB59}" name="Tipo de inspección" dataDxfId="181">
      <calculatedColumnFormula>IFERROR((VLOOKUP(Contacts[[#This Row],[Código Tarea]],'[7]4. Directorio Integrado'!I$4:K$1048576,3,0)),"")</calculatedColumnFormula>
    </tableColumn>
    <tableColumn id="18" xr3:uid="{C038F87B-323F-43BE-B588-0E6529E2D16A}" name="Cumple" dataDxfId="180">
      <calculatedColumnFormula>VLOOKUP(Contacts[[#This Row],[Código Tarea]],'[7]Formato 1- Riesgo Operativo'!$B$8:$H$54,3,0)</calculatedColumnFormula>
    </tableColumn>
    <tableColumn id="22" xr3:uid="{73AD4C98-0998-4275-87C3-1265A058EB8D}" name="No Cumple" dataDxfId="179">
      <calculatedColumnFormula>VLOOKUP(Contacts[[#This Row],[Código Tarea]],'[7]Formato 1- Riesgo Operativo'!$B$8:$H$54,4,0)</calculatedColumnFormula>
    </tableColumn>
    <tableColumn id="21" xr3:uid="{79E6C3F5-342B-4DE3-8DDA-8AC90E49568C}" name="N.A." dataDxfId="178">
      <calculatedColumnFormula>VLOOKUP(Contacts[[#This Row],[Código Tarea]],'[7]Formato 1- Riesgo Operativo'!$B$8:$H$54,5,0)</calculatedColumnFormula>
    </tableColumn>
    <tableColumn id="15" xr3:uid="{BD0D6928-1F3D-4618-9B95-50646394ED97}" name="Acción Preventiva" dataDxfId="177">
      <calculatedColumnFormula>VLOOKUP(Contacts[[#This Row],[Código Tarea]],'[7]Formato 1- Riesgo Operativo'!$B$8:$H$54,6,0)</calculatedColumnFormula>
    </tableColumn>
    <tableColumn id="13" xr3:uid="{C0393AA1-A11F-4DB1-B8C2-9867E07A1E78}" name="Acción Correctiva" dataDxfId="176">
      <calculatedColumnFormula>VLOOKUP(Contacts[[#This Row],[Código Tarea]],'[7]Formato 1- Riesgo Operativo'!$B$8:$H$54,7,0)</calculatedColumnFormula>
    </tableColumn>
    <tableColumn id="25" xr3:uid="{CC38A1B5-CEA6-4E38-843B-B821794169BA}" name="Observaciones / Recomendaciones" dataDxfId="175">
      <calculatedColumnFormula>VLOOKUP(Contacts[[#This Row],[Código Tarea]],'[7]Formato 1- Riesgo Operativo'!$B$8:$I$54,8,0)</calculatedColumnFormula>
    </tableColumn>
    <tableColumn id="7" xr3:uid="{6FACC566-159D-4E8D-AE2F-A5E704119C73}" name="Proceso origen" dataDxfId="174">
      <calculatedColumnFormula>VLOOKUP(Contacts[[#This Row],[Código Tarea]],'[7]4. Directorio Integrado'!$I$4:$M$231,5,0)</calculatedColumnFormula>
    </tableColumn>
  </tableColumns>
  <tableStyleInfo name="Contacts" showFirstColumn="0" showLastColumn="0" showRowStripes="1" showColumnStripes="0"/>
  <extLst>
    <ext xmlns:x14="http://schemas.microsoft.com/office/spreadsheetml/2009/9/main" uri="{504A1905-F514-4f6f-8877-14C23A59335A}">
      <x14:table altText="Tabla de contactos" altTextSummary="Lista de información de contacto, como Id. de cliente, compañía, contacto, tipo de contacto, teléfono, móvil, fax, correo electrónico, Twitter, Facebook, LinkedIn, sitio web, dirección, etc.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86B921-5A54-4517-BBC7-716E336D678D}" name="Contacts4" displayName="Contacts4" ref="C8:Q73" headerRowDxfId="173" dataDxfId="172" totalsRowDxfId="171">
  <autoFilter ref="C8:Q73" xr:uid="{00000000-0009-0000-0100-000003000000}"/>
  <sortState xmlns:xlrd2="http://schemas.microsoft.com/office/spreadsheetml/2017/richdata2" ref="C9:Q73">
    <sortCondition ref="I8:I73"/>
  </sortState>
  <tableColumns count="15">
    <tableColumn id="24" xr3:uid="{2847EC99-9B2D-4D49-9F10-DB379EB33FC2}" name="Código" dataDxfId="170" totalsRowDxfId="169" dataCellStyle="Normal 4">
      <calculatedColumnFormula>VLOOKUP(Contacts4[[#This Row],[Código Tarea]],'[7]4. Directorio Integrado'!$B$4:$N$245,2,0)</calculatedColumnFormula>
    </tableColumn>
    <tableColumn id="23" xr3:uid="{1AEAF41B-A6B9-495A-9DE6-E048119B5D59}" name="Componentes" dataDxfId="168" totalsRowDxfId="167" dataCellStyle="Normal 4">
      <calculatedColumnFormula>VLOOKUP(Contacts4[[#This Row],[Código Tarea]],'[7]4. Directorio Integrado'!$B$4:$N$245,3,0)</calculatedColumnFormula>
    </tableColumn>
    <tableColumn id="1" xr3:uid="{4226EEEE-0FBF-4FCD-B1EF-D696D69161BD}" name="Código2" totalsRowLabel="Total" dataDxfId="166">
      <calculatedColumnFormula>VLOOKUP(Contacts4[[#This Row],[Código Tarea]],'[7]4. Directorio Integrado'!$B$4:$N$245,4,0)</calculatedColumnFormula>
    </tableColumn>
    <tableColumn id="2" xr3:uid="{61072D9A-D35B-49A5-9F0F-AACA3ED43C22}" name="Sub Componente" dataDxfId="165">
      <calculatedColumnFormula>VLOOKUP(Contacts4[[#This Row],[Código Tarea]],'[7]4. Directorio Integrado'!$B$4:$N$245,5,0)</calculatedColumnFormula>
    </tableColumn>
    <tableColumn id="3" xr3:uid="{5BA00FFF-6EC7-49E7-AA65-1FAB6588846D}" name="Código actividad" totalsRowFunction="count" dataDxfId="164">
      <calculatedColumnFormula>VLOOKUP(Contacts4[[#This Row],[Código Tarea]],'[7]4. Directorio Integrado'!$B$4:$N$245,6,0)</calculatedColumnFormula>
    </tableColumn>
    <tableColumn id="14" xr3:uid="{521D9729-BB73-4ED6-8E10-0124289099FE}" name="Actividad" dataDxfId="163">
      <calculatedColumnFormula>VLOOKUP(Contacts4[[#This Row],[Código Tarea]],'[7]4. Directorio Integrado'!$B$4:$N$245,7,0)</calculatedColumnFormula>
    </tableColumn>
    <tableColumn id="4" xr3:uid="{96D3C056-AE2E-4EC1-B56B-18BFD759F1A6}" name="Código Tarea" dataDxfId="162">
      <calculatedColumnFormula>'[7]4. Directorio Integrado'!I39</calculatedColumnFormula>
    </tableColumn>
    <tableColumn id="5" xr3:uid="{30FB0D85-D139-4BB5-8FFC-42441C897268}" name="Tarea de verificación" dataDxfId="161">
      <calculatedColumnFormula>IFERROR((VLOOKUP(Contacts4[[#This Row],[Código Tarea]],'[7]4. Directorio Integrado'!I$4:J$1048576,2,0)),"")</calculatedColumnFormula>
    </tableColumn>
    <tableColumn id="6" xr3:uid="{DBB92A4C-5A54-4BBC-B46E-B6F17827AF75}" name="Tipo de inspección" dataDxfId="160">
      <calculatedColumnFormula>IFERROR((VLOOKUP(Contacts4[[#This Row],[Código Tarea]],'[7]4. Directorio Integrado'!I$4:K$1048576,3,0)),"")</calculatedColumnFormula>
    </tableColumn>
    <tableColumn id="18" xr3:uid="{3A9C99E3-740B-41CA-8E11-5049DC4434B2}" name="Cumple" dataDxfId="159">
      <calculatedColumnFormula>IF((VLOOKUP(Contacts4[[#This Row],[Código Tarea]],'[7]Formato 2 - SGSI'!$B$10:$I$83,3,0))=0,"",(VLOOKUP(Contacts4[[#This Row],[Código Tarea]],'[7]Formato 2 - SGSI'!$B$10:$I$83,3,0)))</calculatedColumnFormula>
    </tableColumn>
    <tableColumn id="22" xr3:uid="{F880A8A4-6D94-4C55-9A34-EE65834BCFD5}" name="No Cumple" dataDxfId="158">
      <calculatedColumnFormula>IF((VLOOKUP(Contacts4[[#This Row],[Código Tarea]],'[7]Formato 2 - SGSI'!$B$10:$I$83,4,0))=0,"",(VLOOKUP(Contacts4[[#This Row],[Código Tarea]],'[7]Formato 2 - SGSI'!$B$10:$I$83,4)))</calculatedColumnFormula>
    </tableColumn>
    <tableColumn id="21" xr3:uid="{33EACB31-D6D6-41DF-84E7-2865E0849EAD}" name="N.A." dataDxfId="157">
      <calculatedColumnFormula>IF((VLOOKUP(Contacts4[[#This Row],[Código Tarea]],'[7]Formato 2 - SGSI'!$B$10:$I$83,5,0))=0,"",(VLOOKUP(Contacts4[[#This Row],[Código Tarea]],'[7]Formato 2 - SGSI'!$B$10:$I$83,5)))</calculatedColumnFormula>
    </tableColumn>
    <tableColumn id="15" xr3:uid="{58BFD731-78B3-4DB2-948B-CDDC26403E7F}" name="Acción Preventiva" dataDxfId="156">
      <calculatedColumnFormula>IF((VLOOKUP(Contacts4[[#This Row],[Código Tarea]],'[7]Formato 2 - SGSI'!$B$10:$I$83,6,0))=0,"",(VLOOKUP(Contacts4[[#This Row],[Código Tarea]],'[7]Formato 2 - SGSI'!$B$10:$I$83,6)))</calculatedColumnFormula>
    </tableColumn>
    <tableColumn id="13" xr3:uid="{57A5E4A0-DB7B-4BF3-B613-17EF2A75AB5E}" name="Acción Correctiva" dataDxfId="155">
      <calculatedColumnFormula>IF((VLOOKUP(Contacts4[[#This Row],[Código Tarea]],'[7]Formato 2 - SGSI'!$B$10:$I$83,7,0))=0,"",(VLOOKUP(Contacts4[[#This Row],[Código Tarea]],'[7]Formato 2 - SGSI'!$B$10:$I$83,7)))</calculatedColumnFormula>
    </tableColumn>
    <tableColumn id="7" xr3:uid="{66C1AC76-1200-4ADF-A11C-BEF5FF7FC5AD}" name="Proceso origen" dataDxfId="154">
      <calculatedColumnFormula>VLOOKUP(Contacts4[[#This Row],[Código Tarea]],'[7]4. Directorio Integrado'!$I$4:$M$245,5,0)</calculatedColumnFormula>
    </tableColumn>
  </tableColumns>
  <tableStyleInfo name="Contacts" showFirstColumn="0" showLastColumn="0" showRowStripes="1" showColumnStripes="0"/>
  <extLst>
    <ext xmlns:x14="http://schemas.microsoft.com/office/spreadsheetml/2009/9/main" uri="{504A1905-F514-4f6f-8877-14C23A59335A}">
      <x14:table altText="Tabla de contactos" altTextSummary="Lista de información de contacto, como Id. de cliente, compañía, contacto, tipo de contacto, teléfono, móvil, fax, correo electrónico, Twitter, Facebook, LinkedIn, sitio web, dirección, etc.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5E7B4B-F79E-41F3-8421-67AC8B939E30}" name="Contacts45" displayName="Contacts45" ref="C8:Q27" headerRowDxfId="139" dataDxfId="138" totalsRowDxfId="137">
  <autoFilter ref="C8:Q27" xr:uid="{00000000-0009-0000-0100-000004000000}"/>
  <tableColumns count="15">
    <tableColumn id="1" xr3:uid="{B352F8F8-C812-4A69-99D3-87160C8EA0AC}" name="Código" totalsRowLabel="Total" dataDxfId="136">
      <calculatedColumnFormula>VLOOKUP(Contacts45[[#This Row],[Código Tarea ]],'[7]4. Directorio Integrado'!$B$4:$N$245,2,0)</calculatedColumnFormula>
    </tableColumn>
    <tableColumn id="2" xr3:uid="{A745209D-3EBB-40C0-A9C8-E5DA084E7B7C}" name="Componentes" dataDxfId="135">
      <calculatedColumnFormula>VLOOKUP(Contacts45[[#This Row],[Código Tarea ]],'[7]4. Directorio Integrado'!$B$4:$N$245,3,0)</calculatedColumnFormula>
    </tableColumn>
    <tableColumn id="3" xr3:uid="{2375D3D7-A72A-4F33-B82B-805FB64DC1A8}" name="Código2" totalsRowFunction="count" dataDxfId="134">
      <calculatedColumnFormula>VLOOKUP(Contacts45[[#This Row],[Código Tarea ]],'[7]4. Directorio Integrado'!$B$4:$N$245,4,0)</calculatedColumnFormula>
    </tableColumn>
    <tableColumn id="14" xr3:uid="{5EA37779-92EC-43C7-9064-7B61ACA098B1}" name="Sub Componente" dataDxfId="133">
      <calculatedColumnFormula>VLOOKUP(Contacts45[[#This Row],[Código Tarea ]],'[7]4. Directorio Integrado'!$B$4:$N$245,5,0)</calculatedColumnFormula>
    </tableColumn>
    <tableColumn id="24" xr3:uid="{5428F880-C220-4BDB-B97C-D5F4C620FB2E}" name="Código3" dataDxfId="132">
      <calculatedColumnFormula>VLOOKUP(Contacts45[[#This Row],[Código Tarea ]],'[7]4. Directorio Integrado'!$B$4:$N$245,6,0)</calculatedColumnFormula>
    </tableColumn>
    <tableColumn id="23" xr3:uid="{EB032400-A939-4196-937B-6E8E26CB0C37}" name="Actividad" dataDxfId="131">
      <calculatedColumnFormula>VLOOKUP(Contacts45[[#This Row],[Código Tarea ]],'[7]4. Directorio Integrado'!$B$4:$N$245,7,0)</calculatedColumnFormula>
    </tableColumn>
    <tableColumn id="4" xr3:uid="{42EC9B65-9D38-4273-911B-CB15B6D2CC6C}" name="Código Tarea " dataDxfId="130">
      <calculatedColumnFormula>'[7]4. Directorio Integrado'!I104</calculatedColumnFormula>
    </tableColumn>
    <tableColumn id="5" xr3:uid="{759E9111-CFCE-4107-A179-8679A227FDFB}" name="Tarea de verificación" dataDxfId="129">
      <calculatedColumnFormula>VLOOKUP(Contacts45[[#This Row],[Código Tarea ]],'[7]4. Directorio Integrado'!$I$104:$J$122,2,0)</calculatedColumnFormula>
    </tableColumn>
    <tableColumn id="6" xr3:uid="{A618F93D-17F5-41C3-8727-4ED2B2022564}" name="Tipo de inspección" dataDxfId="128">
      <calculatedColumnFormula>IFERROR((VLOOKUP(Contacts45[[#This Row],[Código Tarea ]],'[7]4. Directorio Integrado'!I$4:K$1048576,3,0)),"")</calculatedColumnFormula>
    </tableColumn>
    <tableColumn id="18" xr3:uid="{FCBD85E3-6932-4D02-ADED-61AA908BE076}" name="Cumple" dataDxfId="127">
      <calculatedColumnFormula>VLOOKUP(Contacts45[[#This Row],[Código Tarea ]],'[7]Formato 3 - SAC'!$B$10:$I$34,3,0)</calculatedColumnFormula>
    </tableColumn>
    <tableColumn id="22" xr3:uid="{59E564AC-990D-49BB-976E-A2228D9760C7}" name="No Cumple" dataDxfId="126">
      <calculatedColumnFormula>VLOOKUP(Contacts45[[#This Row],[Código Tarea ]],'[7]Formato 3 - SAC'!$B$10:$I$34,4,0)</calculatedColumnFormula>
    </tableColumn>
    <tableColumn id="21" xr3:uid="{095CB86A-2203-48D4-942C-7BA93C05E85B}" name="N.A." dataDxfId="125">
      <calculatedColumnFormula>VLOOKUP(Contacts45[[#This Row],[Código Tarea ]],'[7]Formato 3 - SAC'!$B$10:$I$34,5,0)</calculatedColumnFormula>
    </tableColumn>
    <tableColumn id="15" xr3:uid="{9A6E8A81-7439-4A90-8C39-FC94DB854067}" name="Acción Preventiva" dataDxfId="124">
      <calculatedColumnFormula>VLOOKUP(Contacts45[[#This Row],[Código Tarea ]],'[7]Formato 3 - SAC'!$B$10:$I$34,6,0)</calculatedColumnFormula>
    </tableColumn>
    <tableColumn id="13" xr3:uid="{19C783DB-D49F-4F85-A3BE-503F649D77E8}" name="Acción Correctiva" dataDxfId="123">
      <calculatedColumnFormula>VLOOKUP(Contacts45[[#This Row],[Código Tarea ]],'[7]Formato 3 - SAC'!$B$10:$I$34,7,0)</calculatedColumnFormula>
    </tableColumn>
    <tableColumn id="7" xr3:uid="{C46C230C-BB56-4E4C-91F8-391694B12933}" name="Proceso origen" dataDxfId="122">
      <calculatedColumnFormula>VLOOKUP(Contacts45[[#This Row],[Código Tarea ]],'[7]4. Directorio Integrado'!$I$4:$M$245,5,0)</calculatedColumnFormula>
    </tableColumn>
  </tableColumns>
  <tableStyleInfo name="Contacts" showFirstColumn="0" showLastColumn="0" showRowStripes="1" showColumnStripes="0"/>
  <extLst>
    <ext xmlns:x14="http://schemas.microsoft.com/office/spreadsheetml/2009/9/main" uri="{504A1905-F514-4f6f-8877-14C23A59335A}">
      <x14:table altText="Tabla de contactos" altTextSummary="Lista de información de contacto, como Id. de cliente, compañía, contacto, tipo de contacto, teléfono, móvil, fax, correo electrónico, Twitter, Facebook, LinkedIn, sitio web, dirección, etc.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E90CF6-DBAF-4A2D-9BF3-0F7F020E8E8D}" name="Contacts6" displayName="Contacts6" ref="C8:R105" headerRowDxfId="79" dataDxfId="78" totalsRowDxfId="77">
  <autoFilter ref="C8:R105" xr:uid="{00000000-0009-0000-0100-000005000000}"/>
  <tableColumns count="16">
    <tableColumn id="24" xr3:uid="{40262A40-4C13-4E4F-957A-CF668BA8D5DC}" name="Código" dataDxfId="76">
      <calculatedColumnFormula>VLOOKUP(Contacts6[[#This Row],[Código Tarea]],'[7]4. Directorio Integrado'!$B$4:$N$245,2,0)</calculatedColumnFormula>
    </tableColumn>
    <tableColumn id="23" xr3:uid="{37C1683D-3BBD-4F40-AFA6-3FB5A1AD26A0}" name="Componentes" dataDxfId="75">
      <calculatedColumnFormula>VLOOKUP(Contacts6[[#This Row],[Código Tarea]],'[7]4. Directorio Integrado'!$B$4:$N$245,3,0)</calculatedColumnFormula>
    </tableColumn>
    <tableColumn id="1" xr3:uid="{93E5699C-02FB-4DBB-9B29-36A21A49ED05}" name="Código2" totalsRowLabel="Total" dataDxfId="74">
      <calculatedColumnFormula>VLOOKUP(Contacts6[[#This Row],[Código Tarea]],'[7]4. Directorio Integrado'!$B$4:$N$245,4,0)</calculatedColumnFormula>
    </tableColumn>
    <tableColumn id="2" xr3:uid="{AD15315A-46B9-4F9E-8DD9-DAE053343F41}" name="Sub Componente" dataDxfId="73">
      <calculatedColumnFormula>VLOOKUP(Contacts6[[#This Row],[Código Tarea]],'[7]4. Directorio Integrado'!$B$4:$N$245,5,0)</calculatedColumnFormula>
    </tableColumn>
    <tableColumn id="3" xr3:uid="{07274ABE-A100-46E0-BADE-7D8080E8290F}" name="Código actividad" totalsRowFunction="count" dataDxfId="72">
      <calculatedColumnFormula>VLOOKUP(Contacts6[[#This Row],[Código Tarea]],'[7]4. Directorio Integrado'!$B$4:$N$245,6,0)</calculatedColumnFormula>
    </tableColumn>
    <tableColumn id="14" xr3:uid="{4BF0576C-4882-436E-8BF6-60FE1798275E}" name="Actividad" dataDxfId="71">
      <calculatedColumnFormula>VLOOKUP(Contacts6[[#This Row],[Código Tarea]],'[7]4. Directorio Integrado'!$B$4:$N$245,7,0)</calculatedColumnFormula>
    </tableColumn>
    <tableColumn id="4" xr3:uid="{27C0204E-0ECF-49E0-86A8-517B38682AD4}" name="Código Tarea" dataDxfId="70">
      <calculatedColumnFormula>'[7]4. Directorio Integrado'!I123</calculatedColumnFormula>
    </tableColumn>
    <tableColumn id="5" xr3:uid="{107D51C8-B9D1-42FA-98EB-8CEBE05D254E}" name="Tarea de verificación" dataDxfId="69">
      <calculatedColumnFormula>VLOOKUP(Contacts6[[#This Row],[Código Tarea]],'[7]4. Directorio Integrado'!I123:J219,2,0)</calculatedColumnFormula>
    </tableColumn>
    <tableColumn id="6" xr3:uid="{3F0418C4-F6BB-4EAE-AC1E-FB3AA562226F}" name="Tipo de inspección" dataDxfId="68">
      <calculatedColumnFormula>VLOOKUP(Contacts6[[#This Row],[Código Tarea]],'[7]4. Directorio Integrado'!$I$4:$M$227,3,0)</calculatedColumnFormula>
    </tableColumn>
    <tableColumn id="18" xr3:uid="{668868D4-5232-4628-BB19-D95E63D40DBA}" name="Cumple" dataDxfId="67">
      <calculatedColumnFormula>VLOOKUP(Contacts6[[#This Row],[Código Tarea]],'[7]Formato 4 - SGSF'!$B$8:$H$129,3,0)</calculatedColumnFormula>
    </tableColumn>
    <tableColumn id="22" xr3:uid="{69AC6327-E103-4563-BFC6-80FFF296A7BD}" name="No Cumple" dataDxfId="66">
      <calculatedColumnFormula>VLOOKUP(Contacts6[[#This Row],[Código Tarea]],'[7]Formato 4 - SGSF'!$B$8:$H$129,4,0)</calculatedColumnFormula>
    </tableColumn>
    <tableColumn id="21" xr3:uid="{4CD64914-E3B1-4F86-95FB-1F96EFD49F52}" name="N.A." dataDxfId="65">
      <calculatedColumnFormula>VLOOKUP(Contacts6[[#This Row],[Código Tarea]],'[7]Formato 4 - SGSF'!$B$8:$H$129,5,0)</calculatedColumnFormula>
    </tableColumn>
    <tableColumn id="15" xr3:uid="{ABD628D4-9CCD-4D8E-B6ED-FA6104A98C55}" name="Acción Preventiva" dataDxfId="64">
      <calculatedColumnFormula>VLOOKUP(Contacts6[[#This Row],[Código Tarea]],'[7]Formato 4 - SGSF'!$B$8:$H$129,6,0)</calculatedColumnFormula>
    </tableColumn>
    <tableColumn id="13" xr3:uid="{5575BBD5-8C43-4959-B956-F8FB5305E081}" name="Acción Correctiva" dataDxfId="63">
      <calculatedColumnFormula>VLOOKUP(Contacts6[[#This Row],[Código Tarea]],'[7]Formato 4 - SGSF'!$B$8:$H$129,7,0)</calculatedColumnFormula>
    </tableColumn>
    <tableColumn id="25" xr3:uid="{921FCF69-9464-4E8B-A778-DF860F7DFC5B}" name="Observaciones / Recomendaciones" dataDxfId="62">
      <calculatedColumnFormula>VLOOKUP(Contacts6[[#This Row],[Código Tarea]],'[7]Formato 4 - SGSF'!$B$8:$I$129,8,0)</calculatedColumnFormula>
    </tableColumn>
    <tableColumn id="7" xr3:uid="{824018BF-FFEC-41E6-904F-620F7A78FDAE}" name="Proceso origen" dataDxfId="61">
      <calculatedColumnFormula>VLOOKUP(Contacts6[[#This Row],[Código Tarea]],'[7]4. Directorio Integrado'!$I$4:$M$245,5,0)</calculatedColumnFormula>
    </tableColumn>
  </tableColumns>
  <tableStyleInfo name="Contacts" showFirstColumn="0" showLastColumn="0" showRowStripes="1" showColumnStripes="0"/>
  <extLst>
    <ext xmlns:x14="http://schemas.microsoft.com/office/spreadsheetml/2009/9/main" uri="{504A1905-F514-4f6f-8877-14C23A59335A}">
      <x14:table altText="Tabla de contactos" altTextSummary="Lista de información de contacto, como Id. de cliente, compañía, contacto, tipo de contacto, teléfono, móvil, fax, correo electrónico, Twitter, Facebook, LinkedIn, sitio web, dirección, etc.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5F34864-410A-4D46-87F6-6D6419BDD5EF}" name="Contacts67" displayName="Contacts67" ref="C8:R16" headerRowDxfId="51" dataDxfId="50" totalsRowDxfId="49">
  <autoFilter ref="C8:R16" xr:uid="{00000000-0009-0000-0100-000006000000}"/>
  <tableColumns count="16">
    <tableColumn id="24" xr3:uid="{9DA4A1A2-3A6B-47C5-8895-A68CA0C1EA87}" name="Código" dataDxfId="48" totalsRowDxfId="47">
      <calculatedColumnFormula>VLOOKUP(Contacts67[[#This Row],[Código Tarea]],'[7]4. Directorio Integrado'!$B$4:$N$245,2,0)</calculatedColumnFormula>
    </tableColumn>
    <tableColumn id="23" xr3:uid="{76986806-CB9F-4251-932C-911FE918E1AC}" name="Componentes" dataDxfId="46" totalsRowDxfId="45">
      <calculatedColumnFormula>VLOOKUP(Contacts67[[#This Row],[Código Tarea]],'[7]4. Directorio Integrado'!$B$4:$N$245,3,0)</calculatedColumnFormula>
    </tableColumn>
    <tableColumn id="1" xr3:uid="{D33723FA-9DB8-42C1-A75E-68A4D42B4B9D}" name="Código2" totalsRowLabel="Total" dataDxfId="44">
      <calculatedColumnFormula>VLOOKUP(Contacts67[[#This Row],[Código Tarea]],'[7]4. Directorio Integrado'!$B$4:$N$245,4,0)</calculatedColumnFormula>
    </tableColumn>
    <tableColumn id="2" xr3:uid="{55ED1940-3D30-4745-8C16-9F4D6CF369FE}" name="Sub Componente" dataDxfId="43">
      <calculatedColumnFormula>VLOOKUP(Contacts67[[#This Row],[Código Tarea]],'[7]4. Directorio Integrado'!$B$4:$N$245,5,0)</calculatedColumnFormula>
    </tableColumn>
    <tableColumn id="3" xr3:uid="{25D3536D-422F-48A4-B575-37F124A7485D}" name="Código actividad" totalsRowFunction="count" dataDxfId="42">
      <calculatedColumnFormula>VLOOKUP(Contacts67[[#This Row],[Código Tarea]],'[7]4. Directorio Integrado'!$B$4:$N$245,6,0)</calculatedColumnFormula>
    </tableColumn>
    <tableColumn id="14" xr3:uid="{48935AB5-7548-4667-8F68-8DC9BF9287B8}" name="Actividad" dataDxfId="41">
      <calculatedColumnFormula>VLOOKUP(Contacts67[[#This Row],[Código Tarea]],'[7]4. Directorio Integrado'!$B$4:$N$245,7,0)</calculatedColumnFormula>
    </tableColumn>
    <tableColumn id="4" xr3:uid="{8345ED0A-DE89-4237-99FD-86D817FE07EC}" name="Código Tarea" dataDxfId="40">
      <calculatedColumnFormula>'[7]4. Directorio Integrado'!I220</calculatedColumnFormula>
    </tableColumn>
    <tableColumn id="5" xr3:uid="{02E02BD7-D1D4-44C4-BA28-929F98A03BC9}" name="Tarea de verificación" dataDxfId="39">
      <calculatedColumnFormula>VLOOKUP(Contacts67[[#This Row],[Código Tarea]],'[7]4. Directorio Integrado'!$I$4:$M$227,2,0)</calculatedColumnFormula>
    </tableColumn>
    <tableColumn id="6" xr3:uid="{FA4A6A7B-886B-4965-A4A5-99A856971052}" name="Tipo de inspección" dataDxfId="38">
      <calculatedColumnFormula>VLOOKUP(Contacts67[[#This Row],[Código Tarea]],'[7]4. Directorio Integrado'!$I$4:$M$227,3,0)</calculatedColumnFormula>
    </tableColumn>
    <tableColumn id="18" xr3:uid="{22788254-ADD0-4B51-B9FA-398A16753ABB}" name="Cumple" dataDxfId="37">
      <calculatedColumnFormula>VLOOKUP(Contacts67[[#This Row],[Código Tarea]],'[7]Formato 5 - SARLAFT'!$B$8:$I$21,3,0)</calculatedColumnFormula>
    </tableColumn>
    <tableColumn id="22" xr3:uid="{2ECDCE29-0724-4F76-B961-829CF620963C}" name="No Cumple" dataDxfId="36">
      <calculatedColumnFormula>VLOOKUP(Contacts67[[#This Row],[Código Tarea]],'[7]Formato 5 - SARLAFT'!$B$8:$I$21,4,0)</calculatedColumnFormula>
    </tableColumn>
    <tableColumn id="21" xr3:uid="{8F66E5F4-DFD9-45CF-A996-90F9F16AF768}" name="N.A." dataDxfId="35">
      <calculatedColumnFormula>VLOOKUP(Contacts67[[#This Row],[Código Tarea]],'[7]Formato 5 - SARLAFT'!$B$8:$I$21,5,0)</calculatedColumnFormula>
    </tableColumn>
    <tableColumn id="15" xr3:uid="{F94D7DED-6CB6-45F2-B0BC-690163443D56}" name="Acción Preventiva" dataDxfId="34">
      <calculatedColumnFormula>VLOOKUP(Contacts67[[#This Row],[Código Tarea]],'[7]Formato 5 - SARLAFT'!$B$8:$I$21,6,0)</calculatedColumnFormula>
    </tableColumn>
    <tableColumn id="13" xr3:uid="{78EB936D-1624-4987-AE90-069A0D019A9A}" name="Acción Correctiva" dataDxfId="33">
      <calculatedColumnFormula>VLOOKUP(Contacts67[[#This Row],[Código Tarea]],'[7]Formato 5 - SARLAFT'!$B$8:$I$21,7,0)</calculatedColumnFormula>
    </tableColumn>
    <tableColumn id="8" xr3:uid="{33D09EB5-2416-47BE-B006-5FAC48AF5288}" name="Observaciones" dataDxfId="32">
      <calculatedColumnFormula>VLOOKUP(Contacts67[[#This Row],[Código Tarea]],'[7]Formato 5 - SARLAFT'!$B$8:$I$21,8,0)</calculatedColumnFormula>
    </tableColumn>
    <tableColumn id="7" xr3:uid="{07E13351-0D19-4B74-9C9F-60C81930C126}" name="Proceso origen" dataDxfId="31"/>
  </tableColumns>
  <tableStyleInfo name="Contacts" showFirstColumn="0" showLastColumn="0" showRowStripes="1" showColumnStripes="0"/>
  <extLst>
    <ext xmlns:x14="http://schemas.microsoft.com/office/spreadsheetml/2009/9/main" uri="{504A1905-F514-4f6f-8877-14C23A59335A}">
      <x14:table altText="Tabla de contactos" altTextSummary="Lista de información de contacto, como Id. de cliente, compañía, contacto, tipo de contacto, teléfono, móvil, fax, correo electrónico, Twitter, Facebook, LinkedIn, sitio web, dirección, etc.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309C823-205A-4070-BCA4-4D153664A5CD}" name="Contacts8" displayName="Contacts8" ref="C8:R26" headerRowDxfId="20" dataDxfId="19" totalsRowDxfId="18">
  <autoFilter ref="C8:R26" xr:uid="{00000000-0009-0000-0100-000007000000}">
    <filterColumn colId="3">
      <filters>
        <filter val="Riesgo Operacional"/>
      </filters>
    </filterColumn>
  </autoFilter>
  <tableColumns count="16">
    <tableColumn id="24" xr3:uid="{CEE286D6-7413-4AB9-8B59-9B65D67D53F7}" name="Código" dataDxfId="17" totalsRowDxfId="16">
      <calculatedColumnFormula>VLOOKUP(Contacts8[[#This Row],[Código Tarea]],'[7]4. Directorio Integrado'!$B$4:$N$245,2,0)</calculatedColumnFormula>
    </tableColumn>
    <tableColumn id="23" xr3:uid="{B8256CBF-62A2-4F09-AD82-51C2BBDBEEE0}" name="Componentes" dataDxfId="15" totalsRowDxfId="14">
      <calculatedColumnFormula>VLOOKUP(Contacts8[[#This Row],[Código Tarea]],'[7]4. Directorio Integrado'!$B$4:$N$245,3,0)</calculatedColumnFormula>
    </tableColumn>
    <tableColumn id="1" xr3:uid="{F5F6ED66-9545-47A9-BE5E-568767E97FD3}" name="Código2" totalsRowLabel="Total" dataDxfId="13">
      <calculatedColumnFormula>VLOOKUP(Contacts8[[#This Row],[Código Tarea]],'[7]4. Directorio Integrado'!$B$4:$N$245,4,0)</calculatedColumnFormula>
    </tableColumn>
    <tableColumn id="2" xr3:uid="{025B68E9-EC7A-444F-9943-7AC8BDC0E40D}" name="Sub Componente" dataDxfId="12">
      <calculatedColumnFormula>VLOOKUP(Contacts8[[#This Row],[Código Tarea]],'[7]4. Directorio Integrado'!$B$4:$N$245,5,0)</calculatedColumnFormula>
    </tableColumn>
    <tableColumn id="3" xr3:uid="{1009DFF8-A4FD-4561-9AD1-3BF234CECADD}" name="Código actividad" totalsRowFunction="count" dataDxfId="11">
      <calculatedColumnFormula>VLOOKUP(Contacts8[[#This Row],[Código Tarea]],'[7]4. Directorio Integrado'!$B$4:$N$245,6,0)</calculatedColumnFormula>
    </tableColumn>
    <tableColumn id="14" xr3:uid="{CD02B599-4C5F-4E84-AFA6-360621EA5BAC}" name="Actividad" dataDxfId="10">
      <calculatedColumnFormula>VLOOKUP(Contacts8[[#This Row],[Código Tarea]],'[7]4. Directorio Integrado'!$B$4:$N$245,7,0)</calculatedColumnFormula>
    </tableColumn>
    <tableColumn id="4" xr3:uid="{4383961C-0596-4776-AF1B-513C29D4B0BF}" name="Código Tarea" dataDxfId="9"/>
    <tableColumn id="5" xr3:uid="{BE4000D2-75A8-44D7-9E1B-7B5AA108E524}" name="Tarea de verificación" dataDxfId="8">
      <calculatedColumnFormula>IFERROR((VLOOKUP(Contacts8[[#This Row],[Código Tarea]],'[7]4. Directorio Integrado'!I$4:J$1048576,2,0)),"")</calculatedColumnFormula>
    </tableColumn>
    <tableColumn id="6" xr3:uid="{94903067-80BF-4412-9E14-5036756559AF}" name="Tipo de inspección" dataDxfId="7">
      <calculatedColumnFormula>IFERROR((VLOOKUP(Contacts8[[#This Row],[Código Tarea]],'[7]4. Directorio Integrado'!I$4:K$1048576,3,0)),"")</calculatedColumnFormula>
    </tableColumn>
    <tableColumn id="18" xr3:uid="{3242B9DB-7C06-4BCA-830F-B447C4EE6164}" name="Cumple" dataDxfId="6">
      <calculatedColumnFormula>VLOOKUP(Contacts8[[#This Row],[Código Tarea]],'[7]Formato 6 - Continuidad Negocio'!$B$8:$I$29,3,0)</calculatedColumnFormula>
    </tableColumn>
    <tableColumn id="22" xr3:uid="{B4740719-9DD2-4830-8714-4566968F1C0B}" name="No Cumple" dataDxfId="5">
      <calculatedColumnFormula>VLOOKUP(Contacts8[[#This Row],[Código Tarea]],'[7]Formato 6 - Continuidad Negocio'!$B$8:$I$29,4,0)</calculatedColumnFormula>
    </tableColumn>
    <tableColumn id="21" xr3:uid="{647A5182-4BE5-4123-A2FA-F0AE132686CF}" name="N.A." dataDxfId="4">
      <calculatedColumnFormula>VLOOKUP(Contacts8[[#This Row],[Código Tarea]],'[7]Formato 6 - Continuidad Negocio'!$B$8:$I$29,5,0)</calculatedColumnFormula>
    </tableColumn>
    <tableColumn id="15" xr3:uid="{0EB73E4C-52C8-4D2E-9F5E-F99B2BFCE465}" name="Acción Preventiva" dataDxfId="3">
      <calculatedColumnFormula>VLOOKUP(Contacts8[[#This Row],[Código Tarea]],'[7]Formato 6 - Continuidad Negocio'!$B$8:$I$29,6,0)</calculatedColumnFormula>
    </tableColumn>
    <tableColumn id="13" xr3:uid="{BABE10E6-D538-4076-B580-A9ACA52D95E2}" name="Acción Correctiva" dataDxfId="2">
      <calculatedColumnFormula>VLOOKUP(Contacts8[[#This Row],[Código Tarea]],'[7]Formato 6 - Continuidad Negocio'!$B$8:$I$29,7,0)</calculatedColumnFormula>
    </tableColumn>
    <tableColumn id="25" xr3:uid="{5E235249-6E64-4BA6-AF8C-7AA2E9E5C633}" name="Observaciones / Recomendaciones" dataDxfId="1">
      <calculatedColumnFormula>VLOOKUP(Contacts8[[#This Row],[Código Tarea]],'[7]Formato 6 - Continuidad Negocio'!$B$8:$I$29,8,0)</calculatedColumnFormula>
    </tableColumn>
    <tableColumn id="7" xr3:uid="{E76367ED-8D1E-4F7F-88EA-DDBA5441B3FF}" name="Proceso origen" dataDxfId="0">
      <calculatedColumnFormula>VLOOKUP(Contacts8[[#This Row],[Código Tarea]],'[7]4. Directorio Integrado'!$I$4:$M$245,5,0)</calculatedColumnFormula>
    </tableColumn>
  </tableColumns>
  <tableStyleInfo name="Contacts" showFirstColumn="0" showLastColumn="0" showRowStripes="1" showColumnStripes="0"/>
  <extLst>
    <ext xmlns:x14="http://schemas.microsoft.com/office/spreadsheetml/2009/9/main" uri="{504A1905-F514-4f6f-8877-14C23A59335A}">
      <x14:table altText="Tabla de contactos" altTextSummary="Lista de información de contacto, como Id. de cliente, compañía, contacto, tipo de contacto, teléfono, móvil, fax, correo electrónico, Twitter, Facebook, LinkedIn, sitio web, dirección, etc. "/>
    </ext>
  </extLst>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microsoft.com/office/2007/relationships/slicer" Target="../slicers/slicer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118F1-1716-44CB-A65F-6E4270033659}">
  <sheetPr>
    <tabColor theme="8" tint="-0.249977111117893"/>
    <pageSetUpPr autoPageBreaks="0" fitToPage="1"/>
  </sheetPr>
  <dimension ref="A1:R43"/>
  <sheetViews>
    <sheetView showGridLines="0" topLeftCell="A47" zoomScaleNormal="100" workbookViewId="0">
      <selection activeCell="A2" sqref="A2"/>
    </sheetView>
  </sheetViews>
  <sheetFormatPr baseColWidth="10" defaultColWidth="9.1796875" defaultRowHeight="13" x14ac:dyDescent="0.35"/>
  <cols>
    <col min="1" max="1" width="7.7265625" style="3" customWidth="1"/>
    <col min="2" max="2" width="31.7265625" style="3" customWidth="1"/>
    <col min="3" max="3" width="14.7265625" style="3" hidden="1" customWidth="1"/>
    <col min="4" max="4" width="23" style="3" hidden="1" customWidth="1"/>
    <col min="5" max="5" width="10.81640625" style="3" hidden="1" customWidth="1"/>
    <col min="6" max="6" width="25.81640625" style="3" hidden="1" customWidth="1"/>
    <col min="7" max="7" width="9" style="3" hidden="1" customWidth="1"/>
    <col min="8" max="8" width="36.1796875" style="3" hidden="1" customWidth="1"/>
    <col min="9" max="9" width="9.7265625" style="3" customWidth="1"/>
    <col min="10" max="10" width="49.7265625" style="3" customWidth="1"/>
    <col min="11" max="11" width="16.7265625" style="3" customWidth="1"/>
    <col min="12" max="16" width="12.7265625" style="3" customWidth="1"/>
    <col min="17" max="17" width="36" style="3" customWidth="1"/>
    <col min="18" max="18" width="13.453125" style="3" customWidth="1"/>
    <col min="19" max="26" width="14.7265625" style="3" customWidth="1"/>
    <col min="27" max="16384" width="9.1796875" style="3"/>
  </cols>
  <sheetData>
    <row r="1" spans="1:18" x14ac:dyDescent="0.35">
      <c r="A1" s="1"/>
      <c r="B1" s="1"/>
      <c r="C1" s="1"/>
      <c r="D1" s="1"/>
      <c r="E1" s="1"/>
      <c r="F1" s="1"/>
      <c r="G1" s="1"/>
      <c r="H1" s="1"/>
      <c r="I1" s="1"/>
      <c r="J1" s="1"/>
      <c r="K1" s="1"/>
      <c r="L1" s="1"/>
      <c r="M1" s="1"/>
      <c r="N1" s="1"/>
      <c r="O1" s="1"/>
      <c r="P1" s="2"/>
      <c r="Q1" s="2"/>
      <c r="R1" s="2"/>
    </row>
    <row r="2" spans="1:18" ht="36" x14ac:dyDescent="0.35">
      <c r="A2" s="1"/>
      <c r="B2" s="4" t="s">
        <v>0</v>
      </c>
      <c r="C2" s="1"/>
      <c r="D2" s="1"/>
      <c r="E2" s="1"/>
      <c r="F2" s="1"/>
      <c r="G2" s="1"/>
      <c r="H2" s="1"/>
      <c r="I2" s="1"/>
      <c r="J2" s="1"/>
      <c r="K2" s="1"/>
      <c r="L2" s="1"/>
      <c r="M2" s="1"/>
      <c r="N2" s="1"/>
      <c r="O2" s="1"/>
      <c r="P2" s="1"/>
      <c r="Q2" s="1"/>
      <c r="R2" s="2"/>
    </row>
    <row r="3" spans="1:18" ht="36" x14ac:dyDescent="0.35">
      <c r="A3" s="1"/>
      <c r="B3" s="5"/>
      <c r="C3" s="1"/>
      <c r="D3" s="1"/>
      <c r="E3" s="1"/>
      <c r="F3" s="1"/>
      <c r="G3" s="1"/>
      <c r="H3" s="1"/>
      <c r="I3" s="1"/>
      <c r="J3" s="1"/>
      <c r="K3" s="1"/>
      <c r="L3" s="1"/>
      <c r="M3" s="1"/>
      <c r="N3" s="1"/>
      <c r="O3" s="1"/>
      <c r="P3" s="1"/>
      <c r="Q3" s="1"/>
      <c r="R3" s="1"/>
    </row>
    <row r="4" spans="1:18" x14ac:dyDescent="0.35">
      <c r="A4" s="1"/>
      <c r="B4" s="1"/>
      <c r="C4" s="1"/>
      <c r="D4" s="1"/>
      <c r="E4" s="1"/>
      <c r="F4" s="1"/>
      <c r="G4" s="1"/>
      <c r="H4" s="1"/>
      <c r="I4" s="1"/>
      <c r="J4" s="1"/>
      <c r="K4" s="1"/>
      <c r="L4" s="1"/>
      <c r="M4" s="1"/>
      <c r="N4" s="1"/>
      <c r="O4" s="1"/>
      <c r="P4" s="1"/>
      <c r="Q4" s="1"/>
      <c r="R4" s="1"/>
    </row>
    <row r="5" spans="1:18" x14ac:dyDescent="0.35">
      <c r="A5" s="1"/>
      <c r="B5" s="1"/>
      <c r="C5" s="1"/>
      <c r="D5" s="1"/>
      <c r="E5" s="1"/>
      <c r="F5" s="1"/>
      <c r="G5" s="1"/>
      <c r="H5" s="1"/>
      <c r="I5" s="1"/>
      <c r="J5" s="1"/>
      <c r="K5" s="1"/>
      <c r="L5" s="1"/>
      <c r="M5" s="1"/>
      <c r="N5" s="1"/>
      <c r="O5" s="1"/>
      <c r="P5" s="1"/>
      <c r="Q5" s="1"/>
      <c r="R5" s="1"/>
    </row>
    <row r="6" spans="1:18" x14ac:dyDescent="0.35">
      <c r="A6" s="1"/>
      <c r="B6" s="1"/>
      <c r="C6" s="1"/>
      <c r="D6" s="1"/>
      <c r="E6" s="1"/>
      <c r="F6" s="1"/>
      <c r="G6" s="1"/>
      <c r="H6" s="1"/>
      <c r="I6" s="1"/>
      <c r="J6" s="1"/>
      <c r="K6" s="1"/>
      <c r="L6" s="1"/>
      <c r="M6" s="1"/>
      <c r="N6" s="1"/>
      <c r="O6" s="1" t="s">
        <v>1</v>
      </c>
      <c r="P6" s="1"/>
      <c r="Q6" s="1"/>
      <c r="R6" s="1"/>
    </row>
    <row r="7" spans="1:18" ht="18.5" x14ac:dyDescent="0.35">
      <c r="A7" s="1"/>
      <c r="B7" s="1"/>
      <c r="C7" s="1"/>
      <c r="D7" s="1"/>
      <c r="E7" s="1"/>
      <c r="F7" s="1"/>
      <c r="G7" s="1"/>
      <c r="H7" s="1"/>
      <c r="I7" s="1"/>
      <c r="J7" s="47" t="s">
        <v>2</v>
      </c>
      <c r="K7" s="47"/>
      <c r="L7" s="47"/>
      <c r="M7" s="47"/>
      <c r="N7" s="47"/>
      <c r="O7" s="1" t="s">
        <v>1</v>
      </c>
      <c r="P7" s="1"/>
      <c r="Q7" s="1"/>
      <c r="R7" s="1"/>
    </row>
    <row r="8" spans="1:18" s="6" customFormat="1" ht="46.5" x14ac:dyDescent="0.35">
      <c r="C8" s="7" t="s">
        <v>3</v>
      </c>
      <c r="D8" s="7" t="s">
        <v>4</v>
      </c>
      <c r="E8" s="7" t="s">
        <v>5</v>
      </c>
      <c r="F8" s="7" t="s">
        <v>6</v>
      </c>
      <c r="G8" s="8" t="s">
        <v>7</v>
      </c>
      <c r="H8" s="9" t="s">
        <v>8</v>
      </c>
      <c r="I8" s="10" t="s">
        <v>9</v>
      </c>
      <c r="J8" s="10" t="s">
        <v>10</v>
      </c>
      <c r="K8" s="10" t="s">
        <v>11</v>
      </c>
      <c r="L8" s="10" t="s">
        <v>12</v>
      </c>
      <c r="M8" s="10" t="s">
        <v>13</v>
      </c>
      <c r="N8" s="10" t="s">
        <v>14</v>
      </c>
      <c r="O8" s="10" t="s">
        <v>15</v>
      </c>
      <c r="P8" s="10" t="s">
        <v>16</v>
      </c>
      <c r="Q8" s="10" t="s">
        <v>17</v>
      </c>
      <c r="R8" s="11" t="s">
        <v>18</v>
      </c>
    </row>
    <row r="9" spans="1:18" s="6" customFormat="1" ht="29" x14ac:dyDescent="0.35">
      <c r="C9" s="12">
        <f>VLOOKUP(Contacts[[#This Row],[Código Tarea]],'[7]4. Directorio Integrado'!$B$4:$N$245,2,0)</f>
        <v>1</v>
      </c>
      <c r="D9" s="12" t="str">
        <f>VLOOKUP(Contacts[[#This Row],[Código Tarea]],'[7]4. Directorio Integrado'!$B$4:$N$245,3,0)</f>
        <v>Riesgo Operativo</v>
      </c>
      <c r="E9" s="12" t="str">
        <f>VLOOKUP(Contacts[[#This Row],[Código Tarea]],'[7]4. Directorio Integrado'!$B$4:$N$245,4,0)</f>
        <v>1.1</v>
      </c>
      <c r="F9" s="12" t="str">
        <f>VLOOKUP(Contacts[[#This Row],[Código Tarea]],'[7]4. Directorio Integrado'!$B$4:$N$245,5,0)</f>
        <v>Controles de Seguridad de la Información</v>
      </c>
      <c r="G9" s="12" t="str">
        <f>VLOOKUP(Contacts[[#This Row],[Código Tarea]],'[7]4. Directorio Integrado'!$B$4:$N$245,6,0)</f>
        <v>1.1.1</v>
      </c>
      <c r="H9" s="12" t="str">
        <f>VLOOKUP(Contacts[[#This Row],[Código Tarea]],'[7]4. Directorio Integrado'!$B$4:$N$245,7,0)</f>
        <v>Revisión de imagen corporativa</v>
      </c>
      <c r="I9" s="12" t="str">
        <f>IFERROR((IF('[7]4. Directorio Integrado'!C4=1,'[7]4. Directorio Integrado'!I4,IF('[7]4. Directorio Integrado'!C4=2,"",IF('[7]4. Directorio Integrado'!C4=3,"",IF('[7]4. Directorio Integrado'!C4=4,"",IF('[7]4. Directorio Integrado'!C4=5,"",IF('[7]4. Directorio Integrado'!C4=6,""))))))),"")</f>
        <v>1.1.1.001</v>
      </c>
      <c r="J9" s="13" t="str">
        <f>IFERROR((VLOOKUP(Contacts[[#This Row],[Código Tarea]],'[7]4. Directorio Integrado'!I$4:J$1048576,2,0)),"")</f>
        <v>Los colaboradores portan el uniforme según lo establecido en el manual de imagen.</v>
      </c>
      <c r="K9" s="14" t="str">
        <f>IFERROR((VLOOKUP(Contacts[[#This Row],[Código Tarea]],'[7]4. Directorio Integrado'!I$4:K$1048576,3,0)),"")</f>
        <v>Presencial</v>
      </c>
      <c r="L9" s="14" t="str">
        <f>VLOOKUP(Contacts[[#This Row],[Código Tarea]],'[7]Formato 1- Riesgo Operativo'!$B$8:$H$54,3,0)</f>
        <v>x</v>
      </c>
      <c r="M9" s="14">
        <f>VLOOKUP(Contacts[[#This Row],[Código Tarea]],'[7]Formato 1- Riesgo Operativo'!$B$8:$H$54,4,0)</f>
        <v>0</v>
      </c>
      <c r="N9" s="14">
        <f>VLOOKUP(Contacts[[#This Row],[Código Tarea]],'[7]Formato 1- Riesgo Operativo'!$B$8:$H$54,5,0)</f>
        <v>0</v>
      </c>
      <c r="O9" s="14">
        <f>VLOOKUP(Contacts[[#This Row],[Código Tarea]],'[7]Formato 1- Riesgo Operativo'!$B$8:$H$54,6,0)</f>
        <v>0</v>
      </c>
      <c r="P9" s="14">
        <f>VLOOKUP(Contacts[[#This Row],[Código Tarea]],'[7]Formato 1- Riesgo Operativo'!$B$8:$H$54,7,0)</f>
        <v>0</v>
      </c>
      <c r="Q9" s="14">
        <f>VLOOKUP(Contacts[[#This Row],[Código Tarea]],'[7]Formato 1- Riesgo Operativo'!$B$8:$I$54,8,0)</f>
        <v>0</v>
      </c>
      <c r="R9" s="14" t="str">
        <f>VLOOKUP(Contacts[[#This Row],[Código Tarea]],'[7]4. Directorio Integrado'!$I$4:$M$231,5,0)</f>
        <v>SARO/SAC/SGSF</v>
      </c>
    </row>
    <row r="10" spans="1:18" s="6" customFormat="1" ht="29" x14ac:dyDescent="0.35">
      <c r="C10" s="12">
        <f>VLOOKUP(Contacts[[#This Row],[Código Tarea]],'[7]4. Directorio Integrado'!$B$4:$N$245,2,0)</f>
        <v>1</v>
      </c>
      <c r="D10" s="15" t="str">
        <f>VLOOKUP(Contacts[[#This Row],[Código Tarea]],'[7]4. Directorio Integrado'!$B$4:$N$245,3,0)</f>
        <v>Riesgo Operativo</v>
      </c>
      <c r="E10" s="12" t="str">
        <f>VLOOKUP(Contacts[[#This Row],[Código Tarea]],'[7]4. Directorio Integrado'!$B$4:$N$245,4,0)</f>
        <v>1.1</v>
      </c>
      <c r="F10" s="12" t="str">
        <f>VLOOKUP(Contacts[[#This Row],[Código Tarea]],'[7]4. Directorio Integrado'!$B$4:$N$245,5,0)</f>
        <v>Controles de Seguridad de la Información</v>
      </c>
      <c r="G10" s="12" t="str">
        <f>VLOOKUP(Contacts[[#This Row],[Código Tarea]],'[7]4. Directorio Integrado'!$B$4:$N$245,6,0)</f>
        <v>1.1.1</v>
      </c>
      <c r="H10" s="12" t="str">
        <f>VLOOKUP(Contacts[[#This Row],[Código Tarea]],'[7]4. Directorio Integrado'!$B$4:$N$245,7,0)</f>
        <v>Revisión de imagen corporativa</v>
      </c>
      <c r="I10" s="12" t="str">
        <f>IFERROR((IF('[7]4. Directorio Integrado'!C5=1,'[7]4. Directorio Integrado'!I5,IF('[7]4. Directorio Integrado'!C5=2,"",IF('[7]4. Directorio Integrado'!C5=3,"",IF('[7]4. Directorio Integrado'!C5=4,"",IF('[7]4. Directorio Integrado'!C5=5,"",IF('[7]4. Directorio Integrado'!C5=6,""))))))),"")</f>
        <v>1.1.1.002</v>
      </c>
      <c r="J10" s="13" t="str">
        <f>IFERROR((VLOOKUP(Contacts[[#This Row],[Código Tarea]],'[7]4. Directorio Integrado'!I$4:J$1048576,2,0)),"")</f>
        <v>Los colaboradores tiene y usan el carné en un lugar visible durante la jornada laboral.</v>
      </c>
      <c r="K10" s="14" t="str">
        <f>IFERROR((VLOOKUP(Contacts[[#This Row],[Código Tarea]],'[7]4. Directorio Integrado'!I$4:K$1048576,3,0)),"")</f>
        <v>Presencial</v>
      </c>
      <c r="L10" s="16" t="str">
        <f>VLOOKUP(Contacts[[#This Row],[Código Tarea]],'[7]Formato 1- Riesgo Operativo'!$B$8:$H$54,3,0)</f>
        <v>x</v>
      </c>
      <c r="M10" s="16">
        <f>VLOOKUP(Contacts[[#This Row],[Código Tarea]],'[7]Formato 1- Riesgo Operativo'!$B$8:$H$54,4,0)</f>
        <v>0</v>
      </c>
      <c r="N10" s="16">
        <f>VLOOKUP(Contacts[[#This Row],[Código Tarea]],'[7]Formato 1- Riesgo Operativo'!$B$8:$H$54,5,0)</f>
        <v>0</v>
      </c>
      <c r="O10" s="16">
        <f>VLOOKUP(Contacts[[#This Row],[Código Tarea]],'[7]Formato 1- Riesgo Operativo'!$B$8:$H$54,6,0)</f>
        <v>0</v>
      </c>
      <c r="P10" s="16">
        <f>VLOOKUP(Contacts[[#This Row],[Código Tarea]],'[7]Formato 1- Riesgo Operativo'!$B$8:$H$54,7,0)</f>
        <v>0</v>
      </c>
      <c r="Q10" s="16">
        <f>VLOOKUP(Contacts[[#This Row],[Código Tarea]],'[7]Formato 1- Riesgo Operativo'!$B$8:$I$54,8,0)</f>
        <v>0</v>
      </c>
      <c r="R10" s="14" t="str">
        <f>VLOOKUP(Contacts[[#This Row],[Código Tarea]],'[7]4. Directorio Integrado'!$I$4:$M$231,5,0)</f>
        <v>SARO/SAC/SGSF</v>
      </c>
    </row>
    <row r="11" spans="1:18" s="6" customFormat="1" ht="29" x14ac:dyDescent="0.35">
      <c r="C11" s="12">
        <f>VLOOKUP(Contacts[[#This Row],[Código Tarea]],'[7]4. Directorio Integrado'!$B$4:$N$245,2,0)</f>
        <v>1</v>
      </c>
      <c r="D11" s="15" t="str">
        <f>VLOOKUP(Contacts[[#This Row],[Código Tarea]],'[7]4. Directorio Integrado'!$B$4:$N$245,3,0)</f>
        <v>Riesgo Operativo</v>
      </c>
      <c r="E11" s="12" t="str">
        <f>VLOOKUP(Contacts[[#This Row],[Código Tarea]],'[7]4. Directorio Integrado'!$B$4:$N$245,4,0)</f>
        <v>1.1</v>
      </c>
      <c r="F11" s="12" t="str">
        <f>VLOOKUP(Contacts[[#This Row],[Código Tarea]],'[7]4. Directorio Integrado'!$B$4:$N$245,5,0)</f>
        <v>Controles de Seguridad de la Información</v>
      </c>
      <c r="G11" s="12" t="str">
        <f>VLOOKUP(Contacts[[#This Row],[Código Tarea]],'[7]4. Directorio Integrado'!$B$4:$N$245,6,0)</f>
        <v>1.1.1</v>
      </c>
      <c r="H11" s="12" t="str">
        <f>VLOOKUP(Contacts[[#This Row],[Código Tarea]],'[7]4. Directorio Integrado'!$B$4:$N$245,7,0)</f>
        <v>Revisión de imagen corporativa</v>
      </c>
      <c r="I11" s="12" t="str">
        <f>IFERROR((IF('[7]4. Directorio Integrado'!C6=1,'[7]4. Directorio Integrado'!I6,IF('[7]4. Directorio Integrado'!C6=2,"",IF('[7]4. Directorio Integrado'!C6=3,"",IF('[7]4. Directorio Integrado'!C6=4,"",IF('[7]4. Directorio Integrado'!C6=5,"",IF('[7]4. Directorio Integrado'!C6=6,""))))))),"")</f>
        <v>1.1.1.003</v>
      </c>
      <c r="J11" s="13" t="str">
        <f>IFERROR((VLOOKUP(Contacts[[#This Row],[Código Tarea]],'[7]4. Directorio Integrado'!I$4:J$1048576,2,0)),"")</f>
        <v>Los colaboradores parquean vehículos (motos) dentro de la oficina.</v>
      </c>
      <c r="K11" s="14" t="str">
        <f>IFERROR((VLOOKUP(Contacts[[#This Row],[Código Tarea]],'[7]4. Directorio Integrado'!I$4:K$1048576,3,0)),"")</f>
        <v>Actividad a Distancia</v>
      </c>
      <c r="L11" s="16" t="str">
        <f>VLOOKUP(Contacts[[#This Row],[Código Tarea]],'[7]Formato 1- Riesgo Operativo'!$B$8:$H$54,3,0)</f>
        <v>x</v>
      </c>
      <c r="M11" s="16">
        <f>VLOOKUP(Contacts[[#This Row],[Código Tarea]],'[7]Formato 1- Riesgo Operativo'!$B$8:$H$54,4,0)</f>
        <v>0</v>
      </c>
      <c r="N11" s="16">
        <f>VLOOKUP(Contacts[[#This Row],[Código Tarea]],'[7]Formato 1- Riesgo Operativo'!$B$8:$H$54,5,0)</f>
        <v>0</v>
      </c>
      <c r="O11" s="16">
        <f>VLOOKUP(Contacts[[#This Row],[Código Tarea]],'[7]Formato 1- Riesgo Operativo'!$B$8:$H$54,6,0)</f>
        <v>0</v>
      </c>
      <c r="P11" s="16">
        <f>VLOOKUP(Contacts[[#This Row],[Código Tarea]],'[7]Formato 1- Riesgo Operativo'!$B$8:$H$54,7,0)</f>
        <v>0</v>
      </c>
      <c r="Q11" s="16">
        <f>VLOOKUP(Contacts[[#This Row],[Código Tarea]],'[7]Formato 1- Riesgo Operativo'!$B$8:$I$54,8,0)</f>
        <v>0</v>
      </c>
      <c r="R11" s="14" t="str">
        <f>VLOOKUP(Contacts[[#This Row],[Código Tarea]],'[7]4. Directorio Integrado'!$I$4:$M$231,5,0)</f>
        <v>SARO/SGSI/SGSF</v>
      </c>
    </row>
    <row r="12" spans="1:18" s="6" customFormat="1" ht="29" x14ac:dyDescent="0.35">
      <c r="C12" s="12">
        <f>VLOOKUP(Contacts[[#This Row],[Código Tarea]],'[7]4. Directorio Integrado'!$B$4:$N$245,2,0)</f>
        <v>1</v>
      </c>
      <c r="D12" s="15" t="str">
        <f>VLOOKUP(Contacts[[#This Row],[Código Tarea]],'[7]4. Directorio Integrado'!$B$4:$N$245,3,0)</f>
        <v>Riesgo Operativo</v>
      </c>
      <c r="E12" s="12" t="str">
        <f>VLOOKUP(Contacts[[#This Row],[Código Tarea]],'[7]4. Directorio Integrado'!$B$4:$N$245,4,0)</f>
        <v>1.1</v>
      </c>
      <c r="F12" s="12" t="str">
        <f>VLOOKUP(Contacts[[#This Row],[Código Tarea]],'[7]4. Directorio Integrado'!$B$4:$N$245,5,0)</f>
        <v>Controles de Seguridad de la Información</v>
      </c>
      <c r="G12" s="12" t="str">
        <f>VLOOKUP(Contacts[[#This Row],[Código Tarea]],'[7]4. Directorio Integrado'!$B$4:$N$245,6,0)</f>
        <v>1.1.2</v>
      </c>
      <c r="H12" s="12" t="str">
        <f>VLOOKUP(Contacts[[#This Row],[Código Tarea]],'[7]4. Directorio Integrado'!$B$4:$N$245,7,0)</f>
        <v>Revisión de Inventario</v>
      </c>
      <c r="I12" s="12" t="str">
        <f>IFERROR((IF('[7]4. Directorio Integrado'!C7=1,'[7]4. Directorio Integrado'!I7,IF('[7]4. Directorio Integrado'!C7=2,"",IF('[7]4. Directorio Integrado'!C7=3,"",IF('[7]4. Directorio Integrado'!C7=4,"",IF('[7]4. Directorio Integrado'!C7=5,"",IF('[7]4. Directorio Integrado'!C7=6,""))))))),"")</f>
        <v>1.1.2.001</v>
      </c>
      <c r="J12" s="13" t="str">
        <f>IFERROR((VLOOKUP(Contacts[[#This Row],[Código Tarea]],'[7]4. Directorio Integrado'!I$4:J$1048576,2,0)),"")</f>
        <v>Se realiza inventario a los activos de la oficina (solicitar último inventario).</v>
      </c>
      <c r="K12" s="14" t="str">
        <f>IFERROR((VLOOKUP(Contacts[[#This Row],[Código Tarea]],'[7]4. Directorio Integrado'!I$4:K$1048576,3,0)),"")</f>
        <v>Actividad a Distancia</v>
      </c>
      <c r="L12" s="16" t="str">
        <f>VLOOKUP(Contacts[[#This Row],[Código Tarea]],'[7]Formato 1- Riesgo Operativo'!$B$8:$H$54,3,0)</f>
        <v>X</v>
      </c>
      <c r="M12" s="16">
        <f>VLOOKUP(Contacts[[#This Row],[Código Tarea]],'[7]Formato 1- Riesgo Operativo'!$B$8:$H$54,4,0)</f>
        <v>0</v>
      </c>
      <c r="N12" s="16">
        <f>VLOOKUP(Contacts[[#This Row],[Código Tarea]],'[7]Formato 1- Riesgo Operativo'!$B$8:$H$54,5,0)</f>
        <v>0</v>
      </c>
      <c r="O12" s="16">
        <f>VLOOKUP(Contacts[[#This Row],[Código Tarea]],'[7]Formato 1- Riesgo Operativo'!$B$8:$H$54,6,0)</f>
        <v>0</v>
      </c>
      <c r="P12" s="16">
        <f>VLOOKUP(Contacts[[#This Row],[Código Tarea]],'[7]Formato 1- Riesgo Operativo'!$B$8:$H$54,7,0)</f>
        <v>0</v>
      </c>
      <c r="Q12" s="16">
        <f>VLOOKUP(Contacts[[#This Row],[Código Tarea]],'[7]Formato 1- Riesgo Operativo'!$B$8:$I$54,8,0)</f>
        <v>0</v>
      </c>
      <c r="R12" s="14" t="str">
        <f>VLOOKUP(Contacts[[#This Row],[Código Tarea]],'[7]4. Directorio Integrado'!$I$4:$M$231,5,0)</f>
        <v>SARO/SGSI</v>
      </c>
    </row>
    <row r="13" spans="1:18" s="6" customFormat="1" ht="29" x14ac:dyDescent="0.35">
      <c r="C13" s="12">
        <f>VLOOKUP(Contacts[[#This Row],[Código Tarea]],'[7]4. Directorio Integrado'!$B$4:$N$245,2,0)</f>
        <v>1</v>
      </c>
      <c r="D13" s="15" t="str">
        <f>VLOOKUP(Contacts[[#This Row],[Código Tarea]],'[7]4. Directorio Integrado'!$B$4:$N$245,3,0)</f>
        <v>Riesgo Operativo</v>
      </c>
      <c r="E13" s="12" t="str">
        <f>VLOOKUP(Contacts[[#This Row],[Código Tarea]],'[7]4. Directorio Integrado'!$B$4:$N$245,4,0)</f>
        <v>1.1</v>
      </c>
      <c r="F13" s="12" t="str">
        <f>VLOOKUP(Contacts[[#This Row],[Código Tarea]],'[7]4. Directorio Integrado'!$B$4:$N$245,5,0)</f>
        <v>Controles de Seguridad de la Información</v>
      </c>
      <c r="G13" s="12" t="str">
        <f>VLOOKUP(Contacts[[#This Row],[Código Tarea]],'[7]4. Directorio Integrado'!$B$4:$N$245,6,0)</f>
        <v>1.1.3</v>
      </c>
      <c r="H13" s="12" t="str">
        <f>VLOOKUP(Contacts[[#This Row],[Código Tarea]],'[7]4. Directorio Integrado'!$B$4:$N$245,7,0)</f>
        <v>Revisión en bóveda</v>
      </c>
      <c r="I13" s="12" t="str">
        <f>IFERROR((IF('[7]4. Directorio Integrado'!C8=1,'[7]4. Directorio Integrado'!I8,IF('[7]4. Directorio Integrado'!C8=2,"",IF('[7]4. Directorio Integrado'!C8=3,"",IF('[7]4. Directorio Integrado'!C8=4,"",IF('[7]4. Directorio Integrado'!C8=5,"",IF('[7]4. Directorio Integrado'!C8=6,""))))))),"")</f>
        <v>1.1.3.001</v>
      </c>
      <c r="J13" s="13" t="str">
        <f>IFERROR((VLOOKUP(Contacts[[#This Row],[Código Tarea]],'[7]4. Directorio Integrado'!I$4:J$1048576,2,0)),"")</f>
        <v>La puerta principal de la oficina permanece cerrada cuando la bóveda está abierta.</v>
      </c>
      <c r="K13" s="14" t="str">
        <f>IFERROR((VLOOKUP(Contacts[[#This Row],[Código Tarea]],'[7]4. Directorio Integrado'!I$4:K$1048576,3,0)),"")</f>
        <v>Actividad a Distancia</v>
      </c>
      <c r="L13" s="16" t="str">
        <f>VLOOKUP(Contacts[[#This Row],[Código Tarea]],'[7]Formato 1- Riesgo Operativo'!$B$8:$H$54,3,0)</f>
        <v>X</v>
      </c>
      <c r="M13" s="16">
        <f>VLOOKUP(Contacts[[#This Row],[Código Tarea]],'[7]Formato 1- Riesgo Operativo'!$B$8:$H$54,4,0)</f>
        <v>0</v>
      </c>
      <c r="N13" s="16">
        <f>VLOOKUP(Contacts[[#This Row],[Código Tarea]],'[7]Formato 1- Riesgo Operativo'!$B$8:$H$54,5,0)</f>
        <v>0</v>
      </c>
      <c r="O13" s="16">
        <f>VLOOKUP(Contacts[[#This Row],[Código Tarea]],'[7]Formato 1- Riesgo Operativo'!$B$8:$H$54,6,0)</f>
        <v>0</v>
      </c>
      <c r="P13" s="16">
        <f>VLOOKUP(Contacts[[#This Row],[Código Tarea]],'[7]Formato 1- Riesgo Operativo'!$B$8:$H$54,7,0)</f>
        <v>0</v>
      </c>
      <c r="Q13" s="16">
        <f>VLOOKUP(Contacts[[#This Row],[Código Tarea]],'[7]Formato 1- Riesgo Operativo'!$B$8:$I$54,8,0)</f>
        <v>0</v>
      </c>
      <c r="R13" s="14" t="str">
        <f>VLOOKUP(Contacts[[#This Row],[Código Tarea]],'[7]4. Directorio Integrado'!$I$4:$M$231,5,0)</f>
        <v>SARO/SGSF</v>
      </c>
    </row>
    <row r="14" spans="1:18" s="6" customFormat="1" ht="29" x14ac:dyDescent="0.35">
      <c r="C14" s="12">
        <f>VLOOKUP(Contacts[[#This Row],[Código Tarea]],'[7]4. Directorio Integrado'!$B$4:$N$245,2,0)</f>
        <v>1</v>
      </c>
      <c r="D14" s="15" t="str">
        <f>VLOOKUP(Contacts[[#This Row],[Código Tarea]],'[7]4. Directorio Integrado'!$B$4:$N$245,3,0)</f>
        <v>Riesgo Operativo</v>
      </c>
      <c r="E14" s="12" t="str">
        <f>VLOOKUP(Contacts[[#This Row],[Código Tarea]],'[7]4. Directorio Integrado'!$B$4:$N$245,4,0)</f>
        <v>1.1</v>
      </c>
      <c r="F14" s="12" t="str">
        <f>VLOOKUP(Contacts[[#This Row],[Código Tarea]],'[7]4. Directorio Integrado'!$B$4:$N$245,5,0)</f>
        <v>Controles de Seguridad de la Información</v>
      </c>
      <c r="G14" s="12" t="str">
        <f>VLOOKUP(Contacts[[#This Row],[Código Tarea]],'[7]4. Directorio Integrado'!$B$4:$N$245,6,0)</f>
        <v>1.1.3</v>
      </c>
      <c r="H14" s="12" t="str">
        <f>VLOOKUP(Contacts[[#This Row],[Código Tarea]],'[7]4. Directorio Integrado'!$B$4:$N$245,7,0)</f>
        <v>Revisión en bóveda</v>
      </c>
      <c r="I14" s="12" t="str">
        <f>IFERROR((IF('[7]4. Directorio Integrado'!C9=1,'[7]4. Directorio Integrado'!I9,IF('[7]4. Directorio Integrado'!C9=2,"",IF('[7]4. Directorio Integrado'!C9=3,"",IF('[7]4. Directorio Integrado'!C9=4,"",IF('[7]4. Directorio Integrado'!C9=5,"",IF('[7]4. Directorio Integrado'!C9=6,""))))))),"")</f>
        <v>1.1.3.002</v>
      </c>
      <c r="J14" s="13" t="str">
        <f>IFERROR((VLOOKUP(Contacts[[#This Row],[Código Tarea]],'[7]4. Directorio Integrado'!I$4:J$1048576,2,0)),"")</f>
        <v>Existe libro de bóveda y  este evidencia  del registro de las operaciones diarias.</v>
      </c>
      <c r="K14" s="14" t="str">
        <f>IFERROR((VLOOKUP(Contacts[[#This Row],[Código Tarea]],'[7]4. Directorio Integrado'!I$4:K$1048576,3,0)),"")</f>
        <v>Presencial</v>
      </c>
      <c r="L14" s="16">
        <f>VLOOKUP(Contacts[[#This Row],[Código Tarea]],'[7]Formato 1- Riesgo Operativo'!$B$8:$H$54,3,0)</f>
        <v>0</v>
      </c>
      <c r="M14" s="16" t="str">
        <f>VLOOKUP(Contacts[[#This Row],[Código Tarea]],'[7]Formato 1- Riesgo Operativo'!$B$8:$H$54,4,0)</f>
        <v>x</v>
      </c>
      <c r="N14" s="16">
        <f>VLOOKUP(Contacts[[#This Row],[Código Tarea]],'[7]Formato 1- Riesgo Operativo'!$B$8:$H$54,5,0)</f>
        <v>0</v>
      </c>
      <c r="O14" s="16">
        <f>VLOOKUP(Contacts[[#This Row],[Código Tarea]],'[7]Formato 1- Riesgo Operativo'!$B$8:$H$54,6,0)</f>
        <v>0</v>
      </c>
      <c r="P14" s="16">
        <f>VLOOKUP(Contacts[[#This Row],[Código Tarea]],'[7]Formato 1- Riesgo Operativo'!$B$8:$H$54,7,0)</f>
        <v>0</v>
      </c>
      <c r="Q14" s="16">
        <f>VLOOKUP(Contacts[[#This Row],[Código Tarea]],'[7]Formato 1- Riesgo Operativo'!$B$8:$I$54,8,0)</f>
        <v>0</v>
      </c>
      <c r="R14" s="14" t="str">
        <f>VLOOKUP(Contacts[[#This Row],[Código Tarea]],'[7]4. Directorio Integrado'!$I$4:$M$231,5,0)</f>
        <v>SARO/SGSF</v>
      </c>
    </row>
    <row r="15" spans="1:18" s="6" customFormat="1" ht="43.5" x14ac:dyDescent="0.35">
      <c r="C15" s="12">
        <f>VLOOKUP(Contacts[[#This Row],[Código Tarea]],'[7]4. Directorio Integrado'!$B$4:$N$245,2,0)</f>
        <v>1</v>
      </c>
      <c r="D15" s="15" t="str">
        <f>VLOOKUP(Contacts[[#This Row],[Código Tarea]],'[7]4. Directorio Integrado'!$B$4:$N$245,3,0)</f>
        <v>Riesgo Operativo</v>
      </c>
      <c r="E15" s="12" t="str">
        <f>VLOOKUP(Contacts[[#This Row],[Código Tarea]],'[7]4. Directorio Integrado'!$B$4:$N$245,4,0)</f>
        <v>1.1</v>
      </c>
      <c r="F15" s="12" t="str">
        <f>VLOOKUP(Contacts[[#This Row],[Código Tarea]],'[7]4. Directorio Integrado'!$B$4:$N$245,5,0)</f>
        <v>Controles de Seguridad de la Información</v>
      </c>
      <c r="G15" s="12" t="str">
        <f>VLOOKUP(Contacts[[#This Row],[Código Tarea]],'[7]4. Directorio Integrado'!$B$4:$N$245,6,0)</f>
        <v>1.1.3</v>
      </c>
      <c r="H15" s="12" t="str">
        <f>VLOOKUP(Contacts[[#This Row],[Código Tarea]],'[7]4. Directorio Integrado'!$B$4:$N$245,7,0)</f>
        <v>Revisión en bóveda</v>
      </c>
      <c r="I15" s="12" t="str">
        <f>IFERROR((IF('[7]4. Directorio Integrado'!C10=1,'[7]4. Directorio Integrado'!I10,IF('[7]4. Directorio Integrado'!C10=2,"",IF('[7]4. Directorio Integrado'!C10=3,"",IF('[7]4. Directorio Integrado'!C10=4,"",IF('[7]4. Directorio Integrado'!C10=5,"",IF('[7]4. Directorio Integrado'!C10=6,""))))))),"")</f>
        <v>1.1.3.003</v>
      </c>
      <c r="J15" s="13" t="str">
        <f>IFERROR((VLOOKUP(Contacts[[#This Row],[Código Tarea]],'[7]4. Directorio Integrado'!I$4:J$1048576,2,0)),"")</f>
        <v>Mensualmente se realiza el arqueo de fin de mes a bóveda según lo estipulado en el manual de manejo de efectivo. OP-MME. y se encuentran actas de arqueo.</v>
      </c>
      <c r="K15" s="14" t="str">
        <f>IFERROR((VLOOKUP(Contacts[[#This Row],[Código Tarea]],'[7]4. Directorio Integrado'!I$4:K$1048576,3,0)),"")</f>
        <v>Presencial</v>
      </c>
      <c r="L15" s="16">
        <f>VLOOKUP(Contacts[[#This Row],[Código Tarea]],'[7]Formato 1- Riesgo Operativo'!$B$8:$H$54,3,0)</f>
        <v>0</v>
      </c>
      <c r="M15" s="16" t="str">
        <f>VLOOKUP(Contacts[[#This Row],[Código Tarea]],'[7]Formato 1- Riesgo Operativo'!$B$8:$H$54,4,0)</f>
        <v>x</v>
      </c>
      <c r="N15" s="16">
        <f>VLOOKUP(Contacts[[#This Row],[Código Tarea]],'[7]Formato 1- Riesgo Operativo'!$B$8:$H$54,5,0)</f>
        <v>0</v>
      </c>
      <c r="O15" s="16">
        <f>VLOOKUP(Contacts[[#This Row],[Código Tarea]],'[7]Formato 1- Riesgo Operativo'!$B$8:$H$54,6,0)</f>
        <v>0</v>
      </c>
      <c r="P15" s="16">
        <f>VLOOKUP(Contacts[[#This Row],[Código Tarea]],'[7]Formato 1- Riesgo Operativo'!$B$8:$H$54,7,0)</f>
        <v>0</v>
      </c>
      <c r="Q15" s="16">
        <f>VLOOKUP(Contacts[[#This Row],[Código Tarea]],'[7]Formato 1- Riesgo Operativo'!$B$8:$I$54,8,0)</f>
        <v>0</v>
      </c>
      <c r="R15" s="14" t="str">
        <f>VLOOKUP(Contacts[[#This Row],[Código Tarea]],'[7]4. Directorio Integrado'!$I$4:$M$231,5,0)</f>
        <v>SARO</v>
      </c>
    </row>
    <row r="16" spans="1:18" s="6" customFormat="1" ht="29" x14ac:dyDescent="0.35">
      <c r="C16" s="12">
        <f>VLOOKUP(Contacts[[#This Row],[Código Tarea]],'[7]4. Directorio Integrado'!$B$4:$N$245,2,0)</f>
        <v>1</v>
      </c>
      <c r="D16" s="15" t="str">
        <f>VLOOKUP(Contacts[[#This Row],[Código Tarea]],'[7]4. Directorio Integrado'!$B$4:$N$245,3,0)</f>
        <v>Riesgo Operativo</v>
      </c>
      <c r="E16" s="12" t="str">
        <f>VLOOKUP(Contacts[[#This Row],[Código Tarea]],'[7]4. Directorio Integrado'!$B$4:$N$245,4,0)</f>
        <v>1.1</v>
      </c>
      <c r="F16" s="12" t="str">
        <f>VLOOKUP(Contacts[[#This Row],[Código Tarea]],'[7]4. Directorio Integrado'!$B$4:$N$245,5,0)</f>
        <v>Controles de Seguridad de la Información</v>
      </c>
      <c r="G16" s="12" t="str">
        <f>VLOOKUP(Contacts[[#This Row],[Código Tarea]],'[7]4. Directorio Integrado'!$B$4:$N$245,6,0)</f>
        <v>1.1.3</v>
      </c>
      <c r="H16" s="12" t="str">
        <f>VLOOKUP(Contacts[[#This Row],[Código Tarea]],'[7]4. Directorio Integrado'!$B$4:$N$245,7,0)</f>
        <v>Revisión en bóveda</v>
      </c>
      <c r="I16" s="12" t="str">
        <f>IFERROR((IF('[7]4. Directorio Integrado'!C11=1,'[7]4. Directorio Integrado'!I11,IF('[7]4. Directorio Integrado'!C11=2,"",IF('[7]4. Directorio Integrado'!C11=3,"",IF('[7]4. Directorio Integrado'!C11=4,"",IF('[7]4. Directorio Integrado'!C11=5,"",IF('[7]4. Directorio Integrado'!C11=6,""))))))),"")</f>
        <v>1.1.3.004</v>
      </c>
      <c r="J16" s="13" t="str">
        <f>IFERROR((VLOOKUP(Contacts[[#This Row],[Código Tarea]],'[7]4. Directorio Integrado'!I$4:J$1048576,2,0)),"")</f>
        <v>La bóveda permanece cerrada, diales borrados y asegurada cuando no esta en uso.</v>
      </c>
      <c r="K16" s="14" t="str">
        <f>IFERROR((VLOOKUP(Contacts[[#This Row],[Código Tarea]],'[7]4. Directorio Integrado'!I$4:K$1048576,3,0)),"")</f>
        <v>Presencial</v>
      </c>
      <c r="L16" s="16">
        <f>VLOOKUP(Contacts[[#This Row],[Código Tarea]],'[7]Formato 1- Riesgo Operativo'!$B$8:$H$54,3,0)</f>
        <v>0</v>
      </c>
      <c r="M16" s="16" t="str">
        <f>VLOOKUP(Contacts[[#This Row],[Código Tarea]],'[7]Formato 1- Riesgo Operativo'!$B$8:$H$54,4,0)</f>
        <v>x</v>
      </c>
      <c r="N16" s="16">
        <f>VLOOKUP(Contacts[[#This Row],[Código Tarea]],'[7]Formato 1- Riesgo Operativo'!$B$8:$H$54,5,0)</f>
        <v>0</v>
      </c>
      <c r="O16" s="16">
        <f>VLOOKUP(Contacts[[#This Row],[Código Tarea]],'[7]Formato 1- Riesgo Operativo'!$B$8:$H$54,6,0)</f>
        <v>0</v>
      </c>
      <c r="P16" s="16">
        <f>VLOOKUP(Contacts[[#This Row],[Código Tarea]],'[7]Formato 1- Riesgo Operativo'!$B$8:$H$54,7,0)</f>
        <v>0</v>
      </c>
      <c r="Q16" s="16">
        <f>VLOOKUP(Contacts[[#This Row],[Código Tarea]],'[7]Formato 1- Riesgo Operativo'!$B$8:$I$54,8,0)</f>
        <v>0</v>
      </c>
      <c r="R16" s="14" t="str">
        <f>VLOOKUP(Contacts[[#This Row],[Código Tarea]],'[7]4. Directorio Integrado'!$I$4:$M$231,5,0)</f>
        <v>SARO/SGSF</v>
      </c>
    </row>
    <row r="17" spans="3:18" ht="29" x14ac:dyDescent="0.35">
      <c r="C17" s="12">
        <f>VLOOKUP(Contacts[[#This Row],[Código Tarea]],'[7]4. Directorio Integrado'!$B$4:$N$245,2,0)</f>
        <v>1</v>
      </c>
      <c r="D17" s="15" t="str">
        <f>VLOOKUP(Contacts[[#This Row],[Código Tarea]],'[7]4. Directorio Integrado'!$B$4:$N$245,3,0)</f>
        <v>Riesgo Operativo</v>
      </c>
      <c r="E17" s="12" t="str">
        <f>VLOOKUP(Contacts[[#This Row],[Código Tarea]],'[7]4. Directorio Integrado'!$B$4:$N$245,4,0)</f>
        <v>1.1</v>
      </c>
      <c r="F17" s="12" t="str">
        <f>VLOOKUP(Contacts[[#This Row],[Código Tarea]],'[7]4. Directorio Integrado'!$B$4:$N$245,5,0)</f>
        <v>Controles de Seguridad de la Información</v>
      </c>
      <c r="G17" s="12" t="str">
        <f>VLOOKUP(Contacts[[#This Row],[Código Tarea]],'[7]4. Directorio Integrado'!$B$4:$N$245,6,0)</f>
        <v>1.1.3</v>
      </c>
      <c r="H17" s="12" t="str">
        <f>VLOOKUP(Contacts[[#This Row],[Código Tarea]],'[7]4. Directorio Integrado'!$B$4:$N$245,7,0)</f>
        <v>Revisión en bóveda</v>
      </c>
      <c r="I17" s="12" t="str">
        <f>IFERROR((IF('[7]4. Directorio Integrado'!C12=1,'[7]4. Directorio Integrado'!I12,IF('[7]4. Directorio Integrado'!C12=2,"",IF('[7]4. Directorio Integrado'!C12=3,"",IF('[7]4. Directorio Integrado'!C12=4,"",IF('[7]4. Directorio Integrado'!C12=5,"",IF('[7]4. Directorio Integrado'!C12=6,""))))))),"")</f>
        <v>1.1.3.005</v>
      </c>
      <c r="J17" s="13" t="str">
        <f>IFERROR((VLOOKUP(Contacts[[#This Row],[Código Tarea]],'[7]4. Directorio Integrado'!I$4:J$1048576,2,0)),"")</f>
        <v>Se realiza el control dual para la apertura de bóveda.</v>
      </c>
      <c r="K17" s="14" t="str">
        <f>IFERROR((VLOOKUP(Contacts[[#This Row],[Código Tarea]],'[7]4. Directorio Integrado'!I$4:K$1048576,3,0)),"")</f>
        <v>Actividad a Distancia</v>
      </c>
      <c r="L17" s="16" t="str">
        <f>VLOOKUP(Contacts[[#This Row],[Código Tarea]],'[7]Formato 1- Riesgo Operativo'!$B$8:$H$54,3,0)</f>
        <v>X</v>
      </c>
      <c r="M17" s="16">
        <f>VLOOKUP(Contacts[[#This Row],[Código Tarea]],'[7]Formato 1- Riesgo Operativo'!$B$8:$H$54,4,0)</f>
        <v>0</v>
      </c>
      <c r="N17" s="16">
        <f>VLOOKUP(Contacts[[#This Row],[Código Tarea]],'[7]Formato 1- Riesgo Operativo'!$B$8:$H$54,5,0)</f>
        <v>0</v>
      </c>
      <c r="O17" s="16">
        <f>VLOOKUP(Contacts[[#This Row],[Código Tarea]],'[7]Formato 1- Riesgo Operativo'!$B$8:$H$54,6,0)</f>
        <v>0</v>
      </c>
      <c r="P17" s="16">
        <f>VLOOKUP(Contacts[[#This Row],[Código Tarea]],'[7]Formato 1- Riesgo Operativo'!$B$8:$H$54,7,0)</f>
        <v>0</v>
      </c>
      <c r="Q17" s="16">
        <f>VLOOKUP(Contacts[[#This Row],[Código Tarea]],'[7]Formato 1- Riesgo Operativo'!$B$8:$I$54,8,0)</f>
        <v>0</v>
      </c>
      <c r="R17" s="14" t="str">
        <f>VLOOKUP(Contacts[[#This Row],[Código Tarea]],'[7]4. Directorio Integrado'!$I$4:$M$231,5,0)</f>
        <v>SARO/SGSF</v>
      </c>
    </row>
    <row r="18" spans="3:18" ht="101.5" x14ac:dyDescent="0.35">
      <c r="C18" s="12">
        <f>VLOOKUP(Contacts[[#This Row],[Código Tarea]],'[7]4. Directorio Integrado'!$B$4:$N$245,2,0)</f>
        <v>1</v>
      </c>
      <c r="D18" s="15" t="str">
        <f>VLOOKUP(Contacts[[#This Row],[Código Tarea]],'[7]4. Directorio Integrado'!$B$4:$N$245,3,0)</f>
        <v>Riesgo Operativo</v>
      </c>
      <c r="E18" s="12" t="str">
        <f>VLOOKUP(Contacts[[#This Row],[Código Tarea]],'[7]4. Directorio Integrado'!$B$4:$N$245,4,0)</f>
        <v>1.1</v>
      </c>
      <c r="F18" s="12" t="str">
        <f>VLOOKUP(Contacts[[#This Row],[Código Tarea]],'[7]4. Directorio Integrado'!$B$4:$N$245,5,0)</f>
        <v>Controles de Seguridad de la Información</v>
      </c>
      <c r="G18" s="12" t="str">
        <f>VLOOKUP(Contacts[[#This Row],[Código Tarea]],'[7]4. Directorio Integrado'!$B$4:$N$245,6,0)</f>
        <v>1.1.4</v>
      </c>
      <c r="H18" s="12" t="str">
        <f>VLOOKUP(Contacts[[#This Row],[Código Tarea]],'[7]4. Directorio Integrado'!$B$4:$N$245,7,0)</f>
        <v>Revisión en caja</v>
      </c>
      <c r="I18" s="12" t="str">
        <f>IFERROR((IF('[7]4. Directorio Integrado'!C13=1,'[7]4. Directorio Integrado'!I13,IF('[7]4. Directorio Integrado'!C13=2,"",IF('[7]4. Directorio Integrado'!C13=3,"",IF('[7]4. Directorio Integrado'!C13=4,"",IF('[7]4. Directorio Integrado'!C13=5,"",IF('[7]4. Directorio Integrado'!C13=6,""))))))),"")</f>
        <v>1.1.4.001</v>
      </c>
      <c r="J18" s="13" t="str">
        <f>IFERROR((VLOOKUP(Contacts[[#This Row],[Código Tarea]],'[7]4. Directorio Integrado'!I$4:J$1048576,2,0)),"")</f>
        <v>Verificar que durante la apertura, atención y cierre al público, el efectivo se encuentra debidamente custodiado: comprobar que la bóveda o caja fuerte se encuentre cerrada con llave, clave y con el retardo activado y que no exista efectivo fuera de los medios de custodia (puestos de caja, dispensadores habilitados, etc.).</v>
      </c>
      <c r="K18" s="14" t="str">
        <f>IFERROR((VLOOKUP(Contacts[[#This Row],[Código Tarea]],'[7]4. Directorio Integrado'!I$4:K$1048576,3,0)),"")</f>
        <v>Presencial</v>
      </c>
      <c r="L18" s="16" t="str">
        <f>VLOOKUP(Contacts[[#This Row],[Código Tarea]],'[7]Formato 1- Riesgo Operativo'!$B$8:$H$54,3,0)</f>
        <v>X</v>
      </c>
      <c r="M18" s="16">
        <f>VLOOKUP(Contacts[[#This Row],[Código Tarea]],'[7]Formato 1- Riesgo Operativo'!$B$8:$H$54,4,0)</f>
        <v>0</v>
      </c>
      <c r="N18" s="16">
        <f>VLOOKUP(Contacts[[#This Row],[Código Tarea]],'[7]Formato 1- Riesgo Operativo'!$B$8:$H$54,5,0)</f>
        <v>0</v>
      </c>
      <c r="O18" s="16">
        <f>VLOOKUP(Contacts[[#This Row],[Código Tarea]],'[7]Formato 1- Riesgo Operativo'!$B$8:$H$54,6,0)</f>
        <v>0</v>
      </c>
      <c r="P18" s="16">
        <f>VLOOKUP(Contacts[[#This Row],[Código Tarea]],'[7]Formato 1- Riesgo Operativo'!$B$8:$H$54,7,0)</f>
        <v>0</v>
      </c>
      <c r="Q18" s="16">
        <f>VLOOKUP(Contacts[[#This Row],[Código Tarea]],'[7]Formato 1- Riesgo Operativo'!$B$8:$I$54,8,0)</f>
        <v>0</v>
      </c>
      <c r="R18" s="14" t="str">
        <f>VLOOKUP(Contacts[[#This Row],[Código Tarea]],'[7]4. Directorio Integrado'!$I$4:$M$231,5,0)</f>
        <v>SARO/SGSF</v>
      </c>
    </row>
    <row r="19" spans="3:18" ht="29" x14ac:dyDescent="0.35">
      <c r="C19" s="12">
        <f>VLOOKUP(Contacts[[#This Row],[Código Tarea]],'[7]4. Directorio Integrado'!$B$4:$N$245,2,0)</f>
        <v>1</v>
      </c>
      <c r="D19" s="15" t="str">
        <f>VLOOKUP(Contacts[[#This Row],[Código Tarea]],'[7]4. Directorio Integrado'!$B$4:$N$245,3,0)</f>
        <v>Riesgo Operativo</v>
      </c>
      <c r="E19" s="12" t="str">
        <f>VLOOKUP(Contacts[[#This Row],[Código Tarea]],'[7]4. Directorio Integrado'!$B$4:$N$245,4,0)</f>
        <v>1.1</v>
      </c>
      <c r="F19" s="12" t="str">
        <f>VLOOKUP(Contacts[[#This Row],[Código Tarea]],'[7]4. Directorio Integrado'!$B$4:$N$245,5,0)</f>
        <v>Controles de Seguridad de la Información</v>
      </c>
      <c r="G19" s="12" t="str">
        <f>VLOOKUP(Contacts[[#This Row],[Código Tarea]],'[7]4. Directorio Integrado'!$B$4:$N$245,6,0)</f>
        <v>1.1.4</v>
      </c>
      <c r="H19" s="12" t="str">
        <f>VLOOKUP(Contacts[[#This Row],[Código Tarea]],'[7]4. Directorio Integrado'!$B$4:$N$245,7,0)</f>
        <v>Revisión en caja</v>
      </c>
      <c r="I19" s="12" t="str">
        <f>IFERROR((IF('[7]4. Directorio Integrado'!C14=1,'[7]4. Directorio Integrado'!I14,IF('[7]4. Directorio Integrado'!C14=2,"",IF('[7]4. Directorio Integrado'!C14=3,"",IF('[7]4. Directorio Integrado'!C14=4,"",IF('[7]4. Directorio Integrado'!C14=5,"",IF('[7]4. Directorio Integrado'!C14=6,""))))))),"")</f>
        <v>1.1.4.002</v>
      </c>
      <c r="J19" s="13" t="str">
        <f>IFERROR((VLOOKUP(Contacts[[#This Row],[Código Tarea]],'[7]4. Directorio Integrado'!I$4:J$1048576,2,0)),"")</f>
        <v>Se realizan arqueos en caja diariamente.</v>
      </c>
      <c r="K19" s="14" t="str">
        <f>IFERROR((VLOOKUP(Contacts[[#This Row],[Código Tarea]],'[7]4. Directorio Integrado'!I$4:K$1048576,3,0)),"")</f>
        <v>Actividad a Distancia</v>
      </c>
      <c r="L19" s="16" t="str">
        <f>VLOOKUP(Contacts[[#This Row],[Código Tarea]],'[7]Formato 1- Riesgo Operativo'!$B$8:$H$54,3,0)</f>
        <v>X</v>
      </c>
      <c r="M19" s="16">
        <f>VLOOKUP(Contacts[[#This Row],[Código Tarea]],'[7]Formato 1- Riesgo Operativo'!$B$8:$H$54,4,0)</f>
        <v>0</v>
      </c>
      <c r="N19" s="16">
        <f>VLOOKUP(Contacts[[#This Row],[Código Tarea]],'[7]Formato 1- Riesgo Operativo'!$B$8:$H$54,5,0)</f>
        <v>0</v>
      </c>
      <c r="O19" s="16">
        <f>VLOOKUP(Contacts[[#This Row],[Código Tarea]],'[7]Formato 1- Riesgo Operativo'!$B$8:$H$54,6,0)</f>
        <v>0</v>
      </c>
      <c r="P19" s="16">
        <f>VLOOKUP(Contacts[[#This Row],[Código Tarea]],'[7]Formato 1- Riesgo Operativo'!$B$8:$H$54,7,0)</f>
        <v>0</v>
      </c>
      <c r="Q19" s="16">
        <f>VLOOKUP(Contacts[[#This Row],[Código Tarea]],'[7]Formato 1- Riesgo Operativo'!$B$8:$I$54,8,0)</f>
        <v>0</v>
      </c>
      <c r="R19" s="14" t="str">
        <f>VLOOKUP(Contacts[[#This Row],[Código Tarea]],'[7]4. Directorio Integrado'!$I$4:$M$231,5,0)</f>
        <v>SARO</v>
      </c>
    </row>
    <row r="20" spans="3:18" ht="29" x14ac:dyDescent="0.35">
      <c r="C20" s="12">
        <f>VLOOKUP(Contacts[[#This Row],[Código Tarea]],'[7]4. Directorio Integrado'!$B$4:$N$245,2,0)</f>
        <v>1</v>
      </c>
      <c r="D20" s="15" t="str">
        <f>VLOOKUP(Contacts[[#This Row],[Código Tarea]],'[7]4. Directorio Integrado'!$B$4:$N$245,3,0)</f>
        <v>Riesgo Operativo</v>
      </c>
      <c r="E20" s="12" t="str">
        <f>VLOOKUP(Contacts[[#This Row],[Código Tarea]],'[7]4. Directorio Integrado'!$B$4:$N$245,4,0)</f>
        <v>1.1</v>
      </c>
      <c r="F20" s="12" t="str">
        <f>VLOOKUP(Contacts[[#This Row],[Código Tarea]],'[7]4. Directorio Integrado'!$B$4:$N$245,5,0)</f>
        <v>Controles de Seguridad de la Información</v>
      </c>
      <c r="G20" s="12" t="str">
        <f>VLOOKUP(Contacts[[#This Row],[Código Tarea]],'[7]4. Directorio Integrado'!$B$4:$N$245,6,0)</f>
        <v>1.1.4</v>
      </c>
      <c r="H20" s="12" t="str">
        <f>VLOOKUP(Contacts[[#This Row],[Código Tarea]],'[7]4. Directorio Integrado'!$B$4:$N$245,7,0)</f>
        <v>Revisión en caja</v>
      </c>
      <c r="I20" s="12" t="str">
        <f>IFERROR((IF('[7]4. Directorio Integrado'!C15=1,'[7]4. Directorio Integrado'!I15,IF('[7]4. Directorio Integrado'!C15=2,"",IF('[7]4. Directorio Integrado'!C15=3,"",IF('[7]4. Directorio Integrado'!C15=4,"",IF('[7]4. Directorio Integrado'!C15=5,"",IF('[7]4. Directorio Integrado'!C15=6,""))))))),"")</f>
        <v>1.1.4.003</v>
      </c>
      <c r="J20" s="13" t="str">
        <f>IFERROR((VLOOKUP(Contacts[[#This Row],[Código Tarea]],'[7]4. Directorio Integrado'!I$4:J$1048576,2,0)),"")</f>
        <v>Se conservan actas de arqueo de caja general.</v>
      </c>
      <c r="K20" s="14" t="str">
        <f>IFERROR((VLOOKUP(Contacts[[#This Row],[Código Tarea]],'[7]4. Directorio Integrado'!I$4:K$1048576,3,0)),"")</f>
        <v>Actividad a Distancia</v>
      </c>
      <c r="L20" s="16" t="str">
        <f>VLOOKUP(Contacts[[#This Row],[Código Tarea]],'[7]Formato 1- Riesgo Operativo'!$B$8:$H$54,3,0)</f>
        <v>X</v>
      </c>
      <c r="M20" s="16">
        <f>VLOOKUP(Contacts[[#This Row],[Código Tarea]],'[7]Formato 1- Riesgo Operativo'!$B$8:$H$54,4,0)</f>
        <v>0</v>
      </c>
      <c r="N20" s="16">
        <f>VLOOKUP(Contacts[[#This Row],[Código Tarea]],'[7]Formato 1- Riesgo Operativo'!$B$8:$H$54,5,0)</f>
        <v>0</v>
      </c>
      <c r="O20" s="16">
        <f>VLOOKUP(Contacts[[#This Row],[Código Tarea]],'[7]Formato 1- Riesgo Operativo'!$B$8:$H$54,6,0)</f>
        <v>0</v>
      </c>
      <c r="P20" s="16">
        <f>VLOOKUP(Contacts[[#This Row],[Código Tarea]],'[7]Formato 1- Riesgo Operativo'!$B$8:$H$54,7,0)</f>
        <v>0</v>
      </c>
      <c r="Q20" s="16">
        <f>VLOOKUP(Contacts[[#This Row],[Código Tarea]],'[7]Formato 1- Riesgo Operativo'!$B$8:$I$54,8,0)</f>
        <v>0</v>
      </c>
      <c r="R20" s="14" t="str">
        <f>VLOOKUP(Contacts[[#This Row],[Código Tarea]],'[7]4. Directorio Integrado'!$I$4:$M$231,5,0)</f>
        <v>SARO</v>
      </c>
    </row>
    <row r="21" spans="3:18" ht="29" x14ac:dyDescent="0.35">
      <c r="C21" s="12">
        <f>VLOOKUP(Contacts[[#This Row],[Código Tarea]],'[7]4. Directorio Integrado'!$B$4:$N$245,2,0)</f>
        <v>1</v>
      </c>
      <c r="D21" s="15" t="str">
        <f>VLOOKUP(Contacts[[#This Row],[Código Tarea]],'[7]4. Directorio Integrado'!$B$4:$N$245,3,0)</f>
        <v>Riesgo Operativo</v>
      </c>
      <c r="E21" s="12" t="str">
        <f>VLOOKUP(Contacts[[#This Row],[Código Tarea]],'[7]4. Directorio Integrado'!$B$4:$N$245,4,0)</f>
        <v>1.1</v>
      </c>
      <c r="F21" s="12" t="str">
        <f>VLOOKUP(Contacts[[#This Row],[Código Tarea]],'[7]4. Directorio Integrado'!$B$4:$N$245,5,0)</f>
        <v>Controles de Seguridad de la Información</v>
      </c>
      <c r="G21" s="12" t="str">
        <f>VLOOKUP(Contacts[[#This Row],[Código Tarea]],'[7]4. Directorio Integrado'!$B$4:$N$245,6,0)</f>
        <v>1.1.4</v>
      </c>
      <c r="H21" s="12" t="str">
        <f>VLOOKUP(Contacts[[#This Row],[Código Tarea]],'[7]4. Directorio Integrado'!$B$4:$N$245,7,0)</f>
        <v>Revisión en caja</v>
      </c>
      <c r="I21" s="12" t="str">
        <f>IFERROR((IF('[7]4. Directorio Integrado'!C16=1,'[7]4. Directorio Integrado'!I16,IF('[7]4. Directorio Integrado'!C16=2,"",IF('[7]4. Directorio Integrado'!C16=3,"",IF('[7]4. Directorio Integrado'!C16=4,"",IF('[7]4. Directorio Integrado'!C16=5,"",IF('[7]4. Directorio Integrado'!C16=6,""))))))),"")</f>
        <v>1.1.4.004</v>
      </c>
      <c r="J21" s="13" t="str">
        <f>IFERROR((VLOOKUP(Contacts[[#This Row],[Código Tarea]],'[7]4. Directorio Integrado'!I$4:J$1048576,2,0)),"")</f>
        <v>Se conservan actas de la verificación del control en la custodia del efectivo.</v>
      </c>
      <c r="K21" s="14" t="str">
        <f>IFERROR((VLOOKUP(Contacts[[#This Row],[Código Tarea]],'[7]4. Directorio Integrado'!I$4:K$1048576,3,0)),"")</f>
        <v>Actividad a Distancia</v>
      </c>
      <c r="L21" s="16" t="str">
        <f>VLOOKUP(Contacts[[#This Row],[Código Tarea]],'[7]Formato 1- Riesgo Operativo'!$B$8:$H$54,3,0)</f>
        <v>X</v>
      </c>
      <c r="M21" s="16">
        <f>VLOOKUP(Contacts[[#This Row],[Código Tarea]],'[7]Formato 1- Riesgo Operativo'!$B$8:$H$54,4,0)</f>
        <v>0</v>
      </c>
      <c r="N21" s="16">
        <f>VLOOKUP(Contacts[[#This Row],[Código Tarea]],'[7]Formato 1- Riesgo Operativo'!$B$8:$H$54,5,0)</f>
        <v>0</v>
      </c>
      <c r="O21" s="16">
        <f>VLOOKUP(Contacts[[#This Row],[Código Tarea]],'[7]Formato 1- Riesgo Operativo'!$B$8:$H$54,6,0)</f>
        <v>0</v>
      </c>
      <c r="P21" s="16">
        <f>VLOOKUP(Contacts[[#This Row],[Código Tarea]],'[7]Formato 1- Riesgo Operativo'!$B$8:$H$54,7,0)</f>
        <v>0</v>
      </c>
      <c r="Q21" s="16">
        <f>VLOOKUP(Contacts[[#This Row],[Código Tarea]],'[7]Formato 1- Riesgo Operativo'!$B$8:$I$54,8,0)</f>
        <v>0</v>
      </c>
      <c r="R21" s="14" t="str">
        <f>VLOOKUP(Contacts[[#This Row],[Código Tarea]],'[7]4. Directorio Integrado'!$I$4:$M$231,5,0)</f>
        <v>SARO</v>
      </c>
    </row>
    <row r="22" spans="3:18" ht="29" x14ac:dyDescent="0.35">
      <c r="C22" s="12">
        <f>VLOOKUP(Contacts[[#This Row],[Código Tarea]],'[7]4. Directorio Integrado'!$B$4:$N$245,2,0)</f>
        <v>1</v>
      </c>
      <c r="D22" s="15" t="str">
        <f>VLOOKUP(Contacts[[#This Row],[Código Tarea]],'[7]4. Directorio Integrado'!$B$4:$N$245,3,0)</f>
        <v>Riesgo Operativo</v>
      </c>
      <c r="E22" s="12" t="str">
        <f>VLOOKUP(Contacts[[#This Row],[Código Tarea]],'[7]4. Directorio Integrado'!$B$4:$N$245,4,0)</f>
        <v>1.1</v>
      </c>
      <c r="F22" s="12" t="str">
        <f>VLOOKUP(Contacts[[#This Row],[Código Tarea]],'[7]4. Directorio Integrado'!$B$4:$N$245,5,0)</f>
        <v>Controles de Seguridad de la Información</v>
      </c>
      <c r="G22" s="12" t="str">
        <f>VLOOKUP(Contacts[[#This Row],[Código Tarea]],'[7]4. Directorio Integrado'!$B$4:$N$245,6,0)</f>
        <v>1.1.4</v>
      </c>
      <c r="H22" s="12" t="str">
        <f>VLOOKUP(Contacts[[#This Row],[Código Tarea]],'[7]4. Directorio Integrado'!$B$4:$N$245,7,0)</f>
        <v>Revisión en caja</v>
      </c>
      <c r="I22" s="12" t="str">
        <f>IFERROR((IF('[7]4. Directorio Integrado'!C17=1,'[7]4. Directorio Integrado'!I17,IF('[7]4. Directorio Integrado'!C17=2,"",IF('[7]4. Directorio Integrado'!C17=3,"",IF('[7]4. Directorio Integrado'!C17=4,"",IF('[7]4. Directorio Integrado'!C17=5,"",IF('[7]4. Directorio Integrado'!C17=6,""))))))),"")</f>
        <v>1.1.4.005</v>
      </c>
      <c r="J22" s="13" t="str">
        <f>IFERROR((VLOOKUP(Contacts[[#This Row],[Código Tarea]],'[7]4. Directorio Integrado'!I$4:J$1048576,2,0)),"")</f>
        <v>El biométrico y los datáfonos se encuentran ubicados adecuadamente.</v>
      </c>
      <c r="K22" s="14" t="str">
        <f>IFERROR((VLOOKUP(Contacts[[#This Row],[Código Tarea]],'[7]4. Directorio Integrado'!I$4:K$1048576,3,0)),"")</f>
        <v>Presencial</v>
      </c>
      <c r="L22" s="16" t="str">
        <f>VLOOKUP(Contacts[[#This Row],[Código Tarea]],'[7]Formato 1- Riesgo Operativo'!$B$8:$H$54,3,0)</f>
        <v>X</v>
      </c>
      <c r="M22" s="16">
        <f>VLOOKUP(Contacts[[#This Row],[Código Tarea]],'[7]Formato 1- Riesgo Operativo'!$B$8:$H$54,4,0)</f>
        <v>0</v>
      </c>
      <c r="N22" s="16">
        <f>VLOOKUP(Contacts[[#This Row],[Código Tarea]],'[7]Formato 1- Riesgo Operativo'!$B$8:$H$54,5,0)</f>
        <v>0</v>
      </c>
      <c r="O22" s="16">
        <f>VLOOKUP(Contacts[[#This Row],[Código Tarea]],'[7]Formato 1- Riesgo Operativo'!$B$8:$H$54,6,0)</f>
        <v>0</v>
      </c>
      <c r="P22" s="16">
        <f>VLOOKUP(Contacts[[#This Row],[Código Tarea]],'[7]Formato 1- Riesgo Operativo'!$B$8:$H$54,7,0)</f>
        <v>0</v>
      </c>
      <c r="Q22" s="16">
        <f>VLOOKUP(Contacts[[#This Row],[Código Tarea]],'[7]Formato 1- Riesgo Operativo'!$B$8:$I$54,8,0)</f>
        <v>0</v>
      </c>
      <c r="R22" s="14" t="str">
        <f>VLOOKUP(Contacts[[#This Row],[Código Tarea]],'[7]4. Directorio Integrado'!$I$4:$M$231,5,0)</f>
        <v>SARO/SGSF</v>
      </c>
    </row>
    <row r="23" spans="3:18" ht="29" x14ac:dyDescent="0.35">
      <c r="C23" s="12">
        <f>VLOOKUP(Contacts[[#This Row],[Código Tarea]],'[7]4. Directorio Integrado'!$B$4:$N$245,2,0)</f>
        <v>1</v>
      </c>
      <c r="D23" s="15" t="str">
        <f>VLOOKUP(Contacts[[#This Row],[Código Tarea]],'[7]4. Directorio Integrado'!$B$4:$N$245,3,0)</f>
        <v>Riesgo Operativo</v>
      </c>
      <c r="E23" s="12" t="str">
        <f>VLOOKUP(Contacts[[#This Row],[Código Tarea]],'[7]4. Directorio Integrado'!$B$4:$N$245,4,0)</f>
        <v>1.1</v>
      </c>
      <c r="F23" s="12" t="str">
        <f>VLOOKUP(Contacts[[#This Row],[Código Tarea]],'[7]4. Directorio Integrado'!$B$4:$N$245,5,0)</f>
        <v>Controles de Seguridad de la Información</v>
      </c>
      <c r="G23" s="12" t="str">
        <f>VLOOKUP(Contacts[[#This Row],[Código Tarea]],'[7]4. Directorio Integrado'!$B$4:$N$245,6,0)</f>
        <v>1.1.4</v>
      </c>
      <c r="H23" s="12" t="str">
        <f>VLOOKUP(Contacts[[#This Row],[Código Tarea]],'[7]4. Directorio Integrado'!$B$4:$N$245,7,0)</f>
        <v>Revisión en caja</v>
      </c>
      <c r="I23" s="12" t="str">
        <f>IFERROR((IF('[7]4. Directorio Integrado'!C18=1,'[7]4. Directorio Integrado'!I18,IF('[7]4. Directorio Integrado'!C18=2,"",IF('[7]4. Directorio Integrado'!C18=3,"",IF('[7]4. Directorio Integrado'!C18=4,"",IF('[7]4. Directorio Integrado'!C18=5,"",IF('[7]4. Directorio Integrado'!C18=6,""))))))),"")</f>
        <v>1.1.4.006</v>
      </c>
      <c r="J23" s="13" t="str">
        <f>IFERROR((VLOOKUP(Contacts[[#This Row],[Código Tarea]],'[7]4. Directorio Integrado'!I$4:J$1048576,2,0)),"")</f>
        <v>La puerta de acceso al área de caja permanece cerrada.</v>
      </c>
      <c r="K23" s="14" t="str">
        <f>IFERROR((VLOOKUP(Contacts[[#This Row],[Código Tarea]],'[7]4. Directorio Integrado'!I$4:K$1048576,3,0)),"")</f>
        <v>Actividad a Distancia</v>
      </c>
      <c r="L23" s="16" t="str">
        <f>VLOOKUP(Contacts[[#This Row],[Código Tarea]],'[7]Formato 1- Riesgo Operativo'!$B$8:$H$54,3,0)</f>
        <v>X</v>
      </c>
      <c r="M23" s="16">
        <f>VLOOKUP(Contacts[[#This Row],[Código Tarea]],'[7]Formato 1- Riesgo Operativo'!$B$8:$H$54,4,0)</f>
        <v>0</v>
      </c>
      <c r="N23" s="16">
        <f>VLOOKUP(Contacts[[#This Row],[Código Tarea]],'[7]Formato 1- Riesgo Operativo'!$B$8:$H$54,5,0)</f>
        <v>0</v>
      </c>
      <c r="O23" s="16">
        <f>VLOOKUP(Contacts[[#This Row],[Código Tarea]],'[7]Formato 1- Riesgo Operativo'!$B$8:$H$54,6,0)</f>
        <v>0</v>
      </c>
      <c r="P23" s="16">
        <f>VLOOKUP(Contacts[[#This Row],[Código Tarea]],'[7]Formato 1- Riesgo Operativo'!$B$8:$H$54,7,0)</f>
        <v>0</v>
      </c>
      <c r="Q23" s="16">
        <f>VLOOKUP(Contacts[[#This Row],[Código Tarea]],'[7]Formato 1- Riesgo Operativo'!$B$8:$I$54,8,0)</f>
        <v>0</v>
      </c>
      <c r="R23" s="14" t="str">
        <f>VLOOKUP(Contacts[[#This Row],[Código Tarea]],'[7]4. Directorio Integrado'!$I$4:$M$231,5,0)</f>
        <v>SARO/SGSF</v>
      </c>
    </row>
    <row r="24" spans="3:18" ht="29" x14ac:dyDescent="0.35">
      <c r="C24" s="12">
        <f>VLOOKUP(Contacts[[#This Row],[Código Tarea]],'[7]4. Directorio Integrado'!$B$4:$N$245,2,0)</f>
        <v>1</v>
      </c>
      <c r="D24" s="15" t="str">
        <f>VLOOKUP(Contacts[[#This Row],[Código Tarea]],'[7]4. Directorio Integrado'!$B$4:$N$245,3,0)</f>
        <v>Riesgo Operativo</v>
      </c>
      <c r="E24" s="12" t="str">
        <f>VLOOKUP(Contacts[[#This Row],[Código Tarea]],'[7]4. Directorio Integrado'!$B$4:$N$245,4,0)</f>
        <v>1.1</v>
      </c>
      <c r="F24" s="12" t="str">
        <f>VLOOKUP(Contacts[[#This Row],[Código Tarea]],'[7]4. Directorio Integrado'!$B$4:$N$245,5,0)</f>
        <v>Controles de Seguridad de la Información</v>
      </c>
      <c r="G24" s="12" t="str">
        <f>VLOOKUP(Contacts[[#This Row],[Código Tarea]],'[7]4. Directorio Integrado'!$B$4:$N$245,6,0)</f>
        <v>1.1.4</v>
      </c>
      <c r="H24" s="12" t="str">
        <f>VLOOKUP(Contacts[[#This Row],[Código Tarea]],'[7]4. Directorio Integrado'!$B$4:$N$245,7,0)</f>
        <v>Revisión en caja</v>
      </c>
      <c r="I24" s="12" t="str">
        <f>IFERROR((IF('[7]4. Directorio Integrado'!C19=1,'[7]4. Directorio Integrado'!I19,IF('[7]4. Directorio Integrado'!C19=2,"",IF('[7]4. Directorio Integrado'!C19=3,"",IF('[7]4. Directorio Integrado'!C19=4,"",IF('[7]4. Directorio Integrado'!C19=5,"",IF('[7]4. Directorio Integrado'!C19=6,""))))))),"")</f>
        <v>1.1.4.007</v>
      </c>
      <c r="J24" s="13" t="str">
        <f>IFERROR((VLOOKUP(Contacts[[#This Row],[Código Tarea]],'[7]4. Directorio Integrado'!I$4:J$1048576,2,0)),"")</f>
        <v>El cofre o trampero permanece cerrado y asegurado cuando no se usa.</v>
      </c>
      <c r="K24" s="14" t="str">
        <f>IFERROR((VLOOKUP(Contacts[[#This Row],[Código Tarea]],'[7]4. Directorio Integrado'!I$4:K$1048576,3,0)),"")</f>
        <v>Presencial</v>
      </c>
      <c r="L24" s="16" t="str">
        <f>VLOOKUP(Contacts[[#This Row],[Código Tarea]],'[7]Formato 1- Riesgo Operativo'!$B$8:$H$54,3,0)</f>
        <v>X</v>
      </c>
      <c r="M24" s="16">
        <f>VLOOKUP(Contacts[[#This Row],[Código Tarea]],'[7]Formato 1- Riesgo Operativo'!$B$8:$H$54,4,0)</f>
        <v>0</v>
      </c>
      <c r="N24" s="16">
        <f>VLOOKUP(Contacts[[#This Row],[Código Tarea]],'[7]Formato 1- Riesgo Operativo'!$B$8:$H$54,5,0)</f>
        <v>0</v>
      </c>
      <c r="O24" s="16">
        <f>VLOOKUP(Contacts[[#This Row],[Código Tarea]],'[7]Formato 1- Riesgo Operativo'!$B$8:$H$54,6,0)</f>
        <v>0</v>
      </c>
      <c r="P24" s="16">
        <f>VLOOKUP(Contacts[[#This Row],[Código Tarea]],'[7]Formato 1- Riesgo Operativo'!$B$8:$H$54,7,0)</f>
        <v>0</v>
      </c>
      <c r="Q24" s="16">
        <f>VLOOKUP(Contacts[[#This Row],[Código Tarea]],'[7]Formato 1- Riesgo Operativo'!$B$8:$I$54,8,0)</f>
        <v>0</v>
      </c>
      <c r="R24" s="14" t="str">
        <f>VLOOKUP(Contacts[[#This Row],[Código Tarea]],'[7]4. Directorio Integrado'!$I$4:$M$231,5,0)</f>
        <v>SARO/SGSF</v>
      </c>
    </row>
    <row r="25" spans="3:18" ht="29" x14ac:dyDescent="0.35">
      <c r="C25" s="12">
        <f>VLOOKUP(Contacts[[#This Row],[Código Tarea]],'[7]4. Directorio Integrado'!$B$4:$N$245,2,0)</f>
        <v>1</v>
      </c>
      <c r="D25" s="15" t="str">
        <f>VLOOKUP(Contacts[[#This Row],[Código Tarea]],'[7]4. Directorio Integrado'!$B$4:$N$245,3,0)</f>
        <v>Riesgo Operativo</v>
      </c>
      <c r="E25" s="12" t="str">
        <f>VLOOKUP(Contacts[[#This Row],[Código Tarea]],'[7]4. Directorio Integrado'!$B$4:$N$245,4,0)</f>
        <v>1.1</v>
      </c>
      <c r="F25" s="12" t="str">
        <f>VLOOKUP(Contacts[[#This Row],[Código Tarea]],'[7]4. Directorio Integrado'!$B$4:$N$245,5,0)</f>
        <v>Controles de Seguridad de la Información</v>
      </c>
      <c r="G25" s="12" t="str">
        <f>VLOOKUP(Contacts[[#This Row],[Código Tarea]],'[7]4. Directorio Integrado'!$B$4:$N$245,6,0)</f>
        <v>1.1.4</v>
      </c>
      <c r="H25" s="12" t="str">
        <f>VLOOKUP(Contacts[[#This Row],[Código Tarea]],'[7]4. Directorio Integrado'!$B$4:$N$245,7,0)</f>
        <v>Revisión en caja</v>
      </c>
      <c r="I25" s="12" t="str">
        <f>IFERROR((IF('[7]4. Directorio Integrado'!C20=1,'[7]4. Directorio Integrado'!I20,IF('[7]4. Directorio Integrado'!C20=2,"",IF('[7]4. Directorio Integrado'!C20=3,"",IF('[7]4. Directorio Integrado'!C20=4,"",IF('[7]4. Directorio Integrado'!C20=5,"",IF('[7]4. Directorio Integrado'!C20=6,""))))))),"")</f>
        <v>1.1.4.008</v>
      </c>
      <c r="J25" s="13" t="str">
        <f>IFERROR((VLOOKUP(Contacts[[#This Row],[Código Tarea]],'[7]4. Directorio Integrado'!I$4:J$1048576,2,0)),"")</f>
        <v xml:space="preserve">El tope de efectivo en caja  se encuentra de acuerdo a lo establecido en manual de manejo de efectivo. </v>
      </c>
      <c r="K25" s="14" t="str">
        <f>IFERROR((VLOOKUP(Contacts[[#This Row],[Código Tarea]],'[7]4. Directorio Integrado'!I$4:K$1048576,3,0)),"")</f>
        <v>Presencial</v>
      </c>
      <c r="L25" s="16" t="str">
        <f>VLOOKUP(Contacts[[#This Row],[Código Tarea]],'[7]Formato 1- Riesgo Operativo'!$B$8:$H$54,3,0)</f>
        <v>X</v>
      </c>
      <c r="M25" s="16">
        <f>VLOOKUP(Contacts[[#This Row],[Código Tarea]],'[7]Formato 1- Riesgo Operativo'!$B$8:$H$54,4,0)</f>
        <v>0</v>
      </c>
      <c r="N25" s="16">
        <f>VLOOKUP(Contacts[[#This Row],[Código Tarea]],'[7]Formato 1- Riesgo Operativo'!$B$8:$H$54,5,0)</f>
        <v>0</v>
      </c>
      <c r="O25" s="16">
        <f>VLOOKUP(Contacts[[#This Row],[Código Tarea]],'[7]Formato 1- Riesgo Operativo'!$B$8:$H$54,6,0)</f>
        <v>0</v>
      </c>
      <c r="P25" s="16">
        <f>VLOOKUP(Contacts[[#This Row],[Código Tarea]],'[7]Formato 1- Riesgo Operativo'!$B$8:$H$54,7,0)</f>
        <v>0</v>
      </c>
      <c r="Q25" s="16">
        <f>VLOOKUP(Contacts[[#This Row],[Código Tarea]],'[7]Formato 1- Riesgo Operativo'!$B$8:$I$54,8,0)</f>
        <v>0</v>
      </c>
      <c r="R25" s="14" t="str">
        <f>VLOOKUP(Contacts[[#This Row],[Código Tarea]],'[7]4. Directorio Integrado'!$I$4:$M$231,5,0)</f>
        <v>SARO/SGSF</v>
      </c>
    </row>
    <row r="26" spans="3:18" ht="29" x14ac:dyDescent="0.35">
      <c r="C26" s="12">
        <f>VLOOKUP(Contacts[[#This Row],[Código Tarea]],'[7]4. Directorio Integrado'!$B$4:$N$245,2,0)</f>
        <v>1</v>
      </c>
      <c r="D26" s="15" t="str">
        <f>VLOOKUP(Contacts[[#This Row],[Código Tarea]],'[7]4. Directorio Integrado'!$B$4:$N$245,3,0)</f>
        <v>Riesgo Operativo</v>
      </c>
      <c r="E26" s="12" t="str">
        <f>VLOOKUP(Contacts[[#This Row],[Código Tarea]],'[7]4. Directorio Integrado'!$B$4:$N$245,4,0)</f>
        <v>1.1</v>
      </c>
      <c r="F26" s="12" t="str">
        <f>VLOOKUP(Contacts[[#This Row],[Código Tarea]],'[7]4. Directorio Integrado'!$B$4:$N$245,5,0)</f>
        <v>Controles de Seguridad de la Información</v>
      </c>
      <c r="G26" s="12" t="str">
        <f>VLOOKUP(Contacts[[#This Row],[Código Tarea]],'[7]4. Directorio Integrado'!$B$4:$N$245,6,0)</f>
        <v>1.1.4</v>
      </c>
      <c r="H26" s="12" t="str">
        <f>VLOOKUP(Contacts[[#This Row],[Código Tarea]],'[7]4. Directorio Integrado'!$B$4:$N$245,7,0)</f>
        <v>Revisión en caja</v>
      </c>
      <c r="I26" s="12" t="str">
        <f>IFERROR((IF('[7]4. Directorio Integrado'!C21=1,'[7]4. Directorio Integrado'!I21,IF('[7]4. Directorio Integrado'!C21=2,"",IF('[7]4. Directorio Integrado'!C21=3,"",IF('[7]4. Directorio Integrado'!C21=4,"",IF('[7]4. Directorio Integrado'!C21=5,"",IF('[7]4. Directorio Integrado'!C21=6,""))))))),"")</f>
        <v>1.1.4.009</v>
      </c>
      <c r="J26" s="13" t="str">
        <f>IFERROR((VLOOKUP(Contacts[[#This Row],[Código Tarea]],'[7]4. Directorio Integrado'!I$4:J$1048576,2,0)),"")</f>
        <v>Se realiza control dual por parte del gestor II en la transacciones que se requiere en caja.</v>
      </c>
      <c r="K26" s="14" t="str">
        <f>IFERROR((VLOOKUP(Contacts[[#This Row],[Código Tarea]],'[7]4. Directorio Integrado'!I$4:K$1048576,3,0)),"")</f>
        <v>Actividad a Distancia</v>
      </c>
      <c r="L26" s="16">
        <f>VLOOKUP(Contacts[[#This Row],[Código Tarea]],'[7]Formato 1- Riesgo Operativo'!$B$8:$H$54,3,0)</f>
        <v>0</v>
      </c>
      <c r="M26" s="16" t="str">
        <f>VLOOKUP(Contacts[[#This Row],[Código Tarea]],'[7]Formato 1- Riesgo Operativo'!$B$8:$H$54,4,0)</f>
        <v>x</v>
      </c>
      <c r="N26" s="16">
        <f>VLOOKUP(Contacts[[#This Row],[Código Tarea]],'[7]Formato 1- Riesgo Operativo'!$B$8:$H$54,5,0)</f>
        <v>0</v>
      </c>
      <c r="O26" s="16">
        <f>VLOOKUP(Contacts[[#This Row],[Código Tarea]],'[7]Formato 1- Riesgo Operativo'!$B$8:$H$54,6,0)</f>
        <v>0</v>
      </c>
      <c r="P26" s="16">
        <f>VLOOKUP(Contacts[[#This Row],[Código Tarea]],'[7]Formato 1- Riesgo Operativo'!$B$8:$H$54,7,0)</f>
        <v>0</v>
      </c>
      <c r="Q26" s="16">
        <f>VLOOKUP(Contacts[[#This Row],[Código Tarea]],'[7]Formato 1- Riesgo Operativo'!$B$8:$I$54,8,0)</f>
        <v>0</v>
      </c>
      <c r="R26" s="14" t="str">
        <f>VLOOKUP(Contacts[[#This Row],[Código Tarea]],'[7]4. Directorio Integrado'!$I$4:$M$231,5,0)</f>
        <v>SARO/SGSF</v>
      </c>
    </row>
    <row r="27" spans="3:18" ht="29" x14ac:dyDescent="0.35">
      <c r="C27" s="12">
        <f>VLOOKUP(Contacts[[#This Row],[Código Tarea]],'[7]4. Directorio Integrado'!$B$4:$N$245,2,0)</f>
        <v>1</v>
      </c>
      <c r="D27" s="15" t="str">
        <f>VLOOKUP(Contacts[[#This Row],[Código Tarea]],'[7]4. Directorio Integrado'!$B$4:$N$245,3,0)</f>
        <v>Riesgo Operativo</v>
      </c>
      <c r="E27" s="12" t="str">
        <f>VLOOKUP(Contacts[[#This Row],[Código Tarea]],'[7]4. Directorio Integrado'!$B$4:$N$245,4,0)</f>
        <v>1.1</v>
      </c>
      <c r="F27" s="12" t="str">
        <f>VLOOKUP(Contacts[[#This Row],[Código Tarea]],'[7]4. Directorio Integrado'!$B$4:$N$245,5,0)</f>
        <v>Controles de Seguridad de la Información</v>
      </c>
      <c r="G27" s="12" t="str">
        <f>VLOOKUP(Contacts[[#This Row],[Código Tarea]],'[7]4. Directorio Integrado'!$B$4:$N$245,6,0)</f>
        <v>1.1.4</v>
      </c>
      <c r="H27" s="12" t="str">
        <f>VLOOKUP(Contacts[[#This Row],[Código Tarea]],'[7]4. Directorio Integrado'!$B$4:$N$245,7,0)</f>
        <v>Revisión en caja</v>
      </c>
      <c r="I27" s="12" t="str">
        <f>IFERROR((IF('[7]4. Directorio Integrado'!C22=1,'[7]4. Directorio Integrado'!I22,IF('[7]4. Directorio Integrado'!C22=2,"",IF('[7]4. Directorio Integrado'!C22=3,"",IF('[7]4. Directorio Integrado'!C22=4,"",IF('[7]4. Directorio Integrado'!C22=5,"",IF('[7]4. Directorio Integrado'!C22=6,""))))))),"")</f>
        <v>1.1.4.010</v>
      </c>
      <c r="J27" s="13" t="str">
        <f>IFERROR((VLOOKUP(Contacts[[#This Row],[Código Tarea]],'[7]4. Directorio Integrado'!I$4:J$1048576,2,0)),"")</f>
        <v>El cajero conoce sobre  validación del documento de identidad, visacion de huella y firma en las transacciones.</v>
      </c>
      <c r="K27" s="14" t="str">
        <f>IFERROR((VLOOKUP(Contacts[[#This Row],[Código Tarea]],'[7]4. Directorio Integrado'!I$4:K$1048576,3,0)),"")</f>
        <v>Presencial</v>
      </c>
      <c r="L27" s="16">
        <f>VLOOKUP(Contacts[[#This Row],[Código Tarea]],'[7]Formato 1- Riesgo Operativo'!$B$8:$H$54,3,0)</f>
        <v>0</v>
      </c>
      <c r="M27" s="16" t="str">
        <f>VLOOKUP(Contacts[[#This Row],[Código Tarea]],'[7]Formato 1- Riesgo Operativo'!$B$8:$H$54,4,0)</f>
        <v>x</v>
      </c>
      <c r="N27" s="16">
        <f>VLOOKUP(Contacts[[#This Row],[Código Tarea]],'[7]Formato 1- Riesgo Operativo'!$B$8:$H$54,5,0)</f>
        <v>0</v>
      </c>
      <c r="O27" s="16">
        <f>VLOOKUP(Contacts[[#This Row],[Código Tarea]],'[7]Formato 1- Riesgo Operativo'!$B$8:$H$54,6,0)</f>
        <v>0</v>
      </c>
      <c r="P27" s="16">
        <f>VLOOKUP(Contacts[[#This Row],[Código Tarea]],'[7]Formato 1- Riesgo Operativo'!$B$8:$H$54,7,0)</f>
        <v>0</v>
      </c>
      <c r="Q27" s="16">
        <f>VLOOKUP(Contacts[[#This Row],[Código Tarea]],'[7]Formato 1- Riesgo Operativo'!$B$8:$I$54,8,0)</f>
        <v>0</v>
      </c>
      <c r="R27" s="14" t="str">
        <f>VLOOKUP(Contacts[[#This Row],[Código Tarea]],'[7]4. Directorio Integrado'!$I$4:$M$231,5,0)</f>
        <v>SARO/SGSF</v>
      </c>
    </row>
    <row r="28" spans="3:18" ht="29" x14ac:dyDescent="0.35">
      <c r="C28" s="12">
        <f>VLOOKUP(Contacts[[#This Row],[Código Tarea]],'[7]4. Directorio Integrado'!$B$4:$N$245,2,0)</f>
        <v>1</v>
      </c>
      <c r="D28" s="15" t="str">
        <f>VLOOKUP(Contacts[[#This Row],[Código Tarea]],'[7]4. Directorio Integrado'!$B$4:$N$245,3,0)</f>
        <v>Riesgo Operativo</v>
      </c>
      <c r="E28" s="12" t="str">
        <f>VLOOKUP(Contacts[[#This Row],[Código Tarea]],'[7]4. Directorio Integrado'!$B$4:$N$245,4,0)</f>
        <v>1.1</v>
      </c>
      <c r="F28" s="12" t="str">
        <f>VLOOKUP(Contacts[[#This Row],[Código Tarea]],'[7]4. Directorio Integrado'!$B$4:$N$245,5,0)</f>
        <v>Controles de Seguridad de la Información</v>
      </c>
      <c r="G28" s="12" t="str">
        <f>VLOOKUP(Contacts[[#This Row],[Código Tarea]],'[7]4. Directorio Integrado'!$B$4:$N$245,6,0)</f>
        <v>1.1.4</v>
      </c>
      <c r="H28" s="12" t="str">
        <f>VLOOKUP(Contacts[[#This Row],[Código Tarea]],'[7]4. Directorio Integrado'!$B$4:$N$245,7,0)</f>
        <v>Revisión en caja</v>
      </c>
      <c r="I28" s="12" t="str">
        <f>IFERROR((IF('[7]4. Directorio Integrado'!C23=1,'[7]4. Directorio Integrado'!I23,IF('[7]4. Directorio Integrado'!C23=2,"",IF('[7]4. Directorio Integrado'!C23=3,"",IF('[7]4. Directorio Integrado'!C23=4,"",IF('[7]4. Directorio Integrado'!C23=5,"",IF('[7]4. Directorio Integrado'!C23=6,""))))))),"")</f>
        <v>1.1.4.011</v>
      </c>
      <c r="J28" s="13" t="str">
        <f>IFERROR((VLOOKUP(Contacts[[#This Row],[Código Tarea]],'[7]4. Directorio Integrado'!I$4:J$1048576,2,0)),"")</f>
        <v>Se lleva por parte del cajero planilla de ofrecimiento de acompañamiento por parte de la policía.</v>
      </c>
      <c r="K28" s="14" t="str">
        <f>IFERROR((VLOOKUP(Contacts[[#This Row],[Código Tarea]],'[7]4. Directorio Integrado'!I$4:K$1048576,3,0)),"")</f>
        <v>Presencial</v>
      </c>
      <c r="L28" s="16">
        <f>VLOOKUP(Contacts[[#This Row],[Código Tarea]],'[7]Formato 1- Riesgo Operativo'!$B$8:$H$54,3,0)</f>
        <v>0</v>
      </c>
      <c r="M28" s="16" t="str">
        <f>VLOOKUP(Contacts[[#This Row],[Código Tarea]],'[7]Formato 1- Riesgo Operativo'!$B$8:$H$54,4,0)</f>
        <v>x</v>
      </c>
      <c r="N28" s="16">
        <f>VLOOKUP(Contacts[[#This Row],[Código Tarea]],'[7]Formato 1- Riesgo Operativo'!$B$8:$H$54,5,0)</f>
        <v>0</v>
      </c>
      <c r="O28" s="16">
        <f>VLOOKUP(Contacts[[#This Row],[Código Tarea]],'[7]Formato 1- Riesgo Operativo'!$B$8:$H$54,6,0)</f>
        <v>0</v>
      </c>
      <c r="P28" s="16">
        <f>VLOOKUP(Contacts[[#This Row],[Código Tarea]],'[7]Formato 1- Riesgo Operativo'!$B$8:$H$54,7,0)</f>
        <v>0</v>
      </c>
      <c r="Q28" s="16">
        <f>VLOOKUP(Contacts[[#This Row],[Código Tarea]],'[7]Formato 1- Riesgo Operativo'!$B$8:$I$54,8,0)</f>
        <v>0</v>
      </c>
      <c r="R28" s="14" t="str">
        <f>VLOOKUP(Contacts[[#This Row],[Código Tarea]],'[7]4. Directorio Integrado'!$I$4:$M$231,5,0)</f>
        <v>SARO/SGSF</v>
      </c>
    </row>
    <row r="29" spans="3:18" ht="29" x14ac:dyDescent="0.35">
      <c r="C29" s="12">
        <f>VLOOKUP(Contacts[[#This Row],[Código Tarea]],'[7]4. Directorio Integrado'!$B$4:$N$245,2,0)</f>
        <v>1</v>
      </c>
      <c r="D29" s="15" t="str">
        <f>VLOOKUP(Contacts[[#This Row],[Código Tarea]],'[7]4. Directorio Integrado'!$B$4:$N$245,3,0)</f>
        <v>Riesgo Operativo</v>
      </c>
      <c r="E29" s="12" t="str">
        <f>VLOOKUP(Contacts[[#This Row],[Código Tarea]],'[7]4. Directorio Integrado'!$B$4:$N$245,4,0)</f>
        <v>1.1</v>
      </c>
      <c r="F29" s="12" t="str">
        <f>VLOOKUP(Contacts[[#This Row],[Código Tarea]],'[7]4. Directorio Integrado'!$B$4:$N$245,5,0)</f>
        <v>Controles de Seguridad de la Información</v>
      </c>
      <c r="G29" s="12" t="str">
        <f>VLOOKUP(Contacts[[#This Row],[Código Tarea]],'[7]4. Directorio Integrado'!$B$4:$N$245,6,0)</f>
        <v>1.1.4</v>
      </c>
      <c r="H29" s="12" t="str">
        <f>VLOOKUP(Contacts[[#This Row],[Código Tarea]],'[7]4. Directorio Integrado'!$B$4:$N$245,7,0)</f>
        <v>Revisión en caja</v>
      </c>
      <c r="I29" s="12" t="str">
        <f>IFERROR((IF('[7]4. Directorio Integrado'!C24=1,'[7]4. Directorio Integrado'!I24,IF('[7]4. Directorio Integrado'!C24=2,"",IF('[7]4. Directorio Integrado'!C24=3,"",IF('[7]4. Directorio Integrado'!C24=4,"",IF('[7]4. Directorio Integrado'!C24=5,"",IF('[7]4. Directorio Integrado'!C24=6,""))))))),"")</f>
        <v>1.1.4.012</v>
      </c>
      <c r="J29" s="13" t="str">
        <f>IFERROR((VLOOKUP(Contacts[[#This Row],[Código Tarea]],'[7]4. Directorio Integrado'!I$4:J$1048576,2,0)),"")</f>
        <v>El cajero no utiliza celuar en el área de caja</v>
      </c>
      <c r="K29" s="14" t="str">
        <f>IFERROR((VLOOKUP(Contacts[[#This Row],[Código Tarea]],'[7]4. Directorio Integrado'!I$4:K$1048576,3,0)),"")</f>
        <v>Actividad a Distancia</v>
      </c>
      <c r="L29" s="16">
        <f>VLOOKUP(Contacts[[#This Row],[Código Tarea]],'[7]Formato 1- Riesgo Operativo'!$B$8:$H$54,3,0)</f>
        <v>0</v>
      </c>
      <c r="M29" s="16" t="str">
        <f>VLOOKUP(Contacts[[#This Row],[Código Tarea]],'[7]Formato 1- Riesgo Operativo'!$B$8:$H$54,4,0)</f>
        <v>x</v>
      </c>
      <c r="N29" s="16">
        <f>VLOOKUP(Contacts[[#This Row],[Código Tarea]],'[7]Formato 1- Riesgo Operativo'!$B$8:$H$54,5,0)</f>
        <v>0</v>
      </c>
      <c r="O29" s="16">
        <f>VLOOKUP(Contacts[[#This Row],[Código Tarea]],'[7]Formato 1- Riesgo Operativo'!$B$8:$H$54,6,0)</f>
        <v>0</v>
      </c>
      <c r="P29" s="16">
        <f>VLOOKUP(Contacts[[#This Row],[Código Tarea]],'[7]Formato 1- Riesgo Operativo'!$B$8:$H$54,7,0)</f>
        <v>0</v>
      </c>
      <c r="Q29" s="16">
        <f>VLOOKUP(Contacts[[#This Row],[Código Tarea]],'[7]Formato 1- Riesgo Operativo'!$B$8:$I$54,8,0)</f>
        <v>0</v>
      </c>
      <c r="R29" s="14" t="str">
        <f>VLOOKUP(Contacts[[#This Row],[Código Tarea]],'[7]4. Directorio Integrado'!$I$4:$M$231,5,0)</f>
        <v>SARO/SGSF</v>
      </c>
    </row>
    <row r="30" spans="3:18" ht="29" x14ac:dyDescent="0.35">
      <c r="C30" s="12">
        <f>VLOOKUP(Contacts[[#This Row],[Código Tarea]],'[7]4. Directorio Integrado'!$B$4:$N$245,2,0)</f>
        <v>1</v>
      </c>
      <c r="D30" s="15" t="str">
        <f>VLOOKUP(Contacts[[#This Row],[Código Tarea]],'[7]4. Directorio Integrado'!$B$4:$N$245,3,0)</f>
        <v>Riesgo Operativo</v>
      </c>
      <c r="E30" s="12" t="str">
        <f>VLOOKUP(Contacts[[#This Row],[Código Tarea]],'[7]4. Directorio Integrado'!$B$4:$N$245,4,0)</f>
        <v>1.1</v>
      </c>
      <c r="F30" s="12" t="str">
        <f>VLOOKUP(Contacts[[#This Row],[Código Tarea]],'[7]4. Directorio Integrado'!$B$4:$N$245,5,0)</f>
        <v>Controles de Seguridad de la Información</v>
      </c>
      <c r="G30" s="12" t="str">
        <f>VLOOKUP(Contacts[[#This Row],[Código Tarea]],'[7]4. Directorio Integrado'!$B$4:$N$245,6,0)</f>
        <v>1.1.4</v>
      </c>
      <c r="H30" s="12" t="str">
        <f>VLOOKUP(Contacts[[#This Row],[Código Tarea]],'[7]4. Directorio Integrado'!$B$4:$N$245,7,0)</f>
        <v>Revisión en caja</v>
      </c>
      <c r="I30" s="12" t="str">
        <f>IFERROR((IF('[7]4. Directorio Integrado'!C25=1,'[7]4. Directorio Integrado'!I25,IF('[7]4. Directorio Integrado'!C25=2,"",IF('[7]4. Directorio Integrado'!C25=3,"",IF('[7]4. Directorio Integrado'!C25=4,"",IF('[7]4. Directorio Integrado'!C25=5,"",IF('[7]4. Directorio Integrado'!C25=6,""))))))),"")</f>
        <v>1.1.4.013</v>
      </c>
      <c r="J30" s="13" t="str">
        <f>IFERROR((VLOOKUP(Contacts[[#This Row],[Código Tarea]],'[7]4. Directorio Integrado'!I$4:J$1048576,2,0)),"")</f>
        <v>El cajero no ingresa maletines, bolsos, o elementos similares al área de caja.</v>
      </c>
      <c r="K30" s="14" t="str">
        <f>IFERROR((VLOOKUP(Contacts[[#This Row],[Código Tarea]],'[7]4. Directorio Integrado'!I$4:K$1048576,3,0)),"")</f>
        <v>Actividad a Distancia</v>
      </c>
      <c r="L30" s="16" t="str">
        <f>VLOOKUP(Contacts[[#This Row],[Código Tarea]],'[7]Formato 1- Riesgo Operativo'!$B$8:$H$54,3,0)</f>
        <v>X</v>
      </c>
      <c r="M30" s="16">
        <f>VLOOKUP(Contacts[[#This Row],[Código Tarea]],'[7]Formato 1- Riesgo Operativo'!$B$8:$H$54,4,0)</f>
        <v>0</v>
      </c>
      <c r="N30" s="16">
        <f>VLOOKUP(Contacts[[#This Row],[Código Tarea]],'[7]Formato 1- Riesgo Operativo'!$B$8:$H$54,5,0)</f>
        <v>0</v>
      </c>
      <c r="O30" s="16">
        <f>VLOOKUP(Contacts[[#This Row],[Código Tarea]],'[7]Formato 1- Riesgo Operativo'!$B$8:$H$54,6,0)</f>
        <v>0</v>
      </c>
      <c r="P30" s="16">
        <f>VLOOKUP(Contacts[[#This Row],[Código Tarea]],'[7]Formato 1- Riesgo Operativo'!$B$8:$H$54,7,0)</f>
        <v>0</v>
      </c>
      <c r="Q30" s="16">
        <f>VLOOKUP(Contacts[[#This Row],[Código Tarea]],'[7]Formato 1- Riesgo Operativo'!$B$8:$I$54,8,0)</f>
        <v>0</v>
      </c>
      <c r="R30" s="14" t="str">
        <f>VLOOKUP(Contacts[[#This Row],[Código Tarea]],'[7]4. Directorio Integrado'!$I$4:$M$231,5,0)</f>
        <v>SARO/SGSF</v>
      </c>
    </row>
    <row r="31" spans="3:18" ht="29" x14ac:dyDescent="0.35">
      <c r="C31" s="12">
        <f>VLOOKUP(Contacts[[#This Row],[Código Tarea]],'[7]4. Directorio Integrado'!$B$4:$N$245,2,0)</f>
        <v>1</v>
      </c>
      <c r="D31" s="15" t="str">
        <f>VLOOKUP(Contacts[[#This Row],[Código Tarea]],'[7]4. Directorio Integrado'!$B$4:$N$245,3,0)</f>
        <v>Riesgo Operativo</v>
      </c>
      <c r="E31" s="12" t="str">
        <f>VLOOKUP(Contacts[[#This Row],[Código Tarea]],'[7]4. Directorio Integrado'!$B$4:$N$245,4,0)</f>
        <v>1.1</v>
      </c>
      <c r="F31" s="12" t="str">
        <f>VLOOKUP(Contacts[[#This Row],[Código Tarea]],'[7]4. Directorio Integrado'!$B$4:$N$245,5,0)</f>
        <v>Controles de Seguridad de la Información</v>
      </c>
      <c r="G31" s="12" t="str">
        <f>VLOOKUP(Contacts[[#This Row],[Código Tarea]],'[7]4. Directorio Integrado'!$B$4:$N$245,6,0)</f>
        <v>1.1.5</v>
      </c>
      <c r="H31" s="12" t="str">
        <f>VLOOKUP(Contacts[[#This Row],[Código Tarea]],'[7]4. Directorio Integrado'!$B$4:$N$245,7,0)</f>
        <v>Revisión en caja menor</v>
      </c>
      <c r="I31" s="12" t="str">
        <f>IFERROR((IF('[7]4. Directorio Integrado'!C26=1,'[7]4. Directorio Integrado'!I26,IF('[7]4. Directorio Integrado'!C26=2,"",IF('[7]4. Directorio Integrado'!C26=3,"",IF('[7]4. Directorio Integrado'!C26=4,"",IF('[7]4. Directorio Integrado'!C26=5,"",IF('[7]4. Directorio Integrado'!C26=6,""))))))),"")</f>
        <v>1.1.5.001</v>
      </c>
      <c r="J31" s="13" t="str">
        <f>IFERROR((VLOOKUP(Contacts[[#This Row],[Código Tarea]],'[7]4. Directorio Integrado'!I$4:J$1048576,2,0)),"")</f>
        <v>Se realiza arqueo de caja menor (caja menor administrativa).</v>
      </c>
      <c r="K31" s="14" t="str">
        <f>IFERROR((VLOOKUP(Contacts[[#This Row],[Código Tarea]],'[7]4. Directorio Integrado'!I$4:K$1048576,3,0)),"")</f>
        <v>Presencial</v>
      </c>
      <c r="L31" s="16" t="str">
        <f>VLOOKUP(Contacts[[#This Row],[Código Tarea]],'[7]Formato 1- Riesgo Operativo'!$B$8:$H$54,3,0)</f>
        <v>X</v>
      </c>
      <c r="M31" s="16">
        <f>VLOOKUP(Contacts[[#This Row],[Código Tarea]],'[7]Formato 1- Riesgo Operativo'!$B$8:$H$54,4,0)</f>
        <v>0</v>
      </c>
      <c r="N31" s="16">
        <f>VLOOKUP(Contacts[[#This Row],[Código Tarea]],'[7]Formato 1- Riesgo Operativo'!$B$8:$H$54,5,0)</f>
        <v>0</v>
      </c>
      <c r="O31" s="16">
        <f>VLOOKUP(Contacts[[#This Row],[Código Tarea]],'[7]Formato 1- Riesgo Operativo'!$B$8:$H$54,6,0)</f>
        <v>0</v>
      </c>
      <c r="P31" s="16">
        <f>VLOOKUP(Contacts[[#This Row],[Código Tarea]],'[7]Formato 1- Riesgo Operativo'!$B$8:$H$54,7,0)</f>
        <v>0</v>
      </c>
      <c r="Q31" s="16">
        <f>VLOOKUP(Contacts[[#This Row],[Código Tarea]],'[7]Formato 1- Riesgo Operativo'!$B$8:$I$54,8,0)</f>
        <v>0</v>
      </c>
      <c r="R31" s="14" t="str">
        <f>VLOOKUP(Contacts[[#This Row],[Código Tarea]],'[7]4. Directorio Integrado'!$I$4:$M$231,5,0)</f>
        <v>SARO</v>
      </c>
    </row>
    <row r="32" spans="3:18" ht="29" x14ac:dyDescent="0.35">
      <c r="C32" s="12">
        <f>VLOOKUP(Contacts[[#This Row],[Código Tarea]],'[7]4. Directorio Integrado'!$B$4:$N$245,2,0)</f>
        <v>1</v>
      </c>
      <c r="D32" s="15" t="str">
        <f>VLOOKUP(Contacts[[#This Row],[Código Tarea]],'[7]4. Directorio Integrado'!$B$4:$N$245,3,0)</f>
        <v>Riesgo Operativo</v>
      </c>
      <c r="E32" s="12" t="str">
        <f>VLOOKUP(Contacts[[#This Row],[Código Tarea]],'[7]4. Directorio Integrado'!$B$4:$N$245,4,0)</f>
        <v>1.1</v>
      </c>
      <c r="F32" s="12" t="str">
        <f>VLOOKUP(Contacts[[#This Row],[Código Tarea]],'[7]4. Directorio Integrado'!$B$4:$N$245,5,0)</f>
        <v>Controles de Seguridad de la Información</v>
      </c>
      <c r="G32" s="12" t="str">
        <f>VLOOKUP(Contacts[[#This Row],[Código Tarea]],'[7]4. Directorio Integrado'!$B$4:$N$245,6,0)</f>
        <v>1.1.5</v>
      </c>
      <c r="H32" s="12" t="str">
        <f>VLOOKUP(Contacts[[#This Row],[Código Tarea]],'[7]4. Directorio Integrado'!$B$4:$N$245,7,0)</f>
        <v>Revisión en caja menor</v>
      </c>
      <c r="I32" s="12" t="str">
        <f>IFERROR((IF('[7]4. Directorio Integrado'!C27=1,'[7]4. Directorio Integrado'!I27,IF('[7]4. Directorio Integrado'!C27=2,"",IF('[7]4. Directorio Integrado'!C27=3,"",IF('[7]4. Directorio Integrado'!C27=4,"",IF('[7]4. Directorio Integrado'!C27=5,"",IF('[7]4. Directorio Integrado'!C27=6,""))))))),"")</f>
        <v>1.1.5.002</v>
      </c>
      <c r="J32" s="13" t="str">
        <f>IFERROR((VLOOKUP(Contacts[[#This Row],[Código Tarea]],'[7]4. Directorio Integrado'!I$4:J$1048576,2,0)),"")</f>
        <v>Se conservan los formato de arqueo de caja menor realizados (verificar formatos).</v>
      </c>
      <c r="K32" s="14" t="str">
        <f>IFERROR((VLOOKUP(Contacts[[#This Row],[Código Tarea]],'[7]4. Directorio Integrado'!I$4:K$1048576,3,0)),"")</f>
        <v>Presencial</v>
      </c>
      <c r="L32" s="16" t="str">
        <f>VLOOKUP(Contacts[[#This Row],[Código Tarea]],'[7]Formato 1- Riesgo Operativo'!$B$8:$H$54,3,0)</f>
        <v>X</v>
      </c>
      <c r="M32" s="16">
        <f>VLOOKUP(Contacts[[#This Row],[Código Tarea]],'[7]Formato 1- Riesgo Operativo'!$B$8:$H$54,4,0)</f>
        <v>0</v>
      </c>
      <c r="N32" s="16">
        <f>VLOOKUP(Contacts[[#This Row],[Código Tarea]],'[7]Formato 1- Riesgo Operativo'!$B$8:$H$54,5,0)</f>
        <v>0</v>
      </c>
      <c r="O32" s="16">
        <f>VLOOKUP(Contacts[[#This Row],[Código Tarea]],'[7]Formato 1- Riesgo Operativo'!$B$8:$H$54,6,0)</f>
        <v>0</v>
      </c>
      <c r="P32" s="16">
        <f>VLOOKUP(Contacts[[#This Row],[Código Tarea]],'[7]Formato 1- Riesgo Operativo'!$B$8:$H$54,7,0)</f>
        <v>0</v>
      </c>
      <c r="Q32" s="16">
        <f>VLOOKUP(Contacts[[#This Row],[Código Tarea]],'[7]Formato 1- Riesgo Operativo'!$B$8:$I$54,8,0)</f>
        <v>0</v>
      </c>
      <c r="R32" s="14" t="str">
        <f>VLOOKUP(Contacts[[#This Row],[Código Tarea]],'[7]4. Directorio Integrado'!$I$4:$M$231,5,0)</f>
        <v>SARO</v>
      </c>
    </row>
    <row r="33" spans="3:18" ht="43.5" x14ac:dyDescent="0.35">
      <c r="C33" s="12">
        <f>VLOOKUP(Contacts[[#This Row],[Código Tarea]],'[7]4. Directorio Integrado'!$B$4:$N$245,2,0)</f>
        <v>1</v>
      </c>
      <c r="D33" s="15" t="str">
        <f>VLOOKUP(Contacts[[#This Row],[Código Tarea]],'[7]4. Directorio Integrado'!$B$4:$N$245,3,0)</f>
        <v>Riesgo Operativo</v>
      </c>
      <c r="E33" s="12" t="str">
        <f>VLOOKUP(Contacts[[#This Row],[Código Tarea]],'[7]4. Directorio Integrado'!$B$4:$N$245,4,0)</f>
        <v>1.1</v>
      </c>
      <c r="F33" s="12" t="str">
        <f>VLOOKUP(Contacts[[#This Row],[Código Tarea]],'[7]4. Directorio Integrado'!$B$4:$N$245,5,0)</f>
        <v>Controles de Seguridad de la Información</v>
      </c>
      <c r="G33" s="12" t="str">
        <f>VLOOKUP(Contacts[[#This Row],[Código Tarea]],'[7]4. Directorio Integrado'!$B$4:$N$245,6,0)</f>
        <v>1.1.6</v>
      </c>
      <c r="H33" s="12" t="str">
        <f>VLOOKUP(Contacts[[#This Row],[Código Tarea]],'[7]4. Directorio Integrado'!$B$4:$N$245,7,0)</f>
        <v>Verificación transaccional</v>
      </c>
      <c r="I33" s="12" t="str">
        <f>IFERROR((IF('[7]4. Directorio Integrado'!C28=1,'[7]4. Directorio Integrado'!I28,IF('[7]4. Directorio Integrado'!C28=2,"",IF('[7]4. Directorio Integrado'!C28=3,"",IF('[7]4. Directorio Integrado'!C28=4,"",IF('[7]4. Directorio Integrado'!C28=5,"",IF('[7]4. Directorio Integrado'!C28=6,""))))))),"")</f>
        <v>1.1.6.001</v>
      </c>
      <c r="J33" s="13" t="str">
        <f>IFERROR((VLOOKUP(Contacts[[#This Row],[Código Tarea]],'[7]4. Directorio Integrado'!I$4:J$1048576,2,0)),"")</f>
        <v>El gestor I y II o  coordinador conocen sobre validación de cédula, visan huella y firma al momento del trámite del  desembolso.</v>
      </c>
      <c r="K33" s="14" t="str">
        <f>IFERROR((VLOOKUP(Contacts[[#This Row],[Código Tarea]],'[7]4. Directorio Integrado'!I$4:K$1048576,3,0)),"")</f>
        <v>Presencial</v>
      </c>
      <c r="L33" s="16" t="str">
        <f>VLOOKUP(Contacts[[#This Row],[Código Tarea]],'[7]Formato 1- Riesgo Operativo'!$B$8:$H$54,3,0)</f>
        <v>X</v>
      </c>
      <c r="M33" s="16">
        <f>VLOOKUP(Contacts[[#This Row],[Código Tarea]],'[7]Formato 1- Riesgo Operativo'!$B$8:$H$54,4,0)</f>
        <v>0</v>
      </c>
      <c r="N33" s="16">
        <f>VLOOKUP(Contacts[[#This Row],[Código Tarea]],'[7]Formato 1- Riesgo Operativo'!$B$8:$H$54,5,0)</f>
        <v>0</v>
      </c>
      <c r="O33" s="16">
        <f>VLOOKUP(Contacts[[#This Row],[Código Tarea]],'[7]Formato 1- Riesgo Operativo'!$B$8:$H$54,6,0)</f>
        <v>0</v>
      </c>
      <c r="P33" s="16">
        <f>VLOOKUP(Contacts[[#This Row],[Código Tarea]],'[7]Formato 1- Riesgo Operativo'!$B$8:$H$54,7,0)</f>
        <v>0</v>
      </c>
      <c r="Q33" s="16">
        <f>VLOOKUP(Contacts[[#This Row],[Código Tarea]],'[7]Formato 1- Riesgo Operativo'!$B$8:$I$54,8,0)</f>
        <v>0</v>
      </c>
      <c r="R33" s="14" t="str">
        <f>VLOOKUP(Contacts[[#This Row],[Código Tarea]],'[7]4. Directorio Integrado'!$I$4:$M$231,5,0)</f>
        <v>SARO/SGSF</v>
      </c>
    </row>
    <row r="34" spans="3:18" ht="43.5" hidden="1" x14ac:dyDescent="0.35">
      <c r="C34" s="12">
        <f>VLOOKUP(Contacts[[#This Row],[Código Tarea]],'[7]4. Directorio Integrado'!$B$4:$N$245,2,0)</f>
        <v>1</v>
      </c>
      <c r="D34" s="15" t="str">
        <f>VLOOKUP(Contacts[[#This Row],[Código Tarea]],'[7]4. Directorio Integrado'!$B$4:$N$245,3,0)</f>
        <v>Riesgo Operativo</v>
      </c>
      <c r="E34" s="12" t="str">
        <f>VLOOKUP(Contacts[[#This Row],[Código Tarea]],'[7]4. Directorio Integrado'!$B$4:$N$245,4,0)</f>
        <v>1.2</v>
      </c>
      <c r="F34" s="12" t="str">
        <f>VLOOKUP(Contacts[[#This Row],[Código Tarea]],'[7]4. Directorio Integrado'!$B$4:$N$245,5,0)</f>
        <v>Controles Gestión Documental</v>
      </c>
      <c r="G34" s="12" t="str">
        <f>VLOOKUP(Contacts[[#This Row],[Código Tarea]],'[7]4. Directorio Integrado'!$B$4:$N$245,6,0)</f>
        <v>1.2.1</v>
      </c>
      <c r="H34" s="12" t="str">
        <f>VLOOKUP(Contacts[[#This Row],[Código Tarea]],'[7]4. Directorio Integrado'!$B$4:$N$245,7,0)</f>
        <v>Verificación custodia de títulos valores</v>
      </c>
      <c r="I34" s="12" t="str">
        <f>IFERROR((IF('[7]4. Directorio Integrado'!C29=1,'[7]4. Directorio Integrado'!I29,IF('[7]4. Directorio Integrado'!C29=2,"",IF('[7]4. Directorio Integrado'!C29=3,"",IF('[7]4. Directorio Integrado'!C29=4,"",IF('[7]4. Directorio Integrado'!C29=5,"",IF('[7]4. Directorio Integrado'!C29=6,""))))))),"")</f>
        <v>1.2.1.001</v>
      </c>
      <c r="J34" s="13" t="str">
        <f>IFERROR((VLOOKUP(Contacts[[#This Row],[Código Tarea]],'[7]4. Directorio Integrado'!I$4:J$1048576,2,0)),"")</f>
        <v>Se conservan en el archivador de tarjetas de firmas y se encuentra debidamente cerrado y asegurado, el gestor II o coordinador custodia las llaves.</v>
      </c>
      <c r="K34" s="14" t="str">
        <f>IFERROR((VLOOKUP(Contacts[[#This Row],[Código Tarea]],'[7]4. Directorio Integrado'!I$4:K$1048576,3,0)),"")</f>
        <v>Presencial</v>
      </c>
      <c r="L34" s="16" t="str">
        <f>VLOOKUP(Contacts[[#This Row],[Código Tarea]],'[7]Formato 1- Riesgo Operativo'!$B$8:$H$54,3,0)</f>
        <v>X</v>
      </c>
      <c r="M34" s="16">
        <f>VLOOKUP(Contacts[[#This Row],[Código Tarea]],'[7]Formato 1- Riesgo Operativo'!$B$8:$H$54,4,0)</f>
        <v>0</v>
      </c>
      <c r="N34" s="16">
        <f>VLOOKUP(Contacts[[#This Row],[Código Tarea]],'[7]Formato 1- Riesgo Operativo'!$B$8:$H$54,5,0)</f>
        <v>0</v>
      </c>
      <c r="O34" s="16">
        <f>VLOOKUP(Contacts[[#This Row],[Código Tarea]],'[7]Formato 1- Riesgo Operativo'!$B$8:$H$54,6,0)</f>
        <v>0</v>
      </c>
      <c r="P34" s="16">
        <f>VLOOKUP(Contacts[[#This Row],[Código Tarea]],'[7]Formato 1- Riesgo Operativo'!$B$8:$H$54,7,0)</f>
        <v>0</v>
      </c>
      <c r="Q34" s="16">
        <f>VLOOKUP(Contacts[[#This Row],[Código Tarea]],'[7]Formato 1- Riesgo Operativo'!$B$8:$I$54,8,0)</f>
        <v>0</v>
      </c>
      <c r="R34" s="14" t="str">
        <f>VLOOKUP(Contacts[[#This Row],[Código Tarea]],'[7]4. Directorio Integrado'!$I$4:$M$231,5,0)</f>
        <v>SARO/SAC</v>
      </c>
    </row>
    <row r="35" spans="3:18" ht="43.5" hidden="1" x14ac:dyDescent="0.35">
      <c r="C35" s="12">
        <f>VLOOKUP(Contacts[[#This Row],[Código Tarea]],'[7]4. Directorio Integrado'!$B$4:$N$245,2,0)</f>
        <v>1</v>
      </c>
      <c r="D35" s="15" t="str">
        <f>VLOOKUP(Contacts[[#This Row],[Código Tarea]],'[7]4. Directorio Integrado'!$B$4:$N$245,3,0)</f>
        <v>Riesgo Operativo</v>
      </c>
      <c r="E35" s="12" t="str">
        <f>VLOOKUP(Contacts[[#This Row],[Código Tarea]],'[7]4. Directorio Integrado'!$B$4:$N$245,4,0)</f>
        <v>1.2</v>
      </c>
      <c r="F35" s="12" t="str">
        <f>VLOOKUP(Contacts[[#This Row],[Código Tarea]],'[7]4. Directorio Integrado'!$B$4:$N$245,5,0)</f>
        <v>Controles Gestión Documental</v>
      </c>
      <c r="G35" s="12" t="str">
        <f>VLOOKUP(Contacts[[#This Row],[Código Tarea]],'[7]4. Directorio Integrado'!$B$4:$N$245,6,0)</f>
        <v>1.2.1</v>
      </c>
      <c r="H35" s="12" t="str">
        <f>VLOOKUP(Contacts[[#This Row],[Código Tarea]],'[7]4. Directorio Integrado'!$B$4:$N$245,7,0)</f>
        <v>Verificación custodia de títulos valores</v>
      </c>
      <c r="I35" s="12" t="str">
        <f>IFERROR((IF('[7]4. Directorio Integrado'!C30=1,'[7]4. Directorio Integrado'!I30,IF('[7]4. Directorio Integrado'!C30=2,"",IF('[7]4. Directorio Integrado'!C30=3,"",IF('[7]4. Directorio Integrado'!C30=4,"",IF('[7]4. Directorio Integrado'!C30=5,"",IF('[7]4. Directorio Integrado'!C30=6,""))))))),"")</f>
        <v>1.2.1.002</v>
      </c>
      <c r="J35" s="13" t="str">
        <f>IFERROR((VLOOKUP(Contacts[[#This Row],[Código Tarea]],'[7]4. Directorio Integrado'!I$4:J$1048576,2,0)),"")</f>
        <v>Verificar para  el último mes, la realización del arqueo de pagarés, en el formato fb-rc02-003-v01-2014 acta de verificación y existencia de pagarés vigentes y castigados.</v>
      </c>
      <c r="K35" s="14" t="str">
        <f>IFERROR((VLOOKUP(Contacts[[#This Row],[Código Tarea]],'[7]4. Directorio Integrado'!I$4:K$1048576,3,0)),"")</f>
        <v>Actividad a Distancia</v>
      </c>
      <c r="L35" s="16">
        <f>VLOOKUP(Contacts[[#This Row],[Código Tarea]],'[7]Formato 1- Riesgo Operativo'!$B$8:$H$54,3,0)</f>
        <v>0</v>
      </c>
      <c r="M35" s="16" t="str">
        <f>VLOOKUP(Contacts[[#This Row],[Código Tarea]],'[7]Formato 1- Riesgo Operativo'!$B$8:$H$54,4,0)</f>
        <v>x</v>
      </c>
      <c r="N35" s="16">
        <f>VLOOKUP(Contacts[[#This Row],[Código Tarea]],'[7]Formato 1- Riesgo Operativo'!$B$8:$H$54,5,0)</f>
        <v>0</v>
      </c>
      <c r="O35" s="16">
        <f>VLOOKUP(Contacts[[#This Row],[Código Tarea]],'[7]Formato 1- Riesgo Operativo'!$B$8:$H$54,6,0)</f>
        <v>0</v>
      </c>
      <c r="P35" s="16">
        <f>VLOOKUP(Contacts[[#This Row],[Código Tarea]],'[7]Formato 1- Riesgo Operativo'!$B$8:$H$54,7,0)</f>
        <v>0</v>
      </c>
      <c r="Q35" s="16">
        <f>VLOOKUP(Contacts[[#This Row],[Código Tarea]],'[7]Formato 1- Riesgo Operativo'!$B$8:$I$54,8,0)</f>
        <v>0</v>
      </c>
      <c r="R35" s="14" t="str">
        <f>VLOOKUP(Contacts[[#This Row],[Código Tarea]],'[7]4. Directorio Integrado'!$I$4:$M$231,5,0)</f>
        <v>SARO</v>
      </c>
    </row>
    <row r="36" spans="3:18" ht="58" hidden="1" x14ac:dyDescent="0.35">
      <c r="C36" s="12">
        <f>VLOOKUP(Contacts[[#This Row],[Código Tarea]],'[7]4. Directorio Integrado'!$B$4:$N$245,2,0)</f>
        <v>1</v>
      </c>
      <c r="D36" s="15" t="str">
        <f>VLOOKUP(Contacts[[#This Row],[Código Tarea]],'[7]4. Directorio Integrado'!$B$4:$N$245,3,0)</f>
        <v>Riesgo Operativo</v>
      </c>
      <c r="E36" s="12" t="str">
        <f>VLOOKUP(Contacts[[#This Row],[Código Tarea]],'[7]4. Directorio Integrado'!$B$4:$N$245,4,0)</f>
        <v>1.2</v>
      </c>
      <c r="F36" s="12" t="str">
        <f>VLOOKUP(Contacts[[#This Row],[Código Tarea]],'[7]4. Directorio Integrado'!$B$4:$N$245,5,0)</f>
        <v>Controles Gestión Documental</v>
      </c>
      <c r="G36" s="12" t="str">
        <f>VLOOKUP(Contacts[[#This Row],[Código Tarea]],'[7]4. Directorio Integrado'!$B$4:$N$245,6,0)</f>
        <v>1.2.1</v>
      </c>
      <c r="H36" s="12" t="str">
        <f>VLOOKUP(Contacts[[#This Row],[Código Tarea]],'[7]4. Directorio Integrado'!$B$4:$N$245,7,0)</f>
        <v>Verificación custodia de títulos valores</v>
      </c>
      <c r="I36" s="12" t="str">
        <f>IFERROR((IF('[7]4. Directorio Integrado'!C31=1,'[7]4. Directorio Integrado'!I31,IF('[7]4. Directorio Integrado'!C31=2,"",IF('[7]4. Directorio Integrado'!C31=3,"",IF('[7]4. Directorio Integrado'!C31=4,"",IF('[7]4. Directorio Integrado'!C31=5,"",IF('[7]4. Directorio Integrado'!C31=6,""))))))),"")</f>
        <v>1.2.1.003</v>
      </c>
      <c r="J36" s="13" t="str">
        <f>IFERROR((VLOOKUP(Contacts[[#This Row],[Código Tarea]],'[7]4. Directorio Integrado'!I$4:J$1048576,2,0)),"")</f>
        <v>Verificar que los talonarios de cheques/pagarés, tarjetas débito, formularios de cheques bancarios, se custodian con las debidas medidas de Seguridad de la Información y en los expedientes de los clientes.</v>
      </c>
      <c r="K36" s="14" t="str">
        <f>IFERROR((VLOOKUP(Contacts[[#This Row],[Código Tarea]],'[7]4. Directorio Integrado'!I$4:K$1048576,3,0)),"")</f>
        <v>Presencial</v>
      </c>
      <c r="L36" s="16">
        <f>VLOOKUP(Contacts[[#This Row],[Código Tarea]],'[7]Formato 1- Riesgo Operativo'!$B$8:$H$54,3,0)</f>
        <v>0</v>
      </c>
      <c r="M36" s="16" t="str">
        <f>VLOOKUP(Contacts[[#This Row],[Código Tarea]],'[7]Formato 1- Riesgo Operativo'!$B$8:$H$54,4,0)</f>
        <v>x</v>
      </c>
      <c r="N36" s="16">
        <f>VLOOKUP(Contacts[[#This Row],[Código Tarea]],'[7]Formato 1- Riesgo Operativo'!$B$8:$H$54,5,0)</f>
        <v>0</v>
      </c>
      <c r="O36" s="16">
        <f>VLOOKUP(Contacts[[#This Row],[Código Tarea]],'[7]Formato 1- Riesgo Operativo'!$B$8:$H$54,6,0)</f>
        <v>0</v>
      </c>
      <c r="P36" s="16">
        <f>VLOOKUP(Contacts[[#This Row],[Código Tarea]],'[7]Formato 1- Riesgo Operativo'!$B$8:$H$54,7,0)</f>
        <v>0</v>
      </c>
      <c r="Q36" s="16">
        <f>VLOOKUP(Contacts[[#This Row],[Código Tarea]],'[7]Formato 1- Riesgo Operativo'!$B$8:$I$54,8,0)</f>
        <v>0</v>
      </c>
      <c r="R36" s="14" t="str">
        <f>VLOOKUP(Contacts[[#This Row],[Código Tarea]],'[7]4. Directorio Integrado'!$I$4:$M$231,5,0)</f>
        <v>SARO</v>
      </c>
    </row>
    <row r="37" spans="3:18" ht="43.5" hidden="1" x14ac:dyDescent="0.35">
      <c r="C37" s="12">
        <f>VLOOKUP(Contacts[[#This Row],[Código Tarea]],'[7]4. Directorio Integrado'!$B$4:$N$245,2,0)</f>
        <v>1</v>
      </c>
      <c r="D37" s="15" t="str">
        <f>VLOOKUP(Contacts[[#This Row],[Código Tarea]],'[7]4. Directorio Integrado'!$B$4:$N$245,3,0)</f>
        <v>Riesgo Operativo</v>
      </c>
      <c r="E37" s="12" t="str">
        <f>VLOOKUP(Contacts[[#This Row],[Código Tarea]],'[7]4. Directorio Integrado'!$B$4:$N$245,4,0)</f>
        <v>1.2</v>
      </c>
      <c r="F37" s="12" t="str">
        <f>VLOOKUP(Contacts[[#This Row],[Código Tarea]],'[7]4. Directorio Integrado'!$B$4:$N$245,5,0)</f>
        <v>Controles Gestión Documental</v>
      </c>
      <c r="G37" s="12" t="str">
        <f>VLOOKUP(Contacts[[#This Row],[Código Tarea]],'[7]4. Directorio Integrado'!$B$4:$N$245,6,0)</f>
        <v>1.2.1</v>
      </c>
      <c r="H37" s="12" t="str">
        <f>VLOOKUP(Contacts[[#This Row],[Código Tarea]],'[7]4. Directorio Integrado'!$B$4:$N$245,7,0)</f>
        <v>Verificación custodia de títulos valores</v>
      </c>
      <c r="I37" s="12" t="str">
        <f>IFERROR((IF('[7]4. Directorio Integrado'!C32=1,'[7]4. Directorio Integrado'!I32,IF('[7]4. Directorio Integrado'!C32=2,"",IF('[7]4. Directorio Integrado'!C32=3,"",IF('[7]4. Directorio Integrado'!C32=4,"",IF('[7]4. Directorio Integrado'!C32=5,"",IF('[7]4. Directorio Integrado'!C32=6,""))))))),"")</f>
        <v>1.2.1.004</v>
      </c>
      <c r="J37" s="13" t="str">
        <f>IFERROR((VLOOKUP(Contacts[[#This Row],[Código Tarea]],'[7]4. Directorio Integrado'!I$4:J$1048576,2,0)),"")</f>
        <v>Verificar que los recibos provisionales son adecuadamente custodiados y se realiza un control de los recibos.</v>
      </c>
      <c r="K37" s="14" t="str">
        <f>IFERROR((VLOOKUP(Contacts[[#This Row],[Código Tarea]],'[7]4. Directorio Integrado'!I$4:K$1048576,3,0)),"")</f>
        <v>Presencial</v>
      </c>
      <c r="L37" s="16">
        <f>VLOOKUP(Contacts[[#This Row],[Código Tarea]],'[7]Formato 1- Riesgo Operativo'!$B$8:$H$54,3,0)</f>
        <v>0</v>
      </c>
      <c r="M37" s="16" t="str">
        <f>VLOOKUP(Contacts[[#This Row],[Código Tarea]],'[7]Formato 1- Riesgo Operativo'!$B$8:$H$54,4,0)</f>
        <v>x</v>
      </c>
      <c r="N37" s="16">
        <f>VLOOKUP(Contacts[[#This Row],[Código Tarea]],'[7]Formato 1- Riesgo Operativo'!$B$8:$H$54,5,0)</f>
        <v>0</v>
      </c>
      <c r="O37" s="16">
        <f>VLOOKUP(Contacts[[#This Row],[Código Tarea]],'[7]Formato 1- Riesgo Operativo'!$B$8:$H$54,6,0)</f>
        <v>0</v>
      </c>
      <c r="P37" s="16">
        <f>VLOOKUP(Contacts[[#This Row],[Código Tarea]],'[7]Formato 1- Riesgo Operativo'!$B$8:$H$54,7,0)</f>
        <v>0</v>
      </c>
      <c r="Q37" s="16">
        <f>VLOOKUP(Contacts[[#This Row],[Código Tarea]],'[7]Formato 1- Riesgo Operativo'!$B$8:$I$54,8,0)</f>
        <v>0</v>
      </c>
      <c r="R37" s="14" t="str">
        <f>VLOOKUP(Contacts[[#This Row],[Código Tarea]],'[7]4. Directorio Integrado'!$I$4:$M$231,5,0)</f>
        <v>SARO</v>
      </c>
    </row>
    <row r="38" spans="3:18" ht="29" hidden="1" x14ac:dyDescent="0.35">
      <c r="C38" s="12">
        <f>VLOOKUP(Contacts[[#This Row],[Código Tarea]],'[7]4. Directorio Integrado'!$B$4:$N$245,2,0)</f>
        <v>1</v>
      </c>
      <c r="D38" s="15" t="str">
        <f>VLOOKUP(Contacts[[#This Row],[Código Tarea]],'[7]4. Directorio Integrado'!$B$4:$N$245,3,0)</f>
        <v>Riesgo Operativo</v>
      </c>
      <c r="E38" s="12" t="str">
        <f>VLOOKUP(Contacts[[#This Row],[Código Tarea]],'[7]4. Directorio Integrado'!$B$4:$N$245,4,0)</f>
        <v>1.2</v>
      </c>
      <c r="F38" s="12" t="str">
        <f>VLOOKUP(Contacts[[#This Row],[Código Tarea]],'[7]4. Directorio Integrado'!$B$4:$N$245,5,0)</f>
        <v>Controles Gestión Documental</v>
      </c>
      <c r="G38" s="12" t="str">
        <f>VLOOKUP(Contacts[[#This Row],[Código Tarea]],'[7]4. Directorio Integrado'!$B$4:$N$245,6,0)</f>
        <v>1.2.1</v>
      </c>
      <c r="H38" s="12" t="str">
        <f>VLOOKUP(Contacts[[#This Row],[Código Tarea]],'[7]4. Directorio Integrado'!$B$4:$N$245,7,0)</f>
        <v>Verificación custodia de títulos valores</v>
      </c>
      <c r="I38" s="12" t="str">
        <f>IFERROR((IF('[7]4. Directorio Integrado'!C33=1,'[7]4. Directorio Integrado'!I33,IF('[7]4. Directorio Integrado'!C33=2,"",IF('[7]4. Directorio Integrado'!C33=3,"",IF('[7]4. Directorio Integrado'!C33=4,"",IF('[7]4. Directorio Integrado'!C33=5,"",IF('[7]4. Directorio Integrado'!C33=6,""))))))),"")</f>
        <v>1.2.1.005</v>
      </c>
      <c r="J38" s="13" t="str">
        <f>IFERROR((VLOOKUP(Contacts[[#This Row],[Código Tarea]],'[7]4. Directorio Integrado'!I$4:J$1048576,2,0)),"")</f>
        <v>Se conservan actas de arqueo de cheques de cuentas de otros bancos firmadas por el gerente de oficina.</v>
      </c>
      <c r="K38" s="14" t="str">
        <f>IFERROR((VLOOKUP(Contacts[[#This Row],[Código Tarea]],'[7]4. Directorio Integrado'!I$4:K$1048576,3,0)),"")</f>
        <v>Presencial</v>
      </c>
      <c r="L38" s="16" t="str">
        <f>VLOOKUP(Contacts[[#This Row],[Código Tarea]],'[7]Formato 1- Riesgo Operativo'!$B$8:$H$54,3,0)</f>
        <v>X</v>
      </c>
      <c r="M38" s="16">
        <f>VLOOKUP(Contacts[[#This Row],[Código Tarea]],'[7]Formato 1- Riesgo Operativo'!$B$8:$H$54,4,0)</f>
        <v>0</v>
      </c>
      <c r="N38" s="16">
        <f>VLOOKUP(Contacts[[#This Row],[Código Tarea]],'[7]Formato 1- Riesgo Operativo'!$B$8:$H$54,5,0)</f>
        <v>0</v>
      </c>
      <c r="O38" s="16">
        <f>VLOOKUP(Contacts[[#This Row],[Código Tarea]],'[7]Formato 1- Riesgo Operativo'!$B$8:$H$54,6,0)</f>
        <v>0</v>
      </c>
      <c r="P38" s="16">
        <f>VLOOKUP(Contacts[[#This Row],[Código Tarea]],'[7]Formato 1- Riesgo Operativo'!$B$8:$H$54,7,0)</f>
        <v>0</v>
      </c>
      <c r="Q38" s="16">
        <f>VLOOKUP(Contacts[[#This Row],[Código Tarea]],'[7]Formato 1- Riesgo Operativo'!$B$8:$I$54,8,0)</f>
        <v>0</v>
      </c>
      <c r="R38" s="14" t="str">
        <f>VLOOKUP(Contacts[[#This Row],[Código Tarea]],'[7]4. Directorio Integrado'!$I$4:$M$231,5,0)</f>
        <v>SARO</v>
      </c>
    </row>
    <row r="39" spans="3:18" ht="29" hidden="1" x14ac:dyDescent="0.35">
      <c r="C39" s="12">
        <f>VLOOKUP(Contacts[[#This Row],[Código Tarea]],'[7]4. Directorio Integrado'!$B$4:$N$245,2,0)</f>
        <v>1</v>
      </c>
      <c r="D39" s="15" t="str">
        <f>VLOOKUP(Contacts[[#This Row],[Código Tarea]],'[7]4. Directorio Integrado'!$B$4:$N$245,3,0)</f>
        <v>Riesgo Operativo</v>
      </c>
      <c r="E39" s="12" t="str">
        <f>VLOOKUP(Contacts[[#This Row],[Código Tarea]],'[7]4. Directorio Integrado'!$B$4:$N$245,4,0)</f>
        <v>1.2</v>
      </c>
      <c r="F39" s="12" t="str">
        <f>VLOOKUP(Contacts[[#This Row],[Código Tarea]],'[7]4. Directorio Integrado'!$B$4:$N$245,5,0)</f>
        <v>Controles Gestión Documental</v>
      </c>
      <c r="G39" s="12" t="str">
        <f>VLOOKUP(Contacts[[#This Row],[Código Tarea]],'[7]4. Directorio Integrado'!$B$4:$N$245,6,0)</f>
        <v>1.2.1</v>
      </c>
      <c r="H39" s="12" t="str">
        <f>VLOOKUP(Contacts[[#This Row],[Código Tarea]],'[7]4. Directorio Integrado'!$B$4:$N$245,7,0)</f>
        <v>Verificación custodia de títulos valores</v>
      </c>
      <c r="I39" s="12" t="str">
        <f>IFERROR((IF('[7]4. Directorio Integrado'!C34=1,'[7]4. Directorio Integrado'!I34,IF('[7]4. Directorio Integrado'!C34=2,"",IF('[7]4. Directorio Integrado'!C34=3,"",IF('[7]4. Directorio Integrado'!C34=4,"",IF('[7]4. Directorio Integrado'!C34=5,"",IF('[7]4. Directorio Integrado'!C34=6,""))))))),"")</f>
        <v>1.2.1.006</v>
      </c>
      <c r="J39" s="13" t="str">
        <f>IFERROR((VLOOKUP(Contacts[[#This Row],[Código Tarea]],'[7]4. Directorio Integrado'!I$4:J$1048576,2,0)),"")</f>
        <v>Se conservan actas de arqueo de títulos valores (cdt) firmadas por el gerente de oficina.</v>
      </c>
      <c r="K39" s="14" t="str">
        <f>IFERROR((VLOOKUP(Contacts[[#This Row],[Código Tarea]],'[7]4. Directorio Integrado'!I$4:K$1048576,3,0)),"")</f>
        <v>Presencial</v>
      </c>
      <c r="L39" s="16" t="str">
        <f>VLOOKUP(Contacts[[#This Row],[Código Tarea]],'[7]Formato 1- Riesgo Operativo'!$B$8:$H$54,3,0)</f>
        <v>X</v>
      </c>
      <c r="M39" s="16">
        <f>VLOOKUP(Contacts[[#This Row],[Código Tarea]],'[7]Formato 1- Riesgo Operativo'!$B$8:$H$54,4,0)</f>
        <v>0</v>
      </c>
      <c r="N39" s="16">
        <f>VLOOKUP(Contacts[[#This Row],[Código Tarea]],'[7]Formato 1- Riesgo Operativo'!$B$8:$H$54,5,0)</f>
        <v>0</v>
      </c>
      <c r="O39" s="16">
        <f>VLOOKUP(Contacts[[#This Row],[Código Tarea]],'[7]Formato 1- Riesgo Operativo'!$B$8:$H$54,6,0)</f>
        <v>0</v>
      </c>
      <c r="P39" s="16">
        <f>VLOOKUP(Contacts[[#This Row],[Código Tarea]],'[7]Formato 1- Riesgo Operativo'!$B$8:$H$54,7,0)</f>
        <v>0</v>
      </c>
      <c r="Q39" s="16">
        <f>VLOOKUP(Contacts[[#This Row],[Código Tarea]],'[7]Formato 1- Riesgo Operativo'!$B$8:$I$54,8,0)</f>
        <v>0</v>
      </c>
      <c r="R39" s="14" t="str">
        <f>VLOOKUP(Contacts[[#This Row],[Código Tarea]],'[7]4. Directorio Integrado'!$I$4:$M$231,5,0)</f>
        <v>SARO</v>
      </c>
    </row>
    <row r="40" spans="3:18" ht="29" hidden="1" x14ac:dyDescent="0.35">
      <c r="C40" s="12">
        <f>VLOOKUP(Contacts[[#This Row],[Código Tarea]],'[7]4. Directorio Integrado'!$B$4:$N$245,2,0)</f>
        <v>1</v>
      </c>
      <c r="D40" s="15" t="str">
        <f>VLOOKUP(Contacts[[#This Row],[Código Tarea]],'[7]4. Directorio Integrado'!$B$4:$N$245,3,0)</f>
        <v>Riesgo Operativo</v>
      </c>
      <c r="E40" s="12" t="str">
        <f>VLOOKUP(Contacts[[#This Row],[Código Tarea]],'[7]4. Directorio Integrado'!$B$4:$N$245,4,0)</f>
        <v>1.3</v>
      </c>
      <c r="F40" s="12" t="str">
        <f>VLOOKUP(Contacts[[#This Row],[Código Tarea]],'[7]4. Directorio Integrado'!$B$4:$N$245,5,0)</f>
        <v>Seguimiento</v>
      </c>
      <c r="G40" s="12" t="str">
        <f>VLOOKUP(Contacts[[#This Row],[Código Tarea]],'[7]4. Directorio Integrado'!$B$4:$N$245,6,0)</f>
        <v>1.3.1</v>
      </c>
      <c r="H40" s="12" t="str">
        <f>VLOOKUP(Contacts[[#This Row],[Código Tarea]],'[7]4. Directorio Integrado'!$B$4:$N$245,7,0)</f>
        <v>Seguimiento Operacional</v>
      </c>
      <c r="I40" s="12" t="str">
        <f>IFERROR((IF('[7]4. Directorio Integrado'!C35=1,'[7]4. Directorio Integrado'!I35,IF('[7]4. Directorio Integrado'!C35=2,"",IF('[7]4. Directorio Integrado'!C35=3,"",IF('[7]4. Directorio Integrado'!C35=4,"",IF('[7]4. Directorio Integrado'!C35=5,"",IF('[7]4. Directorio Integrado'!C35=6,""))))))),"")</f>
        <v>1.3.1.001</v>
      </c>
      <c r="J40" s="13" t="str">
        <f>IFERROR((VLOOKUP(Contacts[[#This Row],[Código Tarea]],'[7]4. Directorio Integrado'!I$4:J$1048576,2,0)),"")</f>
        <v>Diligencia diariamente el tablero con los compromisos y resultados.</v>
      </c>
      <c r="K40" s="14" t="str">
        <f>IFERROR((VLOOKUP(Contacts[[#This Row],[Código Tarea]],'[7]4. Directorio Integrado'!I$4:K$1048576,3,0)),"")</f>
        <v>Actividad a Distancia</v>
      </c>
      <c r="L40" s="17">
        <f>VLOOKUP(Contacts[[#This Row],[Código Tarea]],'[7]Formato 1- Riesgo Operativo'!$B$8:$H$54,3,0)</f>
        <v>0</v>
      </c>
      <c r="M40" s="17" t="str">
        <f>VLOOKUP(Contacts[[#This Row],[Código Tarea]],'[7]Formato 1- Riesgo Operativo'!$B$8:$H$54,4,0)</f>
        <v>x</v>
      </c>
      <c r="N40" s="17">
        <f>VLOOKUP(Contacts[[#This Row],[Código Tarea]],'[7]Formato 1- Riesgo Operativo'!$B$8:$H$54,5,0)</f>
        <v>0</v>
      </c>
      <c r="O40" s="17">
        <f>VLOOKUP(Contacts[[#This Row],[Código Tarea]],'[7]Formato 1- Riesgo Operativo'!$B$8:$H$54,6,0)</f>
        <v>0</v>
      </c>
      <c r="P40" s="17">
        <f>VLOOKUP(Contacts[[#This Row],[Código Tarea]],'[7]Formato 1- Riesgo Operativo'!$B$8:$H$54,7,0)</f>
        <v>0</v>
      </c>
      <c r="Q40" s="18">
        <f>VLOOKUP(Contacts[[#This Row],[Código Tarea]],'[7]Formato 1- Riesgo Operativo'!$B$8:$I$54,8,0)</f>
        <v>0</v>
      </c>
      <c r="R40" s="14" t="str">
        <f>VLOOKUP(Contacts[[#This Row],[Código Tarea]],'[7]4. Directorio Integrado'!$I$4:$M$231,5,0)</f>
        <v>SARO/SAC</v>
      </c>
    </row>
    <row r="41" spans="3:18" ht="29" hidden="1" x14ac:dyDescent="0.35">
      <c r="C41" s="12">
        <f>VLOOKUP(Contacts[[#This Row],[Código Tarea]],'[7]4. Directorio Integrado'!$B$4:$N$245,2,0)</f>
        <v>1</v>
      </c>
      <c r="D41" s="15" t="str">
        <f>VLOOKUP(Contacts[[#This Row],[Código Tarea]],'[7]4. Directorio Integrado'!$B$4:$N$245,3,0)</f>
        <v>Riesgo Operativo</v>
      </c>
      <c r="E41" s="12" t="str">
        <f>VLOOKUP(Contacts[[#This Row],[Código Tarea]],'[7]4. Directorio Integrado'!$B$4:$N$245,4,0)</f>
        <v>1.3</v>
      </c>
      <c r="F41" s="12" t="str">
        <f>VLOOKUP(Contacts[[#This Row],[Código Tarea]],'[7]4. Directorio Integrado'!$B$4:$N$245,5,0)</f>
        <v>Seguimiento</v>
      </c>
      <c r="G41" s="12" t="str">
        <f>VLOOKUP(Contacts[[#This Row],[Código Tarea]],'[7]4. Directorio Integrado'!$B$4:$N$245,6,0)</f>
        <v>1.3.1</v>
      </c>
      <c r="H41" s="12" t="str">
        <f>VLOOKUP(Contacts[[#This Row],[Código Tarea]],'[7]4. Directorio Integrado'!$B$4:$N$245,7,0)</f>
        <v>Seguimiento Operacional</v>
      </c>
      <c r="I41" s="12" t="str">
        <f>IFERROR((IF('[7]4. Directorio Integrado'!C36=1,'[7]4. Directorio Integrado'!I36,IF('[7]4. Directorio Integrado'!C36=2,"",IF('[7]4. Directorio Integrado'!C36=3,"",IF('[7]4. Directorio Integrado'!C36=4,"",IF('[7]4. Directorio Integrado'!C36=5,"",IF('[7]4. Directorio Integrado'!C36=6,""))))))),"")</f>
        <v>1.3.1.002</v>
      </c>
      <c r="J41" s="13" t="str">
        <f>IFERROR((VLOOKUP(Contacts[[#This Row],[Código Tarea]],'[7]4. Directorio Integrado'!I$4:J$1048576,2,0)),"")</f>
        <v>Verifica que todos los colaboradores ingresen puntualmente a la oficina en el horario establecido.</v>
      </c>
      <c r="K41" s="14" t="str">
        <f>IFERROR((VLOOKUP(Contacts[[#This Row],[Código Tarea]],'[7]4. Directorio Integrado'!I$4:K$1048576,3,0)),"")</f>
        <v>Actividad a Distancia</v>
      </c>
      <c r="L41" s="17">
        <f>VLOOKUP(Contacts[[#This Row],[Código Tarea]],'[7]Formato 1- Riesgo Operativo'!$B$8:$H$54,3,0)</f>
        <v>0</v>
      </c>
      <c r="M41" s="17" t="str">
        <f>VLOOKUP(Contacts[[#This Row],[Código Tarea]],'[7]Formato 1- Riesgo Operativo'!$B$8:$H$54,4,0)</f>
        <v>x</v>
      </c>
      <c r="N41" s="17">
        <f>VLOOKUP(Contacts[[#This Row],[Código Tarea]],'[7]Formato 1- Riesgo Operativo'!$B$8:$H$54,5,0)</f>
        <v>0</v>
      </c>
      <c r="O41" s="17">
        <f>VLOOKUP(Contacts[[#This Row],[Código Tarea]],'[7]Formato 1- Riesgo Operativo'!$B$8:$H$54,6,0)</f>
        <v>0</v>
      </c>
      <c r="P41" s="17">
        <f>VLOOKUP(Contacts[[#This Row],[Código Tarea]],'[7]Formato 1- Riesgo Operativo'!$B$8:$H$54,7,0)</f>
        <v>0</v>
      </c>
      <c r="Q41" s="18">
        <f>VLOOKUP(Contacts[[#This Row],[Código Tarea]],'[7]Formato 1- Riesgo Operativo'!$B$8:$I$54,8,0)</f>
        <v>0</v>
      </c>
      <c r="R41" s="14" t="str">
        <f>VLOOKUP(Contacts[[#This Row],[Código Tarea]],'[7]4. Directorio Integrado'!$I$4:$M$231,5,0)</f>
        <v>SARO/SAC</v>
      </c>
    </row>
    <row r="42" spans="3:18" ht="29" hidden="1" x14ac:dyDescent="0.35">
      <c r="C42" s="12">
        <f>VLOOKUP(Contacts[[#This Row],[Código Tarea]],'[7]4. Directorio Integrado'!$B$4:$N$245,2,0)</f>
        <v>1</v>
      </c>
      <c r="D42" s="15" t="str">
        <f>VLOOKUP(Contacts[[#This Row],[Código Tarea]],'[7]4. Directorio Integrado'!$B$4:$N$245,3,0)</f>
        <v>Riesgo Operativo</v>
      </c>
      <c r="E42" s="12" t="str">
        <f>VLOOKUP(Contacts[[#This Row],[Código Tarea]],'[7]4. Directorio Integrado'!$B$4:$N$245,4,0)</f>
        <v>1.3</v>
      </c>
      <c r="F42" s="12" t="str">
        <f>VLOOKUP(Contacts[[#This Row],[Código Tarea]],'[7]4. Directorio Integrado'!$B$4:$N$245,5,0)</f>
        <v>Seguimiento</v>
      </c>
      <c r="G42" s="12" t="str">
        <f>VLOOKUP(Contacts[[#This Row],[Código Tarea]],'[7]4. Directorio Integrado'!$B$4:$N$245,6,0)</f>
        <v>1.3.1</v>
      </c>
      <c r="H42" s="12" t="str">
        <f>VLOOKUP(Contacts[[#This Row],[Código Tarea]],'[7]4. Directorio Integrado'!$B$4:$N$245,7,0)</f>
        <v>Seguimiento Operacional</v>
      </c>
      <c r="I42" s="12" t="str">
        <f>IFERROR((IF('[7]4. Directorio Integrado'!C37=1,'[7]4. Directorio Integrado'!I37,IF('[7]4. Directorio Integrado'!C37=2,"",IF('[7]4. Directorio Integrado'!C37=3,"",IF('[7]4. Directorio Integrado'!C37=4,"",IF('[7]4. Directorio Integrado'!C37=5,"",IF('[7]4. Directorio Integrado'!C37=6,""))))))),"")</f>
        <v>1.3.1.003</v>
      </c>
      <c r="J42" s="13" t="str">
        <f>IFERROR((VLOOKUP(Contacts[[#This Row],[Código Tarea]],'[7]4. Directorio Integrado'!I$4:J$1048576,2,0)),"")</f>
        <v xml:space="preserve">Supervisa que el  tablero de gestión esta diligenciado con los compromisos y resultados del día. </v>
      </c>
      <c r="K42" s="14" t="str">
        <f>IFERROR((VLOOKUP(Contacts[[#This Row],[Código Tarea]],'[7]4. Directorio Integrado'!I$4:K$1048576,3,0)),"")</f>
        <v>Actividad a Distancia</v>
      </c>
      <c r="L42" s="17" t="str">
        <f>VLOOKUP(Contacts[[#This Row],[Código Tarea]],'[7]Formato 1- Riesgo Operativo'!$B$8:$H$54,3,0)</f>
        <v>x</v>
      </c>
      <c r="M42" s="17">
        <f>VLOOKUP(Contacts[[#This Row],[Código Tarea]],'[7]Formato 1- Riesgo Operativo'!$B$8:$H$54,4,0)</f>
        <v>0</v>
      </c>
      <c r="N42" s="17">
        <f>VLOOKUP(Contacts[[#This Row],[Código Tarea]],'[7]Formato 1- Riesgo Operativo'!$B$8:$H$54,5,0)</f>
        <v>0</v>
      </c>
      <c r="O42" s="17">
        <f>VLOOKUP(Contacts[[#This Row],[Código Tarea]],'[7]Formato 1- Riesgo Operativo'!$B$8:$H$54,6,0)</f>
        <v>0</v>
      </c>
      <c r="P42" s="17">
        <f>VLOOKUP(Contacts[[#This Row],[Código Tarea]],'[7]Formato 1- Riesgo Operativo'!$B$8:$H$54,7,0)</f>
        <v>0</v>
      </c>
      <c r="Q42" s="18">
        <f>VLOOKUP(Contacts[[#This Row],[Código Tarea]],'[7]Formato 1- Riesgo Operativo'!$B$8:$I$54,8,0)</f>
        <v>0</v>
      </c>
      <c r="R42" s="14" t="str">
        <f>VLOOKUP(Contacts[[#This Row],[Código Tarea]],'[7]4. Directorio Integrado'!$I$4:$M$231,5,0)</f>
        <v>SARO/SAC</v>
      </c>
    </row>
    <row r="43" spans="3:18" ht="29" hidden="1" x14ac:dyDescent="0.35">
      <c r="C43" s="12">
        <f>VLOOKUP(Contacts[[#This Row],[Código Tarea]],'[7]4. Directorio Integrado'!$B$4:$N$245,2,0)</f>
        <v>1</v>
      </c>
      <c r="D43" s="15" t="str">
        <f>VLOOKUP(Contacts[[#This Row],[Código Tarea]],'[7]4. Directorio Integrado'!$B$4:$N$245,3,0)</f>
        <v>Riesgo Operativo</v>
      </c>
      <c r="E43" s="12" t="str">
        <f>VLOOKUP(Contacts[[#This Row],[Código Tarea]],'[7]4. Directorio Integrado'!$B$4:$N$245,4,0)</f>
        <v>1.3</v>
      </c>
      <c r="F43" s="12" t="str">
        <f>VLOOKUP(Contacts[[#This Row],[Código Tarea]],'[7]4. Directorio Integrado'!$B$4:$N$245,5,0)</f>
        <v>Seguimiento</v>
      </c>
      <c r="G43" s="12" t="str">
        <f>VLOOKUP(Contacts[[#This Row],[Código Tarea]],'[7]4. Directorio Integrado'!$B$4:$N$245,6,0)</f>
        <v>1.3.1</v>
      </c>
      <c r="H43" s="12" t="str">
        <f>VLOOKUP(Contacts[[#This Row],[Código Tarea]],'[7]4. Directorio Integrado'!$B$4:$N$245,7,0)</f>
        <v>Seguimiento Operacional</v>
      </c>
      <c r="I43" s="12" t="str">
        <f>IFERROR((IF('[7]4. Directorio Integrado'!C38=1,'[7]4. Directorio Integrado'!I38,IF('[7]4. Directorio Integrado'!C38=2,"",IF('[7]4. Directorio Integrado'!C38=3,"",IF('[7]4. Directorio Integrado'!C38=4,"",IF('[7]4. Directorio Integrado'!C38=5,"",IF('[7]4. Directorio Integrado'!C38=6,""))))))),"")</f>
        <v>1.3.1.004</v>
      </c>
      <c r="J43" s="13" t="str">
        <f>IFERROR((VLOOKUP(Contacts[[#This Row],[Código Tarea]],'[7]4. Directorio Integrado'!I$4:J$1048576,2,0)),"")</f>
        <v>Los EDP están utilizando las tabletas portátiles en su gestión en campo.</v>
      </c>
      <c r="K43" s="14" t="str">
        <f>IFERROR((VLOOKUP(Contacts[[#This Row],[Código Tarea]],'[7]4. Directorio Integrado'!I$4:K$1048576,3,0)),"")</f>
        <v>Presencial</v>
      </c>
      <c r="L43" s="17">
        <f>VLOOKUP(Contacts[[#This Row],[Código Tarea]],'[7]Formato 1- Riesgo Operativo'!$B$8:$H$54,3,0)</f>
        <v>0</v>
      </c>
      <c r="M43" s="17" t="str">
        <f>VLOOKUP(Contacts[[#This Row],[Código Tarea]],'[7]Formato 1- Riesgo Operativo'!$B$8:$H$54,4,0)</f>
        <v>x</v>
      </c>
      <c r="N43" s="17">
        <f>VLOOKUP(Contacts[[#This Row],[Código Tarea]],'[7]Formato 1- Riesgo Operativo'!$B$8:$H$54,5,0)</f>
        <v>0</v>
      </c>
      <c r="O43" s="17">
        <f>VLOOKUP(Contacts[[#This Row],[Código Tarea]],'[7]Formato 1- Riesgo Operativo'!$B$8:$H$54,6,0)</f>
        <v>0</v>
      </c>
      <c r="P43" s="17">
        <f>VLOOKUP(Contacts[[#This Row],[Código Tarea]],'[7]Formato 1- Riesgo Operativo'!$B$8:$H$54,7,0)</f>
        <v>0</v>
      </c>
      <c r="Q43" s="18">
        <f>VLOOKUP(Contacts[[#This Row],[Código Tarea]],'[7]Formato 1- Riesgo Operativo'!$B$8:$I$54,8,0)</f>
        <v>0</v>
      </c>
      <c r="R43" s="14" t="str">
        <f>VLOOKUP(Contacts[[#This Row],[Código Tarea]],'[7]4. Directorio Integrado'!$I$4:$M$231,5,0)</f>
        <v>SARO/SGSI/SAC</v>
      </c>
    </row>
  </sheetData>
  <mergeCells count="1">
    <mergeCell ref="J7:N7"/>
  </mergeCells>
  <conditionalFormatting sqref="L9:Q43">
    <cfRule type="containsText" dxfId="199" priority="5" stopIfTrue="1" operator="containsText" text="0">
      <formula>NOT(ISERROR(SEARCH("0",L9)))</formula>
    </cfRule>
  </conditionalFormatting>
  <conditionalFormatting sqref="L9:Q43">
    <cfRule type="containsText" dxfId="198" priority="4" operator="containsText" text="X">
      <formula>NOT(ISERROR(SEARCH("X",L9)))</formula>
    </cfRule>
  </conditionalFormatting>
  <conditionalFormatting sqref="Q10">
    <cfRule type="containsText" dxfId="197" priority="3" stopIfTrue="1" operator="containsText" text="0">
      <formula>NOT(ISERROR(SEARCH("0",Q10)))</formula>
    </cfRule>
  </conditionalFormatting>
  <conditionalFormatting sqref="L9">
    <cfRule type="containsText" dxfId="196" priority="2" stopIfTrue="1" operator="containsText" text="0">
      <formula>NOT(ISERROR(SEARCH("0",L9)))</formula>
    </cfRule>
  </conditionalFormatting>
  <conditionalFormatting sqref="Q9">
    <cfRule type="containsText" dxfId="195" priority="1" stopIfTrue="1" operator="containsText" text="0">
      <formula>NOT(ISERROR(SEARCH("0",Q9)))</formula>
    </cfRule>
  </conditionalFormatting>
  <dataValidations count="1">
    <dataValidation allowBlank="1" showInputMessage="1" promptTitle="Email Address" prompt="xxx@xxx.xxx" sqref="R9:R43" xr:uid="{541346C1-E575-46E5-A2F4-B944D6105D99}"/>
  </dataValidations>
  <printOptions horizontalCentered="1"/>
  <pageMargins left="0.25" right="0.25" top="0.75" bottom="0.75" header="0.3" footer="0.3"/>
  <pageSetup scale="86"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7F42A-E2C1-42F1-9317-2D26E5551DDF}">
  <sheetPr>
    <tabColor theme="4" tint="-0.249977111117893"/>
    <pageSetUpPr autoPageBreaks="0" fitToPage="1"/>
  </sheetPr>
  <dimension ref="B1:X73"/>
  <sheetViews>
    <sheetView showGridLines="0" tabSelected="1" zoomScaleNormal="100" workbookViewId="0">
      <selection activeCell="J14" sqref="J14"/>
    </sheetView>
  </sheetViews>
  <sheetFormatPr baseColWidth="10" defaultColWidth="9.1796875" defaultRowHeight="13" x14ac:dyDescent="0.35"/>
  <cols>
    <col min="1" max="1" width="7.7265625" style="1" customWidth="1"/>
    <col min="2" max="2" width="31.7265625" style="23" customWidth="1"/>
    <col min="3" max="3" width="12.26953125" style="3" hidden="1" customWidth="1"/>
    <col min="4" max="7" width="9.1796875" style="3" hidden="1" customWidth="1"/>
    <col min="8" max="8" width="36.1796875" style="3" hidden="1" customWidth="1"/>
    <col min="9" max="9" width="9.7265625" style="3" customWidth="1"/>
    <col min="10" max="10" width="46.54296875" style="3" customWidth="1"/>
    <col min="11" max="11" width="16.7265625" style="3" customWidth="1"/>
    <col min="12" max="15" width="12.7265625" style="3" customWidth="1"/>
    <col min="16" max="17" width="12.7265625" style="2" customWidth="1"/>
    <col min="18" max="24" width="14.7265625" style="2" customWidth="1"/>
    <col min="25" max="26" width="14.7265625" style="1" customWidth="1"/>
    <col min="27" max="16384" width="9.1796875" style="1"/>
  </cols>
  <sheetData>
    <row r="1" spans="2:17" x14ac:dyDescent="0.35">
      <c r="B1" s="1"/>
      <c r="C1" s="1"/>
      <c r="D1" s="1"/>
      <c r="E1" s="1"/>
      <c r="F1" s="1"/>
      <c r="G1" s="1"/>
      <c r="H1" s="1"/>
      <c r="I1" s="1"/>
      <c r="J1" s="1"/>
      <c r="K1" s="1"/>
      <c r="L1" s="1"/>
      <c r="M1" s="1"/>
      <c r="N1" s="1"/>
      <c r="O1" s="1"/>
    </row>
    <row r="2" spans="2:17" ht="36" x14ac:dyDescent="0.35">
      <c r="B2" s="4" t="s">
        <v>0</v>
      </c>
      <c r="C2" s="1"/>
      <c r="D2" s="1"/>
      <c r="E2" s="1"/>
      <c r="F2" s="1"/>
      <c r="G2" s="1"/>
      <c r="H2" s="1"/>
      <c r="I2" s="1"/>
      <c r="J2" s="1"/>
      <c r="K2" s="1"/>
      <c r="L2" s="1"/>
      <c r="M2" s="1"/>
      <c r="N2" s="1"/>
      <c r="O2" s="1"/>
      <c r="P2" s="1"/>
      <c r="Q2" s="1"/>
    </row>
    <row r="3" spans="2:17" x14ac:dyDescent="0.35">
      <c r="B3" s="1"/>
      <c r="C3" s="1"/>
      <c r="D3" s="1"/>
      <c r="E3" s="1"/>
      <c r="F3" s="1"/>
      <c r="G3" s="1"/>
      <c r="H3" s="1"/>
      <c r="I3" s="1"/>
      <c r="J3" s="1"/>
      <c r="K3" s="1"/>
      <c r="L3" s="1"/>
      <c r="M3" s="1"/>
      <c r="N3" s="1"/>
      <c r="O3" s="1"/>
      <c r="P3" s="1"/>
      <c r="Q3" s="1"/>
    </row>
    <row r="4" spans="2:17" x14ac:dyDescent="0.35">
      <c r="B4" s="1"/>
      <c r="C4" s="1"/>
      <c r="D4" s="1"/>
      <c r="E4" s="1"/>
      <c r="F4" s="1"/>
      <c r="G4" s="1"/>
      <c r="H4" s="1"/>
      <c r="I4" s="1"/>
      <c r="J4" s="1"/>
      <c r="K4" s="1"/>
      <c r="L4" s="1"/>
      <c r="M4" s="1"/>
      <c r="N4" s="1"/>
      <c r="O4" s="1"/>
    </row>
    <row r="5" spans="2:17" x14ac:dyDescent="0.35">
      <c r="B5" s="1"/>
      <c r="C5" s="1"/>
      <c r="D5" s="1"/>
      <c r="E5" s="1"/>
      <c r="F5" s="1"/>
      <c r="G5" s="1"/>
      <c r="H5" s="1"/>
      <c r="I5" s="1"/>
      <c r="J5" s="1"/>
      <c r="K5" s="1"/>
      <c r="L5" s="1"/>
      <c r="M5" s="1"/>
      <c r="N5" s="1"/>
      <c r="O5" s="1"/>
    </row>
    <row r="6" spans="2:17" x14ac:dyDescent="0.35">
      <c r="B6" s="19"/>
      <c r="C6" s="1"/>
      <c r="D6" s="1"/>
      <c r="E6" s="1"/>
      <c r="F6" s="1"/>
      <c r="G6" s="1"/>
      <c r="H6" s="1"/>
      <c r="I6" s="1"/>
      <c r="J6" s="1"/>
      <c r="K6" s="1"/>
      <c r="L6" s="1"/>
      <c r="M6" s="1"/>
      <c r="N6" s="1"/>
      <c r="O6" s="1"/>
    </row>
    <row r="7" spans="2:17" ht="18.5" x14ac:dyDescent="0.35">
      <c r="B7" s="1"/>
      <c r="C7" s="1"/>
      <c r="D7" s="1"/>
      <c r="E7" s="1"/>
      <c r="F7" s="1"/>
      <c r="G7" s="1"/>
      <c r="H7" s="1"/>
      <c r="I7" s="1"/>
      <c r="J7" s="47" t="s">
        <v>2</v>
      </c>
      <c r="K7" s="47"/>
      <c r="L7" s="47"/>
      <c r="M7" s="47"/>
      <c r="N7" s="47"/>
      <c r="O7" s="1" t="s">
        <v>1</v>
      </c>
    </row>
    <row r="8" spans="2:17" s="6" customFormat="1" ht="31" x14ac:dyDescent="0.35">
      <c r="C8" s="7" t="s">
        <v>3</v>
      </c>
      <c r="D8" s="7" t="s">
        <v>19</v>
      </c>
      <c r="E8" s="7" t="s">
        <v>5</v>
      </c>
      <c r="F8" s="7" t="s">
        <v>8</v>
      </c>
      <c r="G8" s="8" t="s">
        <v>7</v>
      </c>
      <c r="H8" s="9" t="s">
        <v>20</v>
      </c>
      <c r="I8" s="10" t="s">
        <v>9</v>
      </c>
      <c r="J8" s="10" t="s">
        <v>10</v>
      </c>
      <c r="K8" s="10" t="s">
        <v>11</v>
      </c>
      <c r="L8" s="10" t="s">
        <v>12</v>
      </c>
      <c r="M8" s="10" t="s">
        <v>13</v>
      </c>
      <c r="N8" s="10" t="s">
        <v>14</v>
      </c>
      <c r="O8" s="10" t="s">
        <v>15</v>
      </c>
      <c r="P8" s="10" t="s">
        <v>16</v>
      </c>
      <c r="Q8" s="11" t="s">
        <v>18</v>
      </c>
    </row>
    <row r="9" spans="2:17" s="6" customFormat="1" ht="30" customHeight="1" x14ac:dyDescent="0.35">
      <c r="C9" s="12">
        <f>VLOOKUP(Contacts4[[#This Row],[Código Tarea]],'[7]4. Directorio Integrado'!$B$4:$N$245,2,0)</f>
        <v>2</v>
      </c>
      <c r="D9" s="12" t="str">
        <f>VLOOKUP(Contacts4[[#This Row],[Código Tarea]],'[7]4. Directorio Integrado'!$B$4:$N$245,3,0)</f>
        <v>Seguridad de la Información</v>
      </c>
      <c r="E9" s="12" t="str">
        <f>VLOOKUP(Contacts4[[#This Row],[Código Tarea]],'[7]4. Directorio Integrado'!$B$4:$N$245,4,0)</f>
        <v>2.1</v>
      </c>
      <c r="F9" s="12" t="str">
        <f>VLOOKUP(Contacts4[[#This Row],[Código Tarea]],'[7]4. Directorio Integrado'!$B$4:$N$245,5,0)</f>
        <v>Física</v>
      </c>
      <c r="G9" s="12" t="str">
        <f>VLOOKUP(Contacts4[[#This Row],[Código Tarea]],'[7]4. Directorio Integrado'!$B$4:$N$245,6,0)</f>
        <v>2.1.1</v>
      </c>
      <c r="H9" s="12" t="str">
        <f>VLOOKUP(Contacts4[[#This Row],[Código Tarea]],'[7]4. Directorio Integrado'!$B$4:$N$245,7,0)</f>
        <v>Revisión condiciones generales de la oficina</v>
      </c>
      <c r="I9" s="12" t="str">
        <f>'[7]4. Directorio Integrado'!I39</f>
        <v>2.1.1.001</v>
      </c>
      <c r="J9" s="13" t="str">
        <f>IFERROR((VLOOKUP(Contacts4[[#This Row],[Código Tarea]],'[7]4. Directorio Integrado'!I$4:J$1048576,2,0)),"")</f>
        <v>Estado de la fachada de la oficina.</v>
      </c>
      <c r="K9" s="14" t="str">
        <f>IFERROR((VLOOKUP(Contacts4[[#This Row],[Código Tarea]],'[7]4. Directorio Integrado'!I$4:K$1048576,3,0)),"")</f>
        <v>Presencial</v>
      </c>
      <c r="L9" s="14" t="str">
        <f>IF((VLOOKUP(Contacts4[[#This Row],[Código Tarea]],'[7]Formato 2 - SGSI'!$B$10:$I$83,3,0))=0,"",(VLOOKUP(Contacts4[[#This Row],[Código Tarea]],'[7]Formato 2 - SGSI'!$B$10:$I$83,3,0)))</f>
        <v>X</v>
      </c>
      <c r="M9" s="14" t="str">
        <f>IF((VLOOKUP(Contacts4[[#This Row],[Código Tarea]],'[7]Formato 2 - SGSI'!$B$10:$I$83,4,0))=0,"",(VLOOKUP(Contacts4[[#This Row],[Código Tarea]],'[7]Formato 2 - SGSI'!$B$10:$I$83,4)))</f>
        <v/>
      </c>
      <c r="N9" s="14" t="str">
        <f>IF((VLOOKUP(Contacts4[[#This Row],[Código Tarea]],'[7]Formato 2 - SGSI'!$B$10:$I$83,5,0))=0,"",(VLOOKUP(Contacts4[[#This Row],[Código Tarea]],'[7]Formato 2 - SGSI'!$B$10:$I$83,5)))</f>
        <v/>
      </c>
      <c r="O9" s="14" t="str">
        <f>IF((VLOOKUP(Contacts4[[#This Row],[Código Tarea]],'[7]Formato 2 - SGSI'!$B$10:$I$83,6,0))=0,"",(VLOOKUP(Contacts4[[#This Row],[Código Tarea]],'[7]Formato 2 - SGSI'!$B$10:$I$83,6)))</f>
        <v/>
      </c>
      <c r="P9" s="14" t="str">
        <f>IF((VLOOKUP(Contacts4[[#This Row],[Código Tarea]],'[7]Formato 2 - SGSI'!$B$10:$I$83,7,0))=0,"",(VLOOKUP(Contacts4[[#This Row],[Código Tarea]],'[7]Formato 2 - SGSI'!$B$10:$I$83,7)))</f>
        <v/>
      </c>
      <c r="Q9" s="14" t="str">
        <f>VLOOKUP(Contacts4[[#This Row],[Código Tarea]],'[7]4. Directorio Integrado'!$I$4:$M$245,5,0)</f>
        <v>SARO/SGSI</v>
      </c>
    </row>
    <row r="10" spans="2:17" s="6" customFormat="1" ht="30" customHeight="1" x14ac:dyDescent="0.35">
      <c r="C10" s="12">
        <f>VLOOKUP(Contacts4[[#This Row],[Código Tarea]],'[7]4. Directorio Integrado'!$B$4:$N$245,2,0)</f>
        <v>2</v>
      </c>
      <c r="D10" s="12" t="str">
        <f>VLOOKUP(Contacts4[[#This Row],[Código Tarea]],'[7]4. Directorio Integrado'!$B$4:$N$245,3,0)</f>
        <v>Seguridad de la Información</v>
      </c>
      <c r="E10" s="12" t="str">
        <f>VLOOKUP(Contacts4[[#This Row],[Código Tarea]],'[7]4. Directorio Integrado'!$B$4:$N$245,4,0)</f>
        <v>2.1</v>
      </c>
      <c r="F10" s="12" t="str">
        <f>VLOOKUP(Contacts4[[#This Row],[Código Tarea]],'[7]4. Directorio Integrado'!$B$4:$N$245,5,0)</f>
        <v>Física</v>
      </c>
      <c r="G10" s="12" t="str">
        <f>VLOOKUP(Contacts4[[#This Row],[Código Tarea]],'[7]4. Directorio Integrado'!$B$4:$N$245,6,0)</f>
        <v>2.1.1</v>
      </c>
      <c r="H10" s="12" t="str">
        <f>VLOOKUP(Contacts4[[#This Row],[Código Tarea]],'[7]4. Directorio Integrado'!$B$4:$N$245,7,0)</f>
        <v>Revisión condiciones generales de la oficina</v>
      </c>
      <c r="I10" s="20" t="str">
        <f>'[7]4. Directorio Integrado'!I40</f>
        <v>2.1.1.002</v>
      </c>
      <c r="J10" s="21" t="str">
        <f>IFERROR((VLOOKUP(Contacts4[[#This Row],[Código Tarea]],'[7]4. Directorio Integrado'!I$4:J$1048576,2,0)),"")</f>
        <v>Estado aviso de la oficina.</v>
      </c>
      <c r="K10" s="14" t="str">
        <f>IFERROR((VLOOKUP(Contacts4[[#This Row],[Código Tarea]],'[7]4. Directorio Integrado'!I$4:K$1048576,3,0)),"")</f>
        <v>Presencial</v>
      </c>
      <c r="L10" s="16" t="str">
        <f>IF((VLOOKUP(Contacts4[[#This Row],[Código Tarea]],'[7]Formato 2 - SGSI'!$B$10:$I$83,3,0))=0,"",(VLOOKUP(Contacts4[[#This Row],[Código Tarea]],'[7]Formato 2 - SGSI'!$B$10:$I$83,3,0)))</f>
        <v>X</v>
      </c>
      <c r="M10" s="16" t="str">
        <f>IF((VLOOKUP(Contacts4[[#This Row],[Código Tarea]],'[7]Formato 2 - SGSI'!$B$10:$I$83,4,0))=0,"",(VLOOKUP(Contacts4[[#This Row],[Código Tarea]],'[7]Formato 2 - SGSI'!$B$10:$I$83,4)))</f>
        <v/>
      </c>
      <c r="N10" s="16" t="str">
        <f>IF((VLOOKUP(Contacts4[[#This Row],[Código Tarea]],'[7]Formato 2 - SGSI'!$B$10:$I$83,5,0))=0,"",(VLOOKUP(Contacts4[[#This Row],[Código Tarea]],'[7]Formato 2 - SGSI'!$B$10:$I$83,5)))</f>
        <v/>
      </c>
      <c r="O10" s="16" t="str">
        <f>IF((VLOOKUP(Contacts4[[#This Row],[Código Tarea]],'[7]Formato 2 - SGSI'!$B$10:$I$83,6,0))=0,"",(VLOOKUP(Contacts4[[#This Row],[Código Tarea]],'[7]Formato 2 - SGSI'!$B$10:$I$83,6)))</f>
        <v/>
      </c>
      <c r="P10" s="16" t="str">
        <f>IF((VLOOKUP(Contacts4[[#This Row],[Código Tarea]],'[7]Formato 2 - SGSI'!$B$10:$I$83,7,0))=0,"",(VLOOKUP(Contacts4[[#This Row],[Código Tarea]],'[7]Formato 2 - SGSI'!$B$10:$I$83,7)))</f>
        <v/>
      </c>
      <c r="Q10" s="22" t="str">
        <f>VLOOKUP(Contacts4[[#This Row],[Código Tarea]],'[7]4. Directorio Integrado'!$I$4:$M$245,5,0)</f>
        <v>SARO/SGSI</v>
      </c>
    </row>
    <row r="11" spans="2:17" s="6" customFormat="1" ht="30" customHeight="1" x14ac:dyDescent="0.35">
      <c r="C11" s="12">
        <f>VLOOKUP(Contacts4[[#This Row],[Código Tarea]],'[7]4. Directorio Integrado'!$B$4:$N$245,2,0)</f>
        <v>2</v>
      </c>
      <c r="D11" s="12" t="str">
        <f>VLOOKUP(Contacts4[[#This Row],[Código Tarea]],'[7]4. Directorio Integrado'!$B$4:$N$245,3,0)</f>
        <v>Seguridad de la Información</v>
      </c>
      <c r="E11" s="12" t="str">
        <f>VLOOKUP(Contacts4[[#This Row],[Código Tarea]],'[7]4. Directorio Integrado'!$B$4:$N$245,4,0)</f>
        <v>2.1</v>
      </c>
      <c r="F11" s="12" t="str">
        <f>VLOOKUP(Contacts4[[#This Row],[Código Tarea]],'[7]4. Directorio Integrado'!$B$4:$N$245,5,0)</f>
        <v>Física</v>
      </c>
      <c r="G11" s="12" t="str">
        <f>VLOOKUP(Contacts4[[#This Row],[Código Tarea]],'[7]4. Directorio Integrado'!$B$4:$N$245,6,0)</f>
        <v>2.1.1</v>
      </c>
      <c r="H11" s="12" t="str">
        <f>VLOOKUP(Contacts4[[#This Row],[Código Tarea]],'[7]4. Directorio Integrado'!$B$4:$N$245,7,0)</f>
        <v>Revisión condiciones generales de la oficina</v>
      </c>
      <c r="I11" s="20" t="str">
        <f>'[7]4. Directorio Integrado'!I41</f>
        <v>2.1.1.003</v>
      </c>
      <c r="J11" s="21" t="str">
        <f>IFERROR((VLOOKUP(Contacts4[[#This Row],[Código Tarea]],'[7]4. Directorio Integrado'!I$4:J$1048576,2,0)),"")</f>
        <v>Estado del pasa documentos.</v>
      </c>
      <c r="K11" s="14" t="str">
        <f>IFERROR((VLOOKUP(Contacts4[[#This Row],[Código Tarea]],'[7]4. Directorio Integrado'!I$4:K$1048576,3,0)),"")</f>
        <v>Presencial</v>
      </c>
      <c r="L11" s="16" t="str">
        <f>IF((VLOOKUP(Contacts4[[#This Row],[Código Tarea]],'[7]Formato 2 - SGSI'!$B$10:$I$83,3,0))=0,"",(VLOOKUP(Contacts4[[#This Row],[Código Tarea]],'[7]Formato 2 - SGSI'!$B$10:$I$83,3,0)))</f>
        <v>X</v>
      </c>
      <c r="M11" s="16" t="str">
        <f>IF((VLOOKUP(Contacts4[[#This Row],[Código Tarea]],'[7]Formato 2 - SGSI'!$B$10:$I$83,4,0))=0,"",(VLOOKUP(Contacts4[[#This Row],[Código Tarea]],'[7]Formato 2 - SGSI'!$B$10:$I$83,4)))</f>
        <v/>
      </c>
      <c r="N11" s="16" t="str">
        <f>IF((VLOOKUP(Contacts4[[#This Row],[Código Tarea]],'[7]Formato 2 - SGSI'!$B$10:$I$83,5,0))=0,"",(VLOOKUP(Contacts4[[#This Row],[Código Tarea]],'[7]Formato 2 - SGSI'!$B$10:$I$83,5)))</f>
        <v/>
      </c>
      <c r="O11" s="16" t="str">
        <f>IF((VLOOKUP(Contacts4[[#This Row],[Código Tarea]],'[7]Formato 2 - SGSI'!$B$10:$I$83,6,0))=0,"",(VLOOKUP(Contacts4[[#This Row],[Código Tarea]],'[7]Formato 2 - SGSI'!$B$10:$I$83,6)))</f>
        <v/>
      </c>
      <c r="P11" s="16" t="str">
        <f>IF((VLOOKUP(Contacts4[[#This Row],[Código Tarea]],'[7]Formato 2 - SGSI'!$B$10:$I$83,7,0))=0,"",(VLOOKUP(Contacts4[[#This Row],[Código Tarea]],'[7]Formato 2 - SGSI'!$B$10:$I$83,7)))</f>
        <v/>
      </c>
      <c r="Q11" s="22" t="str">
        <f>VLOOKUP(Contacts4[[#This Row],[Código Tarea]],'[7]4. Directorio Integrado'!$I$4:$M$245,5,0)</f>
        <v>SARO/SGSI</v>
      </c>
    </row>
    <row r="12" spans="2:17" s="6" customFormat="1" ht="30" customHeight="1" x14ac:dyDescent="0.35">
      <c r="C12" s="12">
        <f>VLOOKUP(Contacts4[[#This Row],[Código Tarea]],'[7]4. Directorio Integrado'!$B$4:$N$245,2,0)</f>
        <v>2</v>
      </c>
      <c r="D12" s="12" t="str">
        <f>VLOOKUP(Contacts4[[#This Row],[Código Tarea]],'[7]4. Directorio Integrado'!$B$4:$N$245,3,0)</f>
        <v>Seguridad de la Información</v>
      </c>
      <c r="E12" s="12" t="str">
        <f>VLOOKUP(Contacts4[[#This Row],[Código Tarea]],'[7]4. Directorio Integrado'!$B$4:$N$245,4,0)</f>
        <v>2.1</v>
      </c>
      <c r="F12" s="12" t="str">
        <f>VLOOKUP(Contacts4[[#This Row],[Código Tarea]],'[7]4. Directorio Integrado'!$B$4:$N$245,5,0)</f>
        <v>Física</v>
      </c>
      <c r="G12" s="12" t="str">
        <f>VLOOKUP(Contacts4[[#This Row],[Código Tarea]],'[7]4. Directorio Integrado'!$B$4:$N$245,6,0)</f>
        <v>2.1.1</v>
      </c>
      <c r="H12" s="12" t="str">
        <f>VLOOKUP(Contacts4[[#This Row],[Código Tarea]],'[7]4. Directorio Integrado'!$B$4:$N$245,7,0)</f>
        <v>Revisión condiciones generales de la oficina</v>
      </c>
      <c r="I12" s="20" t="str">
        <f>'[7]4. Directorio Integrado'!I42</f>
        <v>2.1.1.005</v>
      </c>
      <c r="J12" s="21" t="str">
        <f>IFERROR((VLOOKUP(Contacts4[[#This Row],[Código Tarea]],'[7]4. Directorio Integrado'!I$4:J$1048576,2,0)),"")</f>
        <v>El hall bancario esta ordenado.</v>
      </c>
      <c r="K12" s="14" t="str">
        <f>IFERROR((VLOOKUP(Contacts4[[#This Row],[Código Tarea]],'[7]4. Directorio Integrado'!I$4:K$1048576,3,0)),"")</f>
        <v>Actividad a Distancia</v>
      </c>
      <c r="L12" s="16" t="str">
        <f>IF((VLOOKUP(Contacts4[[#This Row],[Código Tarea]],'[7]Formato 2 - SGSI'!$B$10:$I$83,3,0))=0,"",(VLOOKUP(Contacts4[[#This Row],[Código Tarea]],'[7]Formato 2 - SGSI'!$B$10:$I$83,3,0)))</f>
        <v>X</v>
      </c>
      <c r="M12" s="16" t="str">
        <f>IF((VLOOKUP(Contacts4[[#This Row],[Código Tarea]],'[7]Formato 2 - SGSI'!$B$10:$I$83,4,0))=0,"",(VLOOKUP(Contacts4[[#This Row],[Código Tarea]],'[7]Formato 2 - SGSI'!$B$10:$I$83,4)))</f>
        <v/>
      </c>
      <c r="N12" s="16" t="str">
        <f>IF((VLOOKUP(Contacts4[[#This Row],[Código Tarea]],'[7]Formato 2 - SGSI'!$B$10:$I$83,5,0))=0,"",(VLOOKUP(Contacts4[[#This Row],[Código Tarea]],'[7]Formato 2 - SGSI'!$B$10:$I$83,5)))</f>
        <v/>
      </c>
      <c r="O12" s="16" t="str">
        <f>IF((VLOOKUP(Contacts4[[#This Row],[Código Tarea]],'[7]Formato 2 - SGSI'!$B$10:$I$83,6,0))=0,"",(VLOOKUP(Contacts4[[#This Row],[Código Tarea]],'[7]Formato 2 - SGSI'!$B$10:$I$83,6)))</f>
        <v/>
      </c>
      <c r="P12" s="16" t="str">
        <f>IF((VLOOKUP(Contacts4[[#This Row],[Código Tarea]],'[7]Formato 2 - SGSI'!$B$10:$I$83,7,0))=0,"",(VLOOKUP(Contacts4[[#This Row],[Código Tarea]],'[7]Formato 2 - SGSI'!$B$10:$I$83,7)))</f>
        <v/>
      </c>
      <c r="Q12" s="22" t="str">
        <f>VLOOKUP(Contacts4[[#This Row],[Código Tarea]],'[7]4. Directorio Integrado'!$I$4:$M$245,5,0)</f>
        <v>SARO/SGSI</v>
      </c>
    </row>
    <row r="13" spans="2:17" s="6" customFormat="1" ht="30" customHeight="1" x14ac:dyDescent="0.35">
      <c r="C13" s="12">
        <f>VLOOKUP(Contacts4[[#This Row],[Código Tarea]],'[7]4. Directorio Integrado'!$B$4:$N$245,2,0)</f>
        <v>2</v>
      </c>
      <c r="D13" s="12" t="str">
        <f>VLOOKUP(Contacts4[[#This Row],[Código Tarea]],'[7]4. Directorio Integrado'!$B$4:$N$245,3,0)</f>
        <v>Seguridad de la Información</v>
      </c>
      <c r="E13" s="12" t="str">
        <f>VLOOKUP(Contacts4[[#This Row],[Código Tarea]],'[7]4. Directorio Integrado'!$B$4:$N$245,4,0)</f>
        <v>2.1</v>
      </c>
      <c r="F13" s="12" t="str">
        <f>VLOOKUP(Contacts4[[#This Row],[Código Tarea]],'[7]4. Directorio Integrado'!$B$4:$N$245,5,0)</f>
        <v>Física</v>
      </c>
      <c r="G13" s="12" t="str">
        <f>VLOOKUP(Contacts4[[#This Row],[Código Tarea]],'[7]4. Directorio Integrado'!$B$4:$N$245,6,0)</f>
        <v>2.1.1</v>
      </c>
      <c r="H13" s="12" t="str">
        <f>VLOOKUP(Contacts4[[#This Row],[Código Tarea]],'[7]4. Directorio Integrado'!$B$4:$N$245,7,0)</f>
        <v>Revisión condiciones generales de la oficina</v>
      </c>
      <c r="I13" s="20" t="str">
        <f>'[7]4. Directorio Integrado'!I43</f>
        <v>2.1.1.006</v>
      </c>
      <c r="J13" s="21" t="str">
        <f>IFERROR((VLOOKUP(Contacts4[[#This Row],[Código Tarea]],'[7]4. Directorio Integrado'!I$4:J$1048576,2,0)),"")</f>
        <v>La cocina esta ordenada y aseada.</v>
      </c>
      <c r="K13" s="14" t="str">
        <f>IFERROR((VLOOKUP(Contacts4[[#This Row],[Código Tarea]],'[7]4. Directorio Integrado'!I$4:K$1048576,3,0)),"")</f>
        <v>Presencial</v>
      </c>
      <c r="L13" s="16" t="str">
        <f>IF((VLOOKUP(Contacts4[[#This Row],[Código Tarea]],'[7]Formato 2 - SGSI'!$B$10:$I$83,3,0))=0,"",(VLOOKUP(Contacts4[[#This Row],[Código Tarea]],'[7]Formato 2 - SGSI'!$B$10:$I$83,3,0)))</f>
        <v>X</v>
      </c>
      <c r="M13" s="16" t="str">
        <f>IF((VLOOKUP(Contacts4[[#This Row],[Código Tarea]],'[7]Formato 2 - SGSI'!$B$10:$I$83,4,0))=0,"",(VLOOKUP(Contacts4[[#This Row],[Código Tarea]],'[7]Formato 2 - SGSI'!$B$10:$I$83,4)))</f>
        <v/>
      </c>
      <c r="N13" s="16" t="str">
        <f>IF((VLOOKUP(Contacts4[[#This Row],[Código Tarea]],'[7]Formato 2 - SGSI'!$B$10:$I$83,5,0))=0,"",(VLOOKUP(Contacts4[[#This Row],[Código Tarea]],'[7]Formato 2 - SGSI'!$B$10:$I$83,5)))</f>
        <v/>
      </c>
      <c r="O13" s="16" t="str">
        <f>IF((VLOOKUP(Contacts4[[#This Row],[Código Tarea]],'[7]Formato 2 - SGSI'!$B$10:$I$83,6,0))=0,"",(VLOOKUP(Contacts4[[#This Row],[Código Tarea]],'[7]Formato 2 - SGSI'!$B$10:$I$83,6)))</f>
        <v/>
      </c>
      <c r="P13" s="16" t="str">
        <f>IF((VLOOKUP(Contacts4[[#This Row],[Código Tarea]],'[7]Formato 2 - SGSI'!$B$10:$I$83,7,0))=0,"",(VLOOKUP(Contacts4[[#This Row],[Código Tarea]],'[7]Formato 2 - SGSI'!$B$10:$I$83,7)))</f>
        <v/>
      </c>
      <c r="Q13" s="22" t="str">
        <f>VLOOKUP(Contacts4[[#This Row],[Código Tarea]],'[7]4. Directorio Integrado'!$I$4:$M$245,5,0)</f>
        <v>SARO/SGSI</v>
      </c>
    </row>
    <row r="14" spans="2:17" s="6" customFormat="1" ht="30" customHeight="1" x14ac:dyDescent="0.35">
      <c r="C14" s="12">
        <f>VLOOKUP(Contacts4[[#This Row],[Código Tarea]],'[7]4. Directorio Integrado'!$B$4:$N$245,2,0)</f>
        <v>2</v>
      </c>
      <c r="D14" s="12" t="str">
        <f>VLOOKUP(Contacts4[[#This Row],[Código Tarea]],'[7]4. Directorio Integrado'!$B$4:$N$245,3,0)</f>
        <v>Seguridad de la Información</v>
      </c>
      <c r="E14" s="12" t="str">
        <f>VLOOKUP(Contacts4[[#This Row],[Código Tarea]],'[7]4. Directorio Integrado'!$B$4:$N$245,4,0)</f>
        <v>2.1</v>
      </c>
      <c r="F14" s="12" t="str">
        <f>VLOOKUP(Contacts4[[#This Row],[Código Tarea]],'[7]4. Directorio Integrado'!$B$4:$N$245,5,0)</f>
        <v>Física</v>
      </c>
      <c r="G14" s="12" t="str">
        <f>VLOOKUP(Contacts4[[#This Row],[Código Tarea]],'[7]4. Directorio Integrado'!$B$4:$N$245,6,0)</f>
        <v>2.1.1</v>
      </c>
      <c r="H14" s="12" t="str">
        <f>VLOOKUP(Contacts4[[#This Row],[Código Tarea]],'[7]4. Directorio Integrado'!$B$4:$N$245,7,0)</f>
        <v>Revisión condiciones generales de la oficina</v>
      </c>
      <c r="I14" s="20" t="str">
        <f>'[7]4. Directorio Integrado'!I44</f>
        <v>2.1.1.007</v>
      </c>
      <c r="J14" s="21" t="str">
        <f>IFERROR((VLOOKUP(Contacts4[[#This Row],[Código Tarea]],'[7]4. Directorio Integrado'!I$4:J$1048576,2,0)),"")</f>
        <v>Los baños están ordenados y aseados.</v>
      </c>
      <c r="K14" s="14" t="str">
        <f>IFERROR((VLOOKUP(Contacts4[[#This Row],[Código Tarea]],'[7]4. Directorio Integrado'!I$4:K$1048576,3,0)),"")</f>
        <v>Presencial</v>
      </c>
      <c r="L14" s="16" t="str">
        <f>IF((VLOOKUP(Contacts4[[#This Row],[Código Tarea]],'[7]Formato 2 - SGSI'!$B$10:$I$83,3,0))=0,"",(VLOOKUP(Contacts4[[#This Row],[Código Tarea]],'[7]Formato 2 - SGSI'!$B$10:$I$83,3,0)))</f>
        <v>X</v>
      </c>
      <c r="M14" s="16" t="str">
        <f>IF((VLOOKUP(Contacts4[[#This Row],[Código Tarea]],'[7]Formato 2 - SGSI'!$B$10:$I$83,4,0))=0,"",(VLOOKUP(Contacts4[[#This Row],[Código Tarea]],'[7]Formato 2 - SGSI'!$B$10:$I$83,4)))</f>
        <v/>
      </c>
      <c r="N14" s="16" t="str">
        <f>IF((VLOOKUP(Contacts4[[#This Row],[Código Tarea]],'[7]Formato 2 - SGSI'!$B$10:$I$83,5,0))=0,"",(VLOOKUP(Contacts4[[#This Row],[Código Tarea]],'[7]Formato 2 - SGSI'!$B$10:$I$83,5)))</f>
        <v/>
      </c>
      <c r="O14" s="16" t="str">
        <f>IF((VLOOKUP(Contacts4[[#This Row],[Código Tarea]],'[7]Formato 2 - SGSI'!$B$10:$I$83,6,0))=0,"",(VLOOKUP(Contacts4[[#This Row],[Código Tarea]],'[7]Formato 2 - SGSI'!$B$10:$I$83,6)))</f>
        <v/>
      </c>
      <c r="P14" s="16" t="str">
        <f>IF((VLOOKUP(Contacts4[[#This Row],[Código Tarea]],'[7]Formato 2 - SGSI'!$B$10:$I$83,7,0))=0,"",(VLOOKUP(Contacts4[[#This Row],[Código Tarea]],'[7]Formato 2 - SGSI'!$B$10:$I$83,7)))</f>
        <v/>
      </c>
      <c r="Q14" s="22" t="str">
        <f>VLOOKUP(Contacts4[[#This Row],[Código Tarea]],'[7]4. Directorio Integrado'!$I$4:$M$245,5,0)</f>
        <v>SARO/SGSI</v>
      </c>
    </row>
    <row r="15" spans="2:17" s="6" customFormat="1" ht="30" customHeight="1" x14ac:dyDescent="0.35">
      <c r="C15" s="12">
        <f>VLOOKUP(Contacts4[[#This Row],[Código Tarea]],'[7]4. Directorio Integrado'!$B$4:$N$245,2,0)</f>
        <v>2</v>
      </c>
      <c r="D15" s="12" t="str">
        <f>VLOOKUP(Contacts4[[#This Row],[Código Tarea]],'[7]4. Directorio Integrado'!$B$4:$N$245,3,0)</f>
        <v>Seguridad de la Información</v>
      </c>
      <c r="E15" s="12" t="str">
        <f>VLOOKUP(Contacts4[[#This Row],[Código Tarea]],'[7]4. Directorio Integrado'!$B$4:$N$245,4,0)</f>
        <v>2.1</v>
      </c>
      <c r="F15" s="12" t="str">
        <f>VLOOKUP(Contacts4[[#This Row],[Código Tarea]],'[7]4. Directorio Integrado'!$B$4:$N$245,5,0)</f>
        <v>Física</v>
      </c>
      <c r="G15" s="12" t="str">
        <f>VLOOKUP(Contacts4[[#This Row],[Código Tarea]],'[7]4. Directorio Integrado'!$B$4:$N$245,6,0)</f>
        <v>2.1.1</v>
      </c>
      <c r="H15" s="12" t="str">
        <f>VLOOKUP(Contacts4[[#This Row],[Código Tarea]],'[7]4. Directorio Integrado'!$B$4:$N$245,7,0)</f>
        <v>Revisión condiciones generales de la oficina</v>
      </c>
      <c r="I15" s="20" t="str">
        <f>'[7]4. Directorio Integrado'!I45</f>
        <v>2.1.1.008</v>
      </c>
      <c r="J15" s="21" t="str">
        <f>IFERROR((VLOOKUP(Contacts4[[#This Row],[Código Tarea]],'[7]4. Directorio Integrado'!I$4:J$1048576,2,0)),"")</f>
        <v>Los puestos de trabajo están ordenados.</v>
      </c>
      <c r="K15" s="14" t="str">
        <f>IFERROR((VLOOKUP(Contacts4[[#This Row],[Código Tarea]],'[7]4. Directorio Integrado'!I$4:K$1048576,3,0)),"")</f>
        <v>Presencial</v>
      </c>
      <c r="L15" s="16" t="str">
        <f>IF((VLOOKUP(Contacts4[[#This Row],[Código Tarea]],'[7]Formato 2 - SGSI'!$B$10:$I$83,3,0))=0,"",(VLOOKUP(Contacts4[[#This Row],[Código Tarea]],'[7]Formato 2 - SGSI'!$B$10:$I$83,3,0)))</f>
        <v>X</v>
      </c>
      <c r="M15" s="16" t="str">
        <f>IF((VLOOKUP(Contacts4[[#This Row],[Código Tarea]],'[7]Formato 2 - SGSI'!$B$10:$I$83,4,0))=0,"",(VLOOKUP(Contacts4[[#This Row],[Código Tarea]],'[7]Formato 2 - SGSI'!$B$10:$I$83,4)))</f>
        <v/>
      </c>
      <c r="N15" s="16" t="str">
        <f>IF((VLOOKUP(Contacts4[[#This Row],[Código Tarea]],'[7]Formato 2 - SGSI'!$B$10:$I$83,5,0))=0,"",(VLOOKUP(Contacts4[[#This Row],[Código Tarea]],'[7]Formato 2 - SGSI'!$B$10:$I$83,5)))</f>
        <v/>
      </c>
      <c r="O15" s="16" t="str">
        <f>IF((VLOOKUP(Contacts4[[#This Row],[Código Tarea]],'[7]Formato 2 - SGSI'!$B$10:$I$83,6,0))=0,"",(VLOOKUP(Contacts4[[#This Row],[Código Tarea]],'[7]Formato 2 - SGSI'!$B$10:$I$83,6)))</f>
        <v/>
      </c>
      <c r="P15" s="16" t="str">
        <f>IF((VLOOKUP(Contacts4[[#This Row],[Código Tarea]],'[7]Formato 2 - SGSI'!$B$10:$I$83,7,0))=0,"",(VLOOKUP(Contacts4[[#This Row],[Código Tarea]],'[7]Formato 2 - SGSI'!$B$10:$I$83,7)))</f>
        <v/>
      </c>
      <c r="Q15" s="22" t="str">
        <f>VLOOKUP(Contacts4[[#This Row],[Código Tarea]],'[7]4. Directorio Integrado'!$I$4:$M$245,5,0)</f>
        <v>SARO/SGSI</v>
      </c>
    </row>
    <row r="16" spans="2:17" s="6" customFormat="1" ht="30" customHeight="1" x14ac:dyDescent="0.35">
      <c r="C16" s="12">
        <f>VLOOKUP(Contacts4[[#This Row],[Código Tarea]],'[7]4. Directorio Integrado'!$B$4:$N$245,2,0)</f>
        <v>2</v>
      </c>
      <c r="D16" s="12" t="str">
        <f>VLOOKUP(Contacts4[[#This Row],[Código Tarea]],'[7]4. Directorio Integrado'!$B$4:$N$245,3,0)</f>
        <v>Seguridad de la Información</v>
      </c>
      <c r="E16" s="12" t="str">
        <f>VLOOKUP(Contacts4[[#This Row],[Código Tarea]],'[7]4. Directorio Integrado'!$B$4:$N$245,4,0)</f>
        <v>2.1</v>
      </c>
      <c r="F16" s="12" t="str">
        <f>VLOOKUP(Contacts4[[#This Row],[Código Tarea]],'[7]4. Directorio Integrado'!$B$4:$N$245,5,0)</f>
        <v>Física</v>
      </c>
      <c r="G16" s="12" t="str">
        <f>VLOOKUP(Contacts4[[#This Row],[Código Tarea]],'[7]4. Directorio Integrado'!$B$4:$N$245,6,0)</f>
        <v>2.1.2</v>
      </c>
      <c r="H16" s="12" t="str">
        <f>VLOOKUP(Contacts4[[#This Row],[Código Tarea]],'[7]4. Directorio Integrado'!$B$4:$N$245,7,0)</f>
        <v>Revisión de muebles y enceres</v>
      </c>
      <c r="I16" s="20" t="str">
        <f>'[7]4. Directorio Integrado'!I46</f>
        <v>2.1.2.001</v>
      </c>
      <c r="J16" s="21" t="str">
        <f>IFERROR((VLOOKUP(Contacts4[[#This Row],[Código Tarea]],'[7]4. Directorio Integrado'!I$4:J$1048576,2,0)),"")</f>
        <v>Cuenta con archivador 4 gavetas o rodante.</v>
      </c>
      <c r="K16" s="14" t="str">
        <f>IFERROR((VLOOKUP(Contacts4[[#This Row],[Código Tarea]],'[7]4. Directorio Integrado'!I$4:K$1048576,3,0)),"")</f>
        <v>Actividad a Distancia</v>
      </c>
      <c r="L16" s="16" t="str">
        <f>IF((VLOOKUP(Contacts4[[#This Row],[Código Tarea]],'[7]Formato 2 - SGSI'!$B$10:$I$83,3,0))=0,"",(VLOOKUP(Contacts4[[#This Row],[Código Tarea]],'[7]Formato 2 - SGSI'!$B$10:$I$83,3,0)))</f>
        <v>X</v>
      </c>
      <c r="M16" s="16" t="str">
        <f>IF((VLOOKUP(Contacts4[[#This Row],[Código Tarea]],'[7]Formato 2 - SGSI'!$B$10:$I$83,4,0))=0,"",(VLOOKUP(Contacts4[[#This Row],[Código Tarea]],'[7]Formato 2 - SGSI'!$B$10:$I$83,4)))</f>
        <v/>
      </c>
      <c r="N16" s="16" t="str">
        <f>IF((VLOOKUP(Contacts4[[#This Row],[Código Tarea]],'[7]Formato 2 - SGSI'!$B$10:$I$83,5,0))=0,"",(VLOOKUP(Contacts4[[#This Row],[Código Tarea]],'[7]Formato 2 - SGSI'!$B$10:$I$83,5)))</f>
        <v/>
      </c>
      <c r="O16" s="16" t="str">
        <f>IF((VLOOKUP(Contacts4[[#This Row],[Código Tarea]],'[7]Formato 2 - SGSI'!$B$10:$I$83,6,0))=0,"",(VLOOKUP(Contacts4[[#This Row],[Código Tarea]],'[7]Formato 2 - SGSI'!$B$10:$I$83,6)))</f>
        <v/>
      </c>
      <c r="P16" s="16" t="str">
        <f>IF((VLOOKUP(Contacts4[[#This Row],[Código Tarea]],'[7]Formato 2 - SGSI'!$B$10:$I$83,7,0))=0,"",(VLOOKUP(Contacts4[[#This Row],[Código Tarea]],'[7]Formato 2 - SGSI'!$B$10:$I$83,7)))</f>
        <v/>
      </c>
      <c r="Q16" s="22" t="str">
        <f>VLOOKUP(Contacts4[[#This Row],[Código Tarea]],'[7]4. Directorio Integrado'!$I$4:$M$245,5,0)</f>
        <v>SARO/SGSI</v>
      </c>
    </row>
    <row r="17" spans="3:17" s="6" customFormat="1" ht="30" customHeight="1" x14ac:dyDescent="0.35">
      <c r="C17" s="12">
        <f>VLOOKUP(Contacts4[[#This Row],[Código Tarea]],'[7]4. Directorio Integrado'!$B$4:$N$245,2,0)</f>
        <v>2</v>
      </c>
      <c r="D17" s="12" t="str">
        <f>VLOOKUP(Contacts4[[#This Row],[Código Tarea]],'[7]4. Directorio Integrado'!$B$4:$N$245,3,0)</f>
        <v>Seguridad de la Información</v>
      </c>
      <c r="E17" s="12" t="str">
        <f>VLOOKUP(Contacts4[[#This Row],[Código Tarea]],'[7]4. Directorio Integrado'!$B$4:$N$245,4,0)</f>
        <v>2.1</v>
      </c>
      <c r="F17" s="12" t="str">
        <f>VLOOKUP(Contacts4[[#This Row],[Código Tarea]],'[7]4. Directorio Integrado'!$B$4:$N$245,5,0)</f>
        <v>Física</v>
      </c>
      <c r="G17" s="12" t="str">
        <f>VLOOKUP(Contacts4[[#This Row],[Código Tarea]],'[7]4. Directorio Integrado'!$B$4:$N$245,6,0)</f>
        <v>2.1.2</v>
      </c>
      <c r="H17" s="12" t="str">
        <f>VLOOKUP(Contacts4[[#This Row],[Código Tarea]],'[7]4. Directorio Integrado'!$B$4:$N$245,7,0)</f>
        <v>Revisión de muebles y enceres</v>
      </c>
      <c r="I17" s="20" t="str">
        <f>'[7]4. Directorio Integrado'!I47</f>
        <v>2.1.2.002</v>
      </c>
      <c r="J17" s="21" t="str">
        <f>IFERROR((VLOOKUP(Contacts4[[#This Row],[Código Tarea]],'[7]4. Directorio Integrado'!I$4:J$1048576,2,0)),"")</f>
        <v>Cuenta con cajoneras en buen estado.</v>
      </c>
      <c r="K17" s="14" t="str">
        <f>IFERROR((VLOOKUP(Contacts4[[#This Row],[Código Tarea]],'[7]4. Directorio Integrado'!I$4:K$1048576,3,0)),"")</f>
        <v>Presencial</v>
      </c>
      <c r="L17" s="16" t="str">
        <f>IF((VLOOKUP(Contacts4[[#This Row],[Código Tarea]],'[7]Formato 2 - SGSI'!$B$10:$I$83,3,0))=0,"",(VLOOKUP(Contacts4[[#This Row],[Código Tarea]],'[7]Formato 2 - SGSI'!$B$10:$I$83,3,0)))</f>
        <v>X</v>
      </c>
      <c r="M17" s="16" t="str">
        <f>IF((VLOOKUP(Contacts4[[#This Row],[Código Tarea]],'[7]Formato 2 - SGSI'!$B$10:$I$83,4,0))=0,"",(VLOOKUP(Contacts4[[#This Row],[Código Tarea]],'[7]Formato 2 - SGSI'!$B$10:$I$83,4)))</f>
        <v/>
      </c>
      <c r="N17" s="16" t="str">
        <f>IF((VLOOKUP(Contacts4[[#This Row],[Código Tarea]],'[7]Formato 2 - SGSI'!$B$10:$I$83,5,0))=0,"",(VLOOKUP(Contacts4[[#This Row],[Código Tarea]],'[7]Formato 2 - SGSI'!$B$10:$I$83,5)))</f>
        <v/>
      </c>
      <c r="O17" s="16" t="str">
        <f>IF((VLOOKUP(Contacts4[[#This Row],[Código Tarea]],'[7]Formato 2 - SGSI'!$B$10:$I$83,6,0))=0,"",(VLOOKUP(Contacts4[[#This Row],[Código Tarea]],'[7]Formato 2 - SGSI'!$B$10:$I$83,6)))</f>
        <v/>
      </c>
      <c r="P17" s="16" t="str">
        <f>IF((VLOOKUP(Contacts4[[#This Row],[Código Tarea]],'[7]Formato 2 - SGSI'!$B$10:$I$83,7,0))=0,"",(VLOOKUP(Contacts4[[#This Row],[Código Tarea]],'[7]Formato 2 - SGSI'!$B$10:$I$83,7)))</f>
        <v/>
      </c>
      <c r="Q17" s="22" t="str">
        <f>VLOOKUP(Contacts4[[#This Row],[Código Tarea]],'[7]4. Directorio Integrado'!$I$4:$M$245,5,0)</f>
        <v>SARO/SGSI</v>
      </c>
    </row>
    <row r="18" spans="3:17" s="6" customFormat="1" ht="30" customHeight="1" x14ac:dyDescent="0.35">
      <c r="C18" s="12">
        <f>VLOOKUP(Contacts4[[#This Row],[Código Tarea]],'[7]4. Directorio Integrado'!$B$4:$N$245,2,0)</f>
        <v>2</v>
      </c>
      <c r="D18" s="12" t="str">
        <f>VLOOKUP(Contacts4[[#This Row],[Código Tarea]],'[7]4. Directorio Integrado'!$B$4:$N$245,3,0)</f>
        <v>Seguridad de la Información</v>
      </c>
      <c r="E18" s="12" t="str">
        <f>VLOOKUP(Contacts4[[#This Row],[Código Tarea]],'[7]4. Directorio Integrado'!$B$4:$N$245,4,0)</f>
        <v>2.1</v>
      </c>
      <c r="F18" s="12" t="str">
        <f>VLOOKUP(Contacts4[[#This Row],[Código Tarea]],'[7]4. Directorio Integrado'!$B$4:$N$245,5,0)</f>
        <v>Física</v>
      </c>
      <c r="G18" s="12" t="str">
        <f>VLOOKUP(Contacts4[[#This Row],[Código Tarea]],'[7]4. Directorio Integrado'!$B$4:$N$245,6,0)</f>
        <v>2.1.2</v>
      </c>
      <c r="H18" s="12" t="str">
        <f>VLOOKUP(Contacts4[[#This Row],[Código Tarea]],'[7]4. Directorio Integrado'!$B$4:$N$245,7,0)</f>
        <v>Revisión de muebles y enceres</v>
      </c>
      <c r="I18" s="20" t="str">
        <f>'[7]4. Directorio Integrado'!I48</f>
        <v>2.1.2.003</v>
      </c>
      <c r="J18" s="21" t="str">
        <f>IFERROR((VLOOKUP(Contacts4[[#This Row],[Código Tarea]],'[7]4. Directorio Integrado'!I$4:J$1048576,2,0)),"")</f>
        <v>Cuenta con escalera para personal bajo.</v>
      </c>
      <c r="K18" s="14" t="str">
        <f>IFERROR((VLOOKUP(Contacts4[[#This Row],[Código Tarea]],'[7]4. Directorio Integrado'!I$4:K$1048576,3,0)),"")</f>
        <v>Actividad a Distancia</v>
      </c>
      <c r="L18" s="16" t="str">
        <f>IF((VLOOKUP(Contacts4[[#This Row],[Código Tarea]],'[7]Formato 2 - SGSI'!$B$10:$I$83,3,0))=0,"",(VLOOKUP(Contacts4[[#This Row],[Código Tarea]],'[7]Formato 2 - SGSI'!$B$10:$I$83,3,0)))</f>
        <v>X</v>
      </c>
      <c r="M18" s="16" t="str">
        <f>IF((VLOOKUP(Contacts4[[#This Row],[Código Tarea]],'[7]Formato 2 - SGSI'!$B$10:$I$83,4,0))=0,"",(VLOOKUP(Contacts4[[#This Row],[Código Tarea]],'[7]Formato 2 - SGSI'!$B$10:$I$83,4)))</f>
        <v/>
      </c>
      <c r="N18" s="16" t="str">
        <f>IF((VLOOKUP(Contacts4[[#This Row],[Código Tarea]],'[7]Formato 2 - SGSI'!$B$10:$I$83,5,0))=0,"",(VLOOKUP(Contacts4[[#This Row],[Código Tarea]],'[7]Formato 2 - SGSI'!$B$10:$I$83,5)))</f>
        <v/>
      </c>
      <c r="O18" s="16" t="str">
        <f>IF((VLOOKUP(Contacts4[[#This Row],[Código Tarea]],'[7]Formato 2 - SGSI'!$B$10:$I$83,6,0))=0,"",(VLOOKUP(Contacts4[[#This Row],[Código Tarea]],'[7]Formato 2 - SGSI'!$B$10:$I$83,6)))</f>
        <v/>
      </c>
      <c r="P18" s="16" t="str">
        <f>IF((VLOOKUP(Contacts4[[#This Row],[Código Tarea]],'[7]Formato 2 - SGSI'!$B$10:$I$83,7,0))=0,"",(VLOOKUP(Contacts4[[#This Row],[Código Tarea]],'[7]Formato 2 - SGSI'!$B$10:$I$83,7)))</f>
        <v/>
      </c>
      <c r="Q18" s="22" t="str">
        <f>VLOOKUP(Contacts4[[#This Row],[Código Tarea]],'[7]4. Directorio Integrado'!$I$4:$M$245,5,0)</f>
        <v>SARO/SGSI/SAC</v>
      </c>
    </row>
    <row r="19" spans="3:17" s="6" customFormat="1" ht="30" customHeight="1" x14ac:dyDescent="0.35">
      <c r="C19" s="12">
        <f>VLOOKUP(Contacts4[[#This Row],[Código Tarea]],'[7]4. Directorio Integrado'!$B$4:$N$245,2,0)</f>
        <v>2</v>
      </c>
      <c r="D19" s="12" t="str">
        <f>VLOOKUP(Contacts4[[#This Row],[Código Tarea]],'[7]4. Directorio Integrado'!$B$4:$N$245,3,0)</f>
        <v>Seguridad de la Información</v>
      </c>
      <c r="E19" s="12" t="str">
        <f>VLOOKUP(Contacts4[[#This Row],[Código Tarea]],'[7]4. Directorio Integrado'!$B$4:$N$245,4,0)</f>
        <v>2.1</v>
      </c>
      <c r="F19" s="12" t="str">
        <f>VLOOKUP(Contacts4[[#This Row],[Código Tarea]],'[7]4. Directorio Integrado'!$B$4:$N$245,5,0)</f>
        <v>Física</v>
      </c>
      <c r="G19" s="12" t="str">
        <f>VLOOKUP(Contacts4[[#This Row],[Código Tarea]],'[7]4. Directorio Integrado'!$B$4:$N$245,6,0)</f>
        <v>2.1.2</v>
      </c>
      <c r="H19" s="12" t="str">
        <f>VLOOKUP(Contacts4[[#This Row],[Código Tarea]],'[7]4. Directorio Integrado'!$B$4:$N$245,7,0)</f>
        <v>Revisión de muebles y enceres</v>
      </c>
      <c r="I19" s="20" t="str">
        <f>'[7]4. Directorio Integrado'!I49</f>
        <v>2.1.2.004</v>
      </c>
      <c r="J19" s="21" t="str">
        <f>IFERROR((VLOOKUP(Contacts4[[#This Row],[Código Tarea]],'[7]4. Directorio Integrado'!I$4:J$1048576,2,0)),"")</f>
        <v>Cuenta con cartelera interna,  cartelera  cliente buzón,  cartelera  de ejecutivos, portapendón.</v>
      </c>
      <c r="K19" s="14" t="str">
        <f>IFERROR((VLOOKUP(Contacts4[[#This Row],[Código Tarea]],'[7]4. Directorio Integrado'!I$4:K$1048576,3,0)),"")</f>
        <v>Actividad a Distancia</v>
      </c>
      <c r="L19" s="16" t="str">
        <f>IF((VLOOKUP(Contacts4[[#This Row],[Código Tarea]],'[7]Formato 2 - SGSI'!$B$10:$I$83,3,0))=0,"",(VLOOKUP(Contacts4[[#This Row],[Código Tarea]],'[7]Formato 2 - SGSI'!$B$10:$I$83,3,0)))</f>
        <v>X</v>
      </c>
      <c r="M19" s="16" t="str">
        <f>IF((VLOOKUP(Contacts4[[#This Row],[Código Tarea]],'[7]Formato 2 - SGSI'!$B$10:$I$83,4,0))=0,"",(VLOOKUP(Contacts4[[#This Row],[Código Tarea]],'[7]Formato 2 - SGSI'!$B$10:$I$83,4)))</f>
        <v/>
      </c>
      <c r="N19" s="16" t="str">
        <f>IF((VLOOKUP(Contacts4[[#This Row],[Código Tarea]],'[7]Formato 2 - SGSI'!$B$10:$I$83,5,0))=0,"",(VLOOKUP(Contacts4[[#This Row],[Código Tarea]],'[7]Formato 2 - SGSI'!$B$10:$I$83,5)))</f>
        <v/>
      </c>
      <c r="O19" s="16" t="str">
        <f>IF((VLOOKUP(Contacts4[[#This Row],[Código Tarea]],'[7]Formato 2 - SGSI'!$B$10:$I$83,6,0))=0,"",(VLOOKUP(Contacts4[[#This Row],[Código Tarea]],'[7]Formato 2 - SGSI'!$B$10:$I$83,6)))</f>
        <v/>
      </c>
      <c r="P19" s="16" t="str">
        <f>IF((VLOOKUP(Contacts4[[#This Row],[Código Tarea]],'[7]Formato 2 - SGSI'!$B$10:$I$83,7,0))=0,"",(VLOOKUP(Contacts4[[#This Row],[Código Tarea]],'[7]Formato 2 - SGSI'!$B$10:$I$83,7)))</f>
        <v/>
      </c>
      <c r="Q19" s="22" t="str">
        <f>VLOOKUP(Contacts4[[#This Row],[Código Tarea]],'[7]4. Directorio Integrado'!$I$4:$M$245,5,0)</f>
        <v>SARO/SGSI/SAC</v>
      </c>
    </row>
    <row r="20" spans="3:17" s="6" customFormat="1" ht="30" customHeight="1" x14ac:dyDescent="0.35">
      <c r="C20" s="12">
        <f>VLOOKUP(Contacts4[[#This Row],[Código Tarea]],'[7]4. Directorio Integrado'!$B$4:$N$245,2,0)</f>
        <v>2</v>
      </c>
      <c r="D20" s="12" t="str">
        <f>VLOOKUP(Contacts4[[#This Row],[Código Tarea]],'[7]4. Directorio Integrado'!$B$4:$N$245,3,0)</f>
        <v>Seguridad de la Información</v>
      </c>
      <c r="E20" s="12" t="str">
        <f>VLOOKUP(Contacts4[[#This Row],[Código Tarea]],'[7]4. Directorio Integrado'!$B$4:$N$245,4,0)</f>
        <v>2.1</v>
      </c>
      <c r="F20" s="12" t="str">
        <f>VLOOKUP(Contacts4[[#This Row],[Código Tarea]],'[7]4. Directorio Integrado'!$B$4:$N$245,5,0)</f>
        <v>Física</v>
      </c>
      <c r="G20" s="12" t="str">
        <f>VLOOKUP(Contacts4[[#This Row],[Código Tarea]],'[7]4. Directorio Integrado'!$B$4:$N$245,6,0)</f>
        <v>2.1.2</v>
      </c>
      <c r="H20" s="12" t="str">
        <f>VLOOKUP(Contacts4[[#This Row],[Código Tarea]],'[7]4. Directorio Integrado'!$B$4:$N$245,7,0)</f>
        <v>Revisión de muebles y enceres</v>
      </c>
      <c r="I20" s="20" t="str">
        <f>'[7]4. Directorio Integrado'!I50</f>
        <v>2.1.2.005</v>
      </c>
      <c r="J20" s="21" t="str">
        <f>IFERROR((VLOOKUP(Contacts4[[#This Row],[Código Tarea]],'[7]4. Directorio Integrado'!I$4:J$1048576,2,0)),"")</f>
        <v>Cuenta con mesa de trabajo.</v>
      </c>
      <c r="K20" s="14" t="str">
        <f>IFERROR((VLOOKUP(Contacts4[[#This Row],[Código Tarea]],'[7]4. Directorio Integrado'!I$4:K$1048576,3,0)),"")</f>
        <v>Actividad a Distancia</v>
      </c>
      <c r="L20" s="16" t="str">
        <f>IF((VLOOKUP(Contacts4[[#This Row],[Código Tarea]],'[7]Formato 2 - SGSI'!$B$10:$I$83,3,0))=0,"",(VLOOKUP(Contacts4[[#This Row],[Código Tarea]],'[7]Formato 2 - SGSI'!$B$10:$I$83,3,0)))</f>
        <v>X</v>
      </c>
      <c r="M20" s="16" t="str">
        <f>IF((VLOOKUP(Contacts4[[#This Row],[Código Tarea]],'[7]Formato 2 - SGSI'!$B$10:$I$83,4,0))=0,"",(VLOOKUP(Contacts4[[#This Row],[Código Tarea]],'[7]Formato 2 - SGSI'!$B$10:$I$83,4)))</f>
        <v/>
      </c>
      <c r="N20" s="16" t="str">
        <f>IF((VLOOKUP(Contacts4[[#This Row],[Código Tarea]],'[7]Formato 2 - SGSI'!$B$10:$I$83,5,0))=0,"",(VLOOKUP(Contacts4[[#This Row],[Código Tarea]],'[7]Formato 2 - SGSI'!$B$10:$I$83,5)))</f>
        <v/>
      </c>
      <c r="O20" s="16" t="str">
        <f>IF((VLOOKUP(Contacts4[[#This Row],[Código Tarea]],'[7]Formato 2 - SGSI'!$B$10:$I$83,6,0))=0,"",(VLOOKUP(Contacts4[[#This Row],[Código Tarea]],'[7]Formato 2 - SGSI'!$B$10:$I$83,6)))</f>
        <v/>
      </c>
      <c r="P20" s="16" t="str">
        <f>IF((VLOOKUP(Contacts4[[#This Row],[Código Tarea]],'[7]Formato 2 - SGSI'!$B$10:$I$83,7,0))=0,"",(VLOOKUP(Contacts4[[#This Row],[Código Tarea]],'[7]Formato 2 - SGSI'!$B$10:$I$83,7)))</f>
        <v/>
      </c>
      <c r="Q20" s="22" t="str">
        <f>VLOOKUP(Contacts4[[#This Row],[Código Tarea]],'[7]4. Directorio Integrado'!$I$4:$M$245,5,0)</f>
        <v>SARO/SGSI</v>
      </c>
    </row>
    <row r="21" spans="3:17" s="6" customFormat="1" ht="30" customHeight="1" x14ac:dyDescent="0.35">
      <c r="C21" s="12">
        <f>VLOOKUP(Contacts4[[#This Row],[Código Tarea]],'[7]4. Directorio Integrado'!$B$4:$N$245,2,0)</f>
        <v>2</v>
      </c>
      <c r="D21" s="12" t="str">
        <f>VLOOKUP(Contacts4[[#This Row],[Código Tarea]],'[7]4. Directorio Integrado'!$B$4:$N$245,3,0)</f>
        <v>Seguridad de la Información</v>
      </c>
      <c r="E21" s="12" t="str">
        <f>VLOOKUP(Contacts4[[#This Row],[Código Tarea]],'[7]4. Directorio Integrado'!$B$4:$N$245,4,0)</f>
        <v>2.1</v>
      </c>
      <c r="F21" s="12" t="str">
        <f>VLOOKUP(Contacts4[[#This Row],[Código Tarea]],'[7]4. Directorio Integrado'!$B$4:$N$245,5,0)</f>
        <v>Física</v>
      </c>
      <c r="G21" s="12" t="str">
        <f>VLOOKUP(Contacts4[[#This Row],[Código Tarea]],'[7]4. Directorio Integrado'!$B$4:$N$245,6,0)</f>
        <v>2.1.2</v>
      </c>
      <c r="H21" s="12" t="str">
        <f>VLOOKUP(Contacts4[[#This Row],[Código Tarea]],'[7]4. Directorio Integrado'!$B$4:$N$245,7,0)</f>
        <v>Revisión de muebles y enceres</v>
      </c>
      <c r="I21" s="20" t="str">
        <f>'[7]4. Directorio Integrado'!I51</f>
        <v>2.1.2.006</v>
      </c>
      <c r="J21" s="21" t="str">
        <f>IFERROR((VLOOKUP(Contacts4[[#This Row],[Código Tarea]],'[7]4. Directorio Integrado'!I$4:J$1048576,2,0)),"")</f>
        <v>Cuenta con perchero en la sala de ejecutivos.</v>
      </c>
      <c r="K21" s="14" t="str">
        <f>IFERROR((VLOOKUP(Contacts4[[#This Row],[Código Tarea]],'[7]4. Directorio Integrado'!I$4:K$1048576,3,0)),"")</f>
        <v>Actividad a Distancia</v>
      </c>
      <c r="L21" s="16" t="str">
        <f>IF((VLOOKUP(Contacts4[[#This Row],[Código Tarea]],'[7]Formato 2 - SGSI'!$B$10:$I$83,3,0))=0,"",(VLOOKUP(Contacts4[[#This Row],[Código Tarea]],'[7]Formato 2 - SGSI'!$B$10:$I$83,3,0)))</f>
        <v>X</v>
      </c>
      <c r="M21" s="16" t="str">
        <f>IF((VLOOKUP(Contacts4[[#This Row],[Código Tarea]],'[7]Formato 2 - SGSI'!$B$10:$I$83,4,0))=0,"",(VLOOKUP(Contacts4[[#This Row],[Código Tarea]],'[7]Formato 2 - SGSI'!$B$10:$I$83,4)))</f>
        <v/>
      </c>
      <c r="N21" s="16" t="str">
        <f>IF((VLOOKUP(Contacts4[[#This Row],[Código Tarea]],'[7]Formato 2 - SGSI'!$B$10:$I$83,5,0))=0,"",(VLOOKUP(Contacts4[[#This Row],[Código Tarea]],'[7]Formato 2 - SGSI'!$B$10:$I$83,5)))</f>
        <v/>
      </c>
      <c r="O21" s="16" t="str">
        <f>IF((VLOOKUP(Contacts4[[#This Row],[Código Tarea]],'[7]Formato 2 - SGSI'!$B$10:$I$83,6,0))=0,"",(VLOOKUP(Contacts4[[#This Row],[Código Tarea]],'[7]Formato 2 - SGSI'!$B$10:$I$83,6)))</f>
        <v/>
      </c>
      <c r="P21" s="16" t="str">
        <f>IF((VLOOKUP(Contacts4[[#This Row],[Código Tarea]],'[7]Formato 2 - SGSI'!$B$10:$I$83,7,0))=0,"",(VLOOKUP(Contacts4[[#This Row],[Código Tarea]],'[7]Formato 2 - SGSI'!$B$10:$I$83,7)))</f>
        <v/>
      </c>
      <c r="Q21" s="22" t="str">
        <f>VLOOKUP(Contacts4[[#This Row],[Código Tarea]],'[7]4. Directorio Integrado'!$I$4:$M$245,5,0)</f>
        <v>SARO/SGSI</v>
      </c>
    </row>
    <row r="22" spans="3:17" s="6" customFormat="1" ht="30" customHeight="1" x14ac:dyDescent="0.35">
      <c r="C22" s="12">
        <f>VLOOKUP(Contacts4[[#This Row],[Código Tarea]],'[7]4. Directorio Integrado'!$B$4:$N$245,2,0)</f>
        <v>2</v>
      </c>
      <c r="D22" s="12" t="str">
        <f>VLOOKUP(Contacts4[[#This Row],[Código Tarea]],'[7]4. Directorio Integrado'!$B$4:$N$245,3,0)</f>
        <v>Seguridad de la Información</v>
      </c>
      <c r="E22" s="12" t="str">
        <f>VLOOKUP(Contacts4[[#This Row],[Código Tarea]],'[7]4. Directorio Integrado'!$B$4:$N$245,4,0)</f>
        <v>2.1</v>
      </c>
      <c r="F22" s="12" t="str">
        <f>VLOOKUP(Contacts4[[#This Row],[Código Tarea]],'[7]4. Directorio Integrado'!$B$4:$N$245,5,0)</f>
        <v>Física</v>
      </c>
      <c r="G22" s="12" t="str">
        <f>VLOOKUP(Contacts4[[#This Row],[Código Tarea]],'[7]4. Directorio Integrado'!$B$4:$N$245,6,0)</f>
        <v>2.1.2</v>
      </c>
      <c r="H22" s="12" t="str">
        <f>VLOOKUP(Contacts4[[#This Row],[Código Tarea]],'[7]4. Directorio Integrado'!$B$4:$N$245,7,0)</f>
        <v>Revisión de muebles y enceres</v>
      </c>
      <c r="I22" s="20" t="str">
        <f>'[7]4. Directorio Integrado'!I52</f>
        <v>2.1.2.007</v>
      </c>
      <c r="J22" s="21" t="str">
        <f>IFERROR((VLOOKUP(Contacts4[[#This Row],[Código Tarea]],'[7]4. Directorio Integrado'!I$4:J$1048576,2,0)),"")</f>
        <v>Cuenta con separador de fila el hall bancario.</v>
      </c>
      <c r="K22" s="14" t="str">
        <f>IFERROR((VLOOKUP(Contacts4[[#This Row],[Código Tarea]],'[7]4. Directorio Integrado'!I$4:K$1048576,3,0)),"")</f>
        <v>Actividad a Distancia</v>
      </c>
      <c r="L22" s="16" t="str">
        <f>IF((VLOOKUP(Contacts4[[#This Row],[Código Tarea]],'[7]Formato 2 - SGSI'!$B$10:$I$83,3,0))=0,"",(VLOOKUP(Contacts4[[#This Row],[Código Tarea]],'[7]Formato 2 - SGSI'!$B$10:$I$83,3,0)))</f>
        <v>X</v>
      </c>
      <c r="M22" s="16" t="str">
        <f>IF((VLOOKUP(Contacts4[[#This Row],[Código Tarea]],'[7]Formato 2 - SGSI'!$B$10:$I$83,4,0))=0,"",(VLOOKUP(Contacts4[[#This Row],[Código Tarea]],'[7]Formato 2 - SGSI'!$B$10:$I$83,4)))</f>
        <v/>
      </c>
      <c r="N22" s="16" t="str">
        <f>IF((VLOOKUP(Contacts4[[#This Row],[Código Tarea]],'[7]Formato 2 - SGSI'!$B$10:$I$83,5,0))=0,"",(VLOOKUP(Contacts4[[#This Row],[Código Tarea]],'[7]Formato 2 - SGSI'!$B$10:$I$83,5)))</f>
        <v/>
      </c>
      <c r="O22" s="16" t="str">
        <f>IF((VLOOKUP(Contacts4[[#This Row],[Código Tarea]],'[7]Formato 2 - SGSI'!$B$10:$I$83,6,0))=0,"",(VLOOKUP(Contacts4[[#This Row],[Código Tarea]],'[7]Formato 2 - SGSI'!$B$10:$I$83,6)))</f>
        <v/>
      </c>
      <c r="P22" s="16" t="str">
        <f>IF((VLOOKUP(Contacts4[[#This Row],[Código Tarea]],'[7]Formato 2 - SGSI'!$B$10:$I$83,7,0))=0,"",(VLOOKUP(Contacts4[[#This Row],[Código Tarea]],'[7]Formato 2 - SGSI'!$B$10:$I$83,7)))</f>
        <v/>
      </c>
      <c r="Q22" s="22" t="str">
        <f>VLOOKUP(Contacts4[[#This Row],[Código Tarea]],'[7]4. Directorio Integrado'!$I$4:$M$245,5,0)</f>
        <v>SARO/SGSI</v>
      </c>
    </row>
    <row r="23" spans="3:17" s="6" customFormat="1" ht="30" customHeight="1" x14ac:dyDescent="0.35">
      <c r="C23" s="12">
        <f>VLOOKUP(Contacts4[[#This Row],[Código Tarea]],'[7]4. Directorio Integrado'!$B$4:$N$245,2,0)</f>
        <v>2</v>
      </c>
      <c r="D23" s="12" t="str">
        <f>VLOOKUP(Contacts4[[#This Row],[Código Tarea]],'[7]4. Directorio Integrado'!$B$4:$N$245,3,0)</f>
        <v>Seguridad de la Información</v>
      </c>
      <c r="E23" s="12" t="str">
        <f>VLOOKUP(Contacts4[[#This Row],[Código Tarea]],'[7]4. Directorio Integrado'!$B$4:$N$245,4,0)</f>
        <v>2.1</v>
      </c>
      <c r="F23" s="12" t="str">
        <f>VLOOKUP(Contacts4[[#This Row],[Código Tarea]],'[7]4. Directorio Integrado'!$B$4:$N$245,5,0)</f>
        <v>Física</v>
      </c>
      <c r="G23" s="12" t="str">
        <f>VLOOKUP(Contacts4[[#This Row],[Código Tarea]],'[7]4. Directorio Integrado'!$B$4:$N$245,6,0)</f>
        <v>2.1.2</v>
      </c>
      <c r="H23" s="12" t="str">
        <f>VLOOKUP(Contacts4[[#This Row],[Código Tarea]],'[7]4. Directorio Integrado'!$B$4:$N$245,7,0)</f>
        <v>Revisión de muebles y enceres</v>
      </c>
      <c r="I23" s="20" t="str">
        <f>'[7]4. Directorio Integrado'!I53</f>
        <v>2.1.2.008</v>
      </c>
      <c r="J23" s="21" t="str">
        <f>IFERROR((VLOOKUP(Contacts4[[#This Row],[Código Tarea]],'[7]4. Directorio Integrado'!I$4:J$1048576,2,0)),"")</f>
        <v>Cuenta con silla secretarial con brazos.</v>
      </c>
      <c r="K23" s="14" t="str">
        <f>IFERROR((VLOOKUP(Contacts4[[#This Row],[Código Tarea]],'[7]4. Directorio Integrado'!I$4:K$1048576,3,0)),"")</f>
        <v>Actividad a Distancia</v>
      </c>
      <c r="L23" s="16" t="str">
        <f>IF((VLOOKUP(Contacts4[[#This Row],[Código Tarea]],'[7]Formato 2 - SGSI'!$B$10:$I$83,3,0))=0,"",(VLOOKUP(Contacts4[[#This Row],[Código Tarea]],'[7]Formato 2 - SGSI'!$B$10:$I$83,3,0)))</f>
        <v>X</v>
      </c>
      <c r="M23" s="16" t="str">
        <f>IF((VLOOKUP(Contacts4[[#This Row],[Código Tarea]],'[7]Formato 2 - SGSI'!$B$10:$I$83,4,0))=0,"",(VLOOKUP(Contacts4[[#This Row],[Código Tarea]],'[7]Formato 2 - SGSI'!$B$10:$I$83,4)))</f>
        <v/>
      </c>
      <c r="N23" s="16" t="str">
        <f>IF((VLOOKUP(Contacts4[[#This Row],[Código Tarea]],'[7]Formato 2 - SGSI'!$B$10:$I$83,5,0))=0,"",(VLOOKUP(Contacts4[[#This Row],[Código Tarea]],'[7]Formato 2 - SGSI'!$B$10:$I$83,5)))</f>
        <v/>
      </c>
      <c r="O23" s="16" t="str">
        <f>IF((VLOOKUP(Contacts4[[#This Row],[Código Tarea]],'[7]Formato 2 - SGSI'!$B$10:$I$83,6,0))=0,"",(VLOOKUP(Contacts4[[#This Row],[Código Tarea]],'[7]Formato 2 - SGSI'!$B$10:$I$83,6)))</f>
        <v/>
      </c>
      <c r="P23" s="16" t="str">
        <f>IF((VLOOKUP(Contacts4[[#This Row],[Código Tarea]],'[7]Formato 2 - SGSI'!$B$10:$I$83,7,0))=0,"",(VLOOKUP(Contacts4[[#This Row],[Código Tarea]],'[7]Formato 2 - SGSI'!$B$10:$I$83,7)))</f>
        <v/>
      </c>
      <c r="Q23" s="22" t="str">
        <f>VLOOKUP(Contacts4[[#This Row],[Código Tarea]],'[7]4. Directorio Integrado'!$I$4:$M$245,5,0)</f>
        <v>SARO/SGSI</v>
      </c>
    </row>
    <row r="24" spans="3:17" s="6" customFormat="1" ht="30" customHeight="1" x14ac:dyDescent="0.35">
      <c r="C24" s="12">
        <f>VLOOKUP(Contacts4[[#This Row],[Código Tarea]],'[7]4. Directorio Integrado'!$B$4:$N$245,2,0)</f>
        <v>2</v>
      </c>
      <c r="D24" s="12" t="str">
        <f>VLOOKUP(Contacts4[[#This Row],[Código Tarea]],'[7]4. Directorio Integrado'!$B$4:$N$245,3,0)</f>
        <v>Seguridad de la Información</v>
      </c>
      <c r="E24" s="12" t="str">
        <f>VLOOKUP(Contacts4[[#This Row],[Código Tarea]],'[7]4. Directorio Integrado'!$B$4:$N$245,4,0)</f>
        <v>2.1</v>
      </c>
      <c r="F24" s="12" t="str">
        <f>VLOOKUP(Contacts4[[#This Row],[Código Tarea]],'[7]4. Directorio Integrado'!$B$4:$N$245,5,0)</f>
        <v>Física</v>
      </c>
      <c r="G24" s="12" t="str">
        <f>VLOOKUP(Contacts4[[#This Row],[Código Tarea]],'[7]4. Directorio Integrado'!$B$4:$N$245,6,0)</f>
        <v>2.1.2</v>
      </c>
      <c r="H24" s="12" t="str">
        <f>VLOOKUP(Contacts4[[#This Row],[Código Tarea]],'[7]4. Directorio Integrado'!$B$4:$N$245,7,0)</f>
        <v>Revisión de muebles y enceres</v>
      </c>
      <c r="I24" s="20" t="str">
        <f>'[7]4. Directorio Integrado'!I54</f>
        <v>2.1.2.009</v>
      </c>
      <c r="J24" s="21" t="str">
        <f>IFERROR((VLOOKUP(Contacts4[[#This Row],[Código Tarea]],'[7]4. Directorio Integrado'!I$4:J$1048576,2,0)),"")</f>
        <v>Cuenta con silla secretarial sin brazos.</v>
      </c>
      <c r="K24" s="14" t="str">
        <f>IFERROR((VLOOKUP(Contacts4[[#This Row],[Código Tarea]],'[7]4. Directorio Integrado'!I$4:K$1048576,3,0)),"")</f>
        <v>Actividad a Distancia</v>
      </c>
      <c r="L24" s="16" t="str">
        <f>IF((VLOOKUP(Contacts4[[#This Row],[Código Tarea]],'[7]Formato 2 - SGSI'!$B$10:$I$83,3,0))=0,"",(VLOOKUP(Contacts4[[#This Row],[Código Tarea]],'[7]Formato 2 - SGSI'!$B$10:$I$83,3,0)))</f>
        <v>X</v>
      </c>
      <c r="M24" s="16" t="str">
        <f>IF((VLOOKUP(Contacts4[[#This Row],[Código Tarea]],'[7]Formato 2 - SGSI'!$B$10:$I$83,4,0))=0,"",(VLOOKUP(Contacts4[[#This Row],[Código Tarea]],'[7]Formato 2 - SGSI'!$B$10:$I$83,4)))</f>
        <v/>
      </c>
      <c r="N24" s="16" t="str">
        <f>IF((VLOOKUP(Contacts4[[#This Row],[Código Tarea]],'[7]Formato 2 - SGSI'!$B$10:$I$83,5,0))=0,"",(VLOOKUP(Contacts4[[#This Row],[Código Tarea]],'[7]Formato 2 - SGSI'!$B$10:$I$83,5)))</f>
        <v/>
      </c>
      <c r="O24" s="16" t="str">
        <f>IF((VLOOKUP(Contacts4[[#This Row],[Código Tarea]],'[7]Formato 2 - SGSI'!$B$10:$I$83,6,0))=0,"",(VLOOKUP(Contacts4[[#This Row],[Código Tarea]],'[7]Formato 2 - SGSI'!$B$10:$I$83,6)))</f>
        <v/>
      </c>
      <c r="P24" s="16" t="str">
        <f>IF((VLOOKUP(Contacts4[[#This Row],[Código Tarea]],'[7]Formato 2 - SGSI'!$B$10:$I$83,7,0))=0,"",(VLOOKUP(Contacts4[[#This Row],[Código Tarea]],'[7]Formato 2 - SGSI'!$B$10:$I$83,7)))</f>
        <v/>
      </c>
      <c r="Q24" s="22" t="str">
        <f>VLOOKUP(Contacts4[[#This Row],[Código Tarea]],'[7]4. Directorio Integrado'!$I$4:$M$245,5,0)</f>
        <v>SARO/SGSI</v>
      </c>
    </row>
    <row r="25" spans="3:17" s="6" customFormat="1" ht="30" customHeight="1" x14ac:dyDescent="0.35">
      <c r="C25" s="12">
        <f>VLOOKUP(Contacts4[[#This Row],[Código Tarea]],'[7]4. Directorio Integrado'!$B$4:$N$245,2,0)</f>
        <v>2</v>
      </c>
      <c r="D25" s="12" t="str">
        <f>VLOOKUP(Contacts4[[#This Row],[Código Tarea]],'[7]4. Directorio Integrado'!$B$4:$N$245,3,0)</f>
        <v>Seguridad de la Información</v>
      </c>
      <c r="E25" s="12" t="str">
        <f>VLOOKUP(Contacts4[[#This Row],[Código Tarea]],'[7]4. Directorio Integrado'!$B$4:$N$245,4,0)</f>
        <v>2.1</v>
      </c>
      <c r="F25" s="12" t="str">
        <f>VLOOKUP(Contacts4[[#This Row],[Código Tarea]],'[7]4. Directorio Integrado'!$B$4:$N$245,5,0)</f>
        <v>Física</v>
      </c>
      <c r="G25" s="12" t="str">
        <f>VLOOKUP(Contacts4[[#This Row],[Código Tarea]],'[7]4. Directorio Integrado'!$B$4:$N$245,6,0)</f>
        <v>2.1.2</v>
      </c>
      <c r="H25" s="12" t="str">
        <f>VLOOKUP(Contacts4[[#This Row],[Código Tarea]],'[7]4. Directorio Integrado'!$B$4:$N$245,7,0)</f>
        <v>Revisión de muebles y enceres</v>
      </c>
      <c r="I25" s="20" t="str">
        <f>'[7]4. Directorio Integrado'!I55</f>
        <v>2.1.2.010</v>
      </c>
      <c r="J25" s="21" t="str">
        <f>IFERROR((VLOOKUP(Contacts4[[#This Row],[Código Tarea]],'[7]4. Directorio Integrado'!I$4:J$1048576,2,0)),"")</f>
        <v>cuenta con silla tipo cajero.</v>
      </c>
      <c r="K25" s="14" t="str">
        <f>IFERROR((VLOOKUP(Contacts4[[#This Row],[Código Tarea]],'[7]4. Directorio Integrado'!I$4:K$1048576,3,0)),"")</f>
        <v>Actividad a Distancia</v>
      </c>
      <c r="L25" s="16" t="str">
        <f>IF((VLOOKUP(Contacts4[[#This Row],[Código Tarea]],'[7]Formato 2 - SGSI'!$B$10:$I$83,3,0))=0,"",(VLOOKUP(Contacts4[[#This Row],[Código Tarea]],'[7]Formato 2 - SGSI'!$B$10:$I$83,3,0)))</f>
        <v>X</v>
      </c>
      <c r="M25" s="16" t="str">
        <f>IF((VLOOKUP(Contacts4[[#This Row],[Código Tarea]],'[7]Formato 2 - SGSI'!$B$10:$I$83,4,0))=0,"",(VLOOKUP(Contacts4[[#This Row],[Código Tarea]],'[7]Formato 2 - SGSI'!$B$10:$I$83,4)))</f>
        <v/>
      </c>
      <c r="N25" s="16" t="str">
        <f>IF((VLOOKUP(Contacts4[[#This Row],[Código Tarea]],'[7]Formato 2 - SGSI'!$B$10:$I$83,5,0))=0,"",(VLOOKUP(Contacts4[[#This Row],[Código Tarea]],'[7]Formato 2 - SGSI'!$B$10:$I$83,5)))</f>
        <v/>
      </c>
      <c r="O25" s="16" t="str">
        <f>IF((VLOOKUP(Contacts4[[#This Row],[Código Tarea]],'[7]Formato 2 - SGSI'!$B$10:$I$83,6,0))=0,"",(VLOOKUP(Contacts4[[#This Row],[Código Tarea]],'[7]Formato 2 - SGSI'!$B$10:$I$83,6)))</f>
        <v/>
      </c>
      <c r="P25" s="16" t="str">
        <f>IF((VLOOKUP(Contacts4[[#This Row],[Código Tarea]],'[7]Formato 2 - SGSI'!$B$10:$I$83,7,0))=0,"",(VLOOKUP(Contacts4[[#This Row],[Código Tarea]],'[7]Formato 2 - SGSI'!$B$10:$I$83,7)))</f>
        <v/>
      </c>
      <c r="Q25" s="22" t="str">
        <f>VLOOKUP(Contacts4[[#This Row],[Código Tarea]],'[7]4. Directorio Integrado'!$I$4:$M$245,5,0)</f>
        <v>SARO/SGSI</v>
      </c>
    </row>
    <row r="26" spans="3:17" s="6" customFormat="1" ht="30" customHeight="1" x14ac:dyDescent="0.35">
      <c r="C26" s="12">
        <f>VLOOKUP(Contacts4[[#This Row],[Código Tarea]],'[7]4. Directorio Integrado'!$B$4:$N$245,2,0)</f>
        <v>2</v>
      </c>
      <c r="D26" s="12" t="str">
        <f>VLOOKUP(Contacts4[[#This Row],[Código Tarea]],'[7]4. Directorio Integrado'!$B$4:$N$245,3,0)</f>
        <v>Seguridad de la Información</v>
      </c>
      <c r="E26" s="12" t="str">
        <f>VLOOKUP(Contacts4[[#This Row],[Código Tarea]],'[7]4. Directorio Integrado'!$B$4:$N$245,4,0)</f>
        <v>2.1</v>
      </c>
      <c r="F26" s="12" t="str">
        <f>VLOOKUP(Contacts4[[#This Row],[Código Tarea]],'[7]4. Directorio Integrado'!$B$4:$N$245,5,0)</f>
        <v>Física</v>
      </c>
      <c r="G26" s="12" t="str">
        <f>VLOOKUP(Contacts4[[#This Row],[Código Tarea]],'[7]4. Directorio Integrado'!$B$4:$N$245,6,0)</f>
        <v>2.1.2</v>
      </c>
      <c r="H26" s="12" t="str">
        <f>VLOOKUP(Contacts4[[#This Row],[Código Tarea]],'[7]4. Directorio Integrado'!$B$4:$N$245,7,0)</f>
        <v>Revisión de muebles y enceres</v>
      </c>
      <c r="I26" s="20" t="str">
        <f>'[7]4. Directorio Integrado'!I56</f>
        <v>2.1.2.011</v>
      </c>
      <c r="J26" s="21" t="str">
        <f>IFERROR((VLOOKUP(Contacts4[[#This Row],[Código Tarea]],'[7]4. Directorio Integrado'!I$4:J$1048576,2,0)),"")</f>
        <v>Cuenta con silla isósceles.</v>
      </c>
      <c r="K26" s="14" t="str">
        <f>IFERROR((VLOOKUP(Contacts4[[#This Row],[Código Tarea]],'[7]4. Directorio Integrado'!I$4:K$1048576,3,0)),"")</f>
        <v>Actividad a Distancia</v>
      </c>
      <c r="L26" s="16" t="str">
        <f>IF((VLOOKUP(Contacts4[[#This Row],[Código Tarea]],'[7]Formato 2 - SGSI'!$B$10:$I$83,3,0))=0,"",(VLOOKUP(Contacts4[[#This Row],[Código Tarea]],'[7]Formato 2 - SGSI'!$B$10:$I$83,3,0)))</f>
        <v>X</v>
      </c>
      <c r="M26" s="16" t="str">
        <f>IF((VLOOKUP(Contacts4[[#This Row],[Código Tarea]],'[7]Formato 2 - SGSI'!$B$10:$I$83,4,0))=0,"",(VLOOKUP(Contacts4[[#This Row],[Código Tarea]],'[7]Formato 2 - SGSI'!$B$10:$I$83,4)))</f>
        <v/>
      </c>
      <c r="N26" s="16" t="str">
        <f>IF((VLOOKUP(Contacts4[[#This Row],[Código Tarea]],'[7]Formato 2 - SGSI'!$B$10:$I$83,5,0))=0,"",(VLOOKUP(Contacts4[[#This Row],[Código Tarea]],'[7]Formato 2 - SGSI'!$B$10:$I$83,5)))</f>
        <v/>
      </c>
      <c r="O26" s="16" t="str">
        <f>IF((VLOOKUP(Contacts4[[#This Row],[Código Tarea]],'[7]Formato 2 - SGSI'!$B$10:$I$83,6,0))=0,"",(VLOOKUP(Contacts4[[#This Row],[Código Tarea]],'[7]Formato 2 - SGSI'!$B$10:$I$83,6)))</f>
        <v/>
      </c>
      <c r="P26" s="16" t="str">
        <f>IF((VLOOKUP(Contacts4[[#This Row],[Código Tarea]],'[7]Formato 2 - SGSI'!$B$10:$I$83,7,0))=0,"",(VLOOKUP(Contacts4[[#This Row],[Código Tarea]],'[7]Formato 2 - SGSI'!$B$10:$I$83,7)))</f>
        <v/>
      </c>
      <c r="Q26" s="22" t="str">
        <f>VLOOKUP(Contacts4[[#This Row],[Código Tarea]],'[7]4. Directorio Integrado'!$I$4:$M$245,5,0)</f>
        <v>SARO/SGSI</v>
      </c>
    </row>
    <row r="27" spans="3:17" s="6" customFormat="1" ht="30" customHeight="1" x14ac:dyDescent="0.35">
      <c r="C27" s="12">
        <f>VLOOKUP(Contacts4[[#This Row],[Código Tarea]],'[7]4. Directorio Integrado'!$B$4:$N$245,2,0)</f>
        <v>2</v>
      </c>
      <c r="D27" s="12" t="str">
        <f>VLOOKUP(Contacts4[[#This Row],[Código Tarea]],'[7]4. Directorio Integrado'!$B$4:$N$245,3,0)</f>
        <v>Seguridad de la Información</v>
      </c>
      <c r="E27" s="12" t="str">
        <f>VLOOKUP(Contacts4[[#This Row],[Código Tarea]],'[7]4. Directorio Integrado'!$B$4:$N$245,4,0)</f>
        <v>2.1</v>
      </c>
      <c r="F27" s="12" t="str">
        <f>VLOOKUP(Contacts4[[#This Row],[Código Tarea]],'[7]4. Directorio Integrado'!$B$4:$N$245,5,0)</f>
        <v>Física</v>
      </c>
      <c r="G27" s="12" t="str">
        <f>VLOOKUP(Contacts4[[#This Row],[Código Tarea]],'[7]4. Directorio Integrado'!$B$4:$N$245,6,0)</f>
        <v>2.1.2</v>
      </c>
      <c r="H27" s="12" t="str">
        <f>VLOOKUP(Contacts4[[#This Row],[Código Tarea]],'[7]4. Directorio Integrado'!$B$4:$N$245,7,0)</f>
        <v>Revisión de muebles y enceres</v>
      </c>
      <c r="I27" s="20" t="str">
        <f>'[7]4. Directorio Integrado'!I57</f>
        <v>2.1.2.012</v>
      </c>
      <c r="J27" s="21" t="str">
        <f>IFERROR((VLOOKUP(Contacts4[[#This Row],[Código Tarea]],'[7]4. Directorio Integrado'!I$4:J$1048576,2,0)),"")</f>
        <v>Cuenta con Silla Tamdem.</v>
      </c>
      <c r="K27" s="14" t="str">
        <f>IFERROR((VLOOKUP(Contacts4[[#This Row],[Código Tarea]],'[7]4. Directorio Integrado'!I$4:K$1048576,3,0)),"")</f>
        <v>Actividad a Distancia</v>
      </c>
      <c r="L27" s="16" t="str">
        <f>IF((VLOOKUP(Contacts4[[#This Row],[Código Tarea]],'[7]Formato 2 - SGSI'!$B$10:$I$83,3,0))=0,"",(VLOOKUP(Contacts4[[#This Row],[Código Tarea]],'[7]Formato 2 - SGSI'!$B$10:$I$83,3,0)))</f>
        <v>X</v>
      </c>
      <c r="M27" s="16" t="str">
        <f>IF((VLOOKUP(Contacts4[[#This Row],[Código Tarea]],'[7]Formato 2 - SGSI'!$B$10:$I$83,4,0))=0,"",(VLOOKUP(Contacts4[[#This Row],[Código Tarea]],'[7]Formato 2 - SGSI'!$B$10:$I$83,4)))</f>
        <v/>
      </c>
      <c r="N27" s="16" t="str">
        <f>IF((VLOOKUP(Contacts4[[#This Row],[Código Tarea]],'[7]Formato 2 - SGSI'!$B$10:$I$83,5,0))=0,"",(VLOOKUP(Contacts4[[#This Row],[Código Tarea]],'[7]Formato 2 - SGSI'!$B$10:$I$83,5)))</f>
        <v/>
      </c>
      <c r="O27" s="16" t="str">
        <f>IF((VLOOKUP(Contacts4[[#This Row],[Código Tarea]],'[7]Formato 2 - SGSI'!$B$10:$I$83,6,0))=0,"",(VLOOKUP(Contacts4[[#This Row],[Código Tarea]],'[7]Formato 2 - SGSI'!$B$10:$I$83,6)))</f>
        <v/>
      </c>
      <c r="P27" s="16" t="str">
        <f>IF((VLOOKUP(Contacts4[[#This Row],[Código Tarea]],'[7]Formato 2 - SGSI'!$B$10:$I$83,7,0))=0,"",(VLOOKUP(Contacts4[[#This Row],[Código Tarea]],'[7]Formato 2 - SGSI'!$B$10:$I$83,7)))</f>
        <v/>
      </c>
      <c r="Q27" s="22" t="str">
        <f>VLOOKUP(Contacts4[[#This Row],[Código Tarea]],'[7]4. Directorio Integrado'!$I$4:$M$245,5,0)</f>
        <v>SARO/SGSI</v>
      </c>
    </row>
    <row r="28" spans="3:17" s="6" customFormat="1" ht="30" customHeight="1" x14ac:dyDescent="0.35">
      <c r="C28" s="12">
        <f>VLOOKUP(Contacts4[[#This Row],[Código Tarea]],'[7]4. Directorio Integrado'!$B$4:$N$245,2,0)</f>
        <v>2</v>
      </c>
      <c r="D28" s="12" t="str">
        <f>VLOOKUP(Contacts4[[#This Row],[Código Tarea]],'[7]4. Directorio Integrado'!$B$4:$N$245,3,0)</f>
        <v>Seguridad de la Información</v>
      </c>
      <c r="E28" s="12" t="str">
        <f>VLOOKUP(Contacts4[[#This Row],[Código Tarea]],'[7]4. Directorio Integrado'!$B$4:$N$245,4,0)</f>
        <v>2.1</v>
      </c>
      <c r="F28" s="12" t="str">
        <f>VLOOKUP(Contacts4[[#This Row],[Código Tarea]],'[7]4. Directorio Integrado'!$B$4:$N$245,5,0)</f>
        <v>Física</v>
      </c>
      <c r="G28" s="12" t="str">
        <f>VLOOKUP(Contacts4[[#This Row],[Código Tarea]],'[7]4. Directorio Integrado'!$B$4:$N$245,6,0)</f>
        <v>2.1.2</v>
      </c>
      <c r="H28" s="12" t="str">
        <f>VLOOKUP(Contacts4[[#This Row],[Código Tarea]],'[7]4. Directorio Integrado'!$B$4:$N$245,7,0)</f>
        <v>Revisión de muebles y enceres</v>
      </c>
      <c r="I28" s="20" t="str">
        <f>'[7]4. Directorio Integrado'!I58</f>
        <v>2.1.2.013</v>
      </c>
      <c r="J28" s="21" t="str">
        <f>IFERROR((VLOOKUP(Contacts4[[#This Row],[Código Tarea]],'[7]4. Directorio Integrado'!I$4:J$1048576,2,0)),"")</f>
        <v>Cuenta con acometida planta eléctrica y su función es óptima.</v>
      </c>
      <c r="K28" s="14" t="str">
        <f>IFERROR((VLOOKUP(Contacts4[[#This Row],[Código Tarea]],'[7]4. Directorio Integrado'!I$4:K$1048576,3,0)),"")</f>
        <v>Actividad a Distancia</v>
      </c>
      <c r="L28" s="16" t="str">
        <f>IF((VLOOKUP(Contacts4[[#This Row],[Código Tarea]],'[7]Formato 2 - SGSI'!$B$10:$I$83,3,0))=0,"",(VLOOKUP(Contacts4[[#This Row],[Código Tarea]],'[7]Formato 2 - SGSI'!$B$10:$I$83,3,0)))</f>
        <v>X</v>
      </c>
      <c r="M28" s="16" t="str">
        <f>IF((VLOOKUP(Contacts4[[#This Row],[Código Tarea]],'[7]Formato 2 - SGSI'!$B$10:$I$83,4,0))=0,"",(VLOOKUP(Contacts4[[#This Row],[Código Tarea]],'[7]Formato 2 - SGSI'!$B$10:$I$83,4)))</f>
        <v/>
      </c>
      <c r="N28" s="16" t="str">
        <f>IF((VLOOKUP(Contacts4[[#This Row],[Código Tarea]],'[7]Formato 2 - SGSI'!$B$10:$I$83,5,0))=0,"",(VLOOKUP(Contacts4[[#This Row],[Código Tarea]],'[7]Formato 2 - SGSI'!$B$10:$I$83,5)))</f>
        <v/>
      </c>
      <c r="O28" s="16" t="str">
        <f>IF((VLOOKUP(Contacts4[[#This Row],[Código Tarea]],'[7]Formato 2 - SGSI'!$B$10:$I$83,6,0))=0,"",(VLOOKUP(Contacts4[[#This Row],[Código Tarea]],'[7]Formato 2 - SGSI'!$B$10:$I$83,6)))</f>
        <v/>
      </c>
      <c r="P28" s="16" t="str">
        <f>IF((VLOOKUP(Contacts4[[#This Row],[Código Tarea]],'[7]Formato 2 - SGSI'!$B$10:$I$83,7,0))=0,"",(VLOOKUP(Contacts4[[#This Row],[Código Tarea]],'[7]Formato 2 - SGSI'!$B$10:$I$83,7)))</f>
        <v/>
      </c>
      <c r="Q28" s="22" t="str">
        <f>VLOOKUP(Contacts4[[#This Row],[Código Tarea]],'[7]4. Directorio Integrado'!$I$4:$M$245,5,0)</f>
        <v>SARO/SGSI</v>
      </c>
    </row>
    <row r="29" spans="3:17" s="6" customFormat="1" ht="30" customHeight="1" x14ac:dyDescent="0.35">
      <c r="C29" s="12">
        <f>VLOOKUP(Contacts4[[#This Row],[Código Tarea]],'[7]4. Directorio Integrado'!$B$4:$N$245,2,0)</f>
        <v>2</v>
      </c>
      <c r="D29" s="12" t="str">
        <f>VLOOKUP(Contacts4[[#This Row],[Código Tarea]],'[7]4. Directorio Integrado'!$B$4:$N$245,3,0)</f>
        <v>Seguridad de la Información</v>
      </c>
      <c r="E29" s="12" t="str">
        <f>VLOOKUP(Contacts4[[#This Row],[Código Tarea]],'[7]4. Directorio Integrado'!$B$4:$N$245,4,0)</f>
        <v>2.1</v>
      </c>
      <c r="F29" s="12" t="str">
        <f>VLOOKUP(Contacts4[[#This Row],[Código Tarea]],'[7]4. Directorio Integrado'!$B$4:$N$245,5,0)</f>
        <v>Física</v>
      </c>
      <c r="G29" s="12" t="str">
        <f>VLOOKUP(Contacts4[[#This Row],[Código Tarea]],'[7]4. Directorio Integrado'!$B$4:$N$245,6,0)</f>
        <v>2.1.2</v>
      </c>
      <c r="H29" s="12" t="str">
        <f>VLOOKUP(Contacts4[[#This Row],[Código Tarea]],'[7]4. Directorio Integrado'!$B$4:$N$245,7,0)</f>
        <v>Revisión de muebles y enceres</v>
      </c>
      <c r="I29" s="20" t="str">
        <f>'[7]4. Directorio Integrado'!I59</f>
        <v>2.1.2.014</v>
      </c>
      <c r="J29" s="21" t="str">
        <f>IFERROR((VLOOKUP(Contacts4[[#This Row],[Código Tarea]],'[7]4. Directorio Integrado'!I$4:J$1048576,2,0)),"")</f>
        <v>Cuenta con aire acondicionado y su función es óptima.</v>
      </c>
      <c r="K29" s="14" t="str">
        <f>IFERROR((VLOOKUP(Contacts4[[#This Row],[Código Tarea]],'[7]4. Directorio Integrado'!I$4:K$1048576,3,0)),"")</f>
        <v>Actividad a Distancia</v>
      </c>
      <c r="L29" s="16" t="str">
        <f>IF((VLOOKUP(Contacts4[[#This Row],[Código Tarea]],'[7]Formato 2 - SGSI'!$B$10:$I$83,3,0))=0,"",(VLOOKUP(Contacts4[[#This Row],[Código Tarea]],'[7]Formato 2 - SGSI'!$B$10:$I$83,3,0)))</f>
        <v>X</v>
      </c>
      <c r="M29" s="16" t="str">
        <f>IF((VLOOKUP(Contacts4[[#This Row],[Código Tarea]],'[7]Formato 2 - SGSI'!$B$10:$I$83,4,0))=0,"",(VLOOKUP(Contacts4[[#This Row],[Código Tarea]],'[7]Formato 2 - SGSI'!$B$10:$I$83,4)))</f>
        <v/>
      </c>
      <c r="N29" s="16" t="str">
        <f>IF((VLOOKUP(Contacts4[[#This Row],[Código Tarea]],'[7]Formato 2 - SGSI'!$B$10:$I$83,5,0))=0,"",(VLOOKUP(Contacts4[[#This Row],[Código Tarea]],'[7]Formato 2 - SGSI'!$B$10:$I$83,5)))</f>
        <v/>
      </c>
      <c r="O29" s="16" t="str">
        <f>IF((VLOOKUP(Contacts4[[#This Row],[Código Tarea]],'[7]Formato 2 - SGSI'!$B$10:$I$83,6,0))=0,"",(VLOOKUP(Contacts4[[#This Row],[Código Tarea]],'[7]Formato 2 - SGSI'!$B$10:$I$83,6)))</f>
        <v/>
      </c>
      <c r="P29" s="16" t="str">
        <f>IF((VLOOKUP(Contacts4[[#This Row],[Código Tarea]],'[7]Formato 2 - SGSI'!$B$10:$I$83,7,0))=0,"",(VLOOKUP(Contacts4[[#This Row],[Código Tarea]],'[7]Formato 2 - SGSI'!$B$10:$I$83,7)))</f>
        <v/>
      </c>
      <c r="Q29" s="22" t="str">
        <f>VLOOKUP(Contacts4[[#This Row],[Código Tarea]],'[7]4. Directorio Integrado'!$I$4:$M$245,5,0)</f>
        <v>SARO/SGSI</v>
      </c>
    </row>
    <row r="30" spans="3:17" s="6" customFormat="1" ht="30" customHeight="1" x14ac:dyDescent="0.35">
      <c r="C30" s="12">
        <f>VLOOKUP(Contacts4[[#This Row],[Código Tarea]],'[7]4. Directorio Integrado'!$B$4:$N$245,2,0)</f>
        <v>2</v>
      </c>
      <c r="D30" s="12" t="str">
        <f>VLOOKUP(Contacts4[[#This Row],[Código Tarea]],'[7]4. Directorio Integrado'!$B$4:$N$245,3,0)</f>
        <v>Seguridad de la Información</v>
      </c>
      <c r="E30" s="12" t="str">
        <f>VLOOKUP(Contacts4[[#This Row],[Código Tarea]],'[7]4. Directorio Integrado'!$B$4:$N$245,4,0)</f>
        <v>2.1</v>
      </c>
      <c r="F30" s="12" t="str">
        <f>VLOOKUP(Contacts4[[#This Row],[Código Tarea]],'[7]4. Directorio Integrado'!$B$4:$N$245,5,0)</f>
        <v>Física</v>
      </c>
      <c r="G30" s="12" t="str">
        <f>VLOOKUP(Contacts4[[#This Row],[Código Tarea]],'[7]4. Directorio Integrado'!$B$4:$N$245,6,0)</f>
        <v>2.1.2</v>
      </c>
      <c r="H30" s="12" t="str">
        <f>VLOOKUP(Contacts4[[#This Row],[Código Tarea]],'[7]4. Directorio Integrado'!$B$4:$N$245,7,0)</f>
        <v>Revisión de muebles y enceres</v>
      </c>
      <c r="I30" s="20" t="str">
        <f>'[7]4. Directorio Integrado'!I60</f>
        <v>2.1.2.015</v>
      </c>
      <c r="J30" s="21" t="str">
        <f>IFERROR((VLOOKUP(Contacts4[[#This Row],[Código Tarea]],'[7]4. Directorio Integrado'!I$4:J$1048576,2,0)),"")</f>
        <v>Cuenta con condensadores aires acondicionados y su función es óptima.</v>
      </c>
      <c r="K30" s="14" t="str">
        <f>IFERROR((VLOOKUP(Contacts4[[#This Row],[Código Tarea]],'[7]4. Directorio Integrado'!I$4:K$1048576,3,0)),"")</f>
        <v>Actividad a Distancia</v>
      </c>
      <c r="L30" s="16" t="str">
        <f>IF((VLOOKUP(Contacts4[[#This Row],[Código Tarea]],'[7]Formato 2 - SGSI'!$B$10:$I$83,3,0))=0,"",(VLOOKUP(Contacts4[[#This Row],[Código Tarea]],'[7]Formato 2 - SGSI'!$B$10:$I$83,3,0)))</f>
        <v>X</v>
      </c>
      <c r="M30" s="16" t="str">
        <f>IF((VLOOKUP(Contacts4[[#This Row],[Código Tarea]],'[7]Formato 2 - SGSI'!$B$10:$I$83,4,0))=0,"",(VLOOKUP(Contacts4[[#This Row],[Código Tarea]],'[7]Formato 2 - SGSI'!$B$10:$I$83,4)))</f>
        <v/>
      </c>
      <c r="N30" s="16" t="str">
        <f>IF((VLOOKUP(Contacts4[[#This Row],[Código Tarea]],'[7]Formato 2 - SGSI'!$B$10:$I$83,5,0))=0,"",(VLOOKUP(Contacts4[[#This Row],[Código Tarea]],'[7]Formato 2 - SGSI'!$B$10:$I$83,5)))</f>
        <v/>
      </c>
      <c r="O30" s="16" t="str">
        <f>IF((VLOOKUP(Contacts4[[#This Row],[Código Tarea]],'[7]Formato 2 - SGSI'!$B$10:$I$83,6,0))=0,"",(VLOOKUP(Contacts4[[#This Row],[Código Tarea]],'[7]Formato 2 - SGSI'!$B$10:$I$83,6)))</f>
        <v/>
      </c>
      <c r="P30" s="16" t="str">
        <f>IF((VLOOKUP(Contacts4[[#This Row],[Código Tarea]],'[7]Formato 2 - SGSI'!$B$10:$I$83,7,0))=0,"",(VLOOKUP(Contacts4[[#This Row],[Código Tarea]],'[7]Formato 2 - SGSI'!$B$10:$I$83,7)))</f>
        <v/>
      </c>
      <c r="Q30" s="22" t="str">
        <f>VLOOKUP(Contacts4[[#This Row],[Código Tarea]],'[7]4. Directorio Integrado'!$I$4:$M$245,5,0)</f>
        <v>SARO/SGSI</v>
      </c>
    </row>
    <row r="31" spans="3:17" s="6" customFormat="1" ht="30" customHeight="1" x14ac:dyDescent="0.35">
      <c r="C31" s="12">
        <f>VLOOKUP(Contacts4[[#This Row],[Código Tarea]],'[7]4. Directorio Integrado'!$B$4:$N$245,2,0)</f>
        <v>2</v>
      </c>
      <c r="D31" s="12" t="str">
        <f>VLOOKUP(Contacts4[[#This Row],[Código Tarea]],'[7]4. Directorio Integrado'!$B$4:$N$245,3,0)</f>
        <v>Seguridad de la Información</v>
      </c>
      <c r="E31" s="12" t="str">
        <f>VLOOKUP(Contacts4[[#This Row],[Código Tarea]],'[7]4. Directorio Integrado'!$B$4:$N$245,4,0)</f>
        <v>2.1</v>
      </c>
      <c r="F31" s="12" t="str">
        <f>VLOOKUP(Contacts4[[#This Row],[Código Tarea]],'[7]4. Directorio Integrado'!$B$4:$N$245,5,0)</f>
        <v>Física</v>
      </c>
      <c r="G31" s="12" t="str">
        <f>VLOOKUP(Contacts4[[#This Row],[Código Tarea]],'[7]4. Directorio Integrado'!$B$4:$N$245,6,0)</f>
        <v>2.1.2</v>
      </c>
      <c r="H31" s="12" t="str">
        <f>VLOOKUP(Contacts4[[#This Row],[Código Tarea]],'[7]4. Directorio Integrado'!$B$4:$N$245,7,0)</f>
        <v>Revisión de muebles y enceres</v>
      </c>
      <c r="I31" s="20" t="str">
        <f>'[7]4. Directorio Integrado'!I61</f>
        <v>2.1.2.016</v>
      </c>
      <c r="J31" s="21" t="str">
        <f>IFERROR((VLOOKUP(Contacts4[[#This Row],[Código Tarea]],'[7]4. Directorio Integrado'!I$4:J$1048576,2,0)),"")</f>
        <v>Cuenta con televisor y su función es óptima.</v>
      </c>
      <c r="K31" s="14" t="str">
        <f>IFERROR((VLOOKUP(Contacts4[[#This Row],[Código Tarea]],'[7]4. Directorio Integrado'!I$4:K$1048576,3,0)),"")</f>
        <v>Actividad a Distancia</v>
      </c>
      <c r="L31" s="16" t="str">
        <f>IF((VLOOKUP(Contacts4[[#This Row],[Código Tarea]],'[7]Formato 2 - SGSI'!$B$10:$I$83,3,0))=0,"",(VLOOKUP(Contacts4[[#This Row],[Código Tarea]],'[7]Formato 2 - SGSI'!$B$10:$I$83,3,0)))</f>
        <v>X</v>
      </c>
      <c r="M31" s="16" t="str">
        <f>IF((VLOOKUP(Contacts4[[#This Row],[Código Tarea]],'[7]Formato 2 - SGSI'!$B$10:$I$83,4,0))=0,"",(VLOOKUP(Contacts4[[#This Row],[Código Tarea]],'[7]Formato 2 - SGSI'!$B$10:$I$83,4)))</f>
        <v/>
      </c>
      <c r="N31" s="16" t="str">
        <f>IF((VLOOKUP(Contacts4[[#This Row],[Código Tarea]],'[7]Formato 2 - SGSI'!$B$10:$I$83,5,0))=0,"",(VLOOKUP(Contacts4[[#This Row],[Código Tarea]],'[7]Formato 2 - SGSI'!$B$10:$I$83,5)))</f>
        <v/>
      </c>
      <c r="O31" s="16" t="str">
        <f>IF((VLOOKUP(Contacts4[[#This Row],[Código Tarea]],'[7]Formato 2 - SGSI'!$B$10:$I$83,6,0))=0,"",(VLOOKUP(Contacts4[[#This Row],[Código Tarea]],'[7]Formato 2 - SGSI'!$B$10:$I$83,6)))</f>
        <v/>
      </c>
      <c r="P31" s="16" t="str">
        <f>IF((VLOOKUP(Contacts4[[#This Row],[Código Tarea]],'[7]Formato 2 - SGSI'!$B$10:$I$83,7,0))=0,"",(VLOOKUP(Contacts4[[#This Row],[Código Tarea]],'[7]Formato 2 - SGSI'!$B$10:$I$83,7)))</f>
        <v/>
      </c>
      <c r="Q31" s="22" t="str">
        <f>VLOOKUP(Contacts4[[#This Row],[Código Tarea]],'[7]4. Directorio Integrado'!$I$4:$M$245,5,0)</f>
        <v>SARO/SGSI</v>
      </c>
    </row>
    <row r="32" spans="3:17" s="6" customFormat="1" ht="30" customHeight="1" x14ac:dyDescent="0.35">
      <c r="C32" s="12">
        <f>VLOOKUP(Contacts4[[#This Row],[Código Tarea]],'[7]4. Directorio Integrado'!$B$4:$N$245,2,0)</f>
        <v>2</v>
      </c>
      <c r="D32" s="12" t="str">
        <f>VLOOKUP(Contacts4[[#This Row],[Código Tarea]],'[7]4. Directorio Integrado'!$B$4:$N$245,3,0)</f>
        <v>Seguridad de la Información</v>
      </c>
      <c r="E32" s="12" t="str">
        <f>VLOOKUP(Contacts4[[#This Row],[Código Tarea]],'[7]4. Directorio Integrado'!$B$4:$N$245,4,0)</f>
        <v>2.1</v>
      </c>
      <c r="F32" s="12" t="str">
        <f>VLOOKUP(Contacts4[[#This Row],[Código Tarea]],'[7]4. Directorio Integrado'!$B$4:$N$245,5,0)</f>
        <v>Física</v>
      </c>
      <c r="G32" s="12" t="str">
        <f>VLOOKUP(Contacts4[[#This Row],[Código Tarea]],'[7]4. Directorio Integrado'!$B$4:$N$245,6,0)</f>
        <v>2.1.2</v>
      </c>
      <c r="H32" s="12" t="str">
        <f>VLOOKUP(Contacts4[[#This Row],[Código Tarea]],'[7]4. Directorio Integrado'!$B$4:$N$245,7,0)</f>
        <v>Revisión de muebles y enceres</v>
      </c>
      <c r="I32" s="20" t="str">
        <f>'[7]4. Directorio Integrado'!I62</f>
        <v>2.1.2.017</v>
      </c>
      <c r="J32" s="21" t="str">
        <f>IFERROR((VLOOKUP(Contacts4[[#This Row],[Código Tarea]],'[7]4. Directorio Integrado'!I$4:J$1048576,2,0)),"")</f>
        <v>Cuenta con DVD y su función es óptima.</v>
      </c>
      <c r="K32" s="14" t="str">
        <f>IFERROR((VLOOKUP(Contacts4[[#This Row],[Código Tarea]],'[7]4. Directorio Integrado'!I$4:K$1048576,3,0)),"")</f>
        <v>Actividad a Distancia</v>
      </c>
      <c r="L32" s="16" t="str">
        <f>IF((VLOOKUP(Contacts4[[#This Row],[Código Tarea]],'[7]Formato 2 - SGSI'!$B$10:$I$83,3,0))=0,"",(VLOOKUP(Contacts4[[#This Row],[Código Tarea]],'[7]Formato 2 - SGSI'!$B$10:$I$83,3,0)))</f>
        <v>X</v>
      </c>
      <c r="M32" s="16" t="str">
        <f>IF((VLOOKUP(Contacts4[[#This Row],[Código Tarea]],'[7]Formato 2 - SGSI'!$B$10:$I$83,4,0))=0,"",(VLOOKUP(Contacts4[[#This Row],[Código Tarea]],'[7]Formato 2 - SGSI'!$B$10:$I$83,4)))</f>
        <v/>
      </c>
      <c r="N32" s="16" t="str">
        <f>IF((VLOOKUP(Contacts4[[#This Row],[Código Tarea]],'[7]Formato 2 - SGSI'!$B$10:$I$83,5,0))=0,"",(VLOOKUP(Contacts4[[#This Row],[Código Tarea]],'[7]Formato 2 - SGSI'!$B$10:$I$83,5)))</f>
        <v/>
      </c>
      <c r="O32" s="16" t="str">
        <f>IF((VLOOKUP(Contacts4[[#This Row],[Código Tarea]],'[7]Formato 2 - SGSI'!$B$10:$I$83,6,0))=0,"",(VLOOKUP(Contacts4[[#This Row],[Código Tarea]],'[7]Formato 2 - SGSI'!$B$10:$I$83,6)))</f>
        <v/>
      </c>
      <c r="P32" s="16" t="str">
        <f>IF((VLOOKUP(Contacts4[[#This Row],[Código Tarea]],'[7]Formato 2 - SGSI'!$B$10:$I$83,7,0))=0,"",(VLOOKUP(Contacts4[[#This Row],[Código Tarea]],'[7]Formato 2 - SGSI'!$B$10:$I$83,7)))</f>
        <v/>
      </c>
      <c r="Q32" s="22" t="str">
        <f>VLOOKUP(Contacts4[[#This Row],[Código Tarea]],'[7]4. Directorio Integrado'!$I$4:$M$245,5,0)</f>
        <v>SARO/SGSI</v>
      </c>
    </row>
    <row r="33" spans="3:17" s="6" customFormat="1" ht="30" customHeight="1" x14ac:dyDescent="0.35">
      <c r="C33" s="12">
        <f>VLOOKUP(Contacts4[[#This Row],[Código Tarea]],'[7]4. Directorio Integrado'!$B$4:$N$245,2,0)</f>
        <v>2</v>
      </c>
      <c r="D33" s="12" t="str">
        <f>VLOOKUP(Contacts4[[#This Row],[Código Tarea]],'[7]4. Directorio Integrado'!$B$4:$N$245,3,0)</f>
        <v>Seguridad de la Información</v>
      </c>
      <c r="E33" s="12" t="str">
        <f>VLOOKUP(Contacts4[[#This Row],[Código Tarea]],'[7]4. Directorio Integrado'!$B$4:$N$245,4,0)</f>
        <v>2.1</v>
      </c>
      <c r="F33" s="12" t="str">
        <f>VLOOKUP(Contacts4[[#This Row],[Código Tarea]],'[7]4. Directorio Integrado'!$B$4:$N$245,5,0)</f>
        <v>Física</v>
      </c>
      <c r="G33" s="12" t="str">
        <f>VLOOKUP(Contacts4[[#This Row],[Código Tarea]],'[7]4. Directorio Integrado'!$B$4:$N$245,6,0)</f>
        <v>2.1.2</v>
      </c>
      <c r="H33" s="12" t="str">
        <f>VLOOKUP(Contacts4[[#This Row],[Código Tarea]],'[7]4. Directorio Integrado'!$B$4:$N$245,7,0)</f>
        <v>Revisión de muebles y enceres</v>
      </c>
      <c r="I33" s="20" t="str">
        <f>'[7]4. Directorio Integrado'!I63</f>
        <v>2.1.2.018</v>
      </c>
      <c r="J33" s="21" t="str">
        <f>IFERROR((VLOOKUP(Contacts4[[#This Row],[Código Tarea]],'[7]4. Directorio Integrado'!I$4:J$1048576,2,0)),"")</f>
        <v>Cuenta con horno microondas y su función es óptima.</v>
      </c>
      <c r="K33" s="14" t="str">
        <f>IFERROR((VLOOKUP(Contacts4[[#This Row],[Código Tarea]],'[7]4. Directorio Integrado'!I$4:K$1048576,3,0)),"")</f>
        <v>Actividad a Distancia</v>
      </c>
      <c r="L33" s="16" t="str">
        <f>IF((VLOOKUP(Contacts4[[#This Row],[Código Tarea]],'[7]Formato 2 - SGSI'!$B$10:$I$83,3,0))=0,"",(VLOOKUP(Contacts4[[#This Row],[Código Tarea]],'[7]Formato 2 - SGSI'!$B$10:$I$83,3,0)))</f>
        <v>X</v>
      </c>
      <c r="M33" s="16" t="str">
        <f>IF((VLOOKUP(Contacts4[[#This Row],[Código Tarea]],'[7]Formato 2 - SGSI'!$B$10:$I$83,4,0))=0,"",(VLOOKUP(Contacts4[[#This Row],[Código Tarea]],'[7]Formato 2 - SGSI'!$B$10:$I$83,4)))</f>
        <v/>
      </c>
      <c r="N33" s="16" t="str">
        <f>IF((VLOOKUP(Contacts4[[#This Row],[Código Tarea]],'[7]Formato 2 - SGSI'!$B$10:$I$83,5,0))=0,"",(VLOOKUP(Contacts4[[#This Row],[Código Tarea]],'[7]Formato 2 - SGSI'!$B$10:$I$83,5)))</f>
        <v/>
      </c>
      <c r="O33" s="16" t="str">
        <f>IF((VLOOKUP(Contacts4[[#This Row],[Código Tarea]],'[7]Formato 2 - SGSI'!$B$10:$I$83,6,0))=0,"",(VLOOKUP(Contacts4[[#This Row],[Código Tarea]],'[7]Formato 2 - SGSI'!$B$10:$I$83,6)))</f>
        <v/>
      </c>
      <c r="P33" s="16" t="str">
        <f>IF((VLOOKUP(Contacts4[[#This Row],[Código Tarea]],'[7]Formato 2 - SGSI'!$B$10:$I$83,7,0))=0,"",(VLOOKUP(Contacts4[[#This Row],[Código Tarea]],'[7]Formato 2 - SGSI'!$B$10:$I$83,7)))</f>
        <v/>
      </c>
      <c r="Q33" s="22" t="str">
        <f>VLOOKUP(Contacts4[[#This Row],[Código Tarea]],'[7]4. Directorio Integrado'!$I$4:$M$245,5,0)</f>
        <v>SARO/SGSI</v>
      </c>
    </row>
    <row r="34" spans="3:17" s="6" customFormat="1" ht="30" customHeight="1" x14ac:dyDescent="0.35">
      <c r="C34" s="12">
        <f>VLOOKUP(Contacts4[[#This Row],[Código Tarea]],'[7]4. Directorio Integrado'!$B$4:$N$245,2,0)</f>
        <v>2</v>
      </c>
      <c r="D34" s="12" t="str">
        <f>VLOOKUP(Contacts4[[#This Row],[Código Tarea]],'[7]4. Directorio Integrado'!$B$4:$N$245,3,0)</f>
        <v>Seguridad de la Información</v>
      </c>
      <c r="E34" s="12" t="str">
        <f>VLOOKUP(Contacts4[[#This Row],[Código Tarea]],'[7]4. Directorio Integrado'!$B$4:$N$245,4,0)</f>
        <v>2.1</v>
      </c>
      <c r="F34" s="12" t="str">
        <f>VLOOKUP(Contacts4[[#This Row],[Código Tarea]],'[7]4. Directorio Integrado'!$B$4:$N$245,5,0)</f>
        <v>Física</v>
      </c>
      <c r="G34" s="12" t="str">
        <f>VLOOKUP(Contacts4[[#This Row],[Código Tarea]],'[7]4. Directorio Integrado'!$B$4:$N$245,6,0)</f>
        <v>2.1.2</v>
      </c>
      <c r="H34" s="12" t="str">
        <f>VLOOKUP(Contacts4[[#This Row],[Código Tarea]],'[7]4. Directorio Integrado'!$B$4:$N$245,7,0)</f>
        <v>Revisión de muebles y enceres</v>
      </c>
      <c r="I34" s="20" t="str">
        <f>'[7]4. Directorio Integrado'!I64</f>
        <v>2.1.2.019</v>
      </c>
      <c r="J34" s="21" t="str">
        <f>IFERROR((VLOOKUP(Contacts4[[#This Row],[Código Tarea]],'[7]4. Directorio Integrado'!I$4:J$1048576,2,0)),"")</f>
        <v>Cuenta con nevera y su función es óptima.</v>
      </c>
      <c r="K34" s="14" t="str">
        <f>IFERROR((VLOOKUP(Contacts4[[#This Row],[Código Tarea]],'[7]4. Directorio Integrado'!I$4:K$1048576,3,0)),"")</f>
        <v>Actividad a Distancia</v>
      </c>
      <c r="L34" s="16" t="str">
        <f>IF((VLOOKUP(Contacts4[[#This Row],[Código Tarea]],'[7]Formato 2 - SGSI'!$B$10:$I$83,3,0))=0,"",(VLOOKUP(Contacts4[[#This Row],[Código Tarea]],'[7]Formato 2 - SGSI'!$B$10:$I$83,3,0)))</f>
        <v>X</v>
      </c>
      <c r="M34" s="16" t="str">
        <f>IF((VLOOKUP(Contacts4[[#This Row],[Código Tarea]],'[7]Formato 2 - SGSI'!$B$10:$I$83,4,0))=0,"",(VLOOKUP(Contacts4[[#This Row],[Código Tarea]],'[7]Formato 2 - SGSI'!$B$10:$I$83,4)))</f>
        <v/>
      </c>
      <c r="N34" s="16" t="str">
        <f>IF((VLOOKUP(Contacts4[[#This Row],[Código Tarea]],'[7]Formato 2 - SGSI'!$B$10:$I$83,5,0))=0,"",(VLOOKUP(Contacts4[[#This Row],[Código Tarea]],'[7]Formato 2 - SGSI'!$B$10:$I$83,5)))</f>
        <v/>
      </c>
      <c r="O34" s="16" t="str">
        <f>IF((VLOOKUP(Contacts4[[#This Row],[Código Tarea]],'[7]Formato 2 - SGSI'!$B$10:$I$83,6,0))=0,"",(VLOOKUP(Contacts4[[#This Row],[Código Tarea]],'[7]Formato 2 - SGSI'!$B$10:$I$83,6)))</f>
        <v/>
      </c>
      <c r="P34" s="16" t="str">
        <f>IF((VLOOKUP(Contacts4[[#This Row],[Código Tarea]],'[7]Formato 2 - SGSI'!$B$10:$I$83,7,0))=0,"",(VLOOKUP(Contacts4[[#This Row],[Código Tarea]],'[7]Formato 2 - SGSI'!$B$10:$I$83,7)))</f>
        <v/>
      </c>
      <c r="Q34" s="22" t="str">
        <f>VLOOKUP(Contacts4[[#This Row],[Código Tarea]],'[7]4. Directorio Integrado'!$I$4:$M$245,5,0)</f>
        <v>SARO/SGSI</v>
      </c>
    </row>
    <row r="35" spans="3:17" s="6" customFormat="1" ht="30" customHeight="1" x14ac:dyDescent="0.35">
      <c r="C35" s="12">
        <f>VLOOKUP(Contacts4[[#This Row],[Código Tarea]],'[7]4. Directorio Integrado'!$B$4:$N$245,2,0)</f>
        <v>2</v>
      </c>
      <c r="D35" s="12" t="str">
        <f>VLOOKUP(Contacts4[[#This Row],[Código Tarea]],'[7]4. Directorio Integrado'!$B$4:$N$245,3,0)</f>
        <v>Seguridad de la Información</v>
      </c>
      <c r="E35" s="12" t="str">
        <f>VLOOKUP(Contacts4[[#This Row],[Código Tarea]],'[7]4. Directorio Integrado'!$B$4:$N$245,4,0)</f>
        <v>2.1</v>
      </c>
      <c r="F35" s="12" t="str">
        <f>VLOOKUP(Contacts4[[#This Row],[Código Tarea]],'[7]4. Directorio Integrado'!$B$4:$N$245,5,0)</f>
        <v>Física</v>
      </c>
      <c r="G35" s="12" t="str">
        <f>VLOOKUP(Contacts4[[#This Row],[Código Tarea]],'[7]4. Directorio Integrado'!$B$4:$N$245,6,0)</f>
        <v>2.1.2</v>
      </c>
      <c r="H35" s="12" t="str">
        <f>VLOOKUP(Contacts4[[#This Row],[Código Tarea]],'[7]4. Directorio Integrado'!$B$4:$N$245,7,0)</f>
        <v>Revisión de muebles y enceres</v>
      </c>
      <c r="I35" s="20" t="str">
        <f>'[7]4. Directorio Integrado'!I65</f>
        <v>2.1.2.020</v>
      </c>
      <c r="J35" s="21" t="str">
        <f>IFERROR((VLOOKUP(Contacts4[[#This Row],[Código Tarea]],'[7]4. Directorio Integrado'!I$4:J$1048576,2,0)),"")</f>
        <v>Cuenta con dispensador de agua y su función es óptima.</v>
      </c>
      <c r="K35" s="14" t="str">
        <f>IFERROR((VLOOKUP(Contacts4[[#This Row],[Código Tarea]],'[7]4. Directorio Integrado'!I$4:K$1048576,3,0)),"")</f>
        <v>Actividad a Distancia</v>
      </c>
      <c r="L35" s="16" t="str">
        <f>IF((VLOOKUP(Contacts4[[#This Row],[Código Tarea]],'[7]Formato 2 - SGSI'!$B$10:$I$83,3,0))=0,"",(VLOOKUP(Contacts4[[#This Row],[Código Tarea]],'[7]Formato 2 - SGSI'!$B$10:$I$83,3,0)))</f>
        <v>X</v>
      </c>
      <c r="M35" s="16" t="str">
        <f>IF((VLOOKUP(Contacts4[[#This Row],[Código Tarea]],'[7]Formato 2 - SGSI'!$B$10:$I$83,4,0))=0,"",(VLOOKUP(Contacts4[[#This Row],[Código Tarea]],'[7]Formato 2 - SGSI'!$B$10:$I$83,4)))</f>
        <v/>
      </c>
      <c r="N35" s="16" t="str">
        <f>IF((VLOOKUP(Contacts4[[#This Row],[Código Tarea]],'[7]Formato 2 - SGSI'!$B$10:$I$83,5,0))=0,"",(VLOOKUP(Contacts4[[#This Row],[Código Tarea]],'[7]Formato 2 - SGSI'!$B$10:$I$83,5)))</f>
        <v/>
      </c>
      <c r="O35" s="16" t="str">
        <f>IF((VLOOKUP(Contacts4[[#This Row],[Código Tarea]],'[7]Formato 2 - SGSI'!$B$10:$I$83,6,0))=0,"",(VLOOKUP(Contacts4[[#This Row],[Código Tarea]],'[7]Formato 2 - SGSI'!$B$10:$I$83,6)))</f>
        <v/>
      </c>
      <c r="P35" s="16" t="str">
        <f>IF((VLOOKUP(Contacts4[[#This Row],[Código Tarea]],'[7]Formato 2 - SGSI'!$B$10:$I$83,7,0))=0,"",(VLOOKUP(Contacts4[[#This Row],[Código Tarea]],'[7]Formato 2 - SGSI'!$B$10:$I$83,7)))</f>
        <v/>
      </c>
      <c r="Q35" s="22" t="str">
        <f>VLOOKUP(Contacts4[[#This Row],[Código Tarea]],'[7]4. Directorio Integrado'!$I$4:$M$245,5,0)</f>
        <v>SARO/SGSI</v>
      </c>
    </row>
    <row r="36" spans="3:17" s="6" customFormat="1" ht="30" customHeight="1" x14ac:dyDescent="0.35">
      <c r="C36" s="12">
        <f>VLOOKUP(Contacts4[[#This Row],[Código Tarea]],'[7]4. Directorio Integrado'!$B$4:$N$245,2,0)</f>
        <v>2</v>
      </c>
      <c r="D36" s="12" t="str">
        <f>VLOOKUP(Contacts4[[#This Row],[Código Tarea]],'[7]4. Directorio Integrado'!$B$4:$N$245,3,0)</f>
        <v>Seguridad de la Información</v>
      </c>
      <c r="E36" s="12" t="str">
        <f>VLOOKUP(Contacts4[[#This Row],[Código Tarea]],'[7]4. Directorio Integrado'!$B$4:$N$245,4,0)</f>
        <v>2.1</v>
      </c>
      <c r="F36" s="12" t="str">
        <f>VLOOKUP(Contacts4[[#This Row],[Código Tarea]],'[7]4. Directorio Integrado'!$B$4:$N$245,5,0)</f>
        <v>Física</v>
      </c>
      <c r="G36" s="12" t="str">
        <f>VLOOKUP(Contacts4[[#This Row],[Código Tarea]],'[7]4. Directorio Integrado'!$B$4:$N$245,6,0)</f>
        <v>2.1.2</v>
      </c>
      <c r="H36" s="12" t="str">
        <f>VLOOKUP(Contacts4[[#This Row],[Código Tarea]],'[7]4. Directorio Integrado'!$B$4:$N$245,7,0)</f>
        <v>Revisión de muebles y enceres</v>
      </c>
      <c r="I36" s="20" t="str">
        <f>'[7]4. Directorio Integrado'!I66</f>
        <v>2.1.2.021</v>
      </c>
      <c r="J36" s="21" t="str">
        <f>IFERROR((VLOOKUP(Contacts4[[#This Row],[Código Tarea]],'[7]4. Directorio Integrado'!I$4:J$1048576,2,0)),"")</f>
        <v>Cuenta con filtro de agua y su función es óptima.</v>
      </c>
      <c r="K36" s="14" t="str">
        <f>IFERROR((VLOOKUP(Contacts4[[#This Row],[Código Tarea]],'[7]4. Directorio Integrado'!I$4:K$1048576,3,0)),"")</f>
        <v>Actividad a Distancia</v>
      </c>
      <c r="L36" s="16" t="str">
        <f>IF((VLOOKUP(Contacts4[[#This Row],[Código Tarea]],'[7]Formato 2 - SGSI'!$B$10:$I$83,3,0))=0,"",(VLOOKUP(Contacts4[[#This Row],[Código Tarea]],'[7]Formato 2 - SGSI'!$B$10:$I$83,3,0)))</f>
        <v>X</v>
      </c>
      <c r="M36" s="16" t="str">
        <f>IF((VLOOKUP(Contacts4[[#This Row],[Código Tarea]],'[7]Formato 2 - SGSI'!$B$10:$I$83,4,0))=0,"",(VLOOKUP(Contacts4[[#This Row],[Código Tarea]],'[7]Formato 2 - SGSI'!$B$10:$I$83,4)))</f>
        <v/>
      </c>
      <c r="N36" s="16" t="str">
        <f>IF((VLOOKUP(Contacts4[[#This Row],[Código Tarea]],'[7]Formato 2 - SGSI'!$B$10:$I$83,5,0))=0,"",(VLOOKUP(Contacts4[[#This Row],[Código Tarea]],'[7]Formato 2 - SGSI'!$B$10:$I$83,5)))</f>
        <v/>
      </c>
      <c r="O36" s="16" t="str">
        <f>IF((VLOOKUP(Contacts4[[#This Row],[Código Tarea]],'[7]Formato 2 - SGSI'!$B$10:$I$83,6,0))=0,"",(VLOOKUP(Contacts4[[#This Row],[Código Tarea]],'[7]Formato 2 - SGSI'!$B$10:$I$83,6)))</f>
        <v/>
      </c>
      <c r="P36" s="16" t="str">
        <f>IF((VLOOKUP(Contacts4[[#This Row],[Código Tarea]],'[7]Formato 2 - SGSI'!$B$10:$I$83,7,0))=0,"",(VLOOKUP(Contacts4[[#This Row],[Código Tarea]],'[7]Formato 2 - SGSI'!$B$10:$I$83,7)))</f>
        <v/>
      </c>
      <c r="Q36" s="22" t="str">
        <f>VLOOKUP(Contacts4[[#This Row],[Código Tarea]],'[7]4. Directorio Integrado'!$I$4:$M$245,5,0)</f>
        <v>SARO/SGSI</v>
      </c>
    </row>
    <row r="37" spans="3:17" s="6" customFormat="1" ht="30" customHeight="1" x14ac:dyDescent="0.35">
      <c r="C37" s="12">
        <f>VLOOKUP(Contacts4[[#This Row],[Código Tarea]],'[7]4. Directorio Integrado'!$B$4:$N$245,2,0)</f>
        <v>2</v>
      </c>
      <c r="D37" s="12" t="str">
        <f>VLOOKUP(Contacts4[[#This Row],[Código Tarea]],'[7]4. Directorio Integrado'!$B$4:$N$245,3,0)</f>
        <v>Seguridad de la Información</v>
      </c>
      <c r="E37" s="12" t="str">
        <f>VLOOKUP(Contacts4[[#This Row],[Código Tarea]],'[7]4. Directorio Integrado'!$B$4:$N$245,4,0)</f>
        <v>2.1</v>
      </c>
      <c r="F37" s="12" t="str">
        <f>VLOOKUP(Contacts4[[#This Row],[Código Tarea]],'[7]4. Directorio Integrado'!$B$4:$N$245,5,0)</f>
        <v>Física</v>
      </c>
      <c r="G37" s="12" t="str">
        <f>VLOOKUP(Contacts4[[#This Row],[Código Tarea]],'[7]4. Directorio Integrado'!$B$4:$N$245,6,0)</f>
        <v>2.1.2</v>
      </c>
      <c r="H37" s="12" t="str">
        <f>VLOOKUP(Contacts4[[#This Row],[Código Tarea]],'[7]4. Directorio Integrado'!$B$4:$N$245,7,0)</f>
        <v>Revisión de muebles y enceres</v>
      </c>
      <c r="I37" s="20" t="str">
        <f>'[7]4. Directorio Integrado'!I67</f>
        <v>2.1.2.022</v>
      </c>
      <c r="J37" s="21" t="str">
        <f>IFERROR((VLOOKUP(Contacts4[[#This Row],[Código Tarea]],'[7]4. Directorio Integrado'!I$4:J$1048576,2,0)),"")</f>
        <v>Cuenta con greca y su función es óptima.</v>
      </c>
      <c r="K37" s="14" t="str">
        <f>IFERROR((VLOOKUP(Contacts4[[#This Row],[Código Tarea]],'[7]4. Directorio Integrado'!I$4:K$1048576,3,0)),"")</f>
        <v>Actividad a Distancia</v>
      </c>
      <c r="L37" s="16" t="str">
        <f>IF((VLOOKUP(Contacts4[[#This Row],[Código Tarea]],'[7]Formato 2 - SGSI'!$B$10:$I$83,3,0))=0,"",(VLOOKUP(Contacts4[[#This Row],[Código Tarea]],'[7]Formato 2 - SGSI'!$B$10:$I$83,3,0)))</f>
        <v>X</v>
      </c>
      <c r="M37" s="16" t="str">
        <f>IF((VLOOKUP(Contacts4[[#This Row],[Código Tarea]],'[7]Formato 2 - SGSI'!$B$10:$I$83,4,0))=0,"",(VLOOKUP(Contacts4[[#This Row],[Código Tarea]],'[7]Formato 2 - SGSI'!$B$10:$I$83,4)))</f>
        <v/>
      </c>
      <c r="N37" s="16" t="str">
        <f>IF((VLOOKUP(Contacts4[[#This Row],[Código Tarea]],'[7]Formato 2 - SGSI'!$B$10:$I$83,5,0))=0,"",(VLOOKUP(Contacts4[[#This Row],[Código Tarea]],'[7]Formato 2 - SGSI'!$B$10:$I$83,5)))</f>
        <v/>
      </c>
      <c r="O37" s="16" t="str">
        <f>IF((VLOOKUP(Contacts4[[#This Row],[Código Tarea]],'[7]Formato 2 - SGSI'!$B$10:$I$83,6,0))=0,"",(VLOOKUP(Contacts4[[#This Row],[Código Tarea]],'[7]Formato 2 - SGSI'!$B$10:$I$83,6)))</f>
        <v/>
      </c>
      <c r="P37" s="16" t="str">
        <f>IF((VLOOKUP(Contacts4[[#This Row],[Código Tarea]],'[7]Formato 2 - SGSI'!$B$10:$I$83,7,0))=0,"",(VLOOKUP(Contacts4[[#This Row],[Código Tarea]],'[7]Formato 2 - SGSI'!$B$10:$I$83,7)))</f>
        <v/>
      </c>
      <c r="Q37" s="22" t="str">
        <f>VLOOKUP(Contacts4[[#This Row],[Código Tarea]],'[7]4. Directorio Integrado'!$I$4:$M$245,5,0)</f>
        <v>SARO/SGSI</v>
      </c>
    </row>
    <row r="38" spans="3:17" s="6" customFormat="1" ht="30" customHeight="1" x14ac:dyDescent="0.35">
      <c r="C38" s="12">
        <f>VLOOKUP(Contacts4[[#This Row],[Código Tarea]],'[7]4. Directorio Integrado'!$B$4:$N$245,2,0)</f>
        <v>2</v>
      </c>
      <c r="D38" s="12" t="str">
        <f>VLOOKUP(Contacts4[[#This Row],[Código Tarea]],'[7]4. Directorio Integrado'!$B$4:$N$245,3,0)</f>
        <v>Seguridad de la Información</v>
      </c>
      <c r="E38" s="12" t="str">
        <f>VLOOKUP(Contacts4[[#This Row],[Código Tarea]],'[7]4. Directorio Integrado'!$B$4:$N$245,4,0)</f>
        <v>2.1</v>
      </c>
      <c r="F38" s="12" t="str">
        <f>VLOOKUP(Contacts4[[#This Row],[Código Tarea]],'[7]4. Directorio Integrado'!$B$4:$N$245,5,0)</f>
        <v>Física</v>
      </c>
      <c r="G38" s="12" t="str">
        <f>VLOOKUP(Contacts4[[#This Row],[Código Tarea]],'[7]4. Directorio Integrado'!$B$4:$N$245,6,0)</f>
        <v>2.1.3</v>
      </c>
      <c r="H38" s="12" t="str">
        <f>VLOOKUP(Contacts4[[#This Row],[Código Tarea]],'[7]4. Directorio Integrado'!$B$4:$N$245,7,0)</f>
        <v>Revisión de suministros</v>
      </c>
      <c r="I38" s="20" t="str">
        <f>'[7]4. Directorio Integrado'!I68</f>
        <v>2.1.3.001</v>
      </c>
      <c r="J38" s="21" t="str">
        <f>IFERROR((VLOOKUP(Contacts4[[#This Row],[Código Tarea]],'[7]4. Directorio Integrado'!I$4:J$1048576,2,0)),"")</f>
        <v>Implementos y suministros de aseo.</v>
      </c>
      <c r="K38" s="14" t="str">
        <f>IFERROR((VLOOKUP(Contacts4[[#This Row],[Código Tarea]],'[7]4. Directorio Integrado'!I$4:K$1048576,3,0)),"")</f>
        <v>Actividad a Distancia</v>
      </c>
      <c r="L38" s="16" t="str">
        <f>IF((VLOOKUP(Contacts4[[#This Row],[Código Tarea]],'[7]Formato 2 - SGSI'!$B$10:$I$83,3,0))=0,"",(VLOOKUP(Contacts4[[#This Row],[Código Tarea]],'[7]Formato 2 - SGSI'!$B$10:$I$83,3,0)))</f>
        <v>X</v>
      </c>
      <c r="M38" s="16" t="str">
        <f>IF((VLOOKUP(Contacts4[[#This Row],[Código Tarea]],'[7]Formato 2 - SGSI'!$B$10:$I$83,4,0))=0,"",(VLOOKUP(Contacts4[[#This Row],[Código Tarea]],'[7]Formato 2 - SGSI'!$B$10:$I$83,4)))</f>
        <v/>
      </c>
      <c r="N38" s="16" t="str">
        <f>IF((VLOOKUP(Contacts4[[#This Row],[Código Tarea]],'[7]Formato 2 - SGSI'!$B$10:$I$83,5,0))=0,"",(VLOOKUP(Contacts4[[#This Row],[Código Tarea]],'[7]Formato 2 - SGSI'!$B$10:$I$83,5)))</f>
        <v/>
      </c>
      <c r="O38" s="16" t="str">
        <f>IF((VLOOKUP(Contacts4[[#This Row],[Código Tarea]],'[7]Formato 2 - SGSI'!$B$10:$I$83,6,0))=0,"",(VLOOKUP(Contacts4[[#This Row],[Código Tarea]],'[7]Formato 2 - SGSI'!$B$10:$I$83,6)))</f>
        <v/>
      </c>
      <c r="P38" s="16" t="str">
        <f>IF((VLOOKUP(Contacts4[[#This Row],[Código Tarea]],'[7]Formato 2 - SGSI'!$B$10:$I$83,7,0))=0,"",(VLOOKUP(Contacts4[[#This Row],[Código Tarea]],'[7]Formato 2 - SGSI'!$B$10:$I$83,7)))</f>
        <v/>
      </c>
      <c r="Q38" s="22" t="str">
        <f>VLOOKUP(Contacts4[[#This Row],[Código Tarea]],'[7]4. Directorio Integrado'!$I$4:$M$245,5,0)</f>
        <v>SARO/SGSI</v>
      </c>
    </row>
    <row r="39" spans="3:17" s="6" customFormat="1" ht="30" customHeight="1" x14ac:dyDescent="0.35">
      <c r="C39" s="12">
        <f>VLOOKUP(Contacts4[[#This Row],[Código Tarea]],'[7]4. Directorio Integrado'!$B$4:$N$245,2,0)</f>
        <v>2</v>
      </c>
      <c r="D39" s="12" t="str">
        <f>VLOOKUP(Contacts4[[#This Row],[Código Tarea]],'[7]4. Directorio Integrado'!$B$4:$N$245,3,0)</f>
        <v>Seguridad de la Información</v>
      </c>
      <c r="E39" s="12" t="str">
        <f>VLOOKUP(Contacts4[[#This Row],[Código Tarea]],'[7]4. Directorio Integrado'!$B$4:$N$245,4,0)</f>
        <v>2.1</v>
      </c>
      <c r="F39" s="12" t="str">
        <f>VLOOKUP(Contacts4[[#This Row],[Código Tarea]],'[7]4. Directorio Integrado'!$B$4:$N$245,5,0)</f>
        <v>Física</v>
      </c>
      <c r="G39" s="12" t="str">
        <f>VLOOKUP(Contacts4[[#This Row],[Código Tarea]],'[7]4. Directorio Integrado'!$B$4:$N$245,6,0)</f>
        <v>2.1.3</v>
      </c>
      <c r="H39" s="12" t="str">
        <f>VLOOKUP(Contacts4[[#This Row],[Código Tarea]],'[7]4. Directorio Integrado'!$B$4:$N$245,7,0)</f>
        <v>Revisión de suministros</v>
      </c>
      <c r="I39" s="20" t="str">
        <f>'[7]4. Directorio Integrado'!I69</f>
        <v>2.1.3.002</v>
      </c>
      <c r="J39" s="21" t="str">
        <f>IFERROR((VLOOKUP(Contacts4[[#This Row],[Código Tarea]],'[7]4. Directorio Integrado'!I$4:J$1048576,2,0)),"")</f>
        <v>Suministros de cafetería.</v>
      </c>
      <c r="K39" s="14" t="str">
        <f>IFERROR((VLOOKUP(Contacts4[[#This Row],[Código Tarea]],'[7]4. Directorio Integrado'!I$4:K$1048576,3,0)),"")</f>
        <v>Actividad a Distancia</v>
      </c>
      <c r="L39" s="16" t="str">
        <f>IF((VLOOKUP(Contacts4[[#This Row],[Código Tarea]],'[7]Formato 2 - SGSI'!$B$10:$I$83,3,0))=0,"",(VLOOKUP(Contacts4[[#This Row],[Código Tarea]],'[7]Formato 2 - SGSI'!$B$10:$I$83,3,0)))</f>
        <v>X</v>
      </c>
      <c r="M39" s="16" t="str">
        <f>IF((VLOOKUP(Contacts4[[#This Row],[Código Tarea]],'[7]Formato 2 - SGSI'!$B$10:$I$83,4,0))=0,"",(VLOOKUP(Contacts4[[#This Row],[Código Tarea]],'[7]Formato 2 - SGSI'!$B$10:$I$83,4)))</f>
        <v/>
      </c>
      <c r="N39" s="16" t="str">
        <f>IF((VLOOKUP(Contacts4[[#This Row],[Código Tarea]],'[7]Formato 2 - SGSI'!$B$10:$I$83,5,0))=0,"",(VLOOKUP(Contacts4[[#This Row],[Código Tarea]],'[7]Formato 2 - SGSI'!$B$10:$I$83,5)))</f>
        <v/>
      </c>
      <c r="O39" s="16" t="str">
        <f>IF((VLOOKUP(Contacts4[[#This Row],[Código Tarea]],'[7]Formato 2 - SGSI'!$B$10:$I$83,6,0))=0,"",(VLOOKUP(Contacts4[[#This Row],[Código Tarea]],'[7]Formato 2 - SGSI'!$B$10:$I$83,6)))</f>
        <v/>
      </c>
      <c r="P39" s="16" t="str">
        <f>IF((VLOOKUP(Contacts4[[#This Row],[Código Tarea]],'[7]Formato 2 - SGSI'!$B$10:$I$83,7,0))=0,"",(VLOOKUP(Contacts4[[#This Row],[Código Tarea]],'[7]Formato 2 - SGSI'!$B$10:$I$83,7)))</f>
        <v/>
      </c>
      <c r="Q39" s="22" t="str">
        <f>VLOOKUP(Contacts4[[#This Row],[Código Tarea]],'[7]4. Directorio Integrado'!$I$4:$M$245,5,0)</f>
        <v>SARO/SGSI</v>
      </c>
    </row>
    <row r="40" spans="3:17" s="6" customFormat="1" ht="30" customHeight="1" x14ac:dyDescent="0.35">
      <c r="C40" s="12">
        <f>VLOOKUP(Contacts4[[#This Row],[Código Tarea]],'[7]4. Directorio Integrado'!$B$4:$N$245,2,0)</f>
        <v>2</v>
      </c>
      <c r="D40" s="12" t="str">
        <f>VLOOKUP(Contacts4[[#This Row],[Código Tarea]],'[7]4. Directorio Integrado'!$B$4:$N$245,3,0)</f>
        <v>Seguridad de la Información</v>
      </c>
      <c r="E40" s="12" t="str">
        <f>VLOOKUP(Contacts4[[#This Row],[Código Tarea]],'[7]4. Directorio Integrado'!$B$4:$N$245,4,0)</f>
        <v>2.1</v>
      </c>
      <c r="F40" s="12" t="str">
        <f>VLOOKUP(Contacts4[[#This Row],[Código Tarea]],'[7]4. Directorio Integrado'!$B$4:$N$245,5,0)</f>
        <v>Física</v>
      </c>
      <c r="G40" s="12" t="str">
        <f>VLOOKUP(Contacts4[[#This Row],[Código Tarea]],'[7]4. Directorio Integrado'!$B$4:$N$245,6,0)</f>
        <v>2.1.3</v>
      </c>
      <c r="H40" s="12" t="str">
        <f>VLOOKUP(Contacts4[[#This Row],[Código Tarea]],'[7]4. Directorio Integrado'!$B$4:$N$245,7,0)</f>
        <v>Revisión de suministros</v>
      </c>
      <c r="I40" s="20" t="str">
        <f>'[7]4. Directorio Integrado'!I70</f>
        <v>2.1.3.003</v>
      </c>
      <c r="J40" s="21" t="str">
        <f>IFERROR((VLOOKUP(Contacts4[[#This Row],[Código Tarea]],'[7]4. Directorio Integrado'!I$4:J$1048576,2,0)),"")</f>
        <v>Suministros material POP.</v>
      </c>
      <c r="K40" s="14" t="str">
        <f>IFERROR((VLOOKUP(Contacts4[[#This Row],[Código Tarea]],'[7]4. Directorio Integrado'!I$4:K$1048576,3,0)),"")</f>
        <v>Actividad a Distancia</v>
      </c>
      <c r="L40" s="16" t="str">
        <f>IF((VLOOKUP(Contacts4[[#This Row],[Código Tarea]],'[7]Formato 2 - SGSI'!$B$10:$I$83,3,0))=0,"",(VLOOKUP(Contacts4[[#This Row],[Código Tarea]],'[7]Formato 2 - SGSI'!$B$10:$I$83,3,0)))</f>
        <v>X</v>
      </c>
      <c r="M40" s="16" t="str">
        <f>IF((VLOOKUP(Contacts4[[#This Row],[Código Tarea]],'[7]Formato 2 - SGSI'!$B$10:$I$83,4,0))=0,"",(VLOOKUP(Contacts4[[#This Row],[Código Tarea]],'[7]Formato 2 - SGSI'!$B$10:$I$83,4)))</f>
        <v/>
      </c>
      <c r="N40" s="16" t="str">
        <f>IF((VLOOKUP(Contacts4[[#This Row],[Código Tarea]],'[7]Formato 2 - SGSI'!$B$10:$I$83,5,0))=0,"",(VLOOKUP(Contacts4[[#This Row],[Código Tarea]],'[7]Formato 2 - SGSI'!$B$10:$I$83,5)))</f>
        <v/>
      </c>
      <c r="O40" s="16" t="str">
        <f>IF((VLOOKUP(Contacts4[[#This Row],[Código Tarea]],'[7]Formato 2 - SGSI'!$B$10:$I$83,6,0))=0,"",(VLOOKUP(Contacts4[[#This Row],[Código Tarea]],'[7]Formato 2 - SGSI'!$B$10:$I$83,6)))</f>
        <v/>
      </c>
      <c r="P40" s="16" t="str">
        <f>IF((VLOOKUP(Contacts4[[#This Row],[Código Tarea]],'[7]Formato 2 - SGSI'!$B$10:$I$83,7,0))=0,"",(VLOOKUP(Contacts4[[#This Row],[Código Tarea]],'[7]Formato 2 - SGSI'!$B$10:$I$83,7)))</f>
        <v/>
      </c>
      <c r="Q40" s="22" t="str">
        <f>VLOOKUP(Contacts4[[#This Row],[Código Tarea]],'[7]4. Directorio Integrado'!$I$4:$M$245,5,0)</f>
        <v>SARO/SGSI</v>
      </c>
    </row>
    <row r="41" spans="3:17" s="6" customFormat="1" ht="30" customHeight="1" x14ac:dyDescent="0.35">
      <c r="C41" s="12">
        <f>VLOOKUP(Contacts4[[#This Row],[Código Tarea]],'[7]4. Directorio Integrado'!$B$4:$N$245,2,0)</f>
        <v>2</v>
      </c>
      <c r="D41" s="12" t="str">
        <f>VLOOKUP(Contacts4[[#This Row],[Código Tarea]],'[7]4. Directorio Integrado'!$B$4:$N$245,3,0)</f>
        <v>Seguridad de la Información</v>
      </c>
      <c r="E41" s="12" t="str">
        <f>VLOOKUP(Contacts4[[#This Row],[Código Tarea]],'[7]4. Directorio Integrado'!$B$4:$N$245,4,0)</f>
        <v>2.1</v>
      </c>
      <c r="F41" s="12" t="str">
        <f>VLOOKUP(Contacts4[[#This Row],[Código Tarea]],'[7]4. Directorio Integrado'!$B$4:$N$245,5,0)</f>
        <v>Física</v>
      </c>
      <c r="G41" s="12" t="str">
        <f>VLOOKUP(Contacts4[[#This Row],[Código Tarea]],'[7]4. Directorio Integrado'!$B$4:$N$245,6,0)</f>
        <v>2.1.3</v>
      </c>
      <c r="H41" s="12" t="str">
        <f>VLOOKUP(Contacts4[[#This Row],[Código Tarea]],'[7]4. Directorio Integrado'!$B$4:$N$245,7,0)</f>
        <v>Revisión de suministros</v>
      </c>
      <c r="I41" s="20" t="str">
        <f>'[7]4. Directorio Integrado'!I71</f>
        <v>2.1.3.004</v>
      </c>
      <c r="J41" s="21" t="str">
        <f>IFERROR((VLOOKUP(Contacts4[[#This Row],[Código Tarea]],'[7]4. Directorio Integrado'!I$4:J$1048576,2,0)),"")</f>
        <v>Suministros de papelería.</v>
      </c>
      <c r="K41" s="14" t="str">
        <f>IFERROR((VLOOKUP(Contacts4[[#This Row],[Código Tarea]],'[7]4. Directorio Integrado'!I$4:K$1048576,3,0)),"")</f>
        <v>Actividad a Distancia</v>
      </c>
      <c r="L41" s="16" t="str">
        <f>IF((VLOOKUP(Contacts4[[#This Row],[Código Tarea]],'[7]Formato 2 - SGSI'!$B$10:$I$83,3,0))=0,"",(VLOOKUP(Contacts4[[#This Row],[Código Tarea]],'[7]Formato 2 - SGSI'!$B$10:$I$83,3,0)))</f>
        <v>X</v>
      </c>
      <c r="M41" s="16" t="str">
        <f>IF((VLOOKUP(Contacts4[[#This Row],[Código Tarea]],'[7]Formato 2 - SGSI'!$B$10:$I$83,4,0))=0,"",(VLOOKUP(Contacts4[[#This Row],[Código Tarea]],'[7]Formato 2 - SGSI'!$B$10:$I$83,4)))</f>
        <v/>
      </c>
      <c r="N41" s="16" t="str">
        <f>IF((VLOOKUP(Contacts4[[#This Row],[Código Tarea]],'[7]Formato 2 - SGSI'!$B$10:$I$83,5,0))=0,"",(VLOOKUP(Contacts4[[#This Row],[Código Tarea]],'[7]Formato 2 - SGSI'!$B$10:$I$83,5)))</f>
        <v/>
      </c>
      <c r="O41" s="16" t="str">
        <f>IF((VLOOKUP(Contacts4[[#This Row],[Código Tarea]],'[7]Formato 2 - SGSI'!$B$10:$I$83,6,0))=0,"",(VLOOKUP(Contacts4[[#This Row],[Código Tarea]],'[7]Formato 2 - SGSI'!$B$10:$I$83,6)))</f>
        <v/>
      </c>
      <c r="P41" s="16" t="str">
        <f>IF((VLOOKUP(Contacts4[[#This Row],[Código Tarea]],'[7]Formato 2 - SGSI'!$B$10:$I$83,7,0))=0,"",(VLOOKUP(Contacts4[[#This Row],[Código Tarea]],'[7]Formato 2 - SGSI'!$B$10:$I$83,7)))</f>
        <v/>
      </c>
      <c r="Q41" s="22" t="str">
        <f>VLOOKUP(Contacts4[[#This Row],[Código Tarea]],'[7]4. Directorio Integrado'!$I$4:$M$245,5,0)</f>
        <v>SARO/SGSI</v>
      </c>
    </row>
    <row r="42" spans="3:17" s="6" customFormat="1" ht="30" customHeight="1" x14ac:dyDescent="0.35">
      <c r="C42" s="12">
        <f>VLOOKUP(Contacts4[[#This Row],[Código Tarea]],'[7]4. Directorio Integrado'!$B$4:$N$245,2,0)</f>
        <v>2</v>
      </c>
      <c r="D42" s="12" t="str">
        <f>VLOOKUP(Contacts4[[#This Row],[Código Tarea]],'[7]4. Directorio Integrado'!$B$4:$N$245,3,0)</f>
        <v>Seguridad de la Información</v>
      </c>
      <c r="E42" s="12" t="str">
        <f>VLOOKUP(Contacts4[[#This Row],[Código Tarea]],'[7]4. Directorio Integrado'!$B$4:$N$245,4,0)</f>
        <v>2.1</v>
      </c>
      <c r="F42" s="12" t="str">
        <f>VLOOKUP(Contacts4[[#This Row],[Código Tarea]],'[7]4. Directorio Integrado'!$B$4:$N$245,5,0)</f>
        <v>Física</v>
      </c>
      <c r="G42" s="12" t="str">
        <f>VLOOKUP(Contacts4[[#This Row],[Código Tarea]],'[7]4. Directorio Integrado'!$B$4:$N$245,6,0)</f>
        <v>2.1.2</v>
      </c>
      <c r="H42" s="12" t="str">
        <f>VLOOKUP(Contacts4[[#This Row],[Código Tarea]],'[7]4. Directorio Integrado'!$B$4:$N$245,7,0)</f>
        <v>Revisión de suministros</v>
      </c>
      <c r="I42" s="20" t="str">
        <f>'[7]4. Directorio Integrado'!I72</f>
        <v>2.1.3.005</v>
      </c>
      <c r="J42" s="21" t="str">
        <f>IFERROR((VLOOKUP(Contacts4[[#This Row],[Código Tarea]],'[7]4. Directorio Integrado'!I$4:J$1048576,2,0)),"")</f>
        <v>Suministros de utilería.</v>
      </c>
      <c r="K42" s="14" t="str">
        <f>IFERROR((VLOOKUP(Contacts4[[#This Row],[Código Tarea]],'[7]4. Directorio Integrado'!I$4:K$1048576,3,0)),"")</f>
        <v>Actividad a Distancia</v>
      </c>
      <c r="L42" s="16" t="str">
        <f>IF((VLOOKUP(Contacts4[[#This Row],[Código Tarea]],'[7]Formato 2 - SGSI'!$B$10:$I$83,3,0))=0,"",(VLOOKUP(Contacts4[[#This Row],[Código Tarea]],'[7]Formato 2 - SGSI'!$B$10:$I$83,3,0)))</f>
        <v>X</v>
      </c>
      <c r="M42" s="16" t="str">
        <f>IF((VLOOKUP(Contacts4[[#This Row],[Código Tarea]],'[7]Formato 2 - SGSI'!$B$10:$I$83,4,0))=0,"",(VLOOKUP(Contacts4[[#This Row],[Código Tarea]],'[7]Formato 2 - SGSI'!$B$10:$I$83,4)))</f>
        <v/>
      </c>
      <c r="N42" s="16" t="str">
        <f>IF((VLOOKUP(Contacts4[[#This Row],[Código Tarea]],'[7]Formato 2 - SGSI'!$B$10:$I$83,5,0))=0,"",(VLOOKUP(Contacts4[[#This Row],[Código Tarea]],'[7]Formato 2 - SGSI'!$B$10:$I$83,5)))</f>
        <v/>
      </c>
      <c r="O42" s="16" t="str">
        <f>IF((VLOOKUP(Contacts4[[#This Row],[Código Tarea]],'[7]Formato 2 - SGSI'!$B$10:$I$83,6,0))=0,"",(VLOOKUP(Contacts4[[#This Row],[Código Tarea]],'[7]Formato 2 - SGSI'!$B$10:$I$83,6)))</f>
        <v/>
      </c>
      <c r="P42" s="16" t="str">
        <f>IF((VLOOKUP(Contacts4[[#This Row],[Código Tarea]],'[7]Formato 2 - SGSI'!$B$10:$I$83,7,0))=0,"",(VLOOKUP(Contacts4[[#This Row],[Código Tarea]],'[7]Formato 2 - SGSI'!$B$10:$I$83,7)))</f>
        <v/>
      </c>
      <c r="Q42" s="22" t="str">
        <f>VLOOKUP(Contacts4[[#This Row],[Código Tarea]],'[7]4. Directorio Integrado'!$I$4:$M$245,5,0)</f>
        <v>SARO/SGSI</v>
      </c>
    </row>
    <row r="43" spans="3:17" s="6" customFormat="1" ht="30" customHeight="1" x14ac:dyDescent="0.35">
      <c r="C43" s="12">
        <f>VLOOKUP(Contacts4[[#This Row],[Código Tarea]],'[7]4. Directorio Integrado'!$B$4:$N$245,2,0)</f>
        <v>2</v>
      </c>
      <c r="D43" s="12" t="str">
        <f>VLOOKUP(Contacts4[[#This Row],[Código Tarea]],'[7]4. Directorio Integrado'!$B$4:$N$245,3,0)</f>
        <v>Seguridad de la Información</v>
      </c>
      <c r="E43" s="12" t="str">
        <f>VLOOKUP(Contacts4[[#This Row],[Código Tarea]],'[7]4. Directorio Integrado'!$B$4:$N$245,4,0)</f>
        <v>2.1</v>
      </c>
      <c r="F43" s="12" t="str">
        <f>VLOOKUP(Contacts4[[#This Row],[Código Tarea]],'[7]4. Directorio Integrado'!$B$4:$N$245,5,0)</f>
        <v>Física</v>
      </c>
      <c r="G43" s="12" t="str">
        <f>VLOOKUP(Contacts4[[#This Row],[Código Tarea]],'[7]4. Directorio Integrado'!$B$4:$N$245,6,0)</f>
        <v>2.1.4</v>
      </c>
      <c r="H43" s="12" t="str">
        <f>VLOOKUP(Contacts4[[#This Row],[Código Tarea]],'[7]4. Directorio Integrado'!$B$4:$N$245,7,0)</f>
        <v>Revisión mantenimiento de oficina</v>
      </c>
      <c r="I43" s="20" t="str">
        <f>'[7]4. Directorio Integrado'!I73</f>
        <v>2.1.4.001</v>
      </c>
      <c r="J43" s="21" t="str">
        <f>IFERROR((VLOOKUP(Contacts4[[#This Row],[Código Tarea]],'[7]4. Directorio Integrado'!I$4:J$1048576,2,0)),"")</f>
        <v>Se han realizado ajustes a los puestos de trabajo.</v>
      </c>
      <c r="K43" s="14" t="str">
        <f>IFERROR((VLOOKUP(Contacts4[[#This Row],[Código Tarea]],'[7]4. Directorio Integrado'!I$4:K$1048576,3,0)),"")</f>
        <v>Presencial</v>
      </c>
      <c r="L43" s="16" t="str">
        <f>IF((VLOOKUP(Contacts4[[#This Row],[Código Tarea]],'[7]Formato 2 - SGSI'!$B$10:$I$83,3,0))=0,"",(VLOOKUP(Contacts4[[#This Row],[Código Tarea]],'[7]Formato 2 - SGSI'!$B$10:$I$83,3,0)))</f>
        <v>X</v>
      </c>
      <c r="M43" s="16" t="str">
        <f>IF((VLOOKUP(Contacts4[[#This Row],[Código Tarea]],'[7]Formato 2 - SGSI'!$B$10:$I$83,4,0))=0,"",(VLOOKUP(Contacts4[[#This Row],[Código Tarea]],'[7]Formato 2 - SGSI'!$B$10:$I$83,4)))</f>
        <v/>
      </c>
      <c r="N43" s="16" t="str">
        <f>IF((VLOOKUP(Contacts4[[#This Row],[Código Tarea]],'[7]Formato 2 - SGSI'!$B$10:$I$83,5,0))=0,"",(VLOOKUP(Contacts4[[#This Row],[Código Tarea]],'[7]Formato 2 - SGSI'!$B$10:$I$83,5)))</f>
        <v/>
      </c>
      <c r="O43" s="16" t="str">
        <f>IF((VLOOKUP(Contacts4[[#This Row],[Código Tarea]],'[7]Formato 2 - SGSI'!$B$10:$I$83,6,0))=0,"",(VLOOKUP(Contacts4[[#This Row],[Código Tarea]],'[7]Formato 2 - SGSI'!$B$10:$I$83,6)))</f>
        <v/>
      </c>
      <c r="P43" s="16" t="str">
        <f>IF((VLOOKUP(Contacts4[[#This Row],[Código Tarea]],'[7]Formato 2 - SGSI'!$B$10:$I$83,7,0))=0,"",(VLOOKUP(Contacts4[[#This Row],[Código Tarea]],'[7]Formato 2 - SGSI'!$B$10:$I$83,7)))</f>
        <v/>
      </c>
      <c r="Q43" s="22" t="str">
        <f>VLOOKUP(Contacts4[[#This Row],[Código Tarea]],'[7]4. Directorio Integrado'!$I$4:$M$245,5,0)</f>
        <v>SARO/SGSI/SAC</v>
      </c>
    </row>
    <row r="44" spans="3:17" s="6" customFormat="1" ht="30" customHeight="1" x14ac:dyDescent="0.35">
      <c r="C44" s="12">
        <f>VLOOKUP(Contacts4[[#This Row],[Código Tarea]],'[7]4. Directorio Integrado'!$B$4:$N$245,2,0)</f>
        <v>2</v>
      </c>
      <c r="D44" s="12" t="str">
        <f>VLOOKUP(Contacts4[[#This Row],[Código Tarea]],'[7]4. Directorio Integrado'!$B$4:$N$245,3,0)</f>
        <v>Seguridad de la Información</v>
      </c>
      <c r="E44" s="12" t="str">
        <f>VLOOKUP(Contacts4[[#This Row],[Código Tarea]],'[7]4. Directorio Integrado'!$B$4:$N$245,4,0)</f>
        <v>2.1</v>
      </c>
      <c r="F44" s="12" t="str">
        <f>VLOOKUP(Contacts4[[#This Row],[Código Tarea]],'[7]4. Directorio Integrado'!$B$4:$N$245,5,0)</f>
        <v>Física</v>
      </c>
      <c r="G44" s="12" t="str">
        <f>VLOOKUP(Contacts4[[#This Row],[Código Tarea]],'[7]4. Directorio Integrado'!$B$4:$N$245,6,0)</f>
        <v>2.1.4</v>
      </c>
      <c r="H44" s="12" t="str">
        <f>VLOOKUP(Contacts4[[#This Row],[Código Tarea]],'[7]4. Directorio Integrado'!$B$4:$N$245,7,0)</f>
        <v>Revisión mantenimiento de oficina</v>
      </c>
      <c r="I44" s="20" t="str">
        <f>'[7]4. Directorio Integrado'!I74</f>
        <v>2.1.4.002</v>
      </c>
      <c r="J44" s="21" t="str">
        <f>IFERROR((VLOOKUP(Contacts4[[#This Row],[Código Tarea]],'[7]4. Directorio Integrado'!I$4:J$1048576,2,0)),"")</f>
        <v>Se ha realizado cambio de lámparas.</v>
      </c>
      <c r="K44" s="14" t="str">
        <f>IFERROR((VLOOKUP(Contacts4[[#This Row],[Código Tarea]],'[7]4. Directorio Integrado'!I$4:K$1048576,3,0)),"")</f>
        <v>Presencial</v>
      </c>
      <c r="L44" s="16" t="str">
        <f>IF((VLOOKUP(Contacts4[[#This Row],[Código Tarea]],'[7]Formato 2 - SGSI'!$B$10:$I$83,3,0))=0,"",(VLOOKUP(Contacts4[[#This Row],[Código Tarea]],'[7]Formato 2 - SGSI'!$B$10:$I$83,3,0)))</f>
        <v>X</v>
      </c>
      <c r="M44" s="16" t="str">
        <f>IF((VLOOKUP(Contacts4[[#This Row],[Código Tarea]],'[7]Formato 2 - SGSI'!$B$10:$I$83,4,0))=0,"",(VLOOKUP(Contacts4[[#This Row],[Código Tarea]],'[7]Formato 2 - SGSI'!$B$10:$I$83,4)))</f>
        <v/>
      </c>
      <c r="N44" s="16" t="str">
        <f>IF((VLOOKUP(Contacts4[[#This Row],[Código Tarea]],'[7]Formato 2 - SGSI'!$B$10:$I$83,5,0))=0,"",(VLOOKUP(Contacts4[[#This Row],[Código Tarea]],'[7]Formato 2 - SGSI'!$B$10:$I$83,5)))</f>
        <v/>
      </c>
      <c r="O44" s="16" t="str">
        <f>IF((VLOOKUP(Contacts4[[#This Row],[Código Tarea]],'[7]Formato 2 - SGSI'!$B$10:$I$83,6,0))=0,"",(VLOOKUP(Contacts4[[#This Row],[Código Tarea]],'[7]Formato 2 - SGSI'!$B$10:$I$83,6)))</f>
        <v/>
      </c>
      <c r="P44" s="16" t="str">
        <f>IF((VLOOKUP(Contacts4[[#This Row],[Código Tarea]],'[7]Formato 2 - SGSI'!$B$10:$I$83,7,0))=0,"",(VLOOKUP(Contacts4[[#This Row],[Código Tarea]],'[7]Formato 2 - SGSI'!$B$10:$I$83,7)))</f>
        <v/>
      </c>
      <c r="Q44" s="22" t="str">
        <f>VLOOKUP(Contacts4[[#This Row],[Código Tarea]],'[7]4. Directorio Integrado'!$I$4:$M$245,5,0)</f>
        <v>SARO/SGSI</v>
      </c>
    </row>
    <row r="45" spans="3:17" s="6" customFormat="1" ht="30" customHeight="1" x14ac:dyDescent="0.35">
      <c r="C45" s="12">
        <f>VLOOKUP(Contacts4[[#This Row],[Código Tarea]],'[7]4. Directorio Integrado'!$B$4:$N$245,2,0)</f>
        <v>2</v>
      </c>
      <c r="D45" s="12" t="str">
        <f>VLOOKUP(Contacts4[[#This Row],[Código Tarea]],'[7]4. Directorio Integrado'!$B$4:$N$245,3,0)</f>
        <v>Seguridad de la Información</v>
      </c>
      <c r="E45" s="12" t="str">
        <f>VLOOKUP(Contacts4[[#This Row],[Código Tarea]],'[7]4. Directorio Integrado'!$B$4:$N$245,4,0)</f>
        <v>2.1</v>
      </c>
      <c r="F45" s="12" t="str">
        <f>VLOOKUP(Contacts4[[#This Row],[Código Tarea]],'[7]4. Directorio Integrado'!$B$4:$N$245,5,0)</f>
        <v>Física</v>
      </c>
      <c r="G45" s="12" t="str">
        <f>VLOOKUP(Contacts4[[#This Row],[Código Tarea]],'[7]4. Directorio Integrado'!$B$4:$N$245,6,0)</f>
        <v>2.1.4</v>
      </c>
      <c r="H45" s="12" t="str">
        <f>VLOOKUP(Contacts4[[#This Row],[Código Tarea]],'[7]4. Directorio Integrado'!$B$4:$N$245,7,0)</f>
        <v>Revisión mantenimiento de oficina</v>
      </c>
      <c r="I45" s="20" t="str">
        <f>'[7]4. Directorio Integrado'!I75</f>
        <v>2.1.4.003</v>
      </c>
      <c r="J45" s="21" t="str">
        <f>IFERROR((VLOOKUP(Contacts4[[#This Row],[Código Tarea]],'[7]4. Directorio Integrado'!I$4:J$1048576,2,0)),"")</f>
        <v>Se ha realizado impermeabilización.</v>
      </c>
      <c r="K45" s="14" t="str">
        <f>IFERROR((VLOOKUP(Contacts4[[#This Row],[Código Tarea]],'[7]4. Directorio Integrado'!I$4:K$1048576,3,0)),"")</f>
        <v>Presencial</v>
      </c>
      <c r="L45" s="16" t="str">
        <f>IF((VLOOKUP(Contacts4[[#This Row],[Código Tarea]],'[7]Formato 2 - SGSI'!$B$10:$I$83,3,0))=0,"",(VLOOKUP(Contacts4[[#This Row],[Código Tarea]],'[7]Formato 2 - SGSI'!$B$10:$I$83,3,0)))</f>
        <v>X</v>
      </c>
      <c r="M45" s="16" t="str">
        <f>IF((VLOOKUP(Contacts4[[#This Row],[Código Tarea]],'[7]Formato 2 - SGSI'!$B$10:$I$83,4,0))=0,"",(VLOOKUP(Contacts4[[#This Row],[Código Tarea]],'[7]Formato 2 - SGSI'!$B$10:$I$83,4)))</f>
        <v/>
      </c>
      <c r="N45" s="16" t="str">
        <f>IF((VLOOKUP(Contacts4[[#This Row],[Código Tarea]],'[7]Formato 2 - SGSI'!$B$10:$I$83,5,0))=0,"",(VLOOKUP(Contacts4[[#This Row],[Código Tarea]],'[7]Formato 2 - SGSI'!$B$10:$I$83,5)))</f>
        <v/>
      </c>
      <c r="O45" s="16" t="str">
        <f>IF((VLOOKUP(Contacts4[[#This Row],[Código Tarea]],'[7]Formato 2 - SGSI'!$B$10:$I$83,6,0))=0,"",(VLOOKUP(Contacts4[[#This Row],[Código Tarea]],'[7]Formato 2 - SGSI'!$B$10:$I$83,6)))</f>
        <v/>
      </c>
      <c r="P45" s="16" t="str">
        <f>IF((VLOOKUP(Contacts4[[#This Row],[Código Tarea]],'[7]Formato 2 - SGSI'!$B$10:$I$83,7,0))=0,"",(VLOOKUP(Contacts4[[#This Row],[Código Tarea]],'[7]Formato 2 - SGSI'!$B$10:$I$83,7)))</f>
        <v/>
      </c>
      <c r="Q45" s="22" t="str">
        <f>VLOOKUP(Contacts4[[#This Row],[Código Tarea]],'[7]4. Directorio Integrado'!$I$4:$M$245,5,0)</f>
        <v>SARO/SGSI</v>
      </c>
    </row>
    <row r="46" spans="3:17" s="6" customFormat="1" ht="30" customHeight="1" x14ac:dyDescent="0.35">
      <c r="C46" s="12">
        <f>VLOOKUP(Contacts4[[#This Row],[Código Tarea]],'[7]4. Directorio Integrado'!$B$4:$N$245,2,0)</f>
        <v>2</v>
      </c>
      <c r="D46" s="12" t="str">
        <f>VLOOKUP(Contacts4[[#This Row],[Código Tarea]],'[7]4. Directorio Integrado'!$B$4:$N$245,3,0)</f>
        <v>Seguridad de la Información</v>
      </c>
      <c r="E46" s="12" t="str">
        <f>VLOOKUP(Contacts4[[#This Row],[Código Tarea]],'[7]4. Directorio Integrado'!$B$4:$N$245,4,0)</f>
        <v>2.1</v>
      </c>
      <c r="F46" s="12" t="str">
        <f>VLOOKUP(Contacts4[[#This Row],[Código Tarea]],'[7]4. Directorio Integrado'!$B$4:$N$245,5,0)</f>
        <v>Física</v>
      </c>
      <c r="G46" s="12" t="str">
        <f>VLOOKUP(Contacts4[[#This Row],[Código Tarea]],'[7]4. Directorio Integrado'!$B$4:$N$245,6,0)</f>
        <v>2.1.4</v>
      </c>
      <c r="H46" s="12" t="str">
        <f>VLOOKUP(Contacts4[[#This Row],[Código Tarea]],'[7]4. Directorio Integrado'!$B$4:$N$245,7,0)</f>
        <v>Revisión mantenimiento de oficina</v>
      </c>
      <c r="I46" s="20" t="str">
        <f>'[7]4. Directorio Integrado'!I76</f>
        <v>2.1.4.004</v>
      </c>
      <c r="J46" s="21" t="str">
        <f>IFERROR((VLOOKUP(Contacts4[[#This Row],[Código Tarea]],'[7]4. Directorio Integrado'!I$4:J$1048576,2,0)),"")</f>
        <v>Se ha realizado mantenimiento de baños.</v>
      </c>
      <c r="K46" s="14" t="str">
        <f>IFERROR((VLOOKUP(Contacts4[[#This Row],[Código Tarea]],'[7]4. Directorio Integrado'!I$4:K$1048576,3,0)),"")</f>
        <v>Presencial</v>
      </c>
      <c r="L46" s="16" t="str">
        <f>IF((VLOOKUP(Contacts4[[#This Row],[Código Tarea]],'[7]Formato 2 - SGSI'!$B$10:$I$83,3,0))=0,"",(VLOOKUP(Contacts4[[#This Row],[Código Tarea]],'[7]Formato 2 - SGSI'!$B$10:$I$83,3,0)))</f>
        <v>X</v>
      </c>
      <c r="M46" s="16" t="str">
        <f>IF((VLOOKUP(Contacts4[[#This Row],[Código Tarea]],'[7]Formato 2 - SGSI'!$B$10:$I$83,4,0))=0,"",(VLOOKUP(Contacts4[[#This Row],[Código Tarea]],'[7]Formato 2 - SGSI'!$B$10:$I$83,4)))</f>
        <v/>
      </c>
      <c r="N46" s="16" t="str">
        <f>IF((VLOOKUP(Contacts4[[#This Row],[Código Tarea]],'[7]Formato 2 - SGSI'!$B$10:$I$83,5,0))=0,"",(VLOOKUP(Contacts4[[#This Row],[Código Tarea]],'[7]Formato 2 - SGSI'!$B$10:$I$83,5)))</f>
        <v/>
      </c>
      <c r="O46" s="16" t="str">
        <f>IF((VLOOKUP(Contacts4[[#This Row],[Código Tarea]],'[7]Formato 2 - SGSI'!$B$10:$I$83,6,0))=0,"",(VLOOKUP(Contacts4[[#This Row],[Código Tarea]],'[7]Formato 2 - SGSI'!$B$10:$I$83,6)))</f>
        <v/>
      </c>
      <c r="P46" s="16" t="str">
        <f>IF((VLOOKUP(Contacts4[[#This Row],[Código Tarea]],'[7]Formato 2 - SGSI'!$B$10:$I$83,7,0))=0,"",(VLOOKUP(Contacts4[[#This Row],[Código Tarea]],'[7]Formato 2 - SGSI'!$B$10:$I$83,7)))</f>
        <v/>
      </c>
      <c r="Q46" s="22" t="str">
        <f>VLOOKUP(Contacts4[[#This Row],[Código Tarea]],'[7]4. Directorio Integrado'!$I$4:$M$245,5,0)</f>
        <v>SARO/SGSI</v>
      </c>
    </row>
    <row r="47" spans="3:17" s="6" customFormat="1" ht="30" customHeight="1" x14ac:dyDescent="0.35">
      <c r="C47" s="12">
        <f>VLOOKUP(Contacts4[[#This Row],[Código Tarea]],'[7]4. Directorio Integrado'!$B$4:$N$245,2,0)</f>
        <v>2</v>
      </c>
      <c r="D47" s="12" t="str">
        <f>VLOOKUP(Contacts4[[#This Row],[Código Tarea]],'[7]4. Directorio Integrado'!$B$4:$N$245,3,0)</f>
        <v>Seguridad de la Información</v>
      </c>
      <c r="E47" s="12" t="str">
        <f>VLOOKUP(Contacts4[[#This Row],[Código Tarea]],'[7]4. Directorio Integrado'!$B$4:$N$245,4,0)</f>
        <v>2.1</v>
      </c>
      <c r="F47" s="12" t="str">
        <f>VLOOKUP(Contacts4[[#This Row],[Código Tarea]],'[7]4. Directorio Integrado'!$B$4:$N$245,5,0)</f>
        <v>Física</v>
      </c>
      <c r="G47" s="12" t="str">
        <f>VLOOKUP(Contacts4[[#This Row],[Código Tarea]],'[7]4. Directorio Integrado'!$B$4:$N$245,6,0)</f>
        <v>2.1.4</v>
      </c>
      <c r="H47" s="12" t="str">
        <f>VLOOKUP(Contacts4[[#This Row],[Código Tarea]],'[7]4. Directorio Integrado'!$B$4:$N$245,7,0)</f>
        <v>Revisión mantenimiento de oficina</v>
      </c>
      <c r="I47" s="20" t="str">
        <f>'[7]4. Directorio Integrado'!I77</f>
        <v>2.1.4.005</v>
      </c>
      <c r="J47" s="21" t="str">
        <f>IFERROR((VLOOKUP(Contacts4[[#This Row],[Código Tarea]],'[7]4. Directorio Integrado'!I$4:J$1048576,2,0)),"")</f>
        <v>Se ha realizado mantenimiento de cielo raso.</v>
      </c>
      <c r="K47" s="14" t="str">
        <f>IFERROR((VLOOKUP(Contacts4[[#This Row],[Código Tarea]],'[7]4. Directorio Integrado'!I$4:K$1048576,3,0)),"")</f>
        <v>Presencial</v>
      </c>
      <c r="L47" s="16" t="str">
        <f>IF((VLOOKUP(Contacts4[[#This Row],[Código Tarea]],'[7]Formato 2 - SGSI'!$B$10:$I$83,3,0))=0,"",(VLOOKUP(Contacts4[[#This Row],[Código Tarea]],'[7]Formato 2 - SGSI'!$B$10:$I$83,3,0)))</f>
        <v>X</v>
      </c>
      <c r="M47" s="16" t="str">
        <f>IF((VLOOKUP(Contacts4[[#This Row],[Código Tarea]],'[7]Formato 2 - SGSI'!$B$10:$I$83,4,0))=0,"",(VLOOKUP(Contacts4[[#This Row],[Código Tarea]],'[7]Formato 2 - SGSI'!$B$10:$I$83,4)))</f>
        <v/>
      </c>
      <c r="N47" s="16" t="str">
        <f>IF((VLOOKUP(Contacts4[[#This Row],[Código Tarea]],'[7]Formato 2 - SGSI'!$B$10:$I$83,5,0))=0,"",(VLOOKUP(Contacts4[[#This Row],[Código Tarea]],'[7]Formato 2 - SGSI'!$B$10:$I$83,5)))</f>
        <v/>
      </c>
      <c r="O47" s="16" t="str">
        <f>IF((VLOOKUP(Contacts4[[#This Row],[Código Tarea]],'[7]Formato 2 - SGSI'!$B$10:$I$83,6,0))=0,"",(VLOOKUP(Contacts4[[#This Row],[Código Tarea]],'[7]Formato 2 - SGSI'!$B$10:$I$83,6)))</f>
        <v/>
      </c>
      <c r="P47" s="16" t="str">
        <f>IF((VLOOKUP(Contacts4[[#This Row],[Código Tarea]],'[7]Formato 2 - SGSI'!$B$10:$I$83,7,0))=0,"",(VLOOKUP(Contacts4[[#This Row],[Código Tarea]],'[7]Formato 2 - SGSI'!$B$10:$I$83,7)))</f>
        <v/>
      </c>
      <c r="Q47" s="22" t="str">
        <f>VLOOKUP(Contacts4[[#This Row],[Código Tarea]],'[7]4. Directorio Integrado'!$I$4:$M$245,5,0)</f>
        <v>SARO/SGSI</v>
      </c>
    </row>
    <row r="48" spans="3:17" s="6" customFormat="1" ht="30" customHeight="1" x14ac:dyDescent="0.35">
      <c r="C48" s="12">
        <f>VLOOKUP(Contacts4[[#This Row],[Código Tarea]],'[7]4. Directorio Integrado'!$B$4:$N$245,2,0)</f>
        <v>2</v>
      </c>
      <c r="D48" s="12" t="str">
        <f>VLOOKUP(Contacts4[[#This Row],[Código Tarea]],'[7]4. Directorio Integrado'!$B$4:$N$245,3,0)</f>
        <v>Seguridad de la Información</v>
      </c>
      <c r="E48" s="12" t="str">
        <f>VLOOKUP(Contacts4[[#This Row],[Código Tarea]],'[7]4. Directorio Integrado'!$B$4:$N$245,4,0)</f>
        <v>2.1</v>
      </c>
      <c r="F48" s="12" t="str">
        <f>VLOOKUP(Contacts4[[#This Row],[Código Tarea]],'[7]4. Directorio Integrado'!$B$4:$N$245,5,0)</f>
        <v>Física</v>
      </c>
      <c r="G48" s="12" t="str">
        <f>VLOOKUP(Contacts4[[#This Row],[Código Tarea]],'[7]4. Directorio Integrado'!$B$4:$N$245,6,0)</f>
        <v>2.1.4</v>
      </c>
      <c r="H48" s="12" t="str">
        <f>VLOOKUP(Contacts4[[#This Row],[Código Tarea]],'[7]4. Directorio Integrado'!$B$4:$N$245,7,0)</f>
        <v>Revisión mantenimiento de oficina</v>
      </c>
      <c r="I48" s="20" t="str">
        <f>'[7]4. Directorio Integrado'!I78</f>
        <v>2.1.4.006</v>
      </c>
      <c r="J48" s="21" t="str">
        <f>IFERROR((VLOOKUP(Contacts4[[#This Row],[Código Tarea]],'[7]4. Directorio Integrado'!I$4:J$1048576,2,0)),"")</f>
        <v>Se ha realizado mantenimiento de cocina.</v>
      </c>
      <c r="K48" s="14" t="str">
        <f>IFERROR((VLOOKUP(Contacts4[[#This Row],[Código Tarea]],'[7]4. Directorio Integrado'!I$4:K$1048576,3,0)),"")</f>
        <v>Presencial</v>
      </c>
      <c r="L48" s="16" t="str">
        <f>IF((VLOOKUP(Contacts4[[#This Row],[Código Tarea]],'[7]Formato 2 - SGSI'!$B$10:$I$83,3,0))=0,"",(VLOOKUP(Contacts4[[#This Row],[Código Tarea]],'[7]Formato 2 - SGSI'!$B$10:$I$83,3,0)))</f>
        <v>X</v>
      </c>
      <c r="M48" s="16" t="str">
        <f>IF((VLOOKUP(Contacts4[[#This Row],[Código Tarea]],'[7]Formato 2 - SGSI'!$B$10:$I$83,4,0))=0,"",(VLOOKUP(Contacts4[[#This Row],[Código Tarea]],'[7]Formato 2 - SGSI'!$B$10:$I$83,4)))</f>
        <v/>
      </c>
      <c r="N48" s="16" t="str">
        <f>IF((VLOOKUP(Contacts4[[#This Row],[Código Tarea]],'[7]Formato 2 - SGSI'!$B$10:$I$83,5,0))=0,"",(VLOOKUP(Contacts4[[#This Row],[Código Tarea]],'[7]Formato 2 - SGSI'!$B$10:$I$83,5)))</f>
        <v/>
      </c>
      <c r="O48" s="16" t="str">
        <f>IF((VLOOKUP(Contacts4[[#This Row],[Código Tarea]],'[7]Formato 2 - SGSI'!$B$10:$I$83,6,0))=0,"",(VLOOKUP(Contacts4[[#This Row],[Código Tarea]],'[7]Formato 2 - SGSI'!$B$10:$I$83,6)))</f>
        <v/>
      </c>
      <c r="P48" s="16" t="str">
        <f>IF((VLOOKUP(Contacts4[[#This Row],[Código Tarea]],'[7]Formato 2 - SGSI'!$B$10:$I$83,7,0))=0,"",(VLOOKUP(Contacts4[[#This Row],[Código Tarea]],'[7]Formato 2 - SGSI'!$B$10:$I$83,7)))</f>
        <v/>
      </c>
      <c r="Q48" s="22" t="str">
        <f>VLOOKUP(Contacts4[[#This Row],[Código Tarea]],'[7]4. Directorio Integrado'!$I$4:$M$245,5,0)</f>
        <v>SARO/SGSI</v>
      </c>
    </row>
    <row r="49" spans="3:17" s="6" customFormat="1" ht="30" customHeight="1" x14ac:dyDescent="0.35">
      <c r="C49" s="12">
        <f>VLOOKUP(Contacts4[[#This Row],[Código Tarea]],'[7]4. Directorio Integrado'!$B$4:$N$245,2,0)</f>
        <v>2</v>
      </c>
      <c r="D49" s="12" t="str">
        <f>VLOOKUP(Contacts4[[#This Row],[Código Tarea]],'[7]4. Directorio Integrado'!$B$4:$N$245,3,0)</f>
        <v>Seguridad de la Información</v>
      </c>
      <c r="E49" s="12" t="str">
        <f>VLOOKUP(Contacts4[[#This Row],[Código Tarea]],'[7]4. Directorio Integrado'!$B$4:$N$245,4,0)</f>
        <v>2.1</v>
      </c>
      <c r="F49" s="12" t="str">
        <f>VLOOKUP(Contacts4[[#This Row],[Código Tarea]],'[7]4. Directorio Integrado'!$B$4:$N$245,5,0)</f>
        <v>Física</v>
      </c>
      <c r="G49" s="12" t="str">
        <f>VLOOKUP(Contacts4[[#This Row],[Código Tarea]],'[7]4. Directorio Integrado'!$B$4:$N$245,6,0)</f>
        <v>2.1.4</v>
      </c>
      <c r="H49" s="12" t="str">
        <f>VLOOKUP(Contacts4[[#This Row],[Código Tarea]],'[7]4. Directorio Integrado'!$B$4:$N$245,7,0)</f>
        <v>Revisión mantenimiento de oficina</v>
      </c>
      <c r="I49" s="20" t="str">
        <f>'[7]4. Directorio Integrado'!I79</f>
        <v>2.1.4.007</v>
      </c>
      <c r="J49" s="21" t="str">
        <f>IFERROR((VLOOKUP(Contacts4[[#This Row],[Código Tarea]],'[7]4. Directorio Integrado'!I$4:J$1048576,2,0)),"")</f>
        <v>Se ha realizado mantenimiento de pisos.</v>
      </c>
      <c r="K49" s="14" t="str">
        <f>IFERROR((VLOOKUP(Contacts4[[#This Row],[Código Tarea]],'[7]4. Directorio Integrado'!I$4:K$1048576,3,0)),"")</f>
        <v>Presencial</v>
      </c>
      <c r="L49" s="16" t="str">
        <f>IF((VLOOKUP(Contacts4[[#This Row],[Código Tarea]],'[7]Formato 2 - SGSI'!$B$10:$I$83,3,0))=0,"",(VLOOKUP(Contacts4[[#This Row],[Código Tarea]],'[7]Formato 2 - SGSI'!$B$10:$I$83,3,0)))</f>
        <v>X</v>
      </c>
      <c r="M49" s="16" t="str">
        <f>IF((VLOOKUP(Contacts4[[#This Row],[Código Tarea]],'[7]Formato 2 - SGSI'!$B$10:$I$83,4,0))=0,"",(VLOOKUP(Contacts4[[#This Row],[Código Tarea]],'[7]Formato 2 - SGSI'!$B$10:$I$83,4)))</f>
        <v/>
      </c>
      <c r="N49" s="16" t="str">
        <f>IF((VLOOKUP(Contacts4[[#This Row],[Código Tarea]],'[7]Formato 2 - SGSI'!$B$10:$I$83,5,0))=0,"",(VLOOKUP(Contacts4[[#This Row],[Código Tarea]],'[7]Formato 2 - SGSI'!$B$10:$I$83,5)))</f>
        <v/>
      </c>
      <c r="O49" s="16" t="str">
        <f>IF((VLOOKUP(Contacts4[[#This Row],[Código Tarea]],'[7]Formato 2 - SGSI'!$B$10:$I$83,6,0))=0,"",(VLOOKUP(Contacts4[[#This Row],[Código Tarea]],'[7]Formato 2 - SGSI'!$B$10:$I$83,6)))</f>
        <v/>
      </c>
      <c r="P49" s="16" t="str">
        <f>IF((VLOOKUP(Contacts4[[#This Row],[Código Tarea]],'[7]Formato 2 - SGSI'!$B$10:$I$83,7,0))=0,"",(VLOOKUP(Contacts4[[#This Row],[Código Tarea]],'[7]Formato 2 - SGSI'!$B$10:$I$83,7)))</f>
        <v/>
      </c>
      <c r="Q49" s="22" t="str">
        <f>VLOOKUP(Contacts4[[#This Row],[Código Tarea]],'[7]4. Directorio Integrado'!$I$4:$M$245,5,0)</f>
        <v>SARO/SGSI</v>
      </c>
    </row>
    <row r="50" spans="3:17" s="6" customFormat="1" ht="30" customHeight="1" x14ac:dyDescent="0.35">
      <c r="C50" s="12">
        <f>VLOOKUP(Contacts4[[#This Row],[Código Tarea]],'[7]4. Directorio Integrado'!$B$4:$N$245,2,0)</f>
        <v>2</v>
      </c>
      <c r="D50" s="12" t="str">
        <f>VLOOKUP(Contacts4[[#This Row],[Código Tarea]],'[7]4. Directorio Integrado'!$B$4:$N$245,3,0)</f>
        <v>Seguridad de la Información</v>
      </c>
      <c r="E50" s="12" t="str">
        <f>VLOOKUP(Contacts4[[#This Row],[Código Tarea]],'[7]4. Directorio Integrado'!$B$4:$N$245,4,0)</f>
        <v>2.1</v>
      </c>
      <c r="F50" s="12" t="str">
        <f>VLOOKUP(Contacts4[[#This Row],[Código Tarea]],'[7]4. Directorio Integrado'!$B$4:$N$245,5,0)</f>
        <v>Física</v>
      </c>
      <c r="G50" s="12" t="str">
        <f>VLOOKUP(Contacts4[[#This Row],[Código Tarea]],'[7]4. Directorio Integrado'!$B$4:$N$245,6,0)</f>
        <v>2.1.4</v>
      </c>
      <c r="H50" s="12" t="str">
        <f>VLOOKUP(Contacts4[[#This Row],[Código Tarea]],'[7]4. Directorio Integrado'!$B$4:$N$245,7,0)</f>
        <v>Revisión mantenimiento de oficina</v>
      </c>
      <c r="I50" s="20" t="str">
        <f>'[7]4. Directorio Integrado'!I80</f>
        <v>2.1.4.008</v>
      </c>
      <c r="J50" s="21" t="str">
        <f>IFERROR((VLOOKUP(Contacts4[[#This Row],[Código Tarea]],'[7]4. Directorio Integrado'!I$4:J$1048576,2,0)),"")</f>
        <v>Se ha realizado mantenimiento de techos.</v>
      </c>
      <c r="K50" s="14" t="str">
        <f>IFERROR((VLOOKUP(Contacts4[[#This Row],[Código Tarea]],'[7]4. Directorio Integrado'!I$4:K$1048576,3,0)),"")</f>
        <v>Presencial</v>
      </c>
      <c r="L50" s="16" t="str">
        <f>IF((VLOOKUP(Contacts4[[#This Row],[Código Tarea]],'[7]Formato 2 - SGSI'!$B$10:$I$83,3,0))=0,"",(VLOOKUP(Contacts4[[#This Row],[Código Tarea]],'[7]Formato 2 - SGSI'!$B$10:$I$83,3,0)))</f>
        <v>X</v>
      </c>
      <c r="M50" s="16" t="str">
        <f>IF((VLOOKUP(Contacts4[[#This Row],[Código Tarea]],'[7]Formato 2 - SGSI'!$B$10:$I$83,4,0))=0,"",(VLOOKUP(Contacts4[[#This Row],[Código Tarea]],'[7]Formato 2 - SGSI'!$B$10:$I$83,4)))</f>
        <v/>
      </c>
      <c r="N50" s="16" t="str">
        <f>IF((VLOOKUP(Contacts4[[#This Row],[Código Tarea]],'[7]Formato 2 - SGSI'!$B$10:$I$83,5,0))=0,"",(VLOOKUP(Contacts4[[#This Row],[Código Tarea]],'[7]Formato 2 - SGSI'!$B$10:$I$83,5)))</f>
        <v/>
      </c>
      <c r="O50" s="16" t="str">
        <f>IF((VLOOKUP(Contacts4[[#This Row],[Código Tarea]],'[7]Formato 2 - SGSI'!$B$10:$I$83,6,0))=0,"",(VLOOKUP(Contacts4[[#This Row],[Código Tarea]],'[7]Formato 2 - SGSI'!$B$10:$I$83,6)))</f>
        <v/>
      </c>
      <c r="P50" s="16" t="str">
        <f>IF((VLOOKUP(Contacts4[[#This Row],[Código Tarea]],'[7]Formato 2 - SGSI'!$B$10:$I$83,7,0))=0,"",(VLOOKUP(Contacts4[[#This Row],[Código Tarea]],'[7]Formato 2 - SGSI'!$B$10:$I$83,7)))</f>
        <v/>
      </c>
      <c r="Q50" s="22" t="str">
        <f>VLOOKUP(Contacts4[[#This Row],[Código Tarea]],'[7]4. Directorio Integrado'!$I$4:$M$245,5,0)</f>
        <v>SARO/SGSI</v>
      </c>
    </row>
    <row r="51" spans="3:17" s="6" customFormat="1" ht="30" customHeight="1" x14ac:dyDescent="0.35">
      <c r="C51" s="12">
        <f>VLOOKUP(Contacts4[[#This Row],[Código Tarea]],'[7]4. Directorio Integrado'!$B$4:$N$245,2,0)</f>
        <v>2</v>
      </c>
      <c r="D51" s="12" t="str">
        <f>VLOOKUP(Contacts4[[#This Row],[Código Tarea]],'[7]4. Directorio Integrado'!$B$4:$N$245,3,0)</f>
        <v>Seguridad de la Información</v>
      </c>
      <c r="E51" s="12" t="str">
        <f>VLOOKUP(Contacts4[[#This Row],[Código Tarea]],'[7]4. Directorio Integrado'!$B$4:$N$245,4,0)</f>
        <v>2.1</v>
      </c>
      <c r="F51" s="12" t="str">
        <f>VLOOKUP(Contacts4[[#This Row],[Código Tarea]],'[7]4. Directorio Integrado'!$B$4:$N$245,5,0)</f>
        <v>Física</v>
      </c>
      <c r="G51" s="12" t="str">
        <f>VLOOKUP(Contacts4[[#This Row],[Código Tarea]],'[7]4. Directorio Integrado'!$B$4:$N$245,6,0)</f>
        <v>2.1.4</v>
      </c>
      <c r="H51" s="12" t="str">
        <f>VLOOKUP(Contacts4[[#This Row],[Código Tarea]],'[7]4. Directorio Integrado'!$B$4:$N$245,7,0)</f>
        <v>Revisión mantenimiento de oficina</v>
      </c>
      <c r="I51" s="20" t="str">
        <f>'[7]4. Directorio Integrado'!I81</f>
        <v>2.1.4.009</v>
      </c>
      <c r="J51" s="21" t="str">
        <f>IFERROR((VLOOKUP(Contacts4[[#This Row],[Código Tarea]],'[7]4. Directorio Integrado'!I$4:J$1048576,2,0)),"")</f>
        <v>Se ha realizado mantenimiento de pintura.</v>
      </c>
      <c r="K51" s="14" t="str">
        <f>IFERROR((VLOOKUP(Contacts4[[#This Row],[Código Tarea]],'[7]4. Directorio Integrado'!I$4:K$1048576,3,0)),"")</f>
        <v>Presencial</v>
      </c>
      <c r="L51" s="16" t="str">
        <f>IF((VLOOKUP(Contacts4[[#This Row],[Código Tarea]],'[7]Formato 2 - SGSI'!$B$10:$I$83,3,0))=0,"",(VLOOKUP(Contacts4[[#This Row],[Código Tarea]],'[7]Formato 2 - SGSI'!$B$10:$I$83,3,0)))</f>
        <v>X</v>
      </c>
      <c r="M51" s="16" t="str">
        <f>IF((VLOOKUP(Contacts4[[#This Row],[Código Tarea]],'[7]Formato 2 - SGSI'!$B$10:$I$83,4,0))=0,"",(VLOOKUP(Contacts4[[#This Row],[Código Tarea]],'[7]Formato 2 - SGSI'!$B$10:$I$83,4)))</f>
        <v/>
      </c>
      <c r="N51" s="16" t="str">
        <f>IF((VLOOKUP(Contacts4[[#This Row],[Código Tarea]],'[7]Formato 2 - SGSI'!$B$10:$I$83,5,0))=0,"",(VLOOKUP(Contacts4[[#This Row],[Código Tarea]],'[7]Formato 2 - SGSI'!$B$10:$I$83,5)))</f>
        <v/>
      </c>
      <c r="O51" s="16" t="str">
        <f>IF((VLOOKUP(Contacts4[[#This Row],[Código Tarea]],'[7]Formato 2 - SGSI'!$B$10:$I$83,6,0))=0,"",(VLOOKUP(Contacts4[[#This Row],[Código Tarea]],'[7]Formato 2 - SGSI'!$B$10:$I$83,6)))</f>
        <v/>
      </c>
      <c r="P51" s="16" t="str">
        <f>IF((VLOOKUP(Contacts4[[#This Row],[Código Tarea]],'[7]Formato 2 - SGSI'!$B$10:$I$83,7,0))=0,"",(VLOOKUP(Contacts4[[#This Row],[Código Tarea]],'[7]Formato 2 - SGSI'!$B$10:$I$83,7)))</f>
        <v/>
      </c>
      <c r="Q51" s="22" t="str">
        <f>VLOOKUP(Contacts4[[#This Row],[Código Tarea]],'[7]4. Directorio Integrado'!$I$4:$M$245,5,0)</f>
        <v>SARO/SGSI</v>
      </c>
    </row>
    <row r="52" spans="3:17" s="6" customFormat="1" ht="30" customHeight="1" x14ac:dyDescent="0.35">
      <c r="C52" s="12">
        <f>VLOOKUP(Contacts4[[#This Row],[Código Tarea]],'[7]4. Directorio Integrado'!$B$4:$N$245,2,0)</f>
        <v>2</v>
      </c>
      <c r="D52" s="12" t="str">
        <f>VLOOKUP(Contacts4[[#This Row],[Código Tarea]],'[7]4. Directorio Integrado'!$B$4:$N$245,3,0)</f>
        <v>Seguridad de la Información</v>
      </c>
      <c r="E52" s="12" t="str">
        <f>VLOOKUP(Contacts4[[#This Row],[Código Tarea]],'[7]4. Directorio Integrado'!$B$4:$N$245,4,0)</f>
        <v>2.1</v>
      </c>
      <c r="F52" s="12" t="str">
        <f>VLOOKUP(Contacts4[[#This Row],[Código Tarea]],'[7]4. Directorio Integrado'!$B$4:$N$245,5,0)</f>
        <v>Física</v>
      </c>
      <c r="G52" s="12" t="str">
        <f>VLOOKUP(Contacts4[[#This Row],[Código Tarea]],'[7]4. Directorio Integrado'!$B$4:$N$245,6,0)</f>
        <v>2.1.4</v>
      </c>
      <c r="H52" s="12" t="str">
        <f>VLOOKUP(Contacts4[[#This Row],[Código Tarea]],'[7]4. Directorio Integrado'!$B$4:$N$245,7,0)</f>
        <v>Revisión mantenimiento de oficina</v>
      </c>
      <c r="I52" s="20" t="str">
        <f>'[7]4. Directorio Integrado'!I82</f>
        <v>2.1.4.010</v>
      </c>
      <c r="J52" s="21" t="str">
        <f>IFERROR((VLOOKUP(Contacts4[[#This Row],[Código Tarea]],'[7]4. Directorio Integrado'!I$4:J$1048576,2,0)),"")</f>
        <v>Se ha realizado remodelación de puesto de trabajo.</v>
      </c>
      <c r="K52" s="14" t="str">
        <f>IFERROR((VLOOKUP(Contacts4[[#This Row],[Código Tarea]],'[7]4. Directorio Integrado'!I$4:K$1048576,3,0)),"")</f>
        <v>Presencial</v>
      </c>
      <c r="L52" s="16" t="str">
        <f>IF((VLOOKUP(Contacts4[[#This Row],[Código Tarea]],'[7]Formato 2 - SGSI'!$B$10:$I$83,3,0))=0,"",(VLOOKUP(Contacts4[[#This Row],[Código Tarea]],'[7]Formato 2 - SGSI'!$B$10:$I$83,3,0)))</f>
        <v>X</v>
      </c>
      <c r="M52" s="16" t="str">
        <f>IF((VLOOKUP(Contacts4[[#This Row],[Código Tarea]],'[7]Formato 2 - SGSI'!$B$10:$I$83,4,0))=0,"",(VLOOKUP(Contacts4[[#This Row],[Código Tarea]],'[7]Formato 2 - SGSI'!$B$10:$I$83,4)))</f>
        <v/>
      </c>
      <c r="N52" s="16" t="str">
        <f>IF((VLOOKUP(Contacts4[[#This Row],[Código Tarea]],'[7]Formato 2 - SGSI'!$B$10:$I$83,5,0))=0,"",(VLOOKUP(Contacts4[[#This Row],[Código Tarea]],'[7]Formato 2 - SGSI'!$B$10:$I$83,5)))</f>
        <v/>
      </c>
      <c r="O52" s="16" t="str">
        <f>IF((VLOOKUP(Contacts4[[#This Row],[Código Tarea]],'[7]Formato 2 - SGSI'!$B$10:$I$83,6,0))=0,"",(VLOOKUP(Contacts4[[#This Row],[Código Tarea]],'[7]Formato 2 - SGSI'!$B$10:$I$83,6)))</f>
        <v/>
      </c>
      <c r="P52" s="16" t="str">
        <f>IF((VLOOKUP(Contacts4[[#This Row],[Código Tarea]],'[7]Formato 2 - SGSI'!$B$10:$I$83,7,0))=0,"",(VLOOKUP(Contacts4[[#This Row],[Código Tarea]],'[7]Formato 2 - SGSI'!$B$10:$I$83,7)))</f>
        <v/>
      </c>
      <c r="Q52" s="22" t="str">
        <f>VLOOKUP(Contacts4[[#This Row],[Código Tarea]],'[7]4. Directorio Integrado'!$I$4:$M$245,5,0)</f>
        <v>SARO/SGSI</v>
      </c>
    </row>
    <row r="53" spans="3:17" s="6" customFormat="1" ht="30" customHeight="1" x14ac:dyDescent="0.35">
      <c r="C53" s="12">
        <f>VLOOKUP(Contacts4[[#This Row],[Código Tarea]],'[7]4. Directorio Integrado'!$B$4:$N$245,2,0)</f>
        <v>2</v>
      </c>
      <c r="D53" s="12" t="str">
        <f>VLOOKUP(Contacts4[[#This Row],[Código Tarea]],'[7]4. Directorio Integrado'!$B$4:$N$245,3,0)</f>
        <v>Seguridad de la Información</v>
      </c>
      <c r="E53" s="12" t="str">
        <f>VLOOKUP(Contacts4[[#This Row],[Código Tarea]],'[7]4. Directorio Integrado'!$B$4:$N$245,4,0)</f>
        <v>2.2</v>
      </c>
      <c r="F53" s="12" t="str">
        <f>VLOOKUP(Contacts4[[#This Row],[Código Tarea]],'[7]4. Directorio Integrado'!$B$4:$N$245,5,0)</f>
        <v>Humana</v>
      </c>
      <c r="G53" s="12" t="str">
        <f>VLOOKUP(Contacts4[[#This Row],[Código Tarea]],'[7]4. Directorio Integrado'!$B$4:$N$245,6,0)</f>
        <v>2.2.1</v>
      </c>
      <c r="H53" s="12" t="str">
        <f>VLOOKUP(Contacts4[[#This Row],[Código Tarea]],'[7]4. Directorio Integrado'!$B$4:$N$245,7,0)</f>
        <v>Revisión de ausencia y vacaciones del Personal</v>
      </c>
      <c r="I53" s="20" t="str">
        <f>'[7]4. Directorio Integrado'!I83</f>
        <v>2.2.1.001</v>
      </c>
      <c r="J53" s="21" t="str">
        <f>IFERROR((VLOOKUP(Contacts4[[#This Row],[Código Tarea]],'[7]4. Directorio Integrado'!I$4:J$1048576,2,0)),"")</f>
        <v>El personal se encuentra al día con sus periodos de vacaciones.</v>
      </c>
      <c r="K53" s="14" t="str">
        <f>IFERROR((VLOOKUP(Contacts4[[#This Row],[Código Tarea]],'[7]4. Directorio Integrado'!I$4:K$1048576,3,0)),"")</f>
        <v>Actividad a Distancia</v>
      </c>
      <c r="L53" s="16" t="str">
        <f>IF((VLOOKUP(Contacts4[[#This Row],[Código Tarea]],'[7]Formato 2 - SGSI'!$B$10:$I$83,3,0))=0,"",(VLOOKUP(Contacts4[[#This Row],[Código Tarea]],'[7]Formato 2 - SGSI'!$B$10:$I$83,3,0)))</f>
        <v>X</v>
      </c>
      <c r="M53" s="16" t="str">
        <f>IF((VLOOKUP(Contacts4[[#This Row],[Código Tarea]],'[7]Formato 2 - SGSI'!$B$10:$I$83,4,0))=0,"",(VLOOKUP(Contacts4[[#This Row],[Código Tarea]],'[7]Formato 2 - SGSI'!$B$10:$I$83,4)))</f>
        <v/>
      </c>
      <c r="N53" s="16" t="str">
        <f>IF((VLOOKUP(Contacts4[[#This Row],[Código Tarea]],'[7]Formato 2 - SGSI'!$B$10:$I$83,5,0))=0,"",(VLOOKUP(Contacts4[[#This Row],[Código Tarea]],'[7]Formato 2 - SGSI'!$B$10:$I$83,5)))</f>
        <v/>
      </c>
      <c r="O53" s="16" t="str">
        <f>IF((VLOOKUP(Contacts4[[#This Row],[Código Tarea]],'[7]Formato 2 - SGSI'!$B$10:$I$83,6,0))=0,"",(VLOOKUP(Contacts4[[#This Row],[Código Tarea]],'[7]Formato 2 - SGSI'!$B$10:$I$83,6)))</f>
        <v/>
      </c>
      <c r="P53" s="16" t="str">
        <f>IF((VLOOKUP(Contacts4[[#This Row],[Código Tarea]],'[7]Formato 2 - SGSI'!$B$10:$I$83,7,0))=0,"",(VLOOKUP(Contacts4[[#This Row],[Código Tarea]],'[7]Formato 2 - SGSI'!$B$10:$I$83,7)))</f>
        <v/>
      </c>
      <c r="Q53" s="22" t="str">
        <f>VLOOKUP(Contacts4[[#This Row],[Código Tarea]],'[7]4. Directorio Integrado'!$I$4:$M$245,5,0)</f>
        <v>SARO/SAC</v>
      </c>
    </row>
    <row r="54" spans="3:17" s="6" customFormat="1" ht="30" customHeight="1" x14ac:dyDescent="0.35">
      <c r="C54" s="12">
        <f>VLOOKUP(Contacts4[[#This Row],[Código Tarea]],'[7]4. Directorio Integrado'!$B$4:$N$245,2,0)</f>
        <v>2</v>
      </c>
      <c r="D54" s="12" t="str">
        <f>VLOOKUP(Contacts4[[#This Row],[Código Tarea]],'[7]4. Directorio Integrado'!$B$4:$N$245,3,0)</f>
        <v>Seguridad de la Información</v>
      </c>
      <c r="E54" s="12" t="str">
        <f>VLOOKUP(Contacts4[[#This Row],[Código Tarea]],'[7]4. Directorio Integrado'!$B$4:$N$245,4,0)</f>
        <v>2.2</v>
      </c>
      <c r="F54" s="12" t="str">
        <f>VLOOKUP(Contacts4[[#This Row],[Código Tarea]],'[7]4. Directorio Integrado'!$B$4:$N$245,5,0)</f>
        <v>Humana</v>
      </c>
      <c r="G54" s="12" t="str">
        <f>VLOOKUP(Contacts4[[#This Row],[Código Tarea]],'[7]4. Directorio Integrado'!$B$4:$N$245,6,0)</f>
        <v>2.2.1</v>
      </c>
      <c r="H54" s="12" t="str">
        <f>VLOOKUP(Contacts4[[#This Row],[Código Tarea]],'[7]4. Directorio Integrado'!$B$4:$N$245,7,0)</f>
        <v>Revisión de ausencia y vacaciones del Personal</v>
      </c>
      <c r="I54" s="20" t="str">
        <f>'[7]4. Directorio Integrado'!I84</f>
        <v>2.2.1.002</v>
      </c>
      <c r="J54" s="21" t="str">
        <f>IFERROR((VLOOKUP(Contacts4[[#This Row],[Código Tarea]],'[7]4. Directorio Integrado'!I$4:J$1048576,2,0)),"")</f>
        <v>Se lleva un cronograma de vacaciones para el personal de la oficina.</v>
      </c>
      <c r="K54" s="14" t="str">
        <f>IFERROR((VLOOKUP(Contacts4[[#This Row],[Código Tarea]],'[7]4. Directorio Integrado'!I$4:K$1048576,3,0)),"")</f>
        <v>Presencial</v>
      </c>
      <c r="L54" s="16" t="str">
        <f>IF((VLOOKUP(Contacts4[[#This Row],[Código Tarea]],'[7]Formato 2 - SGSI'!$B$10:$I$83,3,0))=0,"",(VLOOKUP(Contacts4[[#This Row],[Código Tarea]],'[7]Formato 2 - SGSI'!$B$10:$I$83,3,0)))</f>
        <v>X</v>
      </c>
      <c r="M54" s="16" t="str">
        <f>IF((VLOOKUP(Contacts4[[#This Row],[Código Tarea]],'[7]Formato 2 - SGSI'!$B$10:$I$83,4,0))=0,"",(VLOOKUP(Contacts4[[#This Row],[Código Tarea]],'[7]Formato 2 - SGSI'!$B$10:$I$83,4)))</f>
        <v/>
      </c>
      <c r="N54" s="16" t="str">
        <f>IF((VLOOKUP(Contacts4[[#This Row],[Código Tarea]],'[7]Formato 2 - SGSI'!$B$10:$I$83,5,0))=0,"",(VLOOKUP(Contacts4[[#This Row],[Código Tarea]],'[7]Formato 2 - SGSI'!$B$10:$I$83,5)))</f>
        <v/>
      </c>
      <c r="O54" s="16" t="str">
        <f>IF((VLOOKUP(Contacts4[[#This Row],[Código Tarea]],'[7]Formato 2 - SGSI'!$B$10:$I$83,6,0))=0,"",(VLOOKUP(Contacts4[[#This Row],[Código Tarea]],'[7]Formato 2 - SGSI'!$B$10:$I$83,6)))</f>
        <v/>
      </c>
      <c r="P54" s="16" t="str">
        <f>IF((VLOOKUP(Contacts4[[#This Row],[Código Tarea]],'[7]Formato 2 - SGSI'!$B$10:$I$83,7,0))=0,"",(VLOOKUP(Contacts4[[#This Row],[Código Tarea]],'[7]Formato 2 - SGSI'!$B$10:$I$83,7)))</f>
        <v/>
      </c>
      <c r="Q54" s="22" t="str">
        <f>VLOOKUP(Contacts4[[#This Row],[Código Tarea]],'[7]4. Directorio Integrado'!$I$4:$M$245,5,0)</f>
        <v>SARO/SAC</v>
      </c>
    </row>
    <row r="55" spans="3:17" s="6" customFormat="1" ht="30" customHeight="1" x14ac:dyDescent="0.35">
      <c r="C55" s="12">
        <f>VLOOKUP(Contacts4[[#This Row],[Código Tarea]],'[7]4. Directorio Integrado'!$B$4:$N$245,2,0)</f>
        <v>2</v>
      </c>
      <c r="D55" s="12" t="str">
        <f>VLOOKUP(Contacts4[[#This Row],[Código Tarea]],'[7]4. Directorio Integrado'!$B$4:$N$245,3,0)</f>
        <v>Seguridad de la Información</v>
      </c>
      <c r="E55" s="12" t="str">
        <f>VLOOKUP(Contacts4[[#This Row],[Código Tarea]],'[7]4. Directorio Integrado'!$B$4:$N$245,4,0)</f>
        <v>2.2</v>
      </c>
      <c r="F55" s="12" t="str">
        <f>VLOOKUP(Contacts4[[#This Row],[Código Tarea]],'[7]4. Directorio Integrado'!$B$4:$N$245,5,0)</f>
        <v>Humana</v>
      </c>
      <c r="G55" s="12" t="str">
        <f>VLOOKUP(Contacts4[[#This Row],[Código Tarea]],'[7]4. Directorio Integrado'!$B$4:$N$245,6,0)</f>
        <v>2.2.1</v>
      </c>
      <c r="H55" s="12" t="str">
        <f>VLOOKUP(Contacts4[[#This Row],[Código Tarea]],'[7]4. Directorio Integrado'!$B$4:$N$245,7,0)</f>
        <v>Revisión de ausencia y vacaciones del Personal</v>
      </c>
      <c r="I55" s="20" t="str">
        <f>'[7]4. Directorio Integrado'!I85</f>
        <v>2.2.1.003</v>
      </c>
      <c r="J55" s="21" t="str">
        <f>IFERROR((VLOOKUP(Contacts4[[#This Row],[Código Tarea]],'[7]4. Directorio Integrado'!I$4:J$1048576,2,0)),"")</f>
        <v>Número de colaboradores con periodos de vacaciones vencidos.</v>
      </c>
      <c r="K55" s="14" t="str">
        <f>IFERROR((VLOOKUP(Contacts4[[#This Row],[Código Tarea]],'[7]4. Directorio Integrado'!I$4:K$1048576,3,0)),"")</f>
        <v>Actividad a Distancia</v>
      </c>
      <c r="L55" s="16" t="str">
        <f>IF((VLOOKUP(Contacts4[[#This Row],[Código Tarea]],'[7]Formato 2 - SGSI'!$B$10:$I$83,3,0))=0,"",(VLOOKUP(Contacts4[[#This Row],[Código Tarea]],'[7]Formato 2 - SGSI'!$B$10:$I$83,3,0)))</f>
        <v>X</v>
      </c>
      <c r="M55" s="16" t="str">
        <f>IF((VLOOKUP(Contacts4[[#This Row],[Código Tarea]],'[7]Formato 2 - SGSI'!$B$10:$I$83,4,0))=0,"",(VLOOKUP(Contacts4[[#This Row],[Código Tarea]],'[7]Formato 2 - SGSI'!$B$10:$I$83,4)))</f>
        <v/>
      </c>
      <c r="N55" s="16" t="str">
        <f>IF((VLOOKUP(Contacts4[[#This Row],[Código Tarea]],'[7]Formato 2 - SGSI'!$B$10:$I$83,5,0))=0,"",(VLOOKUP(Contacts4[[#This Row],[Código Tarea]],'[7]Formato 2 - SGSI'!$B$10:$I$83,5)))</f>
        <v/>
      </c>
      <c r="O55" s="16" t="str">
        <f>IF((VLOOKUP(Contacts4[[#This Row],[Código Tarea]],'[7]Formato 2 - SGSI'!$B$10:$I$83,6,0))=0,"",(VLOOKUP(Contacts4[[#This Row],[Código Tarea]],'[7]Formato 2 - SGSI'!$B$10:$I$83,6)))</f>
        <v/>
      </c>
      <c r="P55" s="16" t="str">
        <f>IF((VLOOKUP(Contacts4[[#This Row],[Código Tarea]],'[7]Formato 2 - SGSI'!$B$10:$I$83,7,0))=0,"",(VLOOKUP(Contacts4[[#This Row],[Código Tarea]],'[7]Formato 2 - SGSI'!$B$10:$I$83,7)))</f>
        <v/>
      </c>
      <c r="Q55" s="22" t="str">
        <f>VLOOKUP(Contacts4[[#This Row],[Código Tarea]],'[7]4. Directorio Integrado'!$I$4:$M$245,5,0)</f>
        <v>SARO/SAC</v>
      </c>
    </row>
    <row r="56" spans="3:17" s="6" customFormat="1" ht="30" customHeight="1" x14ac:dyDescent="0.35">
      <c r="C56" s="12">
        <f>VLOOKUP(Contacts4[[#This Row],[Código Tarea]],'[7]4. Directorio Integrado'!$B$4:$N$245,2,0)</f>
        <v>2</v>
      </c>
      <c r="D56" s="12" t="str">
        <f>VLOOKUP(Contacts4[[#This Row],[Código Tarea]],'[7]4. Directorio Integrado'!$B$4:$N$245,3,0)</f>
        <v>Seguridad de la Información</v>
      </c>
      <c r="E56" s="12" t="str">
        <f>VLOOKUP(Contacts4[[#This Row],[Código Tarea]],'[7]4. Directorio Integrado'!$B$4:$N$245,4,0)</f>
        <v>2.2</v>
      </c>
      <c r="F56" s="12" t="str">
        <f>VLOOKUP(Contacts4[[#This Row],[Código Tarea]],'[7]4. Directorio Integrado'!$B$4:$N$245,5,0)</f>
        <v>Humana</v>
      </c>
      <c r="G56" s="12" t="str">
        <f>VLOOKUP(Contacts4[[#This Row],[Código Tarea]],'[7]4. Directorio Integrado'!$B$4:$N$245,6,0)</f>
        <v>2.2.1</v>
      </c>
      <c r="H56" s="12" t="str">
        <f>VLOOKUP(Contacts4[[#This Row],[Código Tarea]],'[7]4. Directorio Integrado'!$B$4:$N$245,7,0)</f>
        <v>Revisión de ausencia y vacaciones del Personal</v>
      </c>
      <c r="I56" s="20" t="str">
        <f>'[7]4. Directorio Integrado'!I86</f>
        <v>2.2.1.004</v>
      </c>
      <c r="J56" s="21" t="str">
        <f>IFERROR((VLOOKUP(Contacts4[[#This Row],[Código Tarea]],'[7]4. Directorio Integrado'!I$4:J$1048576,2,0)),"")</f>
        <v>Existe algún registro de permisos para el personal de la oficina.</v>
      </c>
      <c r="K56" s="14" t="str">
        <f>IFERROR((VLOOKUP(Contacts4[[#This Row],[Código Tarea]],'[7]4. Directorio Integrado'!I$4:K$1048576,3,0)),"")</f>
        <v>Actividad a Distancia</v>
      </c>
      <c r="L56" s="16" t="str">
        <f>IF((VLOOKUP(Contacts4[[#This Row],[Código Tarea]],'[7]Formato 2 - SGSI'!$B$10:$I$83,3,0))=0,"",(VLOOKUP(Contacts4[[#This Row],[Código Tarea]],'[7]Formato 2 - SGSI'!$B$10:$I$83,3,0)))</f>
        <v>X</v>
      </c>
      <c r="M56" s="16" t="str">
        <f>IF((VLOOKUP(Contacts4[[#This Row],[Código Tarea]],'[7]Formato 2 - SGSI'!$B$10:$I$83,4,0))=0,"",(VLOOKUP(Contacts4[[#This Row],[Código Tarea]],'[7]Formato 2 - SGSI'!$B$10:$I$83,4)))</f>
        <v/>
      </c>
      <c r="N56" s="16" t="str">
        <f>IF((VLOOKUP(Contacts4[[#This Row],[Código Tarea]],'[7]Formato 2 - SGSI'!$B$10:$I$83,5,0))=0,"",(VLOOKUP(Contacts4[[#This Row],[Código Tarea]],'[7]Formato 2 - SGSI'!$B$10:$I$83,5)))</f>
        <v/>
      </c>
      <c r="O56" s="16" t="str">
        <f>IF((VLOOKUP(Contacts4[[#This Row],[Código Tarea]],'[7]Formato 2 - SGSI'!$B$10:$I$83,6,0))=0,"",(VLOOKUP(Contacts4[[#This Row],[Código Tarea]],'[7]Formato 2 - SGSI'!$B$10:$I$83,6)))</f>
        <v/>
      </c>
      <c r="P56" s="16" t="str">
        <f>IF((VLOOKUP(Contacts4[[#This Row],[Código Tarea]],'[7]Formato 2 - SGSI'!$B$10:$I$83,7,0))=0,"",(VLOOKUP(Contacts4[[#This Row],[Código Tarea]],'[7]Formato 2 - SGSI'!$B$10:$I$83,7)))</f>
        <v/>
      </c>
      <c r="Q56" s="22" t="str">
        <f>VLOOKUP(Contacts4[[#This Row],[Código Tarea]],'[7]4. Directorio Integrado'!$I$4:$M$245,5,0)</f>
        <v>SARO/SAC</v>
      </c>
    </row>
    <row r="57" spans="3:17" s="6" customFormat="1" ht="30" customHeight="1" x14ac:dyDescent="0.35">
      <c r="C57" s="12">
        <f>VLOOKUP(Contacts4[[#This Row],[Código Tarea]],'[7]4. Directorio Integrado'!$B$4:$N$245,2,0)</f>
        <v>2</v>
      </c>
      <c r="D57" s="12" t="str">
        <f>VLOOKUP(Contacts4[[#This Row],[Código Tarea]],'[7]4. Directorio Integrado'!$B$4:$N$245,3,0)</f>
        <v>Seguridad de la Información</v>
      </c>
      <c r="E57" s="12" t="str">
        <f>VLOOKUP(Contacts4[[#This Row],[Código Tarea]],'[7]4. Directorio Integrado'!$B$4:$N$245,4,0)</f>
        <v>2.2</v>
      </c>
      <c r="F57" s="12" t="str">
        <f>VLOOKUP(Contacts4[[#This Row],[Código Tarea]],'[7]4. Directorio Integrado'!$B$4:$N$245,5,0)</f>
        <v>Humana</v>
      </c>
      <c r="G57" s="12" t="str">
        <f>VLOOKUP(Contacts4[[#This Row],[Código Tarea]],'[7]4. Directorio Integrado'!$B$4:$N$245,6,0)</f>
        <v>2.2.2</v>
      </c>
      <c r="H57" s="12" t="str">
        <f>VLOOKUP(Contacts4[[#This Row],[Código Tarea]],'[7]4. Directorio Integrado'!$B$4:$N$245,7,0)</f>
        <v>Revisión de Funciones y Responsabilidad</v>
      </c>
      <c r="I57" s="20" t="str">
        <f>'[7]4. Directorio Integrado'!I87</f>
        <v>2.2.2.001</v>
      </c>
      <c r="J57" s="21" t="str">
        <f>IFERROR((VLOOKUP(Contacts4[[#This Row],[Código Tarea]],'[7]4. Directorio Integrado'!I$4:J$1048576,2,0)),"")</f>
        <v>El practicante ejerce actividades de responsabilidad mayor</v>
      </c>
      <c r="K57" s="14" t="str">
        <f>IFERROR((VLOOKUP(Contacts4[[#This Row],[Código Tarea]],'[7]4. Directorio Integrado'!I$4:K$1048576,3,0)),"")</f>
        <v>Presencial</v>
      </c>
      <c r="L57" s="16" t="str">
        <f>IF((VLOOKUP(Contacts4[[#This Row],[Código Tarea]],'[7]Formato 2 - SGSI'!$B$10:$I$83,3,0))=0,"",(VLOOKUP(Contacts4[[#This Row],[Código Tarea]],'[7]Formato 2 - SGSI'!$B$10:$I$83,3,0)))</f>
        <v>X</v>
      </c>
      <c r="M57" s="16" t="str">
        <f>IF((VLOOKUP(Contacts4[[#This Row],[Código Tarea]],'[7]Formato 2 - SGSI'!$B$10:$I$83,4,0))=0,"",(VLOOKUP(Contacts4[[#This Row],[Código Tarea]],'[7]Formato 2 - SGSI'!$B$10:$I$83,4)))</f>
        <v/>
      </c>
      <c r="N57" s="16" t="str">
        <f>IF((VLOOKUP(Contacts4[[#This Row],[Código Tarea]],'[7]Formato 2 - SGSI'!$B$10:$I$83,5,0))=0,"",(VLOOKUP(Contacts4[[#This Row],[Código Tarea]],'[7]Formato 2 - SGSI'!$B$10:$I$83,5)))</f>
        <v/>
      </c>
      <c r="O57" s="16" t="str">
        <f>IF((VLOOKUP(Contacts4[[#This Row],[Código Tarea]],'[7]Formato 2 - SGSI'!$B$10:$I$83,6,0))=0,"",(VLOOKUP(Contacts4[[#This Row],[Código Tarea]],'[7]Formato 2 - SGSI'!$B$10:$I$83,6)))</f>
        <v/>
      </c>
      <c r="P57" s="16" t="str">
        <f>IF((VLOOKUP(Contacts4[[#This Row],[Código Tarea]],'[7]Formato 2 - SGSI'!$B$10:$I$83,7,0))=0,"",(VLOOKUP(Contacts4[[#This Row],[Código Tarea]],'[7]Formato 2 - SGSI'!$B$10:$I$83,7)))</f>
        <v/>
      </c>
      <c r="Q57" s="22" t="str">
        <f>VLOOKUP(Contacts4[[#This Row],[Código Tarea]],'[7]4. Directorio Integrado'!$I$4:$M$245,5,0)</f>
        <v>SARO/SAC</v>
      </c>
    </row>
    <row r="58" spans="3:17" s="6" customFormat="1" ht="30" customHeight="1" x14ac:dyDescent="0.35">
      <c r="C58" s="12">
        <f>VLOOKUP(Contacts4[[#This Row],[Código Tarea]],'[7]4. Directorio Integrado'!$B$4:$N$245,2,0)</f>
        <v>2</v>
      </c>
      <c r="D58" s="12" t="str">
        <f>VLOOKUP(Contacts4[[#This Row],[Código Tarea]],'[7]4. Directorio Integrado'!$B$4:$N$245,3,0)</f>
        <v>Seguridad de la Información</v>
      </c>
      <c r="E58" s="12" t="str">
        <f>VLOOKUP(Contacts4[[#This Row],[Código Tarea]],'[7]4. Directorio Integrado'!$B$4:$N$245,4,0)</f>
        <v>2.2</v>
      </c>
      <c r="F58" s="12" t="str">
        <f>VLOOKUP(Contacts4[[#This Row],[Código Tarea]],'[7]4. Directorio Integrado'!$B$4:$N$245,5,0)</f>
        <v>Humana</v>
      </c>
      <c r="G58" s="12" t="str">
        <f>VLOOKUP(Contacts4[[#This Row],[Código Tarea]],'[7]4. Directorio Integrado'!$B$4:$N$245,6,0)</f>
        <v>2.2.2</v>
      </c>
      <c r="H58" s="12" t="str">
        <f>VLOOKUP(Contacts4[[#This Row],[Código Tarea]],'[7]4. Directorio Integrado'!$B$4:$N$245,7,0)</f>
        <v>Revisión de Funciones y Responsabilidad</v>
      </c>
      <c r="I58" s="20" t="str">
        <f>'[7]4. Directorio Integrado'!I88</f>
        <v>2.2.2.002</v>
      </c>
      <c r="J58" s="21" t="str">
        <f>IFERROR((VLOOKUP(Contacts4[[#This Row],[Código Tarea]],'[7]4. Directorio Integrado'!I$4:J$1048576,2,0)),"")</f>
        <v>Las funciones realizadas por el personal son acordes a su rol</v>
      </c>
      <c r="K58" s="14" t="str">
        <f>IFERROR((VLOOKUP(Contacts4[[#This Row],[Código Tarea]],'[7]4. Directorio Integrado'!I$4:K$1048576,3,0)),"")</f>
        <v>Presencial</v>
      </c>
      <c r="L58" s="16" t="str">
        <f>IF((VLOOKUP(Contacts4[[#This Row],[Código Tarea]],'[7]Formato 2 - SGSI'!$B$10:$I$83,3,0))=0,"",(VLOOKUP(Contacts4[[#This Row],[Código Tarea]],'[7]Formato 2 - SGSI'!$B$10:$I$83,3,0)))</f>
        <v>X</v>
      </c>
      <c r="M58" s="16" t="str">
        <f>IF((VLOOKUP(Contacts4[[#This Row],[Código Tarea]],'[7]Formato 2 - SGSI'!$B$10:$I$83,4,0))=0,"",(VLOOKUP(Contacts4[[#This Row],[Código Tarea]],'[7]Formato 2 - SGSI'!$B$10:$I$83,4)))</f>
        <v/>
      </c>
      <c r="N58" s="16" t="str">
        <f>IF((VLOOKUP(Contacts4[[#This Row],[Código Tarea]],'[7]Formato 2 - SGSI'!$B$10:$I$83,5,0))=0,"",(VLOOKUP(Contacts4[[#This Row],[Código Tarea]],'[7]Formato 2 - SGSI'!$B$10:$I$83,5)))</f>
        <v/>
      </c>
      <c r="O58" s="16" t="str">
        <f>IF((VLOOKUP(Contacts4[[#This Row],[Código Tarea]],'[7]Formato 2 - SGSI'!$B$10:$I$83,6,0))=0,"",(VLOOKUP(Contacts4[[#This Row],[Código Tarea]],'[7]Formato 2 - SGSI'!$B$10:$I$83,6)))</f>
        <v/>
      </c>
      <c r="P58" s="16" t="str">
        <f>IF((VLOOKUP(Contacts4[[#This Row],[Código Tarea]],'[7]Formato 2 - SGSI'!$B$10:$I$83,7,0))=0,"",(VLOOKUP(Contacts4[[#This Row],[Código Tarea]],'[7]Formato 2 - SGSI'!$B$10:$I$83,7)))</f>
        <v/>
      </c>
      <c r="Q58" s="22" t="str">
        <f>VLOOKUP(Contacts4[[#This Row],[Código Tarea]],'[7]4. Directorio Integrado'!$I$4:$M$245,5,0)</f>
        <v>SARO/SAC</v>
      </c>
    </row>
    <row r="59" spans="3:17" s="6" customFormat="1" ht="30" customHeight="1" x14ac:dyDescent="0.35">
      <c r="C59" s="12">
        <f>VLOOKUP(Contacts4[[#This Row],[Código Tarea]],'[7]4. Directorio Integrado'!$B$4:$N$245,2,0)</f>
        <v>2</v>
      </c>
      <c r="D59" s="12" t="str">
        <f>VLOOKUP(Contacts4[[#This Row],[Código Tarea]],'[7]4. Directorio Integrado'!$B$4:$N$245,3,0)</f>
        <v>Seguridad de la Información</v>
      </c>
      <c r="E59" s="12" t="str">
        <f>VLOOKUP(Contacts4[[#This Row],[Código Tarea]],'[7]4. Directorio Integrado'!$B$4:$N$245,4,0)</f>
        <v>2.2</v>
      </c>
      <c r="F59" s="12" t="str">
        <f>VLOOKUP(Contacts4[[#This Row],[Código Tarea]],'[7]4. Directorio Integrado'!$B$4:$N$245,5,0)</f>
        <v>Humana</v>
      </c>
      <c r="G59" s="12" t="str">
        <f>VLOOKUP(Contacts4[[#This Row],[Código Tarea]],'[7]4. Directorio Integrado'!$B$4:$N$245,6,0)</f>
        <v>2.2.2</v>
      </c>
      <c r="H59" s="12" t="str">
        <f>VLOOKUP(Contacts4[[#This Row],[Código Tarea]],'[7]4. Directorio Integrado'!$B$4:$N$245,7,0)</f>
        <v>Revisión de Funciones y Responsabilidad</v>
      </c>
      <c r="I59" s="20" t="str">
        <f>'[7]4. Directorio Integrado'!I89</f>
        <v>2.2.2.003</v>
      </c>
      <c r="J59" s="21" t="str">
        <f>IFERROR((VLOOKUP(Contacts4[[#This Row],[Código Tarea]],'[7]4. Directorio Integrado'!I$4:J$1048576,2,0)),"")</f>
        <v>La oficina presenta carteras solas o abandonada</v>
      </c>
      <c r="K59" s="14" t="str">
        <f>IFERROR((VLOOKUP(Contacts4[[#This Row],[Código Tarea]],'[7]4. Directorio Integrado'!I$4:K$1048576,3,0)),"")</f>
        <v>Actividad a Distancia</v>
      </c>
      <c r="L59" s="16" t="str">
        <f>IF((VLOOKUP(Contacts4[[#This Row],[Código Tarea]],'[7]Formato 2 - SGSI'!$B$10:$I$83,3,0))=0,"",(VLOOKUP(Contacts4[[#This Row],[Código Tarea]],'[7]Formato 2 - SGSI'!$B$10:$I$83,3,0)))</f>
        <v>X</v>
      </c>
      <c r="M59" s="16" t="str">
        <f>IF((VLOOKUP(Contacts4[[#This Row],[Código Tarea]],'[7]Formato 2 - SGSI'!$B$10:$I$83,4,0))=0,"",(VLOOKUP(Contacts4[[#This Row],[Código Tarea]],'[7]Formato 2 - SGSI'!$B$10:$I$83,4)))</f>
        <v/>
      </c>
      <c r="N59" s="16" t="str">
        <f>IF((VLOOKUP(Contacts4[[#This Row],[Código Tarea]],'[7]Formato 2 - SGSI'!$B$10:$I$83,5,0))=0,"",(VLOOKUP(Contacts4[[#This Row],[Código Tarea]],'[7]Formato 2 - SGSI'!$B$10:$I$83,5)))</f>
        <v/>
      </c>
      <c r="O59" s="16" t="str">
        <f>IF((VLOOKUP(Contacts4[[#This Row],[Código Tarea]],'[7]Formato 2 - SGSI'!$B$10:$I$83,6,0))=0,"",(VLOOKUP(Contacts4[[#This Row],[Código Tarea]],'[7]Formato 2 - SGSI'!$B$10:$I$83,6)))</f>
        <v/>
      </c>
      <c r="P59" s="16" t="str">
        <f>IF((VLOOKUP(Contacts4[[#This Row],[Código Tarea]],'[7]Formato 2 - SGSI'!$B$10:$I$83,7,0))=0,"",(VLOOKUP(Contacts4[[#This Row],[Código Tarea]],'[7]Formato 2 - SGSI'!$B$10:$I$83,7)))</f>
        <v/>
      </c>
      <c r="Q59" s="22" t="str">
        <f>VLOOKUP(Contacts4[[#This Row],[Código Tarea]],'[7]4. Directorio Integrado'!$I$4:$M$245,5,0)</f>
        <v>SARO/SAC</v>
      </c>
    </row>
    <row r="60" spans="3:17" s="6" customFormat="1" ht="30" customHeight="1" x14ac:dyDescent="0.35">
      <c r="C60" s="12">
        <f>VLOOKUP(Contacts4[[#This Row],[Código Tarea]],'[7]4. Directorio Integrado'!$B$4:$N$245,2,0)</f>
        <v>2</v>
      </c>
      <c r="D60" s="12" t="str">
        <f>VLOOKUP(Contacts4[[#This Row],[Código Tarea]],'[7]4. Directorio Integrado'!$B$4:$N$245,3,0)</f>
        <v>Seguridad de la Información</v>
      </c>
      <c r="E60" s="12" t="str">
        <f>VLOOKUP(Contacts4[[#This Row],[Código Tarea]],'[7]4. Directorio Integrado'!$B$4:$N$245,4,0)</f>
        <v>2.2</v>
      </c>
      <c r="F60" s="12" t="str">
        <f>VLOOKUP(Contacts4[[#This Row],[Código Tarea]],'[7]4. Directorio Integrado'!$B$4:$N$245,5,0)</f>
        <v>Humana</v>
      </c>
      <c r="G60" s="12" t="str">
        <f>VLOOKUP(Contacts4[[#This Row],[Código Tarea]],'[7]4. Directorio Integrado'!$B$4:$N$245,6,0)</f>
        <v>2.2.2</v>
      </c>
      <c r="H60" s="12" t="str">
        <f>VLOOKUP(Contacts4[[#This Row],[Código Tarea]],'[7]4. Directorio Integrado'!$B$4:$N$245,7,0)</f>
        <v>Revisión de Funciones y Responsabilidad</v>
      </c>
      <c r="I60" s="20" t="str">
        <f>'[7]4. Directorio Integrado'!I90</f>
        <v>2.2.2.004</v>
      </c>
      <c r="J60" s="21" t="str">
        <f>IFERROR((VLOOKUP(Contacts4[[#This Row],[Código Tarea]],'[7]4. Directorio Integrado'!I$4:J$1048576,2,0)),"")</f>
        <v>El expediente de colaboradorees se encuentra vigente y actualizado</v>
      </c>
      <c r="K60" s="14" t="str">
        <f>IFERROR((VLOOKUP(Contacts4[[#This Row],[Código Tarea]],'[7]4. Directorio Integrado'!I$4:K$1048576,3,0)),"")</f>
        <v>Actividad a Distancia</v>
      </c>
      <c r="L60" s="16" t="str">
        <f>IF((VLOOKUP(Contacts4[[#This Row],[Código Tarea]],'[7]Formato 2 - SGSI'!$B$10:$I$83,3,0))=0,"",(VLOOKUP(Contacts4[[#This Row],[Código Tarea]],'[7]Formato 2 - SGSI'!$B$10:$I$83,3,0)))</f>
        <v>X</v>
      </c>
      <c r="M60" s="16" t="str">
        <f>IF((VLOOKUP(Contacts4[[#This Row],[Código Tarea]],'[7]Formato 2 - SGSI'!$B$10:$I$83,4,0))=0,"",(VLOOKUP(Contacts4[[#This Row],[Código Tarea]],'[7]Formato 2 - SGSI'!$B$10:$I$83,4)))</f>
        <v/>
      </c>
      <c r="N60" s="16" t="str">
        <f>IF((VLOOKUP(Contacts4[[#This Row],[Código Tarea]],'[7]Formato 2 - SGSI'!$B$10:$I$83,5,0))=0,"",(VLOOKUP(Contacts4[[#This Row],[Código Tarea]],'[7]Formato 2 - SGSI'!$B$10:$I$83,5)))</f>
        <v/>
      </c>
      <c r="O60" s="16" t="str">
        <f>IF((VLOOKUP(Contacts4[[#This Row],[Código Tarea]],'[7]Formato 2 - SGSI'!$B$10:$I$83,6,0))=0,"",(VLOOKUP(Contacts4[[#This Row],[Código Tarea]],'[7]Formato 2 - SGSI'!$B$10:$I$83,6)))</f>
        <v/>
      </c>
      <c r="P60" s="16" t="str">
        <f>IF((VLOOKUP(Contacts4[[#This Row],[Código Tarea]],'[7]Formato 2 - SGSI'!$B$10:$I$83,7,0))=0,"",(VLOOKUP(Contacts4[[#This Row],[Código Tarea]],'[7]Formato 2 - SGSI'!$B$10:$I$83,7)))</f>
        <v/>
      </c>
      <c r="Q60" s="22" t="str">
        <f>VLOOKUP(Contacts4[[#This Row],[Código Tarea]],'[7]4. Directorio Integrado'!$I$4:$M$245,5,0)</f>
        <v>SARO/SAC</v>
      </c>
    </row>
    <row r="61" spans="3:17" s="6" customFormat="1" ht="30" customHeight="1" x14ac:dyDescent="0.35">
      <c r="C61" s="12">
        <f>VLOOKUP(Contacts4[[#This Row],[Código Tarea]],'[7]4. Directorio Integrado'!$B$4:$N$245,2,0)</f>
        <v>2</v>
      </c>
      <c r="D61" s="12" t="str">
        <f>VLOOKUP(Contacts4[[#This Row],[Código Tarea]],'[7]4. Directorio Integrado'!$B$4:$N$245,3,0)</f>
        <v>Seguridad de la Información</v>
      </c>
      <c r="E61" s="12" t="str">
        <f>VLOOKUP(Contacts4[[#This Row],[Código Tarea]],'[7]4. Directorio Integrado'!$B$4:$N$245,4,0)</f>
        <v>2.2</v>
      </c>
      <c r="F61" s="12" t="str">
        <f>VLOOKUP(Contacts4[[#This Row],[Código Tarea]],'[7]4. Directorio Integrado'!$B$4:$N$245,5,0)</f>
        <v>Humana</v>
      </c>
      <c r="G61" s="12" t="str">
        <f>VLOOKUP(Contacts4[[#This Row],[Código Tarea]],'[7]4. Directorio Integrado'!$B$4:$N$245,6,0)</f>
        <v>2.2.2</v>
      </c>
      <c r="H61" s="12" t="str">
        <f>VLOOKUP(Contacts4[[#This Row],[Código Tarea]],'[7]4. Directorio Integrado'!$B$4:$N$245,7,0)</f>
        <v>Revisión de Funciones y Responsabilidad</v>
      </c>
      <c r="I61" s="20" t="str">
        <f>'[7]4. Directorio Integrado'!I91</f>
        <v>2.2.2.005</v>
      </c>
      <c r="J61" s="21" t="str">
        <f>IFERROR((VLOOKUP(Contacts4[[#This Row],[Código Tarea]],'[7]4. Directorio Integrado'!I$4:J$1048576,2,0)),"")</f>
        <v>Número de colaboradores con procesos disciplinarios activos.</v>
      </c>
      <c r="K61" s="14" t="str">
        <f>IFERROR((VLOOKUP(Contacts4[[#This Row],[Código Tarea]],'[7]4. Directorio Integrado'!I$4:K$1048576,3,0)),"")</f>
        <v>Actividad a Distancia</v>
      </c>
      <c r="L61" s="16" t="str">
        <f>IF((VLOOKUP(Contacts4[[#This Row],[Código Tarea]],'[7]Formato 2 - SGSI'!$B$10:$I$83,3,0))=0,"",(VLOOKUP(Contacts4[[#This Row],[Código Tarea]],'[7]Formato 2 - SGSI'!$B$10:$I$83,3,0)))</f>
        <v>X</v>
      </c>
      <c r="M61" s="16" t="str">
        <f>IF((VLOOKUP(Contacts4[[#This Row],[Código Tarea]],'[7]Formato 2 - SGSI'!$B$10:$I$83,4,0))=0,"",(VLOOKUP(Contacts4[[#This Row],[Código Tarea]],'[7]Formato 2 - SGSI'!$B$10:$I$83,4)))</f>
        <v/>
      </c>
      <c r="N61" s="16" t="str">
        <f>IF((VLOOKUP(Contacts4[[#This Row],[Código Tarea]],'[7]Formato 2 - SGSI'!$B$10:$I$83,5,0))=0,"",(VLOOKUP(Contacts4[[#This Row],[Código Tarea]],'[7]Formato 2 - SGSI'!$B$10:$I$83,5)))</f>
        <v/>
      </c>
      <c r="O61" s="16" t="str">
        <f>IF((VLOOKUP(Contacts4[[#This Row],[Código Tarea]],'[7]Formato 2 - SGSI'!$B$10:$I$83,6,0))=0,"",(VLOOKUP(Contacts4[[#This Row],[Código Tarea]],'[7]Formato 2 - SGSI'!$B$10:$I$83,6)))</f>
        <v/>
      </c>
      <c r="P61" s="16" t="str">
        <f>IF((VLOOKUP(Contacts4[[#This Row],[Código Tarea]],'[7]Formato 2 - SGSI'!$B$10:$I$83,7,0))=0,"",(VLOOKUP(Contacts4[[#This Row],[Código Tarea]],'[7]Formato 2 - SGSI'!$B$10:$I$83,7)))</f>
        <v/>
      </c>
      <c r="Q61" s="22" t="str">
        <f>VLOOKUP(Contacts4[[#This Row],[Código Tarea]],'[7]4. Directorio Integrado'!$I$4:$M$245,5,0)</f>
        <v>SARO/SAC</v>
      </c>
    </row>
    <row r="62" spans="3:17" s="6" customFormat="1" ht="30" customHeight="1" x14ac:dyDescent="0.35">
      <c r="C62" s="12">
        <f>VLOOKUP(Contacts4[[#This Row],[Código Tarea]],'[7]4. Directorio Integrado'!$B$4:$N$245,2,0)</f>
        <v>2</v>
      </c>
      <c r="D62" s="12" t="str">
        <f>VLOOKUP(Contacts4[[#This Row],[Código Tarea]],'[7]4. Directorio Integrado'!$B$4:$N$245,3,0)</f>
        <v>Seguridad de la Información</v>
      </c>
      <c r="E62" s="12" t="str">
        <f>VLOOKUP(Contacts4[[#This Row],[Código Tarea]],'[7]4. Directorio Integrado'!$B$4:$N$245,4,0)</f>
        <v>2.2</v>
      </c>
      <c r="F62" s="12" t="str">
        <f>VLOOKUP(Contacts4[[#This Row],[Código Tarea]],'[7]4. Directorio Integrado'!$B$4:$N$245,5,0)</f>
        <v>Humana</v>
      </c>
      <c r="G62" s="12" t="str">
        <f>VLOOKUP(Contacts4[[#This Row],[Código Tarea]],'[7]4. Directorio Integrado'!$B$4:$N$245,6,0)</f>
        <v>2.2.3</v>
      </c>
      <c r="H62" s="12" t="str">
        <f>VLOOKUP(Contacts4[[#This Row],[Código Tarea]],'[7]4. Directorio Integrado'!$B$4:$N$245,7,0)</f>
        <v>Revisión de la Planta de Personal</v>
      </c>
      <c r="I62" s="20" t="str">
        <f>'[7]4. Directorio Integrado'!I92</f>
        <v>2.2.3.001</v>
      </c>
      <c r="J62" s="21" t="str">
        <f>IFERROR((VLOOKUP(Contacts4[[#This Row],[Código Tarea]],'[7]4. Directorio Integrado'!I$4:J$1048576,2,0)),"")</f>
        <v>Cuenta con el recurso humano completo (planta aprobada para la oficina)</v>
      </c>
      <c r="K62" s="14" t="str">
        <f>IFERROR((VLOOKUP(Contacts4[[#This Row],[Código Tarea]],'[7]4. Directorio Integrado'!I$4:K$1048576,3,0)),"")</f>
        <v>Actividad a Distancia</v>
      </c>
      <c r="L62" s="16" t="str">
        <f>IF((VLOOKUP(Contacts4[[#This Row],[Código Tarea]],'[7]Formato 2 - SGSI'!$B$10:$I$83,3,0))=0,"",(VLOOKUP(Contacts4[[#This Row],[Código Tarea]],'[7]Formato 2 - SGSI'!$B$10:$I$83,3,0)))</f>
        <v>X</v>
      </c>
      <c r="M62" s="16" t="str">
        <f>IF((VLOOKUP(Contacts4[[#This Row],[Código Tarea]],'[7]Formato 2 - SGSI'!$B$10:$I$83,4,0))=0,"",(VLOOKUP(Contacts4[[#This Row],[Código Tarea]],'[7]Formato 2 - SGSI'!$B$10:$I$83,4)))</f>
        <v/>
      </c>
      <c r="N62" s="16" t="str">
        <f>IF((VLOOKUP(Contacts4[[#This Row],[Código Tarea]],'[7]Formato 2 - SGSI'!$B$10:$I$83,5,0))=0,"",(VLOOKUP(Contacts4[[#This Row],[Código Tarea]],'[7]Formato 2 - SGSI'!$B$10:$I$83,5)))</f>
        <v/>
      </c>
      <c r="O62" s="16" t="str">
        <f>IF((VLOOKUP(Contacts4[[#This Row],[Código Tarea]],'[7]Formato 2 - SGSI'!$B$10:$I$83,6,0))=0,"",(VLOOKUP(Contacts4[[#This Row],[Código Tarea]],'[7]Formato 2 - SGSI'!$B$10:$I$83,6)))</f>
        <v/>
      </c>
      <c r="P62" s="16" t="str">
        <f>IF((VLOOKUP(Contacts4[[#This Row],[Código Tarea]],'[7]Formato 2 - SGSI'!$B$10:$I$83,7,0))=0,"",(VLOOKUP(Contacts4[[#This Row],[Código Tarea]],'[7]Formato 2 - SGSI'!$B$10:$I$83,7)))</f>
        <v/>
      </c>
      <c r="Q62" s="22" t="str">
        <f>VLOOKUP(Contacts4[[#This Row],[Código Tarea]],'[7]4. Directorio Integrado'!$I$4:$M$245,5,0)</f>
        <v>SARO/SAC</v>
      </c>
    </row>
    <row r="63" spans="3:17" s="6" customFormat="1" ht="30" customHeight="1" x14ac:dyDescent="0.35">
      <c r="C63" s="12">
        <f>VLOOKUP(Contacts4[[#This Row],[Código Tarea]],'[7]4. Directorio Integrado'!$B$4:$N$245,2,0)</f>
        <v>2</v>
      </c>
      <c r="D63" s="12" t="str">
        <f>VLOOKUP(Contacts4[[#This Row],[Código Tarea]],'[7]4. Directorio Integrado'!$B$4:$N$245,3,0)</f>
        <v>Seguridad de la Información</v>
      </c>
      <c r="E63" s="12" t="str">
        <f>VLOOKUP(Contacts4[[#This Row],[Código Tarea]],'[7]4. Directorio Integrado'!$B$4:$N$245,4,0)</f>
        <v>2.2</v>
      </c>
      <c r="F63" s="12" t="str">
        <f>VLOOKUP(Contacts4[[#This Row],[Código Tarea]],'[7]4. Directorio Integrado'!$B$4:$N$245,5,0)</f>
        <v>Humana</v>
      </c>
      <c r="G63" s="12" t="str">
        <f>VLOOKUP(Contacts4[[#This Row],[Código Tarea]],'[7]4. Directorio Integrado'!$B$4:$N$245,6,0)</f>
        <v>2.2.3</v>
      </c>
      <c r="H63" s="12" t="str">
        <f>VLOOKUP(Contacts4[[#This Row],[Código Tarea]],'[7]4. Directorio Integrado'!$B$4:$N$245,7,0)</f>
        <v>Revisión de la Planta de Personal</v>
      </c>
      <c r="I63" s="20" t="str">
        <f>'[7]4. Directorio Integrado'!I93</f>
        <v>2.2.3.002</v>
      </c>
      <c r="J63" s="21" t="str">
        <f>IFERROR((VLOOKUP(Contacts4[[#This Row],[Código Tarea]],'[7]4. Directorio Integrado'!I$4:J$1048576,2,0)),"")</f>
        <v>La oficina cuenta con coordinador operativo.</v>
      </c>
      <c r="K63" s="14" t="str">
        <f>IFERROR((VLOOKUP(Contacts4[[#This Row],[Código Tarea]],'[7]4. Directorio Integrado'!I$4:K$1048576,3,0)),"")</f>
        <v>Actividad a Distancia</v>
      </c>
      <c r="L63" s="16" t="str">
        <f>IF((VLOOKUP(Contacts4[[#This Row],[Código Tarea]],'[7]Formato 2 - SGSI'!$B$10:$I$83,3,0))=0,"",(VLOOKUP(Contacts4[[#This Row],[Código Tarea]],'[7]Formato 2 - SGSI'!$B$10:$I$83,3,0)))</f>
        <v>X</v>
      </c>
      <c r="M63" s="16" t="str">
        <f>IF((VLOOKUP(Contacts4[[#This Row],[Código Tarea]],'[7]Formato 2 - SGSI'!$B$10:$I$83,4,0))=0,"",(VLOOKUP(Contacts4[[#This Row],[Código Tarea]],'[7]Formato 2 - SGSI'!$B$10:$I$83,4)))</f>
        <v/>
      </c>
      <c r="N63" s="16" t="str">
        <f>IF((VLOOKUP(Contacts4[[#This Row],[Código Tarea]],'[7]Formato 2 - SGSI'!$B$10:$I$83,5,0))=0,"",(VLOOKUP(Contacts4[[#This Row],[Código Tarea]],'[7]Formato 2 - SGSI'!$B$10:$I$83,5)))</f>
        <v/>
      </c>
      <c r="O63" s="16" t="str">
        <f>IF((VLOOKUP(Contacts4[[#This Row],[Código Tarea]],'[7]Formato 2 - SGSI'!$B$10:$I$83,6,0))=0,"",(VLOOKUP(Contacts4[[#This Row],[Código Tarea]],'[7]Formato 2 - SGSI'!$B$10:$I$83,6)))</f>
        <v/>
      </c>
      <c r="P63" s="16" t="str">
        <f>IF((VLOOKUP(Contacts4[[#This Row],[Código Tarea]],'[7]Formato 2 - SGSI'!$B$10:$I$83,7,0))=0,"",(VLOOKUP(Contacts4[[#This Row],[Código Tarea]],'[7]Formato 2 - SGSI'!$B$10:$I$83,7)))</f>
        <v/>
      </c>
      <c r="Q63" s="22" t="str">
        <f>VLOOKUP(Contacts4[[#This Row],[Código Tarea]],'[7]4. Directorio Integrado'!$I$4:$M$245,5,0)</f>
        <v>SARO/SAC</v>
      </c>
    </row>
    <row r="64" spans="3:17" s="6" customFormat="1" ht="30" customHeight="1" x14ac:dyDescent="0.35">
      <c r="C64" s="12">
        <f>VLOOKUP(Contacts4[[#This Row],[Código Tarea]],'[7]4. Directorio Integrado'!$B$4:$N$245,2,0)</f>
        <v>2</v>
      </c>
      <c r="D64" s="12" t="str">
        <f>VLOOKUP(Contacts4[[#This Row],[Código Tarea]],'[7]4. Directorio Integrado'!$B$4:$N$245,3,0)</f>
        <v>Seguridad de la Información</v>
      </c>
      <c r="E64" s="12" t="str">
        <f>VLOOKUP(Contacts4[[#This Row],[Código Tarea]],'[7]4. Directorio Integrado'!$B$4:$N$245,4,0)</f>
        <v>2.2</v>
      </c>
      <c r="F64" s="12" t="str">
        <f>VLOOKUP(Contacts4[[#This Row],[Código Tarea]],'[7]4. Directorio Integrado'!$B$4:$N$245,5,0)</f>
        <v>Humana</v>
      </c>
      <c r="G64" s="12" t="str">
        <f>VLOOKUP(Contacts4[[#This Row],[Código Tarea]],'[7]4. Directorio Integrado'!$B$4:$N$245,6,0)</f>
        <v>2.2.3</v>
      </c>
      <c r="H64" s="12" t="str">
        <f>VLOOKUP(Contacts4[[#This Row],[Código Tarea]],'[7]4. Directorio Integrado'!$B$4:$N$245,7,0)</f>
        <v>Revisión de la Planta de Personal</v>
      </c>
      <c r="I64" s="20" t="str">
        <f>'[7]4. Directorio Integrado'!I94</f>
        <v>2.2.3.003</v>
      </c>
      <c r="J64" s="21" t="str">
        <f>IFERROR((VLOOKUP(Contacts4[[#This Row],[Código Tarea]],'[7]4. Directorio Integrado'!I$4:J$1048576,2,0)),"")</f>
        <v>La oficina cuenta con coordinador de desarrollo productivo del cliente</v>
      </c>
      <c r="K64" s="14" t="str">
        <f>IFERROR((VLOOKUP(Contacts4[[#This Row],[Código Tarea]],'[7]4. Directorio Integrado'!I$4:K$1048576,3,0)),"")</f>
        <v>Actividad a Distancia</v>
      </c>
      <c r="L64" s="16" t="str">
        <f>IF((VLOOKUP(Contacts4[[#This Row],[Código Tarea]],'[7]Formato 2 - SGSI'!$B$10:$I$83,3,0))=0,"",(VLOOKUP(Contacts4[[#This Row],[Código Tarea]],'[7]Formato 2 - SGSI'!$B$10:$I$83,3,0)))</f>
        <v>X</v>
      </c>
      <c r="M64" s="16" t="str">
        <f>IF((VLOOKUP(Contacts4[[#This Row],[Código Tarea]],'[7]Formato 2 - SGSI'!$B$10:$I$83,4,0))=0,"",(VLOOKUP(Contacts4[[#This Row],[Código Tarea]],'[7]Formato 2 - SGSI'!$B$10:$I$83,4)))</f>
        <v/>
      </c>
      <c r="N64" s="16" t="str">
        <f>IF((VLOOKUP(Contacts4[[#This Row],[Código Tarea]],'[7]Formato 2 - SGSI'!$B$10:$I$83,5,0))=0,"",(VLOOKUP(Contacts4[[#This Row],[Código Tarea]],'[7]Formato 2 - SGSI'!$B$10:$I$83,5)))</f>
        <v/>
      </c>
      <c r="O64" s="16" t="str">
        <f>IF((VLOOKUP(Contacts4[[#This Row],[Código Tarea]],'[7]Formato 2 - SGSI'!$B$10:$I$83,6,0))=0,"",(VLOOKUP(Contacts4[[#This Row],[Código Tarea]],'[7]Formato 2 - SGSI'!$B$10:$I$83,6)))</f>
        <v/>
      </c>
      <c r="P64" s="16" t="str">
        <f>IF((VLOOKUP(Contacts4[[#This Row],[Código Tarea]],'[7]Formato 2 - SGSI'!$B$10:$I$83,7,0))=0,"",(VLOOKUP(Contacts4[[#This Row],[Código Tarea]],'[7]Formato 2 - SGSI'!$B$10:$I$83,7)))</f>
        <v/>
      </c>
      <c r="Q64" s="22" t="str">
        <f>VLOOKUP(Contacts4[[#This Row],[Código Tarea]],'[7]4. Directorio Integrado'!$I$4:$M$245,5,0)</f>
        <v>SARO/SAC</v>
      </c>
    </row>
    <row r="65" spans="3:17" s="6" customFormat="1" ht="30" customHeight="1" x14ac:dyDescent="0.35">
      <c r="C65" s="12">
        <f>VLOOKUP(Contacts4[[#This Row],[Código Tarea]],'[7]4. Directorio Integrado'!$B$4:$N$245,2,0)</f>
        <v>2</v>
      </c>
      <c r="D65" s="12" t="str">
        <f>VLOOKUP(Contacts4[[#This Row],[Código Tarea]],'[7]4. Directorio Integrado'!$B$4:$N$245,3,0)</f>
        <v>Seguridad de la Información</v>
      </c>
      <c r="E65" s="12" t="str">
        <f>VLOOKUP(Contacts4[[#This Row],[Código Tarea]],'[7]4. Directorio Integrado'!$B$4:$N$245,4,0)</f>
        <v>2.2</v>
      </c>
      <c r="F65" s="12" t="str">
        <f>VLOOKUP(Contacts4[[#This Row],[Código Tarea]],'[7]4. Directorio Integrado'!$B$4:$N$245,5,0)</f>
        <v>Humana</v>
      </c>
      <c r="G65" s="12" t="str">
        <f>VLOOKUP(Contacts4[[#This Row],[Código Tarea]],'[7]4. Directorio Integrado'!$B$4:$N$245,6,0)</f>
        <v>2.2.3</v>
      </c>
      <c r="H65" s="12" t="str">
        <f>VLOOKUP(Contacts4[[#This Row],[Código Tarea]],'[7]4. Directorio Integrado'!$B$4:$N$245,7,0)</f>
        <v>Revisión de la Planta de Personal</v>
      </c>
      <c r="I65" s="20" t="str">
        <f>'[7]4. Directorio Integrado'!I95</f>
        <v>2.2.3.004</v>
      </c>
      <c r="J65" s="21" t="str">
        <f>IFERROR((VLOOKUP(Contacts4[[#This Row],[Código Tarea]],'[7]4. Directorio Integrado'!I$4:J$1048576,2,0)),"")</f>
        <v>La oficina cuenta con EDP adicional o Supernumerario</v>
      </c>
      <c r="K65" s="14" t="str">
        <f>IFERROR((VLOOKUP(Contacts4[[#This Row],[Código Tarea]],'[7]4. Directorio Integrado'!I$4:K$1048576,3,0)),"")</f>
        <v>Actividad a Distancia</v>
      </c>
      <c r="L65" s="16" t="str">
        <f>IF((VLOOKUP(Contacts4[[#This Row],[Código Tarea]],'[7]Formato 2 - SGSI'!$B$10:$I$83,3,0))=0,"",(VLOOKUP(Contacts4[[#This Row],[Código Tarea]],'[7]Formato 2 - SGSI'!$B$10:$I$83,3,0)))</f>
        <v>X</v>
      </c>
      <c r="M65" s="16" t="str">
        <f>IF((VLOOKUP(Contacts4[[#This Row],[Código Tarea]],'[7]Formato 2 - SGSI'!$B$10:$I$83,4,0))=0,"",(VLOOKUP(Contacts4[[#This Row],[Código Tarea]],'[7]Formato 2 - SGSI'!$B$10:$I$83,4)))</f>
        <v/>
      </c>
      <c r="N65" s="16" t="str">
        <f>IF((VLOOKUP(Contacts4[[#This Row],[Código Tarea]],'[7]Formato 2 - SGSI'!$B$10:$I$83,5,0))=0,"",(VLOOKUP(Contacts4[[#This Row],[Código Tarea]],'[7]Formato 2 - SGSI'!$B$10:$I$83,5)))</f>
        <v/>
      </c>
      <c r="O65" s="16" t="str">
        <f>IF((VLOOKUP(Contacts4[[#This Row],[Código Tarea]],'[7]Formato 2 - SGSI'!$B$10:$I$83,6,0))=0,"",(VLOOKUP(Contacts4[[#This Row],[Código Tarea]],'[7]Formato 2 - SGSI'!$B$10:$I$83,6)))</f>
        <v/>
      </c>
      <c r="P65" s="16" t="str">
        <f>IF((VLOOKUP(Contacts4[[#This Row],[Código Tarea]],'[7]Formato 2 - SGSI'!$B$10:$I$83,7,0))=0,"",(VLOOKUP(Contacts4[[#This Row],[Código Tarea]],'[7]Formato 2 - SGSI'!$B$10:$I$83,7)))</f>
        <v/>
      </c>
      <c r="Q65" s="22" t="str">
        <f>VLOOKUP(Contacts4[[#This Row],[Código Tarea]],'[7]4. Directorio Integrado'!$I$4:$M$245,5,0)</f>
        <v>SARO/SAC</v>
      </c>
    </row>
    <row r="66" spans="3:17" s="6" customFormat="1" ht="30" customHeight="1" x14ac:dyDescent="0.35">
      <c r="C66" s="12">
        <f>VLOOKUP(Contacts4[[#This Row],[Código Tarea]],'[7]4. Directorio Integrado'!$B$4:$N$245,2,0)</f>
        <v>2</v>
      </c>
      <c r="D66" s="12" t="str">
        <f>VLOOKUP(Contacts4[[#This Row],[Código Tarea]],'[7]4. Directorio Integrado'!$B$4:$N$245,3,0)</f>
        <v>Seguridad de la Información</v>
      </c>
      <c r="E66" s="12" t="str">
        <f>VLOOKUP(Contacts4[[#This Row],[Código Tarea]],'[7]4. Directorio Integrado'!$B$4:$N$245,4,0)</f>
        <v>2.3</v>
      </c>
      <c r="F66" s="12" t="str">
        <f>VLOOKUP(Contacts4[[#This Row],[Código Tarea]],'[7]4. Directorio Integrado'!$B$4:$N$245,5,0)</f>
        <v>Tecnológica</v>
      </c>
      <c r="G66" s="12" t="str">
        <f>VLOOKUP(Contacts4[[#This Row],[Código Tarea]],'[7]4. Directorio Integrado'!$B$4:$N$245,6,0)</f>
        <v>2.3.1</v>
      </c>
      <c r="H66" s="12" t="str">
        <f>VLOOKUP(Contacts4[[#This Row],[Código Tarea]],'[7]4. Directorio Integrado'!$B$4:$N$245,7,0)</f>
        <v>Revisión equipos de comunicación</v>
      </c>
      <c r="I66" s="20" t="str">
        <f>'[7]4. Directorio Integrado'!I96</f>
        <v>2.3.1.001</v>
      </c>
      <c r="J66" s="21" t="str">
        <f>IFERROR((VLOOKUP(Contacts4[[#This Row],[Código Tarea]],'[7]4. Directorio Integrado'!I$4:J$1048576,2,0)),"")</f>
        <v>Cuenta con el 100% de los celulares asignados (diligenciar anexo no 1)</v>
      </c>
      <c r="K66" s="14" t="str">
        <f>IFERROR((VLOOKUP(Contacts4[[#This Row],[Código Tarea]],'[7]4. Directorio Integrado'!I$4:K$1048576,3,0)),"")</f>
        <v>Actividad a Distancia</v>
      </c>
      <c r="L66" s="16" t="str">
        <f>IF((VLOOKUP(Contacts4[[#This Row],[Código Tarea]],'[7]Formato 2 - SGSI'!$B$10:$I$83,3,0))=0,"",(VLOOKUP(Contacts4[[#This Row],[Código Tarea]],'[7]Formato 2 - SGSI'!$B$10:$I$83,3,0)))</f>
        <v>X</v>
      </c>
      <c r="M66" s="16" t="str">
        <f>IF((VLOOKUP(Contacts4[[#This Row],[Código Tarea]],'[7]Formato 2 - SGSI'!$B$10:$I$83,4,0))=0,"",(VLOOKUP(Contacts4[[#This Row],[Código Tarea]],'[7]Formato 2 - SGSI'!$B$10:$I$83,4)))</f>
        <v/>
      </c>
      <c r="N66" s="16" t="str">
        <f>IF((VLOOKUP(Contacts4[[#This Row],[Código Tarea]],'[7]Formato 2 - SGSI'!$B$10:$I$83,5,0))=0,"",(VLOOKUP(Contacts4[[#This Row],[Código Tarea]],'[7]Formato 2 - SGSI'!$B$10:$I$83,5)))</f>
        <v/>
      </c>
      <c r="O66" s="16" t="str">
        <f>IF((VLOOKUP(Contacts4[[#This Row],[Código Tarea]],'[7]Formato 2 - SGSI'!$B$10:$I$83,6,0))=0,"",(VLOOKUP(Contacts4[[#This Row],[Código Tarea]],'[7]Formato 2 - SGSI'!$B$10:$I$83,6)))</f>
        <v/>
      </c>
      <c r="P66" s="16" t="str">
        <f>IF((VLOOKUP(Contacts4[[#This Row],[Código Tarea]],'[7]Formato 2 - SGSI'!$B$10:$I$83,7,0))=0,"",(VLOOKUP(Contacts4[[#This Row],[Código Tarea]],'[7]Formato 2 - SGSI'!$B$10:$I$83,7)))</f>
        <v/>
      </c>
      <c r="Q66" s="22" t="str">
        <f>VLOOKUP(Contacts4[[#This Row],[Código Tarea]],'[7]4. Directorio Integrado'!$I$4:$M$245,5,0)</f>
        <v>SARO/SGSI/SAC</v>
      </c>
    </row>
    <row r="67" spans="3:17" s="6" customFormat="1" ht="30" customHeight="1" x14ac:dyDescent="0.35">
      <c r="C67" s="12">
        <f>VLOOKUP(Contacts4[[#This Row],[Código Tarea]],'[7]4. Directorio Integrado'!$B$4:$N$245,2,0)</f>
        <v>2</v>
      </c>
      <c r="D67" s="12" t="str">
        <f>VLOOKUP(Contacts4[[#This Row],[Código Tarea]],'[7]4. Directorio Integrado'!$B$4:$N$245,3,0)</f>
        <v>Seguridad de la Información</v>
      </c>
      <c r="E67" s="12" t="str">
        <f>VLOOKUP(Contacts4[[#This Row],[Código Tarea]],'[7]4. Directorio Integrado'!$B$4:$N$245,4,0)</f>
        <v>2.3</v>
      </c>
      <c r="F67" s="12" t="str">
        <f>VLOOKUP(Contacts4[[#This Row],[Código Tarea]],'[7]4. Directorio Integrado'!$B$4:$N$245,5,0)</f>
        <v>Tecnológica</v>
      </c>
      <c r="G67" s="12" t="str">
        <f>VLOOKUP(Contacts4[[#This Row],[Código Tarea]],'[7]4. Directorio Integrado'!$B$4:$N$245,6,0)</f>
        <v>2.3.1</v>
      </c>
      <c r="H67" s="12" t="str">
        <f>VLOOKUP(Contacts4[[#This Row],[Código Tarea]],'[7]4. Directorio Integrado'!$B$4:$N$245,7,0)</f>
        <v>Revisión equipos de comunicación</v>
      </c>
      <c r="I67" s="20" t="str">
        <f>'[7]4. Directorio Integrado'!I97</f>
        <v>2.3.1.002</v>
      </c>
      <c r="J67" s="21" t="str">
        <f>IFERROR((VLOOKUP(Contacts4[[#This Row],[Código Tarea]],'[7]4. Directorio Integrado'!I$4:J$1048576,2,0)),"")</f>
        <v>Cuenta con fax y su función es óptima</v>
      </c>
      <c r="K67" s="14" t="str">
        <f>IFERROR((VLOOKUP(Contacts4[[#This Row],[Código Tarea]],'[7]4. Directorio Integrado'!I$4:K$1048576,3,0)),"")</f>
        <v>Actividad a Distancia</v>
      </c>
      <c r="L67" s="16" t="str">
        <f>IF((VLOOKUP(Contacts4[[#This Row],[Código Tarea]],'[7]Formato 2 - SGSI'!$B$10:$I$83,3,0))=0,"",(VLOOKUP(Contacts4[[#This Row],[Código Tarea]],'[7]Formato 2 - SGSI'!$B$10:$I$83,3,0)))</f>
        <v>X</v>
      </c>
      <c r="M67" s="16" t="str">
        <f>IF((VLOOKUP(Contacts4[[#This Row],[Código Tarea]],'[7]Formato 2 - SGSI'!$B$10:$I$83,4,0))=0,"",(VLOOKUP(Contacts4[[#This Row],[Código Tarea]],'[7]Formato 2 - SGSI'!$B$10:$I$83,4)))</f>
        <v/>
      </c>
      <c r="N67" s="16" t="str">
        <f>IF((VLOOKUP(Contacts4[[#This Row],[Código Tarea]],'[7]Formato 2 - SGSI'!$B$10:$I$83,5,0))=0,"",(VLOOKUP(Contacts4[[#This Row],[Código Tarea]],'[7]Formato 2 - SGSI'!$B$10:$I$83,5)))</f>
        <v/>
      </c>
      <c r="O67" s="16" t="str">
        <f>IF((VLOOKUP(Contacts4[[#This Row],[Código Tarea]],'[7]Formato 2 - SGSI'!$B$10:$I$83,6,0))=0,"",(VLOOKUP(Contacts4[[#This Row],[Código Tarea]],'[7]Formato 2 - SGSI'!$B$10:$I$83,6)))</f>
        <v/>
      </c>
      <c r="P67" s="16" t="str">
        <f>IF((VLOOKUP(Contacts4[[#This Row],[Código Tarea]],'[7]Formato 2 - SGSI'!$B$10:$I$83,7,0))=0,"",(VLOOKUP(Contacts4[[#This Row],[Código Tarea]],'[7]Formato 2 - SGSI'!$B$10:$I$83,7)))</f>
        <v/>
      </c>
      <c r="Q67" s="22" t="str">
        <f>VLOOKUP(Contacts4[[#This Row],[Código Tarea]],'[7]4. Directorio Integrado'!$I$4:$M$245,5,0)</f>
        <v>SARO/SGSI</v>
      </c>
    </row>
    <row r="68" spans="3:17" s="6" customFormat="1" ht="30" customHeight="1" x14ac:dyDescent="0.35">
      <c r="C68" s="12">
        <f>VLOOKUP(Contacts4[[#This Row],[Código Tarea]],'[7]4. Directorio Integrado'!$B$4:$N$245,2,0)</f>
        <v>2</v>
      </c>
      <c r="D68" s="12" t="str">
        <f>VLOOKUP(Contacts4[[#This Row],[Código Tarea]],'[7]4. Directorio Integrado'!$B$4:$N$245,3,0)</f>
        <v>Seguridad de la Información</v>
      </c>
      <c r="E68" s="12" t="str">
        <f>VLOOKUP(Contacts4[[#This Row],[Código Tarea]],'[7]4. Directorio Integrado'!$B$4:$N$245,4,0)</f>
        <v>2.3</v>
      </c>
      <c r="F68" s="12" t="str">
        <f>VLOOKUP(Contacts4[[#This Row],[Código Tarea]],'[7]4. Directorio Integrado'!$B$4:$N$245,5,0)</f>
        <v>Tecnológica</v>
      </c>
      <c r="G68" s="12" t="str">
        <f>VLOOKUP(Contacts4[[#This Row],[Código Tarea]],'[7]4. Directorio Integrado'!$B$4:$N$245,6,0)</f>
        <v>2.3.1</v>
      </c>
      <c r="H68" s="12" t="str">
        <f>VLOOKUP(Contacts4[[#This Row],[Código Tarea]],'[7]4. Directorio Integrado'!$B$4:$N$245,7,0)</f>
        <v>Revisión equipos de comunicación</v>
      </c>
      <c r="I68" s="20" t="str">
        <f>'[7]4. Directorio Integrado'!I98</f>
        <v>2.3.1.003</v>
      </c>
      <c r="J68" s="21" t="str">
        <f>IFERROR((VLOOKUP(Contacts4[[#This Row],[Código Tarea]],'[7]4. Directorio Integrado'!I$4:J$1048576,2,0)),"")</f>
        <v>Cuenta con planta telefónica y su función es óptima.</v>
      </c>
      <c r="K68" s="14" t="str">
        <f>IFERROR((VLOOKUP(Contacts4[[#This Row],[Código Tarea]],'[7]4. Directorio Integrado'!I$4:K$1048576,3,0)),"")</f>
        <v>Actividad a Distancia</v>
      </c>
      <c r="L68" s="16" t="str">
        <f>IF((VLOOKUP(Contacts4[[#This Row],[Código Tarea]],'[7]Formato 2 - SGSI'!$B$10:$I$83,3,0))=0,"",(VLOOKUP(Contacts4[[#This Row],[Código Tarea]],'[7]Formato 2 - SGSI'!$B$10:$I$83,3,0)))</f>
        <v/>
      </c>
      <c r="M68" s="16" t="str">
        <f>IF((VLOOKUP(Contacts4[[#This Row],[Código Tarea]],'[7]Formato 2 - SGSI'!$B$10:$I$83,4,0))=0,"",(VLOOKUP(Contacts4[[#This Row],[Código Tarea]],'[7]Formato 2 - SGSI'!$B$10:$I$83,4)))</f>
        <v>x</v>
      </c>
      <c r="N68" s="16" t="str">
        <f>IF((VLOOKUP(Contacts4[[#This Row],[Código Tarea]],'[7]Formato 2 - SGSI'!$B$10:$I$83,5,0))=0,"",(VLOOKUP(Contacts4[[#This Row],[Código Tarea]],'[7]Formato 2 - SGSI'!$B$10:$I$83,5)))</f>
        <v/>
      </c>
      <c r="O68" s="16" t="str">
        <f>IF((VLOOKUP(Contacts4[[#This Row],[Código Tarea]],'[7]Formato 2 - SGSI'!$B$10:$I$83,6,0))=0,"",(VLOOKUP(Contacts4[[#This Row],[Código Tarea]],'[7]Formato 2 - SGSI'!$B$10:$I$83,6)))</f>
        <v/>
      </c>
      <c r="P68" s="16" t="str">
        <f>IF((VLOOKUP(Contacts4[[#This Row],[Código Tarea]],'[7]Formato 2 - SGSI'!$B$10:$I$83,7,0))=0,"",(VLOOKUP(Contacts4[[#This Row],[Código Tarea]],'[7]Formato 2 - SGSI'!$B$10:$I$83,7)))</f>
        <v/>
      </c>
      <c r="Q68" s="22" t="str">
        <f>VLOOKUP(Contacts4[[#This Row],[Código Tarea]],'[7]4. Directorio Integrado'!$I$4:$M$245,5,0)</f>
        <v>SARO/SGSI</v>
      </c>
    </row>
    <row r="69" spans="3:17" s="6" customFormat="1" ht="30" customHeight="1" x14ac:dyDescent="0.35">
      <c r="C69" s="12">
        <f>VLOOKUP(Contacts4[[#This Row],[Código Tarea]],'[7]4. Directorio Integrado'!$B$4:$N$245,2,0)</f>
        <v>2</v>
      </c>
      <c r="D69" s="12" t="str">
        <f>VLOOKUP(Contacts4[[#This Row],[Código Tarea]],'[7]4. Directorio Integrado'!$B$4:$N$245,3,0)</f>
        <v>Seguridad de la Información</v>
      </c>
      <c r="E69" s="12" t="str">
        <f>VLOOKUP(Contacts4[[#This Row],[Código Tarea]],'[7]4. Directorio Integrado'!$B$4:$N$245,4,0)</f>
        <v>2.3</v>
      </c>
      <c r="F69" s="12" t="str">
        <f>VLOOKUP(Contacts4[[#This Row],[Código Tarea]],'[7]4. Directorio Integrado'!$B$4:$N$245,5,0)</f>
        <v>Tecnológica</v>
      </c>
      <c r="G69" s="12" t="str">
        <f>VLOOKUP(Contacts4[[#This Row],[Código Tarea]],'[7]4. Directorio Integrado'!$B$4:$N$245,6,0)</f>
        <v>2.3.1</v>
      </c>
      <c r="H69" s="12" t="str">
        <f>VLOOKUP(Contacts4[[#This Row],[Código Tarea]],'[7]4. Directorio Integrado'!$B$4:$N$245,7,0)</f>
        <v>Revisión equipos de comunicación</v>
      </c>
      <c r="I69" s="20" t="str">
        <f>'[7]4. Directorio Integrado'!I99</f>
        <v>2.3.1.004</v>
      </c>
      <c r="J69" s="21" t="str">
        <f>IFERROR((VLOOKUP(Contacts4[[#This Row],[Código Tarea]],'[7]4. Directorio Integrado'!I$4:J$1048576,2,0)),"")</f>
        <v>Cuenta con teléfonos fijos y su función es óptima.</v>
      </c>
      <c r="K69" s="14" t="str">
        <f>IFERROR((VLOOKUP(Contacts4[[#This Row],[Código Tarea]],'[7]4. Directorio Integrado'!I$4:K$1048576,3,0)),"")</f>
        <v>Actividad a Distancia</v>
      </c>
      <c r="L69" s="16" t="str">
        <f>IF((VLOOKUP(Contacts4[[#This Row],[Código Tarea]],'[7]Formato 2 - SGSI'!$B$10:$I$83,3,0))=0,"",(VLOOKUP(Contacts4[[#This Row],[Código Tarea]],'[7]Formato 2 - SGSI'!$B$10:$I$83,3,0)))</f>
        <v/>
      </c>
      <c r="M69" s="16" t="str">
        <f>IF((VLOOKUP(Contacts4[[#This Row],[Código Tarea]],'[7]Formato 2 - SGSI'!$B$10:$I$83,4,0))=0,"",(VLOOKUP(Contacts4[[#This Row],[Código Tarea]],'[7]Formato 2 - SGSI'!$B$10:$I$83,4)))</f>
        <v>x</v>
      </c>
      <c r="N69" s="16" t="str">
        <f>IF((VLOOKUP(Contacts4[[#This Row],[Código Tarea]],'[7]Formato 2 - SGSI'!$B$10:$I$83,5,0))=0,"",(VLOOKUP(Contacts4[[#This Row],[Código Tarea]],'[7]Formato 2 - SGSI'!$B$10:$I$83,5)))</f>
        <v/>
      </c>
      <c r="O69" s="16" t="str">
        <f>IF((VLOOKUP(Contacts4[[#This Row],[Código Tarea]],'[7]Formato 2 - SGSI'!$B$10:$I$83,6,0))=0,"",(VLOOKUP(Contacts4[[#This Row],[Código Tarea]],'[7]Formato 2 - SGSI'!$B$10:$I$83,6)))</f>
        <v/>
      </c>
      <c r="P69" s="16" t="str">
        <f>IF((VLOOKUP(Contacts4[[#This Row],[Código Tarea]],'[7]Formato 2 - SGSI'!$B$10:$I$83,7,0))=0,"",(VLOOKUP(Contacts4[[#This Row],[Código Tarea]],'[7]Formato 2 - SGSI'!$B$10:$I$83,7)))</f>
        <v/>
      </c>
      <c r="Q69" s="22" t="str">
        <f>VLOOKUP(Contacts4[[#This Row],[Código Tarea]],'[7]4. Directorio Integrado'!$I$4:$M$245,5,0)</f>
        <v>SARO/SGSI</v>
      </c>
    </row>
    <row r="70" spans="3:17" s="6" customFormat="1" ht="30" customHeight="1" x14ac:dyDescent="0.35">
      <c r="C70" s="12">
        <f>VLOOKUP(Contacts4[[#This Row],[Código Tarea]],'[7]4. Directorio Integrado'!$B$4:$N$245,2,0)</f>
        <v>2</v>
      </c>
      <c r="D70" s="12" t="str">
        <f>VLOOKUP(Contacts4[[#This Row],[Código Tarea]],'[7]4. Directorio Integrado'!$B$4:$N$245,3,0)</f>
        <v>Seguridad de la Información</v>
      </c>
      <c r="E70" s="12" t="str">
        <f>VLOOKUP(Contacts4[[#This Row],[Código Tarea]],'[7]4. Directorio Integrado'!$B$4:$N$245,4,0)</f>
        <v>2.3</v>
      </c>
      <c r="F70" s="12" t="str">
        <f>VLOOKUP(Contacts4[[#This Row],[Código Tarea]],'[7]4. Directorio Integrado'!$B$4:$N$245,5,0)</f>
        <v>Tecnológica</v>
      </c>
      <c r="G70" s="12" t="str">
        <f>VLOOKUP(Contacts4[[#This Row],[Código Tarea]],'[7]4. Directorio Integrado'!$B$4:$N$245,6,0)</f>
        <v>2.3.1</v>
      </c>
      <c r="H70" s="12" t="str">
        <f>VLOOKUP(Contacts4[[#This Row],[Código Tarea]],'[7]4. Directorio Integrado'!$B$4:$N$245,7,0)</f>
        <v>Revisión equipos de comunicación</v>
      </c>
      <c r="I70" s="20" t="str">
        <f>'[7]4. Directorio Integrado'!I100</f>
        <v>2.3.1.005</v>
      </c>
      <c r="J70" s="21" t="str">
        <f>IFERROR((VLOOKUP(Contacts4[[#This Row],[Código Tarea]],'[7]4. Directorio Integrado'!I$4:J$1048576,2,0)),"")</f>
        <v>Cuenta con computadores fijos y portátil y su función es óptima.</v>
      </c>
      <c r="K70" s="14" t="str">
        <f>IFERROR((VLOOKUP(Contacts4[[#This Row],[Código Tarea]],'[7]4. Directorio Integrado'!I$4:K$1048576,3,0)),"")</f>
        <v>Actividad a Distancia</v>
      </c>
      <c r="L70" s="16" t="str">
        <f>IF((VLOOKUP(Contacts4[[#This Row],[Código Tarea]],'[7]Formato 2 - SGSI'!$B$10:$I$83,3,0))=0,"",(VLOOKUP(Contacts4[[#This Row],[Código Tarea]],'[7]Formato 2 - SGSI'!$B$10:$I$83,3,0)))</f>
        <v/>
      </c>
      <c r="M70" s="16" t="str">
        <f>IF((VLOOKUP(Contacts4[[#This Row],[Código Tarea]],'[7]Formato 2 - SGSI'!$B$10:$I$83,4,0))=0,"",(VLOOKUP(Contacts4[[#This Row],[Código Tarea]],'[7]Formato 2 - SGSI'!$B$10:$I$83,4)))</f>
        <v>x</v>
      </c>
      <c r="N70" s="16" t="str">
        <f>IF((VLOOKUP(Contacts4[[#This Row],[Código Tarea]],'[7]Formato 2 - SGSI'!$B$10:$I$83,5,0))=0,"",(VLOOKUP(Contacts4[[#This Row],[Código Tarea]],'[7]Formato 2 - SGSI'!$B$10:$I$83,5)))</f>
        <v/>
      </c>
      <c r="O70" s="16" t="str">
        <f>IF((VLOOKUP(Contacts4[[#This Row],[Código Tarea]],'[7]Formato 2 - SGSI'!$B$10:$I$83,6,0))=0,"",(VLOOKUP(Contacts4[[#This Row],[Código Tarea]],'[7]Formato 2 - SGSI'!$B$10:$I$83,6)))</f>
        <v/>
      </c>
      <c r="P70" s="16" t="str">
        <f>IF((VLOOKUP(Contacts4[[#This Row],[Código Tarea]],'[7]Formato 2 - SGSI'!$B$10:$I$83,7,0))=0,"",(VLOOKUP(Contacts4[[#This Row],[Código Tarea]],'[7]Formato 2 - SGSI'!$B$10:$I$83,7)))</f>
        <v/>
      </c>
      <c r="Q70" s="22" t="str">
        <f>VLOOKUP(Contacts4[[#This Row],[Código Tarea]],'[7]4. Directorio Integrado'!$I$4:$M$245,5,0)</f>
        <v>SARO/SGSI</v>
      </c>
    </row>
    <row r="71" spans="3:17" s="6" customFormat="1" ht="30" customHeight="1" x14ac:dyDescent="0.35">
      <c r="C71" s="12">
        <f>VLOOKUP(Contacts4[[#This Row],[Código Tarea]],'[7]4. Directorio Integrado'!$B$4:$N$245,2,0)</f>
        <v>2</v>
      </c>
      <c r="D71" s="12" t="str">
        <f>VLOOKUP(Contacts4[[#This Row],[Código Tarea]],'[7]4. Directorio Integrado'!$B$4:$N$245,3,0)</f>
        <v>Seguridad de la Información</v>
      </c>
      <c r="E71" s="12" t="str">
        <f>VLOOKUP(Contacts4[[#This Row],[Código Tarea]],'[7]4. Directorio Integrado'!$B$4:$N$245,4,0)</f>
        <v>2.3</v>
      </c>
      <c r="F71" s="12" t="str">
        <f>VLOOKUP(Contacts4[[#This Row],[Código Tarea]],'[7]4. Directorio Integrado'!$B$4:$N$245,5,0)</f>
        <v>Tecnológica</v>
      </c>
      <c r="G71" s="12" t="str">
        <f>VLOOKUP(Contacts4[[#This Row],[Código Tarea]],'[7]4. Directorio Integrado'!$B$4:$N$245,6,0)</f>
        <v>2.3.1</v>
      </c>
      <c r="H71" s="12" t="str">
        <f>VLOOKUP(Contacts4[[#This Row],[Código Tarea]],'[7]4. Directorio Integrado'!$B$4:$N$245,7,0)</f>
        <v>Revisión equipos de comunicación</v>
      </c>
      <c r="I71" s="20" t="str">
        <f>'[7]4. Directorio Integrado'!I101</f>
        <v>2.3.1.006</v>
      </c>
      <c r="J71" s="21" t="str">
        <f>IFERROR((VLOOKUP(Contacts4[[#This Row],[Código Tarea]],'[7]4. Directorio Integrado'!I$4:J$1048576,2,0)),"")</f>
        <v>Cuenta con verificación biométrica dactilar y su función es óptima.</v>
      </c>
      <c r="K71" s="14" t="str">
        <f>IFERROR((VLOOKUP(Contacts4[[#This Row],[Código Tarea]],'[7]4. Directorio Integrado'!I$4:K$1048576,3,0)),"")</f>
        <v>Actividad a Distancia</v>
      </c>
      <c r="L71" s="16" t="str">
        <f>IF((VLOOKUP(Contacts4[[#This Row],[Código Tarea]],'[7]Formato 2 - SGSI'!$B$10:$I$83,3,0))=0,"",(VLOOKUP(Contacts4[[#This Row],[Código Tarea]],'[7]Formato 2 - SGSI'!$B$10:$I$83,3,0)))</f>
        <v/>
      </c>
      <c r="M71" s="16" t="str">
        <f>IF((VLOOKUP(Contacts4[[#This Row],[Código Tarea]],'[7]Formato 2 - SGSI'!$B$10:$I$83,4,0))=0,"",(VLOOKUP(Contacts4[[#This Row],[Código Tarea]],'[7]Formato 2 - SGSI'!$B$10:$I$83,4)))</f>
        <v>x</v>
      </c>
      <c r="N71" s="16" t="str">
        <f>IF((VLOOKUP(Contacts4[[#This Row],[Código Tarea]],'[7]Formato 2 - SGSI'!$B$10:$I$83,5,0))=0,"",(VLOOKUP(Contacts4[[#This Row],[Código Tarea]],'[7]Formato 2 - SGSI'!$B$10:$I$83,5)))</f>
        <v/>
      </c>
      <c r="O71" s="16" t="str">
        <f>IF((VLOOKUP(Contacts4[[#This Row],[Código Tarea]],'[7]Formato 2 - SGSI'!$B$10:$I$83,6,0))=0,"",(VLOOKUP(Contacts4[[#This Row],[Código Tarea]],'[7]Formato 2 - SGSI'!$B$10:$I$83,6)))</f>
        <v/>
      </c>
      <c r="P71" s="16" t="str">
        <f>IF((VLOOKUP(Contacts4[[#This Row],[Código Tarea]],'[7]Formato 2 - SGSI'!$B$10:$I$83,7,0))=0,"",(VLOOKUP(Contacts4[[#This Row],[Código Tarea]],'[7]Formato 2 - SGSI'!$B$10:$I$83,7)))</f>
        <v/>
      </c>
      <c r="Q71" s="22" t="str">
        <f>VLOOKUP(Contacts4[[#This Row],[Código Tarea]],'[7]4. Directorio Integrado'!$I$4:$M$245,5,0)</f>
        <v>SARO/SGSI</v>
      </c>
    </row>
    <row r="72" spans="3:17" s="6" customFormat="1" ht="30" customHeight="1" x14ac:dyDescent="0.35">
      <c r="C72" s="12">
        <f>VLOOKUP(Contacts4[[#This Row],[Código Tarea]],'[7]4. Directorio Integrado'!$B$4:$N$245,2,0)</f>
        <v>2</v>
      </c>
      <c r="D72" s="12" t="str">
        <f>VLOOKUP(Contacts4[[#This Row],[Código Tarea]],'[7]4. Directorio Integrado'!$B$4:$N$245,3,0)</f>
        <v>Seguridad de la Información</v>
      </c>
      <c r="E72" s="12" t="str">
        <f>VLOOKUP(Contacts4[[#This Row],[Código Tarea]],'[7]4. Directorio Integrado'!$B$4:$N$245,4,0)</f>
        <v>2.3</v>
      </c>
      <c r="F72" s="12" t="str">
        <f>VLOOKUP(Contacts4[[#This Row],[Código Tarea]],'[7]4. Directorio Integrado'!$B$4:$N$245,5,0)</f>
        <v>Tecnológica</v>
      </c>
      <c r="G72" s="12" t="str">
        <f>VLOOKUP(Contacts4[[#This Row],[Código Tarea]],'[7]4. Directorio Integrado'!$B$4:$N$245,6,0)</f>
        <v>2.3.1</v>
      </c>
      <c r="H72" s="12" t="str">
        <f>VLOOKUP(Contacts4[[#This Row],[Código Tarea]],'[7]4. Directorio Integrado'!$B$4:$N$245,7,0)</f>
        <v>Revisión equipos de comunicación</v>
      </c>
      <c r="I72" s="20" t="str">
        <f>'[7]4. Directorio Integrado'!I102</f>
        <v>2.3.1.007</v>
      </c>
      <c r="J72" s="21" t="str">
        <f>IFERROR((VLOOKUP(Contacts4[[#This Row],[Código Tarea]],'[7]4. Directorio Integrado'!I$4:J$1048576,2,0)),"")</f>
        <v>Cuenta con datáfonos y su función es óptima.</v>
      </c>
      <c r="K72" s="14" t="str">
        <f>IFERROR((VLOOKUP(Contacts4[[#This Row],[Código Tarea]],'[7]4. Directorio Integrado'!I$4:K$1048576,3,0)),"")</f>
        <v>Actividad a Distancia</v>
      </c>
      <c r="L72" s="16" t="str">
        <f>IF((VLOOKUP(Contacts4[[#This Row],[Código Tarea]],'[7]Formato 2 - SGSI'!$B$10:$I$83,3,0))=0,"",(VLOOKUP(Contacts4[[#This Row],[Código Tarea]],'[7]Formato 2 - SGSI'!$B$10:$I$83,3,0)))</f>
        <v/>
      </c>
      <c r="M72" s="16" t="str">
        <f>IF((VLOOKUP(Contacts4[[#This Row],[Código Tarea]],'[7]Formato 2 - SGSI'!$B$10:$I$83,4,0))=0,"",(VLOOKUP(Contacts4[[#This Row],[Código Tarea]],'[7]Formato 2 - SGSI'!$B$10:$I$83,4)))</f>
        <v>x</v>
      </c>
      <c r="N72" s="16" t="str">
        <f>IF((VLOOKUP(Contacts4[[#This Row],[Código Tarea]],'[7]Formato 2 - SGSI'!$B$10:$I$83,5,0))=0,"",(VLOOKUP(Contacts4[[#This Row],[Código Tarea]],'[7]Formato 2 - SGSI'!$B$10:$I$83,5)))</f>
        <v/>
      </c>
      <c r="O72" s="16" t="str">
        <f>IF((VLOOKUP(Contacts4[[#This Row],[Código Tarea]],'[7]Formato 2 - SGSI'!$B$10:$I$83,6,0))=0,"",(VLOOKUP(Contacts4[[#This Row],[Código Tarea]],'[7]Formato 2 - SGSI'!$B$10:$I$83,6)))</f>
        <v/>
      </c>
      <c r="P72" s="16" t="str">
        <f>IF((VLOOKUP(Contacts4[[#This Row],[Código Tarea]],'[7]Formato 2 - SGSI'!$B$10:$I$83,7,0))=0,"",(VLOOKUP(Contacts4[[#This Row],[Código Tarea]],'[7]Formato 2 - SGSI'!$B$10:$I$83,7)))</f>
        <v/>
      </c>
      <c r="Q72" s="22" t="str">
        <f>VLOOKUP(Contacts4[[#This Row],[Código Tarea]],'[7]4. Directorio Integrado'!$I$4:$M$245,5,0)</f>
        <v>SARO/SGSI</v>
      </c>
    </row>
    <row r="73" spans="3:17" s="6" customFormat="1" ht="30" customHeight="1" x14ac:dyDescent="0.35">
      <c r="C73" s="12">
        <f>VLOOKUP(Contacts4[[#This Row],[Código Tarea]],'[7]4. Directorio Integrado'!$B$4:$N$245,2,0)</f>
        <v>2</v>
      </c>
      <c r="D73" s="12" t="str">
        <f>VLOOKUP(Contacts4[[#This Row],[Código Tarea]],'[7]4. Directorio Integrado'!$B$4:$N$245,3,0)</f>
        <v>Seguridad de la Información</v>
      </c>
      <c r="E73" s="12" t="str">
        <f>VLOOKUP(Contacts4[[#This Row],[Código Tarea]],'[7]4. Directorio Integrado'!$B$4:$N$245,4,0)</f>
        <v>2.3</v>
      </c>
      <c r="F73" s="12" t="str">
        <f>VLOOKUP(Contacts4[[#This Row],[Código Tarea]],'[7]4. Directorio Integrado'!$B$4:$N$245,5,0)</f>
        <v>Tecnológica</v>
      </c>
      <c r="G73" s="12" t="str">
        <f>VLOOKUP(Contacts4[[#This Row],[Código Tarea]],'[7]4. Directorio Integrado'!$B$4:$N$245,6,0)</f>
        <v>2.3.1</v>
      </c>
      <c r="H73" s="12" t="str">
        <f>VLOOKUP(Contacts4[[#This Row],[Código Tarea]],'[7]4. Directorio Integrado'!$B$4:$N$245,7,0)</f>
        <v>Revisión equipos de comunicación</v>
      </c>
      <c r="I73" s="20" t="str">
        <f>'[7]4. Directorio Integrado'!I103</f>
        <v>2.3.1.008</v>
      </c>
      <c r="J73" s="21" t="str">
        <f>IFERROR((VLOOKUP(Contacts4[[#This Row],[Código Tarea]],'[7]4. Directorio Integrado'!I$4:J$1048576,2,0)),"")</f>
        <v>Cuenta con el 100% de las tabletas asignadas y su función es óptima.</v>
      </c>
      <c r="K73" s="14" t="str">
        <f>IFERROR((VLOOKUP(Contacts4[[#This Row],[Código Tarea]],'[7]4. Directorio Integrado'!I$4:K$1048576,3,0)),"")</f>
        <v>Actividad a Distancia</v>
      </c>
      <c r="L73" s="16" t="str">
        <f>IF((VLOOKUP(Contacts4[[#This Row],[Código Tarea]],'[7]Formato 2 - SGSI'!$B$10:$I$83,3,0))=0,"",(VLOOKUP(Contacts4[[#This Row],[Código Tarea]],'[7]Formato 2 - SGSI'!$B$10:$I$83,3,0)))</f>
        <v>X</v>
      </c>
      <c r="M73" s="16" t="str">
        <f>IF((VLOOKUP(Contacts4[[#This Row],[Código Tarea]],'[7]Formato 2 - SGSI'!$B$10:$I$83,4,0))=0,"",(VLOOKUP(Contacts4[[#This Row],[Código Tarea]],'[7]Formato 2 - SGSI'!$B$10:$I$83,4)))</f>
        <v/>
      </c>
      <c r="N73" s="16" t="str">
        <f>IF((VLOOKUP(Contacts4[[#This Row],[Código Tarea]],'[7]Formato 2 - SGSI'!$B$10:$I$83,5,0))=0,"",(VLOOKUP(Contacts4[[#This Row],[Código Tarea]],'[7]Formato 2 - SGSI'!$B$10:$I$83,5)))</f>
        <v/>
      </c>
      <c r="O73" s="16" t="str">
        <f>IF((VLOOKUP(Contacts4[[#This Row],[Código Tarea]],'[7]Formato 2 - SGSI'!$B$10:$I$83,6,0))=0,"",(VLOOKUP(Contacts4[[#This Row],[Código Tarea]],'[7]Formato 2 - SGSI'!$B$10:$I$83,6)))</f>
        <v/>
      </c>
      <c r="P73" s="16" t="str">
        <f>IF((VLOOKUP(Contacts4[[#This Row],[Código Tarea]],'[7]Formato 2 - SGSI'!$B$10:$I$83,7,0))=0,"",(VLOOKUP(Contacts4[[#This Row],[Código Tarea]],'[7]Formato 2 - SGSI'!$B$10:$I$83,7)))</f>
        <v/>
      </c>
      <c r="Q73" s="22" t="str">
        <f>VLOOKUP(Contacts4[[#This Row],[Código Tarea]],'[7]4. Directorio Integrado'!$I$4:$M$245,5,0)</f>
        <v>SARO/SGSI</v>
      </c>
    </row>
  </sheetData>
  <mergeCells count="1">
    <mergeCell ref="J7:N7"/>
  </mergeCells>
  <printOptions horizontalCentered="1"/>
  <pageMargins left="0.7" right="0.7" top="0.75" bottom="0.75" header="0.3" footer="0.3"/>
  <pageSetup fitToHeight="0"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2CD1-BBB0-4B4C-8988-B6231F898A3B}">
  <sheetPr>
    <tabColor rgb="FF002060"/>
    <pageSetUpPr autoPageBreaks="0" fitToPage="1"/>
  </sheetPr>
  <dimension ref="A1:X28"/>
  <sheetViews>
    <sheetView showGridLines="0" zoomScaleNormal="100" workbookViewId="0">
      <selection activeCell="A2" sqref="A2"/>
    </sheetView>
  </sheetViews>
  <sheetFormatPr baseColWidth="10" defaultColWidth="9.1796875" defaultRowHeight="13" x14ac:dyDescent="0.35"/>
  <cols>
    <col min="1" max="1" width="7.7265625" style="1" customWidth="1"/>
    <col min="2" max="2" width="31.7265625" style="23" customWidth="1"/>
    <col min="3" max="3" width="46.81640625" style="3" hidden="1" customWidth="1"/>
    <col min="4" max="7" width="9.1796875" style="3" hidden="1" customWidth="1"/>
    <col min="8" max="8" width="36.1796875" style="3" hidden="1" customWidth="1"/>
    <col min="9" max="9" width="15.1796875" style="3" customWidth="1"/>
    <col min="10" max="10" width="51.54296875" style="3" customWidth="1"/>
    <col min="11" max="11" width="16.7265625" style="3" customWidth="1"/>
    <col min="12" max="14" width="12.7265625" style="3" customWidth="1"/>
    <col min="15" max="17" width="12.7265625" style="1" customWidth="1"/>
    <col min="18" max="16384" width="9.1796875" style="1"/>
  </cols>
  <sheetData>
    <row r="1" spans="1:24" x14ac:dyDescent="0.35">
      <c r="B1" s="1"/>
      <c r="C1" s="1"/>
      <c r="D1" s="1"/>
      <c r="E1" s="1"/>
      <c r="F1" s="1"/>
      <c r="G1" s="1"/>
      <c r="H1" s="1"/>
      <c r="I1" s="1"/>
      <c r="J1" s="1"/>
      <c r="K1" s="1"/>
      <c r="L1" s="1"/>
      <c r="M1" s="1"/>
      <c r="N1" s="1"/>
      <c r="P1" s="2"/>
      <c r="Q1" s="2"/>
    </row>
    <row r="2" spans="1:24" ht="36" x14ac:dyDescent="0.35">
      <c r="B2" s="4" t="s">
        <v>0</v>
      </c>
      <c r="C2" s="1"/>
      <c r="D2" s="1"/>
      <c r="E2" s="1"/>
      <c r="F2" s="1"/>
      <c r="G2" s="1"/>
      <c r="H2" s="1"/>
      <c r="I2" s="1"/>
      <c r="J2" s="1"/>
      <c r="K2" s="1"/>
      <c r="L2" s="1"/>
      <c r="M2" s="1"/>
      <c r="N2" s="1"/>
    </row>
    <row r="3" spans="1:24" x14ac:dyDescent="0.35">
      <c r="B3" s="1"/>
      <c r="C3" s="1"/>
      <c r="D3" s="1"/>
      <c r="E3" s="1"/>
      <c r="F3" s="1"/>
      <c r="G3" s="1"/>
      <c r="H3" s="1"/>
      <c r="I3" s="1"/>
      <c r="J3" s="1"/>
      <c r="K3" s="1"/>
      <c r="L3" s="1"/>
      <c r="M3" s="1"/>
      <c r="N3" s="1"/>
      <c r="R3" s="2"/>
      <c r="S3" s="2"/>
      <c r="T3" s="2"/>
      <c r="U3" s="2"/>
      <c r="V3" s="2"/>
      <c r="W3" s="2"/>
      <c r="X3" s="2"/>
    </row>
    <row r="4" spans="1:24" x14ac:dyDescent="0.35">
      <c r="B4" s="1"/>
      <c r="C4" s="1"/>
      <c r="D4" s="1"/>
      <c r="E4" s="1"/>
      <c r="F4" s="1"/>
      <c r="G4" s="1"/>
      <c r="H4" s="1"/>
      <c r="I4" s="1"/>
      <c r="J4" s="1"/>
      <c r="K4" s="1"/>
      <c r="L4" s="1"/>
      <c r="M4" s="1"/>
      <c r="N4" s="1"/>
      <c r="P4" s="2"/>
      <c r="Q4" s="2"/>
      <c r="R4" s="2"/>
      <c r="S4" s="2"/>
      <c r="T4" s="2"/>
      <c r="U4" s="2"/>
      <c r="V4" s="2"/>
      <c r="W4" s="2"/>
      <c r="X4" s="2"/>
    </row>
    <row r="5" spans="1:24" x14ac:dyDescent="0.35">
      <c r="B5" s="1"/>
      <c r="C5" s="1"/>
      <c r="D5" s="1"/>
      <c r="E5" s="1"/>
      <c r="F5" s="1"/>
      <c r="G5" s="1"/>
      <c r="H5" s="1"/>
      <c r="I5" s="1"/>
      <c r="J5" s="1"/>
      <c r="K5" s="1"/>
      <c r="L5" s="1"/>
      <c r="M5" s="1"/>
      <c r="N5" s="1"/>
      <c r="P5" s="2"/>
      <c r="Q5" s="2"/>
      <c r="R5" s="2"/>
      <c r="S5" s="2"/>
      <c r="T5" s="2"/>
      <c r="U5" s="2"/>
      <c r="V5" s="2"/>
      <c r="W5" s="2"/>
      <c r="X5" s="2"/>
    </row>
    <row r="6" spans="1:24" x14ac:dyDescent="0.35">
      <c r="B6" s="19"/>
      <c r="C6" s="1"/>
      <c r="D6" s="1"/>
      <c r="E6" s="1"/>
      <c r="F6" s="1"/>
      <c r="G6" s="1"/>
      <c r="H6" s="1"/>
      <c r="I6" s="1"/>
      <c r="J6" s="1"/>
      <c r="K6" s="1"/>
      <c r="L6" s="1"/>
      <c r="M6" s="1"/>
      <c r="N6" s="1"/>
      <c r="P6" s="2"/>
      <c r="Q6" s="2"/>
      <c r="R6" s="2"/>
      <c r="S6" s="2"/>
      <c r="T6" s="2"/>
      <c r="U6" s="2"/>
      <c r="V6" s="2"/>
      <c r="W6" s="2"/>
      <c r="X6" s="2"/>
    </row>
    <row r="7" spans="1:24" ht="15.5" x14ac:dyDescent="0.35">
      <c r="B7" s="1"/>
      <c r="C7" s="1"/>
      <c r="D7" s="1"/>
      <c r="E7" s="1"/>
      <c r="F7" s="1"/>
      <c r="G7" s="1"/>
      <c r="H7" s="1"/>
      <c r="I7" s="1"/>
      <c r="J7" s="48" t="s">
        <v>2</v>
      </c>
      <c r="K7" s="49"/>
      <c r="L7" s="49"/>
      <c r="M7" s="49"/>
      <c r="N7" s="50"/>
      <c r="O7" s="1" t="s">
        <v>1</v>
      </c>
      <c r="P7" s="2"/>
      <c r="Q7" s="2"/>
    </row>
    <row r="8" spans="1:24" s="30" customFormat="1" ht="31" x14ac:dyDescent="0.35">
      <c r="A8" s="6"/>
      <c r="B8" s="6"/>
      <c r="C8" s="24" t="s">
        <v>3</v>
      </c>
      <c r="D8" s="24" t="s">
        <v>19</v>
      </c>
      <c r="E8" s="25" t="s">
        <v>5</v>
      </c>
      <c r="F8" s="26" t="s">
        <v>8</v>
      </c>
      <c r="G8" s="24" t="s">
        <v>21</v>
      </c>
      <c r="H8" s="26" t="s">
        <v>20</v>
      </c>
      <c r="I8" s="27" t="s">
        <v>22</v>
      </c>
      <c r="J8" s="28" t="s">
        <v>10</v>
      </c>
      <c r="K8" s="28" t="s">
        <v>11</v>
      </c>
      <c r="L8" s="28" t="s">
        <v>12</v>
      </c>
      <c r="M8" s="28" t="s">
        <v>13</v>
      </c>
      <c r="N8" s="28" t="s">
        <v>14</v>
      </c>
      <c r="O8" s="27" t="s">
        <v>15</v>
      </c>
      <c r="P8" s="27" t="s">
        <v>16</v>
      </c>
      <c r="Q8" s="29" t="s">
        <v>18</v>
      </c>
    </row>
    <row r="9" spans="1:24" s="30" customFormat="1" ht="43.5" x14ac:dyDescent="0.35">
      <c r="A9" s="6"/>
      <c r="B9" s="6"/>
      <c r="C9" s="12">
        <f>VLOOKUP(Contacts45[[#This Row],[Código Tarea ]],'[7]4. Directorio Integrado'!$B$4:$N$245,2,0)</f>
        <v>3</v>
      </c>
      <c r="D9" s="12" t="str">
        <f>VLOOKUP(Contacts45[[#This Row],[Código Tarea ]],'[7]4. Directorio Integrado'!$B$4:$N$245,3,0)</f>
        <v>SAC</v>
      </c>
      <c r="E9" s="12" t="str">
        <f>VLOOKUP(Contacts45[[#This Row],[Código Tarea ]],'[7]4. Directorio Integrado'!$B$4:$N$245,4,0)</f>
        <v>3.1</v>
      </c>
      <c r="F9" s="12" t="str">
        <f>VLOOKUP(Contacts45[[#This Row],[Código Tarea ]],'[7]4. Directorio Integrado'!$B$4:$N$245,5,0)</f>
        <v>Atencición al consumidor</v>
      </c>
      <c r="G9" s="12" t="str">
        <f>VLOOKUP(Contacts45[[#This Row],[Código Tarea ]],'[7]4. Directorio Integrado'!$B$4:$N$245,6,0)</f>
        <v>3.1.1</v>
      </c>
      <c r="H9" s="12" t="str">
        <f>VLOOKUP(Contacts45[[#This Row],[Código Tarea ]],'[7]4. Directorio Integrado'!$B$4:$N$245,7,0)</f>
        <v>Revisión atención a clientes con discapacidad</v>
      </c>
      <c r="I9" s="20" t="str">
        <f>'[7]4. Directorio Integrado'!I104</f>
        <v>3.1.1.001</v>
      </c>
      <c r="J9" s="21" t="str">
        <f>VLOOKUP(Contacts45[[#This Row],[Código Tarea ]],'[7]4. Directorio Integrado'!$I$104:$J$122,2,0)</f>
        <v>Se cuenta con señalización de atención preferencial en caja para personas discapacitadas, tercera edad y mujeres embarazadas? (foto de avisos de caja)</v>
      </c>
      <c r="K9" s="14" t="str">
        <f>IFERROR((VLOOKUP(Contacts45[[#This Row],[Código Tarea ]],'[7]4. Directorio Integrado'!I$4:K$1048576,3,0)),"")</f>
        <v>Actividad a Distancia</v>
      </c>
      <c r="L9" s="16" t="str">
        <f>VLOOKUP(Contacts45[[#This Row],[Código Tarea ]],'[7]Formato 3 - SAC'!$B$10:$I$34,3,0)</f>
        <v>X</v>
      </c>
      <c r="M9" s="16">
        <f>VLOOKUP(Contacts45[[#This Row],[Código Tarea ]],'[7]Formato 3 - SAC'!$B$10:$I$34,4,0)</f>
        <v>0</v>
      </c>
      <c r="N9" s="16">
        <f>VLOOKUP(Contacts45[[#This Row],[Código Tarea ]],'[7]Formato 3 - SAC'!$B$10:$I$34,5,0)</f>
        <v>0</v>
      </c>
      <c r="O9" s="16">
        <f>VLOOKUP(Contacts45[[#This Row],[Código Tarea ]],'[7]Formato 3 - SAC'!$B$10:$I$34,6,0)</f>
        <v>0</v>
      </c>
      <c r="P9" s="16">
        <f>VLOOKUP(Contacts45[[#This Row],[Código Tarea ]],'[7]Formato 3 - SAC'!$B$10:$I$34,7,0)</f>
        <v>0</v>
      </c>
      <c r="Q9" s="22" t="str">
        <f>VLOOKUP(Contacts45[[#This Row],[Código Tarea ]],'[7]4. Directorio Integrado'!$I$4:$M$245,5,0)</f>
        <v>SARO/SGSF/SAC/SGSI</v>
      </c>
    </row>
    <row r="10" spans="1:24" s="30" customFormat="1" ht="29" x14ac:dyDescent="0.35">
      <c r="A10" s="6"/>
      <c r="B10" s="6"/>
      <c r="C10" s="12">
        <f>VLOOKUP(Contacts45[[#This Row],[Código Tarea ]],'[7]4. Directorio Integrado'!$B$4:$N$245,2,0)</f>
        <v>3</v>
      </c>
      <c r="D10" s="12" t="str">
        <f>VLOOKUP(Contacts45[[#This Row],[Código Tarea ]],'[7]4. Directorio Integrado'!$B$4:$N$245,3,0)</f>
        <v>SAC</v>
      </c>
      <c r="E10" s="12" t="str">
        <f>VLOOKUP(Contacts45[[#This Row],[Código Tarea ]],'[7]4. Directorio Integrado'!$B$4:$N$245,4,0)</f>
        <v>3.1</v>
      </c>
      <c r="F10" s="12" t="str">
        <f>VLOOKUP(Contacts45[[#This Row],[Código Tarea ]],'[7]4. Directorio Integrado'!$B$4:$N$245,5,0)</f>
        <v>Atencición al consumidor</v>
      </c>
      <c r="G10" s="12" t="str">
        <f>VLOOKUP(Contacts45[[#This Row],[Código Tarea ]],'[7]4. Directorio Integrado'!$B$4:$N$245,6,0)</f>
        <v>3.1.1</v>
      </c>
      <c r="H10" s="12" t="str">
        <f>VLOOKUP(Contacts45[[#This Row],[Código Tarea ]],'[7]4. Directorio Integrado'!$B$4:$N$245,7,0)</f>
        <v>Revisión atención a clientes con discapacidad</v>
      </c>
      <c r="I10" s="20" t="str">
        <f>'[7]4. Directorio Integrado'!I105</f>
        <v>3.1.1.002</v>
      </c>
      <c r="J10" s="21" t="str">
        <f>VLOOKUP(Contacts45[[#This Row],[Código Tarea ]],'[7]4. Directorio Integrado'!$I$104:$J$122,2,0)</f>
        <v>El personal de la oficina conoce el acceso tecnológico para la atención de clientes con discapacidad.</v>
      </c>
      <c r="K10" s="14" t="str">
        <f>IFERROR((VLOOKUP(Contacts45[[#This Row],[Código Tarea ]],'[7]4. Directorio Integrado'!I$4:K$1048576,3,0)),"")</f>
        <v>Presencial</v>
      </c>
      <c r="L10" s="16" t="str">
        <f>VLOOKUP(Contacts45[[#This Row],[Código Tarea ]],'[7]Formato 3 - SAC'!$B$10:$I$34,3,0)</f>
        <v>X</v>
      </c>
      <c r="M10" s="16">
        <f>VLOOKUP(Contacts45[[#This Row],[Código Tarea ]],'[7]Formato 3 - SAC'!$B$10:$I$34,4,0)</f>
        <v>0</v>
      </c>
      <c r="N10" s="16">
        <f>VLOOKUP(Contacts45[[#This Row],[Código Tarea ]],'[7]Formato 3 - SAC'!$B$10:$I$34,5,0)</f>
        <v>0</v>
      </c>
      <c r="O10" s="16">
        <f>VLOOKUP(Contacts45[[#This Row],[Código Tarea ]],'[7]Formato 3 - SAC'!$B$10:$I$34,6,0)</f>
        <v>0</v>
      </c>
      <c r="P10" s="16">
        <f>VLOOKUP(Contacts45[[#This Row],[Código Tarea ]],'[7]Formato 3 - SAC'!$B$10:$I$34,7,0)</f>
        <v>0</v>
      </c>
      <c r="Q10" s="22" t="str">
        <f>VLOOKUP(Contacts45[[#This Row],[Código Tarea ]],'[7]4. Directorio Integrado'!$I$4:$M$245,5,0)</f>
        <v>SARO/SAC</v>
      </c>
    </row>
    <row r="11" spans="1:24" ht="29" x14ac:dyDescent="0.35">
      <c r="C11" s="12">
        <f>VLOOKUP(Contacts45[[#This Row],[Código Tarea ]],'[7]4. Directorio Integrado'!$B$4:$N$245,2,0)</f>
        <v>3</v>
      </c>
      <c r="D11" s="12" t="str">
        <f>VLOOKUP(Contacts45[[#This Row],[Código Tarea ]],'[7]4. Directorio Integrado'!$B$4:$N$245,3,0)</f>
        <v>SAC</v>
      </c>
      <c r="E11" s="12" t="str">
        <f>VLOOKUP(Contacts45[[#This Row],[Código Tarea ]],'[7]4. Directorio Integrado'!$B$4:$N$245,4,0)</f>
        <v>3.1</v>
      </c>
      <c r="F11" s="12" t="str">
        <f>VLOOKUP(Contacts45[[#This Row],[Código Tarea ]],'[7]4. Directorio Integrado'!$B$4:$N$245,5,0)</f>
        <v>Atencición al consumidor</v>
      </c>
      <c r="G11" s="12" t="str">
        <f>VLOOKUP(Contacts45[[#This Row],[Código Tarea ]],'[7]4. Directorio Integrado'!$B$4:$N$245,6,0)</f>
        <v>3.1.1</v>
      </c>
      <c r="H11" s="12" t="str">
        <f>VLOOKUP(Contacts45[[#This Row],[Código Tarea ]],'[7]4. Directorio Integrado'!$B$4:$N$245,7,0)</f>
        <v>Revisión atención a clientes con discapacidad</v>
      </c>
      <c r="I11" s="20" t="str">
        <f>'[7]4. Directorio Integrado'!I106</f>
        <v>3.1.1.003</v>
      </c>
      <c r="J11" s="21" t="str">
        <f>VLOOKUP(Contacts45[[#This Row],[Código Tarea ]],'[7]4. Directorio Integrado'!$I$104:$J$122,2,0)</f>
        <v>La oficina cuenta con el acceso y los elementos para la atención de clientes con discapacidad.</v>
      </c>
      <c r="K11" s="14" t="str">
        <f>IFERROR((VLOOKUP(Contacts45[[#This Row],[Código Tarea ]],'[7]4. Directorio Integrado'!I$4:K$1048576,3,0)),"")</f>
        <v>Presencial</v>
      </c>
      <c r="L11" s="16" t="str">
        <f>VLOOKUP(Contacts45[[#This Row],[Código Tarea ]],'[7]Formato 3 - SAC'!$B$10:$I$34,3,0)</f>
        <v>X</v>
      </c>
      <c r="M11" s="16">
        <f>VLOOKUP(Contacts45[[#This Row],[Código Tarea ]],'[7]Formato 3 - SAC'!$B$10:$I$34,4,0)</f>
        <v>0</v>
      </c>
      <c r="N11" s="16">
        <f>VLOOKUP(Contacts45[[#This Row],[Código Tarea ]],'[7]Formato 3 - SAC'!$B$10:$I$34,5,0)</f>
        <v>0</v>
      </c>
      <c r="O11" s="16">
        <f>VLOOKUP(Contacts45[[#This Row],[Código Tarea ]],'[7]Formato 3 - SAC'!$B$10:$I$34,6,0)</f>
        <v>0</v>
      </c>
      <c r="P11" s="16">
        <f>VLOOKUP(Contacts45[[#This Row],[Código Tarea ]],'[7]Formato 3 - SAC'!$B$10:$I$34,7,0)</f>
        <v>0</v>
      </c>
      <c r="Q11" s="22" t="str">
        <f>VLOOKUP(Contacts45[[#This Row],[Código Tarea ]],'[7]4. Directorio Integrado'!$I$4:$M$245,5,0)</f>
        <v>SARO/SAC</v>
      </c>
    </row>
    <row r="12" spans="1:24" ht="49.5" customHeight="1" x14ac:dyDescent="0.35">
      <c r="C12" s="12">
        <f>VLOOKUP(Contacts45[[#This Row],[Código Tarea ]],'[7]4. Directorio Integrado'!$B$4:$N$245,2,0)</f>
        <v>3</v>
      </c>
      <c r="D12" s="12" t="str">
        <f>VLOOKUP(Contacts45[[#This Row],[Código Tarea ]],'[7]4. Directorio Integrado'!$B$4:$N$245,3,0)</f>
        <v>SAC</v>
      </c>
      <c r="E12" s="12" t="str">
        <f>VLOOKUP(Contacts45[[#This Row],[Código Tarea ]],'[7]4. Directorio Integrado'!$B$4:$N$245,4,0)</f>
        <v>3.1</v>
      </c>
      <c r="F12" s="12" t="str">
        <f>VLOOKUP(Contacts45[[#This Row],[Código Tarea ]],'[7]4. Directorio Integrado'!$B$4:$N$245,5,0)</f>
        <v>Atencición al consumidor</v>
      </c>
      <c r="G12" s="12" t="str">
        <f>VLOOKUP(Contacts45[[#This Row],[Código Tarea ]],'[7]4. Directorio Integrado'!$B$4:$N$245,6,0)</f>
        <v>3.1.1</v>
      </c>
      <c r="H12" s="12" t="str">
        <f>VLOOKUP(Contacts45[[#This Row],[Código Tarea ]],'[7]4. Directorio Integrado'!$B$4:$N$245,7,0)</f>
        <v>Revisión atención a clientes con discapacidad</v>
      </c>
      <c r="I12" s="20" t="str">
        <f>'[7]4. Directorio Integrado'!I107</f>
        <v>3.1.1.004</v>
      </c>
      <c r="J12" s="21" t="str">
        <f>VLOOKUP(Contacts45[[#This Row],[Código Tarea ]],'[7]4. Directorio Integrado'!$I$104:$J$122,2,0)</f>
        <v>La oficina cuenta con la señalización para el acceso a discapacitados.</v>
      </c>
      <c r="K12" s="14" t="str">
        <f>IFERROR((VLOOKUP(Contacts45[[#This Row],[Código Tarea ]],'[7]4. Directorio Integrado'!I$4:K$1048576,3,0)),"")</f>
        <v>Presencial</v>
      </c>
      <c r="L12" s="16" t="str">
        <f>VLOOKUP(Contacts45[[#This Row],[Código Tarea ]],'[7]Formato 3 - SAC'!$B$10:$I$34,3,0)</f>
        <v>X</v>
      </c>
      <c r="M12" s="16">
        <f>VLOOKUP(Contacts45[[#This Row],[Código Tarea ]],'[7]Formato 3 - SAC'!$B$10:$I$34,4,0)</f>
        <v>0</v>
      </c>
      <c r="N12" s="16">
        <f>VLOOKUP(Contacts45[[#This Row],[Código Tarea ]],'[7]Formato 3 - SAC'!$B$10:$I$34,5,0)</f>
        <v>0</v>
      </c>
      <c r="O12" s="16">
        <f>VLOOKUP(Contacts45[[#This Row],[Código Tarea ]],'[7]Formato 3 - SAC'!$B$10:$I$34,6,0)</f>
        <v>0</v>
      </c>
      <c r="P12" s="16">
        <f>VLOOKUP(Contacts45[[#This Row],[Código Tarea ]],'[7]Formato 3 - SAC'!$B$10:$I$34,7,0)</f>
        <v>0</v>
      </c>
      <c r="Q12" s="22" t="str">
        <f>VLOOKUP(Contacts45[[#This Row],[Código Tarea ]],'[7]4. Directorio Integrado'!$I$4:$M$245,5,0)</f>
        <v>SARO/SAC</v>
      </c>
    </row>
    <row r="13" spans="1:24" ht="32.25" customHeight="1" x14ac:dyDescent="0.35">
      <c r="C13" s="12">
        <f>VLOOKUP(Contacts45[[#This Row],[Código Tarea ]],'[7]4. Directorio Integrado'!$B$4:$N$245,2,0)</f>
        <v>3</v>
      </c>
      <c r="D13" s="12" t="str">
        <f>VLOOKUP(Contacts45[[#This Row],[Código Tarea ]],'[7]4. Directorio Integrado'!$B$4:$N$245,3,0)</f>
        <v>SAC</v>
      </c>
      <c r="E13" s="12" t="str">
        <f>VLOOKUP(Contacts45[[#This Row],[Código Tarea ]],'[7]4. Directorio Integrado'!$B$4:$N$245,4,0)</f>
        <v>3.1</v>
      </c>
      <c r="F13" s="12" t="str">
        <f>VLOOKUP(Contacts45[[#This Row],[Código Tarea ]],'[7]4. Directorio Integrado'!$B$4:$N$245,5,0)</f>
        <v>Atencición al consumidor</v>
      </c>
      <c r="G13" s="12" t="str">
        <f>VLOOKUP(Contacts45[[#This Row],[Código Tarea ]],'[7]4. Directorio Integrado'!$B$4:$N$245,6,0)</f>
        <v>3.1.1</v>
      </c>
      <c r="H13" s="12" t="str">
        <f>VLOOKUP(Contacts45[[#This Row],[Código Tarea ]],'[7]4. Directorio Integrado'!$B$4:$N$245,7,0)</f>
        <v>Revisión atención a clientes con discapacidad</v>
      </c>
      <c r="I13" s="20" t="str">
        <f>'[7]4. Directorio Integrado'!I108</f>
        <v>3.1.1.005</v>
      </c>
      <c r="J13" s="21" t="str">
        <f>VLOOKUP(Contacts45[[#This Row],[Código Tarea ]],'[7]4. Directorio Integrado'!$I$104:$J$122,2,0)</f>
        <v>Cuenta con rampa para discapacitados.</v>
      </c>
      <c r="K13" s="14" t="str">
        <f>IFERROR((VLOOKUP(Contacts45[[#This Row],[Código Tarea ]],'[7]4. Directorio Integrado'!I$4:K$1048576,3,0)),"")</f>
        <v>Actividad a Distancia</v>
      </c>
      <c r="L13" s="16" t="str">
        <f>VLOOKUP(Contacts45[[#This Row],[Código Tarea ]],'[7]Formato 3 - SAC'!$B$10:$I$34,3,0)</f>
        <v>X</v>
      </c>
      <c r="M13" s="16">
        <f>VLOOKUP(Contacts45[[#This Row],[Código Tarea ]],'[7]Formato 3 - SAC'!$B$10:$I$34,4,0)</f>
        <v>0</v>
      </c>
      <c r="N13" s="16">
        <f>VLOOKUP(Contacts45[[#This Row],[Código Tarea ]],'[7]Formato 3 - SAC'!$B$10:$I$34,5,0)</f>
        <v>0</v>
      </c>
      <c r="O13" s="16">
        <f>VLOOKUP(Contacts45[[#This Row],[Código Tarea ]],'[7]Formato 3 - SAC'!$B$10:$I$34,6,0)</f>
        <v>0</v>
      </c>
      <c r="P13" s="16">
        <f>VLOOKUP(Contacts45[[#This Row],[Código Tarea ]],'[7]Formato 3 - SAC'!$B$10:$I$34,7,0)</f>
        <v>0</v>
      </c>
      <c r="Q13" s="22" t="str">
        <f>VLOOKUP(Contacts45[[#This Row],[Código Tarea ]],'[7]4. Directorio Integrado'!$I$4:$M$245,5,0)</f>
        <v>SARO/SGSI/SAC</v>
      </c>
    </row>
    <row r="14" spans="1:24" ht="43.5" x14ac:dyDescent="0.35">
      <c r="C14" s="12">
        <f>VLOOKUP(Contacts45[[#This Row],[Código Tarea ]],'[7]4. Directorio Integrado'!$B$4:$N$245,2,0)</f>
        <v>3</v>
      </c>
      <c r="D14" s="12" t="str">
        <f>VLOOKUP(Contacts45[[#This Row],[Código Tarea ]],'[7]4. Directorio Integrado'!$B$4:$N$245,3,0)</f>
        <v>SAC</v>
      </c>
      <c r="E14" s="12" t="str">
        <f>VLOOKUP(Contacts45[[#This Row],[Código Tarea ]],'[7]4. Directorio Integrado'!$B$4:$N$245,4,0)</f>
        <v>3.2</v>
      </c>
      <c r="F14" s="12" t="str">
        <f>VLOOKUP(Contacts45[[#This Row],[Código Tarea ]],'[7]4. Directorio Integrado'!$B$4:$N$245,5,0)</f>
        <v>Control de publicidad y carteleras</v>
      </c>
      <c r="G14" s="12" t="str">
        <f>VLOOKUP(Contacts45[[#This Row],[Código Tarea ]],'[7]4. Directorio Integrado'!$B$4:$N$245,6,0)</f>
        <v>3.2.1</v>
      </c>
      <c r="H14" s="12" t="str">
        <f>VLOOKUP(Contacts45[[#This Row],[Código Tarea ]],'[7]4. Directorio Integrado'!$B$4:$N$245,7,0)</f>
        <v>Verificación contenido cartelera externa</v>
      </c>
      <c r="I14" s="20" t="str">
        <f>'[7]4. Directorio Integrado'!I109</f>
        <v>3.2.1.001</v>
      </c>
      <c r="J14" s="21" t="str">
        <f>VLOOKUP(Contacts45[[#This Row],[Código Tarea ]],'[7]4. Directorio Integrado'!$I$104:$J$122,2,0)</f>
        <v>Se encuentra publicado material informativo de utilidad en materia de SAC; el afiche de prevención de fleteo y documentos internos del banco? (foto de la cartelera).</v>
      </c>
      <c r="K14" s="14" t="str">
        <f>IFERROR((VLOOKUP(Contacts45[[#This Row],[Código Tarea ]],'[7]4. Directorio Integrado'!I$4:K$1048576,3,0)),"")</f>
        <v>Actividad a Distancia</v>
      </c>
      <c r="L14" s="16">
        <f>VLOOKUP(Contacts45[[#This Row],[Código Tarea ]],'[7]Formato 3 - SAC'!$B$10:$I$34,3,0)</f>
        <v>0</v>
      </c>
      <c r="M14" s="16" t="str">
        <f>VLOOKUP(Contacts45[[#This Row],[Código Tarea ]],'[7]Formato 3 - SAC'!$B$10:$I$34,4,0)</f>
        <v>X</v>
      </c>
      <c r="N14" s="16">
        <f>VLOOKUP(Contacts45[[#This Row],[Código Tarea ]],'[7]Formato 3 - SAC'!$B$10:$I$34,5,0)</f>
        <v>0</v>
      </c>
      <c r="O14" s="16">
        <f>VLOOKUP(Contacts45[[#This Row],[Código Tarea ]],'[7]Formato 3 - SAC'!$B$10:$I$34,6,0)</f>
        <v>0</v>
      </c>
      <c r="P14" s="16">
        <f>VLOOKUP(Contacts45[[#This Row],[Código Tarea ]],'[7]Formato 3 - SAC'!$B$10:$I$34,7,0)</f>
        <v>0</v>
      </c>
      <c r="Q14" s="22" t="str">
        <f>VLOOKUP(Contacts45[[#This Row],[Código Tarea ]],'[7]4. Directorio Integrado'!$I$4:$M$245,5,0)</f>
        <v>SARO/SAC/SGSF</v>
      </c>
    </row>
    <row r="15" spans="1:24" ht="48" customHeight="1" x14ac:dyDescent="0.35">
      <c r="C15" s="12">
        <f>VLOOKUP(Contacts45[[#This Row],[Código Tarea ]],'[7]4. Directorio Integrado'!$B$4:$N$245,2,0)</f>
        <v>3</v>
      </c>
      <c r="D15" s="12" t="str">
        <f>VLOOKUP(Contacts45[[#This Row],[Código Tarea ]],'[7]4. Directorio Integrado'!$B$4:$N$245,3,0)</f>
        <v>SAC</v>
      </c>
      <c r="E15" s="12" t="str">
        <f>VLOOKUP(Contacts45[[#This Row],[Código Tarea ]],'[7]4. Directorio Integrado'!$B$4:$N$245,4,0)</f>
        <v>3.2</v>
      </c>
      <c r="F15" s="12" t="str">
        <f>VLOOKUP(Contacts45[[#This Row],[Código Tarea ]],'[7]4. Directorio Integrado'!$B$4:$N$245,5,0)</f>
        <v>Control de publicidad y carteleras</v>
      </c>
      <c r="G15" s="12" t="str">
        <f>VLOOKUP(Contacts45[[#This Row],[Código Tarea ]],'[7]4. Directorio Integrado'!$B$4:$N$245,6,0)</f>
        <v>3.2.1</v>
      </c>
      <c r="H15" s="12" t="str">
        <f>VLOOKUP(Contacts45[[#This Row],[Código Tarea ]],'[7]4. Directorio Integrado'!$B$4:$N$245,7,0)</f>
        <v>Verificación contenido cartelera externa</v>
      </c>
      <c r="I15" s="20" t="str">
        <f>'[7]4. Directorio Integrado'!I110</f>
        <v>3.2.1.002</v>
      </c>
      <c r="J15" s="21" t="str">
        <f>VLOOKUP(Contacts45[[#This Row],[Código Tarea ]],'[7]4. Directorio Integrado'!$I$104:$J$122,2,0)</f>
        <v>Se encuentra publicado material informativo sobre el Defensor del Consumidor Financiero? (foto de la cartelera).</v>
      </c>
      <c r="K15" s="14" t="str">
        <f>IFERROR((VLOOKUP(Contacts45[[#This Row],[Código Tarea ]],'[7]4. Directorio Integrado'!I$4:K$1048576,3,0)),"")</f>
        <v>Actividad a Distancia</v>
      </c>
      <c r="L15" s="16" t="str">
        <f>VLOOKUP(Contacts45[[#This Row],[Código Tarea ]],'[7]Formato 3 - SAC'!$B$10:$I$34,3,0)</f>
        <v>X</v>
      </c>
      <c r="M15" s="16">
        <f>VLOOKUP(Contacts45[[#This Row],[Código Tarea ]],'[7]Formato 3 - SAC'!$B$10:$I$34,4,0)</f>
        <v>0</v>
      </c>
      <c r="N15" s="16">
        <f>VLOOKUP(Contacts45[[#This Row],[Código Tarea ]],'[7]Formato 3 - SAC'!$B$10:$I$34,5,0)</f>
        <v>0</v>
      </c>
      <c r="O15" s="16">
        <f>VLOOKUP(Contacts45[[#This Row],[Código Tarea ]],'[7]Formato 3 - SAC'!$B$10:$I$34,6,0)</f>
        <v>0</v>
      </c>
      <c r="P15" s="16">
        <f>VLOOKUP(Contacts45[[#This Row],[Código Tarea ]],'[7]Formato 3 - SAC'!$B$10:$I$34,7,0)</f>
        <v>0</v>
      </c>
      <c r="Q15" s="22" t="str">
        <f>VLOOKUP(Contacts45[[#This Row],[Código Tarea ]],'[7]4. Directorio Integrado'!$I$4:$M$245,5,0)</f>
        <v>SARO/SAC</v>
      </c>
    </row>
    <row r="16" spans="1:24" ht="48" customHeight="1" x14ac:dyDescent="0.35">
      <c r="C16" s="12">
        <f>VLOOKUP(Contacts45[[#This Row],[Código Tarea ]],'[7]4. Directorio Integrado'!$B$4:$N$245,2,0)</f>
        <v>3</v>
      </c>
      <c r="D16" s="12" t="str">
        <f>VLOOKUP(Contacts45[[#This Row],[Código Tarea ]],'[7]4. Directorio Integrado'!$B$4:$N$245,3,0)</f>
        <v>SAC</v>
      </c>
      <c r="E16" s="12" t="str">
        <f>VLOOKUP(Contacts45[[#This Row],[Código Tarea ]],'[7]4. Directorio Integrado'!$B$4:$N$245,4,0)</f>
        <v>3.2</v>
      </c>
      <c r="F16" s="12" t="str">
        <f>VLOOKUP(Contacts45[[#This Row],[Código Tarea ]],'[7]4. Directorio Integrado'!$B$4:$N$245,5,0)</f>
        <v>Control de publicidad y carteleras</v>
      </c>
      <c r="G16" s="12" t="str">
        <f>VLOOKUP(Contacts45[[#This Row],[Código Tarea ]],'[7]4. Directorio Integrado'!$B$4:$N$245,6,0)</f>
        <v>3.2.1</v>
      </c>
      <c r="H16" s="12" t="str">
        <f>VLOOKUP(Contacts45[[#This Row],[Código Tarea ]],'[7]4. Directorio Integrado'!$B$4:$N$245,7,0)</f>
        <v>Verificación contenido cartelera externa</v>
      </c>
      <c r="I16" s="20" t="str">
        <f>'[7]4. Directorio Integrado'!I111</f>
        <v>3.2.1.003</v>
      </c>
      <c r="J16" s="21" t="str">
        <f>VLOOKUP(Contacts45[[#This Row],[Código Tarea ]],'[7]4. Directorio Integrado'!$I$104:$J$122,2,0)</f>
        <v>Se encuentra publicado material informativo sobre los canales para la recepción de quejas, peticiones y reclamos. (foto de la cartelera).</v>
      </c>
      <c r="K16" s="14" t="str">
        <f>IFERROR((VLOOKUP(Contacts45[[#This Row],[Código Tarea ]],'[7]4. Directorio Integrado'!I$4:K$1048576,3,0)),"")</f>
        <v>Actividad a Distancia</v>
      </c>
      <c r="L16" s="16" t="str">
        <f>VLOOKUP(Contacts45[[#This Row],[Código Tarea ]],'[7]Formato 3 - SAC'!$B$10:$I$34,3,0)</f>
        <v>X</v>
      </c>
      <c r="M16" s="16">
        <f>VLOOKUP(Contacts45[[#This Row],[Código Tarea ]],'[7]Formato 3 - SAC'!$B$10:$I$34,4,0)</f>
        <v>0</v>
      </c>
      <c r="N16" s="16">
        <f>VLOOKUP(Contacts45[[#This Row],[Código Tarea ]],'[7]Formato 3 - SAC'!$B$10:$I$34,5,0)</f>
        <v>0</v>
      </c>
      <c r="O16" s="16">
        <f>VLOOKUP(Contacts45[[#This Row],[Código Tarea ]],'[7]Formato 3 - SAC'!$B$10:$I$34,6,0)</f>
        <v>0</v>
      </c>
      <c r="P16" s="16">
        <f>VLOOKUP(Contacts45[[#This Row],[Código Tarea ]],'[7]Formato 3 - SAC'!$B$10:$I$34,7,0)</f>
        <v>0</v>
      </c>
      <c r="Q16" s="22" t="str">
        <f>VLOOKUP(Contacts45[[#This Row],[Código Tarea ]],'[7]4. Directorio Integrado'!$I$4:$M$245,5,0)</f>
        <v>SARO/SAC</v>
      </c>
    </row>
    <row r="17" spans="2:17" ht="48" customHeight="1" x14ac:dyDescent="0.35">
      <c r="C17" s="12">
        <f>VLOOKUP(Contacts45[[#This Row],[Código Tarea ]],'[7]4. Directorio Integrado'!$B$4:$N$245,2,0)</f>
        <v>3</v>
      </c>
      <c r="D17" s="12" t="str">
        <f>VLOOKUP(Contacts45[[#This Row],[Código Tarea ]],'[7]4. Directorio Integrado'!$B$4:$N$245,3,0)</f>
        <v>SAC</v>
      </c>
      <c r="E17" s="12" t="str">
        <f>VLOOKUP(Contacts45[[#This Row],[Código Tarea ]],'[7]4. Directorio Integrado'!$B$4:$N$245,4,0)</f>
        <v>3.2</v>
      </c>
      <c r="F17" s="12" t="str">
        <f>VLOOKUP(Contacts45[[#This Row],[Código Tarea ]],'[7]4. Directorio Integrado'!$B$4:$N$245,5,0)</f>
        <v>Control de publicidad y carteleras</v>
      </c>
      <c r="G17" s="12" t="str">
        <f>VLOOKUP(Contacts45[[#This Row],[Código Tarea ]],'[7]4. Directorio Integrado'!$B$4:$N$245,6,0)</f>
        <v>3.2.1</v>
      </c>
      <c r="H17" s="12" t="str">
        <f>VLOOKUP(Contacts45[[#This Row],[Código Tarea ]],'[7]4. Directorio Integrado'!$B$4:$N$245,7,0)</f>
        <v>Verificación contenido cartelera externa</v>
      </c>
      <c r="I17" s="20" t="str">
        <f>'[7]4. Directorio Integrado'!I112</f>
        <v>3.2.1.004</v>
      </c>
      <c r="J17" s="21" t="str">
        <f>VLOOKUP(Contacts45[[#This Row],[Código Tarea ]],'[7]4. Directorio Integrado'!$I$104:$J$122,2,0)</f>
        <v>Se encuentra publicado al alcance del público información con las tasas de interés para productos del activo y del pasivo? (tarifario).</v>
      </c>
      <c r="K17" s="14" t="str">
        <f>IFERROR((VLOOKUP(Contacts45[[#This Row],[Código Tarea ]],'[7]4. Directorio Integrado'!I$4:K$1048576,3,0)),"")</f>
        <v>Actividad a Distancia</v>
      </c>
      <c r="L17" s="16" t="str">
        <f>VLOOKUP(Contacts45[[#This Row],[Código Tarea ]],'[7]Formato 3 - SAC'!$B$10:$I$34,3,0)</f>
        <v>x</v>
      </c>
      <c r="M17" s="16">
        <f>VLOOKUP(Contacts45[[#This Row],[Código Tarea ]],'[7]Formato 3 - SAC'!$B$10:$I$34,4,0)</f>
        <v>0</v>
      </c>
      <c r="N17" s="16">
        <f>VLOOKUP(Contacts45[[#This Row],[Código Tarea ]],'[7]Formato 3 - SAC'!$B$10:$I$34,5,0)</f>
        <v>0</v>
      </c>
      <c r="O17" s="16">
        <f>VLOOKUP(Contacts45[[#This Row],[Código Tarea ]],'[7]Formato 3 - SAC'!$B$10:$I$34,6,0)</f>
        <v>0</v>
      </c>
      <c r="P17" s="16">
        <f>VLOOKUP(Contacts45[[#This Row],[Código Tarea ]],'[7]Formato 3 - SAC'!$B$10:$I$34,7,0)</f>
        <v>0</v>
      </c>
      <c r="Q17" s="22" t="str">
        <f>VLOOKUP(Contacts45[[#This Row],[Código Tarea ]],'[7]4. Directorio Integrado'!$I$4:$M$245,5,0)</f>
        <v>SARO/SAC</v>
      </c>
    </row>
    <row r="18" spans="2:17" ht="48.75" customHeight="1" x14ac:dyDescent="0.35">
      <c r="C18" s="12">
        <f>VLOOKUP(Contacts45[[#This Row],[Código Tarea ]],'[7]4. Directorio Integrado'!$B$4:$N$245,2,0)</f>
        <v>3</v>
      </c>
      <c r="D18" s="12" t="str">
        <f>VLOOKUP(Contacts45[[#This Row],[Código Tarea ]],'[7]4. Directorio Integrado'!$B$4:$N$245,3,0)</f>
        <v>SAC</v>
      </c>
      <c r="E18" s="12" t="str">
        <f>VLOOKUP(Contacts45[[#This Row],[Código Tarea ]],'[7]4. Directorio Integrado'!$B$4:$N$245,4,0)</f>
        <v>3.2</v>
      </c>
      <c r="F18" s="12" t="str">
        <f>VLOOKUP(Contacts45[[#This Row],[Código Tarea ]],'[7]4. Directorio Integrado'!$B$4:$N$245,5,0)</f>
        <v>Control de publicidad y carteleras</v>
      </c>
      <c r="G18" s="12" t="str">
        <f>VLOOKUP(Contacts45[[#This Row],[Código Tarea ]],'[7]4. Directorio Integrado'!$B$4:$N$245,6,0)</f>
        <v>3.2.1</v>
      </c>
      <c r="H18" s="12" t="str">
        <f>VLOOKUP(Contacts45[[#This Row],[Código Tarea ]],'[7]4. Directorio Integrado'!$B$4:$N$245,7,0)</f>
        <v>Verificación contenido cartelera externa</v>
      </c>
      <c r="I18" s="20" t="str">
        <f>'[7]4. Directorio Integrado'!I113</f>
        <v>3.2.1.005</v>
      </c>
      <c r="J18" s="21" t="str">
        <f>VLOOKUP(Contacts45[[#This Row],[Código Tarea ]],'[7]4. Directorio Integrado'!$I$104:$J$122,2,0)</f>
        <v>Se encuentra publicado en un sitio accesible al público información sobre topes para retiros en efectivo? (foto cartelera).</v>
      </c>
      <c r="K18" s="14" t="str">
        <f>IFERROR((VLOOKUP(Contacts45[[#This Row],[Código Tarea ]],'[7]4. Directorio Integrado'!I$4:K$1048576,3,0)),"")</f>
        <v>Actividad a Distancia</v>
      </c>
      <c r="L18" s="16">
        <f>VLOOKUP(Contacts45[[#This Row],[Código Tarea ]],'[7]Formato 3 - SAC'!$B$10:$I$34,3,0)</f>
        <v>0</v>
      </c>
      <c r="M18" s="16" t="str">
        <f>VLOOKUP(Contacts45[[#This Row],[Código Tarea ]],'[7]Formato 3 - SAC'!$B$10:$I$34,4,0)</f>
        <v>X</v>
      </c>
      <c r="N18" s="16">
        <f>VLOOKUP(Contacts45[[#This Row],[Código Tarea ]],'[7]Formato 3 - SAC'!$B$10:$I$34,5,0)</f>
        <v>0</v>
      </c>
      <c r="O18" s="16">
        <f>VLOOKUP(Contacts45[[#This Row],[Código Tarea ]],'[7]Formato 3 - SAC'!$B$10:$I$34,6,0)</f>
        <v>0</v>
      </c>
      <c r="P18" s="16">
        <f>VLOOKUP(Contacts45[[#This Row],[Código Tarea ]],'[7]Formato 3 - SAC'!$B$10:$I$34,7,0)</f>
        <v>0</v>
      </c>
      <c r="Q18" s="22" t="str">
        <f>VLOOKUP(Contacts45[[#This Row],[Código Tarea ]],'[7]4. Directorio Integrado'!$I$4:$M$245,5,0)</f>
        <v>SARO/SAC</v>
      </c>
    </row>
    <row r="19" spans="2:17" ht="43.5" x14ac:dyDescent="0.35">
      <c r="C19" s="12">
        <f>VLOOKUP(Contacts45[[#This Row],[Código Tarea ]],'[7]4. Directorio Integrado'!$B$4:$N$245,2,0)</f>
        <v>3</v>
      </c>
      <c r="D19" s="12" t="str">
        <f>VLOOKUP(Contacts45[[#This Row],[Código Tarea ]],'[7]4. Directorio Integrado'!$B$4:$N$245,3,0)</f>
        <v>SAC</v>
      </c>
      <c r="E19" s="12" t="str">
        <f>VLOOKUP(Contacts45[[#This Row],[Código Tarea ]],'[7]4. Directorio Integrado'!$B$4:$N$245,4,0)</f>
        <v>3.2</v>
      </c>
      <c r="F19" s="12" t="str">
        <f>VLOOKUP(Contacts45[[#This Row],[Código Tarea ]],'[7]4. Directorio Integrado'!$B$4:$N$245,5,0)</f>
        <v>Control de publicidad y carteleras</v>
      </c>
      <c r="G19" s="12" t="str">
        <f>VLOOKUP(Contacts45[[#This Row],[Código Tarea ]],'[7]4. Directorio Integrado'!$B$4:$N$245,6,0)</f>
        <v>3.2.1</v>
      </c>
      <c r="H19" s="12" t="str">
        <f>VLOOKUP(Contacts45[[#This Row],[Código Tarea ]],'[7]4. Directorio Integrado'!$B$4:$N$245,7,0)</f>
        <v>Verificación contenido cartelera externa</v>
      </c>
      <c r="I19" s="20" t="str">
        <f>'[7]4. Directorio Integrado'!I114</f>
        <v>3.2.1.006</v>
      </c>
      <c r="J19" s="21" t="str">
        <f>VLOOKUP(Contacts45[[#This Row],[Código Tarea ]],'[7]4. Directorio Integrado'!$I$104:$J$122,2,0)</f>
        <v>Se encuentra publicada al alcance del público información sobre dónde encontrar o cómo acceder a los reglamentos de los productos que ofrece ?</v>
      </c>
      <c r="K19" s="14" t="str">
        <f>IFERROR((VLOOKUP(Contacts45[[#This Row],[Código Tarea ]],'[7]4. Directorio Integrado'!I$4:K$1048576,3,0)),"")</f>
        <v>Actividad a Distancia</v>
      </c>
      <c r="L19" s="16">
        <f>VLOOKUP(Contacts45[[#This Row],[Código Tarea ]],'[7]Formato 3 - SAC'!$B$10:$I$34,3,0)</f>
        <v>0</v>
      </c>
      <c r="M19" s="16" t="str">
        <f>VLOOKUP(Contacts45[[#This Row],[Código Tarea ]],'[7]Formato 3 - SAC'!$B$10:$I$34,4,0)</f>
        <v>X</v>
      </c>
      <c r="N19" s="16">
        <f>VLOOKUP(Contacts45[[#This Row],[Código Tarea ]],'[7]Formato 3 - SAC'!$B$10:$I$34,5,0)</f>
        <v>0</v>
      </c>
      <c r="O19" s="16">
        <f>VLOOKUP(Contacts45[[#This Row],[Código Tarea ]],'[7]Formato 3 - SAC'!$B$10:$I$34,6,0)</f>
        <v>0</v>
      </c>
      <c r="P19" s="16">
        <f>VLOOKUP(Contacts45[[#This Row],[Código Tarea ]],'[7]Formato 3 - SAC'!$B$10:$I$34,7,0)</f>
        <v>0</v>
      </c>
      <c r="Q19" s="22" t="str">
        <f>VLOOKUP(Contacts45[[#This Row],[Código Tarea ]],'[7]4. Directorio Integrado'!$I$4:$M$245,5,0)</f>
        <v>SARO/SAC</v>
      </c>
    </row>
    <row r="20" spans="2:17" ht="64.5" customHeight="1" x14ac:dyDescent="0.35">
      <c r="C20" s="12">
        <f>VLOOKUP(Contacts45[[#This Row],[Código Tarea ]],'[7]4. Directorio Integrado'!$B$4:$N$245,2,0)</f>
        <v>3</v>
      </c>
      <c r="D20" s="12" t="str">
        <f>VLOOKUP(Contacts45[[#This Row],[Código Tarea ]],'[7]4. Directorio Integrado'!$B$4:$N$245,3,0)</f>
        <v>SAC</v>
      </c>
      <c r="E20" s="12" t="str">
        <f>VLOOKUP(Contacts45[[#This Row],[Código Tarea ]],'[7]4. Directorio Integrado'!$B$4:$N$245,4,0)</f>
        <v>3.2</v>
      </c>
      <c r="F20" s="12" t="str">
        <f>VLOOKUP(Contacts45[[#This Row],[Código Tarea ]],'[7]4. Directorio Integrado'!$B$4:$N$245,5,0)</f>
        <v>Control de publicidad y carteleras</v>
      </c>
      <c r="G20" s="12" t="str">
        <f>VLOOKUP(Contacts45[[#This Row],[Código Tarea ]],'[7]4. Directorio Integrado'!$B$4:$N$245,6,0)</f>
        <v>3.2.2</v>
      </c>
      <c r="H20" s="12" t="str">
        <f>VLOOKUP(Contacts45[[#This Row],[Código Tarea ]],'[7]4. Directorio Integrado'!$B$4:$N$245,7,0)</f>
        <v>Verificación contenido cartelera interna</v>
      </c>
      <c r="I20" s="20" t="str">
        <f>'[7]4. Directorio Integrado'!I115</f>
        <v>3.2.2.001</v>
      </c>
      <c r="J20" s="21" t="str">
        <f>VLOOKUP(Contacts45[[#This Row],[Código Tarea ]],'[7]4. Directorio Integrado'!$I$104:$J$122,2,0)</f>
        <v>Se encuentra publicado en la cartelera interna material informativo de utilidad en materia de protección de datos? (foto).</v>
      </c>
      <c r="K20" s="14" t="str">
        <f>IFERROR((VLOOKUP(Contacts45[[#This Row],[Código Tarea ]],'[7]4. Directorio Integrado'!I$4:K$1048576,3,0)),"")</f>
        <v>Actividad a Distancia</v>
      </c>
      <c r="L20" s="16" t="str">
        <f>VLOOKUP(Contacts45[[#This Row],[Código Tarea ]],'[7]Formato 3 - SAC'!$B$10:$I$34,3,0)</f>
        <v>x</v>
      </c>
      <c r="M20" s="16">
        <f>VLOOKUP(Contacts45[[#This Row],[Código Tarea ]],'[7]Formato 3 - SAC'!$B$10:$I$34,4,0)</f>
        <v>0</v>
      </c>
      <c r="N20" s="16">
        <f>VLOOKUP(Contacts45[[#This Row],[Código Tarea ]],'[7]Formato 3 - SAC'!$B$10:$I$34,5,0)</f>
        <v>0</v>
      </c>
      <c r="O20" s="16">
        <f>VLOOKUP(Contacts45[[#This Row],[Código Tarea ]],'[7]Formato 3 - SAC'!$B$10:$I$34,6,0)</f>
        <v>0</v>
      </c>
      <c r="P20" s="16">
        <f>VLOOKUP(Contacts45[[#This Row],[Código Tarea ]],'[7]Formato 3 - SAC'!$B$10:$I$34,7,0)</f>
        <v>0</v>
      </c>
      <c r="Q20" s="22" t="str">
        <f>VLOOKUP(Contacts45[[#This Row],[Código Tarea ]],'[7]4. Directorio Integrado'!$I$4:$M$245,5,0)</f>
        <v>SARO/SAC</v>
      </c>
    </row>
    <row r="21" spans="2:17" s="33" customFormat="1" ht="45.75" customHeight="1" x14ac:dyDescent="0.35">
      <c r="B21" s="31"/>
      <c r="C21" s="12">
        <f>VLOOKUP(Contacts45[[#This Row],[Código Tarea ]],'[7]4. Directorio Integrado'!$B$4:$N$245,2,0)</f>
        <v>3</v>
      </c>
      <c r="D21" s="12" t="str">
        <f>VLOOKUP(Contacts45[[#This Row],[Código Tarea ]],'[7]4. Directorio Integrado'!$B$4:$N$245,3,0)</f>
        <v>SAC</v>
      </c>
      <c r="E21" s="12" t="str">
        <f>VLOOKUP(Contacts45[[#This Row],[Código Tarea ]],'[7]4. Directorio Integrado'!$B$4:$N$245,4,0)</f>
        <v>3.2</v>
      </c>
      <c r="F21" s="12" t="str">
        <f>VLOOKUP(Contacts45[[#This Row],[Código Tarea ]],'[7]4. Directorio Integrado'!$B$4:$N$245,5,0)</f>
        <v>Control de publicidad y carteleras</v>
      </c>
      <c r="G21" s="12" t="str">
        <f>VLOOKUP(Contacts45[[#This Row],[Código Tarea ]],'[7]4. Directorio Integrado'!$B$4:$N$245,6,0)</f>
        <v>3.2.2</v>
      </c>
      <c r="H21" s="12" t="str">
        <f>VLOOKUP(Contacts45[[#This Row],[Código Tarea ]],'[7]4. Directorio Integrado'!$B$4:$N$245,7,0)</f>
        <v>Verificación de material de publicidad</v>
      </c>
      <c r="I21" s="32" t="str">
        <f>'[7]4. Directorio Integrado'!I116</f>
        <v>3.2.3.001</v>
      </c>
      <c r="J21" s="21" t="str">
        <f>VLOOKUP(Contacts45[[#This Row],[Código Tarea ]],'[7]4. Directorio Integrado'!$I$104:$J$122,2,0)</f>
        <v>La oficina cuenta con material de apoyo POP actualizado.</v>
      </c>
      <c r="K21" s="14" t="str">
        <f>IFERROR((VLOOKUP(Contacts45[[#This Row],[Código Tarea ]],'[7]4. Directorio Integrado'!I$4:K$1048576,3,0)),"")</f>
        <v>Actividad a Distancia</v>
      </c>
      <c r="L21" s="16" t="str">
        <f>VLOOKUP(Contacts45[[#This Row],[Código Tarea ]],'[7]Formato 3 - SAC'!$B$10:$I$34,3,0)</f>
        <v>X</v>
      </c>
      <c r="M21" s="16">
        <f>VLOOKUP(Contacts45[[#This Row],[Código Tarea ]],'[7]Formato 3 - SAC'!$B$10:$I$34,4,0)</f>
        <v>0</v>
      </c>
      <c r="N21" s="16">
        <f>VLOOKUP(Contacts45[[#This Row],[Código Tarea ]],'[7]Formato 3 - SAC'!$B$10:$I$34,5,0)</f>
        <v>0</v>
      </c>
      <c r="O21" s="16">
        <f>VLOOKUP(Contacts45[[#This Row],[Código Tarea ]],'[7]Formato 3 - SAC'!$B$10:$I$34,6,0)</f>
        <v>0</v>
      </c>
      <c r="P21" s="16">
        <f>VLOOKUP(Contacts45[[#This Row],[Código Tarea ]],'[7]Formato 3 - SAC'!$B$10:$I$34,7,0)</f>
        <v>0</v>
      </c>
      <c r="Q21" s="22" t="str">
        <f>VLOOKUP(Contacts45[[#This Row],[Código Tarea ]],'[7]4. Directorio Integrado'!$I$4:$M$245,5,0)</f>
        <v>SARO</v>
      </c>
    </row>
    <row r="22" spans="2:17" s="33" customFormat="1" ht="45.75" customHeight="1" x14ac:dyDescent="0.35">
      <c r="B22" s="31"/>
      <c r="C22" s="12">
        <f>VLOOKUP(Contacts45[[#This Row],[Código Tarea ]],'[7]4. Directorio Integrado'!$B$4:$N$245,2,0)</f>
        <v>3</v>
      </c>
      <c r="D22" s="12" t="str">
        <f>VLOOKUP(Contacts45[[#This Row],[Código Tarea ]],'[7]4. Directorio Integrado'!$B$4:$N$245,3,0)</f>
        <v>SAC</v>
      </c>
      <c r="E22" s="12" t="str">
        <f>VLOOKUP(Contacts45[[#This Row],[Código Tarea ]],'[7]4. Directorio Integrado'!$B$4:$N$245,4,0)</f>
        <v>3.2</v>
      </c>
      <c r="F22" s="12" t="str">
        <f>VLOOKUP(Contacts45[[#This Row],[Código Tarea ]],'[7]4. Directorio Integrado'!$B$4:$N$245,5,0)</f>
        <v>Control de publicidad y carteleras</v>
      </c>
      <c r="G22" s="12" t="str">
        <f>VLOOKUP(Contacts45[[#This Row],[Código Tarea ]],'[7]4. Directorio Integrado'!$B$4:$N$245,6,0)</f>
        <v>3.2.2</v>
      </c>
      <c r="H22" s="12" t="str">
        <f>VLOOKUP(Contacts45[[#This Row],[Código Tarea ]],'[7]4. Directorio Integrado'!$B$4:$N$245,7,0)</f>
        <v>Verificación de material de publicidad</v>
      </c>
      <c r="I22" s="32" t="str">
        <f>'[7]4. Directorio Integrado'!I117</f>
        <v>3.2.3.002</v>
      </c>
      <c r="J22" s="21" t="str">
        <f>VLOOKUP(Contacts45[[#This Row],[Código Tarea ]],'[7]4. Directorio Integrado'!$I$104:$J$122,2,0)</f>
        <v>Los eventos, campañas y perifoneo van acompañados de material POP actualizado.</v>
      </c>
      <c r="K22" s="14" t="str">
        <f>IFERROR((VLOOKUP(Contacts45[[#This Row],[Código Tarea ]],'[7]4. Directorio Integrado'!I$4:K$1048576,3,0)),"")</f>
        <v>Actividad a Distancia</v>
      </c>
      <c r="L22" s="16" t="str">
        <f>VLOOKUP(Contacts45[[#This Row],[Código Tarea ]],'[7]Formato 3 - SAC'!$B$10:$I$34,3,0)</f>
        <v>X</v>
      </c>
      <c r="M22" s="16">
        <f>VLOOKUP(Contacts45[[#This Row],[Código Tarea ]],'[7]Formato 3 - SAC'!$B$10:$I$34,4,0)</f>
        <v>0</v>
      </c>
      <c r="N22" s="16">
        <f>VLOOKUP(Contacts45[[#This Row],[Código Tarea ]],'[7]Formato 3 - SAC'!$B$10:$I$34,5,0)</f>
        <v>0</v>
      </c>
      <c r="O22" s="16">
        <f>VLOOKUP(Contacts45[[#This Row],[Código Tarea ]],'[7]Formato 3 - SAC'!$B$10:$I$34,6,0)</f>
        <v>0</v>
      </c>
      <c r="P22" s="16">
        <f>VLOOKUP(Contacts45[[#This Row],[Código Tarea ]],'[7]Formato 3 - SAC'!$B$10:$I$34,7,0)</f>
        <v>0</v>
      </c>
      <c r="Q22" s="22" t="str">
        <f>VLOOKUP(Contacts45[[#This Row],[Código Tarea ]],'[7]4. Directorio Integrado'!$I$4:$M$245,5,0)</f>
        <v>SARO</v>
      </c>
    </row>
    <row r="23" spans="2:17" s="33" customFormat="1" ht="45.75" customHeight="1" x14ac:dyDescent="0.35">
      <c r="B23" s="31"/>
      <c r="C23" s="12">
        <f>VLOOKUP(Contacts45[[#This Row],[Código Tarea ]],'[7]4. Directorio Integrado'!$B$4:$N$245,2,0)</f>
        <v>3</v>
      </c>
      <c r="D23" s="12" t="str">
        <f>VLOOKUP(Contacts45[[#This Row],[Código Tarea ]],'[7]4. Directorio Integrado'!$B$4:$N$245,3,0)</f>
        <v>SAC</v>
      </c>
      <c r="E23" s="12" t="str">
        <f>VLOOKUP(Contacts45[[#This Row],[Código Tarea ]],'[7]4. Directorio Integrado'!$B$4:$N$245,4,0)</f>
        <v>3.3</v>
      </c>
      <c r="F23" s="12" t="str">
        <f>VLOOKUP(Contacts45[[#This Row],[Código Tarea ]],'[7]4. Directorio Integrado'!$B$4:$N$245,5,0)</f>
        <v>Protección de datos</v>
      </c>
      <c r="G23" s="12" t="str">
        <f>VLOOKUP(Contacts45[[#This Row],[Código Tarea ]],'[7]4. Directorio Integrado'!$B$4:$N$245,6,0)</f>
        <v>3.3.1</v>
      </c>
      <c r="H23" s="12" t="str">
        <f>VLOOKUP(Contacts45[[#This Row],[Código Tarea ]],'[7]4. Directorio Integrado'!$B$4:$N$245,7,0)</f>
        <v xml:space="preserve">Revisión control de documentos </v>
      </c>
      <c r="I23" s="32" t="str">
        <f>'[7]4. Directorio Integrado'!I118</f>
        <v>3.3.1.001</v>
      </c>
      <c r="J23" s="21" t="str">
        <f>VLOOKUP(Contacts45[[#This Row],[Código Tarea ]],'[7]4. Directorio Integrado'!$I$104:$J$122,2,0)</f>
        <v>Cuenta con una máquina destructora de papel? (foto de la máquina).</v>
      </c>
      <c r="K23" s="14" t="str">
        <f>IFERROR((VLOOKUP(Contacts45[[#This Row],[Código Tarea ]],'[7]4. Directorio Integrado'!I$4:K$1048576,3,0)),"")</f>
        <v>Presencial</v>
      </c>
      <c r="L23" s="16" t="str">
        <f>VLOOKUP(Contacts45[[#This Row],[Código Tarea ]],'[7]Formato 3 - SAC'!$B$10:$I$34,3,0)</f>
        <v>X</v>
      </c>
      <c r="M23" s="16">
        <f>VLOOKUP(Contacts45[[#This Row],[Código Tarea ]],'[7]Formato 3 - SAC'!$B$10:$I$34,4,0)</f>
        <v>0</v>
      </c>
      <c r="N23" s="16">
        <f>VLOOKUP(Contacts45[[#This Row],[Código Tarea ]],'[7]Formato 3 - SAC'!$B$10:$I$34,5,0)</f>
        <v>0</v>
      </c>
      <c r="O23" s="16">
        <f>VLOOKUP(Contacts45[[#This Row],[Código Tarea ]],'[7]Formato 3 - SAC'!$B$10:$I$34,6,0)</f>
        <v>0</v>
      </c>
      <c r="P23" s="16">
        <f>VLOOKUP(Contacts45[[#This Row],[Código Tarea ]],'[7]Formato 3 - SAC'!$B$10:$I$34,7,0)</f>
        <v>0</v>
      </c>
      <c r="Q23" s="22" t="str">
        <f>VLOOKUP(Contacts45[[#This Row],[Código Tarea ]],'[7]4. Directorio Integrado'!$I$4:$M$245,5,0)</f>
        <v>SARO/SGSI/SAC</v>
      </c>
    </row>
    <row r="24" spans="2:17" ht="43.5" x14ac:dyDescent="0.35">
      <c r="C24" s="12">
        <f>VLOOKUP(Contacts45[[#This Row],[Código Tarea ]],'[7]4. Directorio Integrado'!$B$4:$N$245,2,0)</f>
        <v>3</v>
      </c>
      <c r="D24" s="12" t="str">
        <f>VLOOKUP(Contacts45[[#This Row],[Código Tarea ]],'[7]4. Directorio Integrado'!$B$4:$N$245,3,0)</f>
        <v>SAC</v>
      </c>
      <c r="E24" s="12" t="str">
        <f>VLOOKUP(Contacts45[[#This Row],[Código Tarea ]],'[7]4. Directorio Integrado'!$B$4:$N$245,4,0)</f>
        <v>3.3</v>
      </c>
      <c r="F24" s="12" t="str">
        <f>VLOOKUP(Contacts45[[#This Row],[Código Tarea ]],'[7]4. Directorio Integrado'!$B$4:$N$245,5,0)</f>
        <v>Protección de datos</v>
      </c>
      <c r="G24" s="12" t="str">
        <f>VLOOKUP(Contacts45[[#This Row],[Código Tarea ]],'[7]4. Directorio Integrado'!$B$4:$N$245,6,0)</f>
        <v>3.3.1</v>
      </c>
      <c r="H24" s="12" t="str">
        <f>VLOOKUP(Contacts45[[#This Row],[Código Tarea ]],'[7]4. Directorio Integrado'!$B$4:$N$245,7,0)</f>
        <v xml:space="preserve">Revisión control de documentos </v>
      </c>
      <c r="I24" s="20" t="str">
        <f>'[7]4. Directorio Integrado'!I119</f>
        <v>3.3.1.002</v>
      </c>
      <c r="J24" s="21" t="str">
        <f>VLOOKUP(Contacts45[[#This Row],[Código Tarea ]],'[7]4. Directorio Integrado'!$I$104:$J$122,2,0)</f>
        <v>El archivo de las carpetas donde reposan los datos y documentos  de los clientes están bajo llave? (foto de archivo).</v>
      </c>
      <c r="K24" s="14" t="str">
        <f>IFERROR((VLOOKUP(Contacts45[[#This Row],[Código Tarea ]],'[7]4. Directorio Integrado'!I$4:K$1048576,3,0)),"")</f>
        <v>Presencial</v>
      </c>
      <c r="L24" s="16" t="str">
        <f>VLOOKUP(Contacts45[[#This Row],[Código Tarea ]],'[7]Formato 3 - SAC'!$B$10:$I$34,3,0)</f>
        <v>X</v>
      </c>
      <c r="M24" s="16">
        <f>VLOOKUP(Contacts45[[#This Row],[Código Tarea ]],'[7]Formato 3 - SAC'!$B$10:$I$34,4,0)</f>
        <v>0</v>
      </c>
      <c r="N24" s="16">
        <f>VLOOKUP(Contacts45[[#This Row],[Código Tarea ]],'[7]Formato 3 - SAC'!$B$10:$I$34,5,0)</f>
        <v>0</v>
      </c>
      <c r="O24" s="16">
        <f>VLOOKUP(Contacts45[[#This Row],[Código Tarea ]],'[7]Formato 3 - SAC'!$B$10:$I$34,6,0)</f>
        <v>0</v>
      </c>
      <c r="P24" s="16">
        <f>VLOOKUP(Contacts45[[#This Row],[Código Tarea ]],'[7]Formato 3 - SAC'!$B$10:$I$34,7,0)</f>
        <v>0</v>
      </c>
      <c r="Q24" s="22" t="str">
        <f>VLOOKUP(Contacts45[[#This Row],[Código Tarea ]],'[7]4. Directorio Integrado'!$I$4:$M$245,5,0)</f>
        <v>SARO/SAC</v>
      </c>
    </row>
    <row r="25" spans="2:17" ht="43.5" x14ac:dyDescent="0.35">
      <c r="C25" s="12">
        <f>VLOOKUP(Contacts45[[#This Row],[Código Tarea ]],'[7]4. Directorio Integrado'!$B$4:$N$245,2,0)</f>
        <v>3</v>
      </c>
      <c r="D25" s="12" t="str">
        <f>VLOOKUP(Contacts45[[#This Row],[Código Tarea ]],'[7]4. Directorio Integrado'!$B$4:$N$245,3,0)</f>
        <v>SAC</v>
      </c>
      <c r="E25" s="12" t="str">
        <f>VLOOKUP(Contacts45[[#This Row],[Código Tarea ]],'[7]4. Directorio Integrado'!$B$4:$N$245,4,0)</f>
        <v>3.3</v>
      </c>
      <c r="F25" s="12" t="str">
        <f>VLOOKUP(Contacts45[[#This Row],[Código Tarea ]],'[7]4. Directorio Integrado'!$B$4:$N$245,5,0)</f>
        <v>Protección de datos</v>
      </c>
      <c r="G25" s="12" t="str">
        <f>VLOOKUP(Contacts45[[#This Row],[Código Tarea ]],'[7]4. Directorio Integrado'!$B$4:$N$245,6,0)</f>
        <v>3.3.1</v>
      </c>
      <c r="H25" s="12" t="str">
        <f>VLOOKUP(Contacts45[[#This Row],[Código Tarea ]],'[7]4. Directorio Integrado'!$B$4:$N$245,7,0)</f>
        <v xml:space="preserve">Revisión control de documentos </v>
      </c>
      <c r="I25" s="20" t="str">
        <f>'[7]4. Directorio Integrado'!I120</f>
        <v>3.3.1.003</v>
      </c>
      <c r="J25" s="21" t="str">
        <f>VLOOKUP(Contacts45[[#This Row],[Código Tarea ]],'[7]4. Directorio Integrado'!$I$104:$J$122,2,0)</f>
        <v>El archivo se encuentra en un lugar idóneo que asegure la conservación e integridad de los documentos? (foto de la ubicación del archivo y carpetas en la oficina).</v>
      </c>
      <c r="K25" s="14" t="str">
        <f>IFERROR((VLOOKUP(Contacts45[[#This Row],[Código Tarea ]],'[7]4. Directorio Integrado'!I$4:K$1048576,3,0)),"")</f>
        <v>Actividad a Distancia</v>
      </c>
      <c r="L25" s="16" t="str">
        <f>VLOOKUP(Contacts45[[#This Row],[Código Tarea ]],'[7]Formato 3 - SAC'!$B$10:$I$34,3,0)</f>
        <v>X</v>
      </c>
      <c r="M25" s="16">
        <f>VLOOKUP(Contacts45[[#This Row],[Código Tarea ]],'[7]Formato 3 - SAC'!$B$10:$I$34,4,0)</f>
        <v>0</v>
      </c>
      <c r="N25" s="16">
        <f>VLOOKUP(Contacts45[[#This Row],[Código Tarea ]],'[7]Formato 3 - SAC'!$B$10:$I$34,5,0)</f>
        <v>0</v>
      </c>
      <c r="O25" s="16">
        <f>VLOOKUP(Contacts45[[#This Row],[Código Tarea ]],'[7]Formato 3 - SAC'!$B$10:$I$34,6,0)</f>
        <v>0</v>
      </c>
      <c r="P25" s="16">
        <f>VLOOKUP(Contacts45[[#This Row],[Código Tarea ]],'[7]Formato 3 - SAC'!$B$10:$I$34,7,0)</f>
        <v>0</v>
      </c>
      <c r="Q25" s="22" t="str">
        <f>VLOOKUP(Contacts45[[#This Row],[Código Tarea ]],'[7]4. Directorio Integrado'!$I$4:$M$245,5,0)</f>
        <v>SARO/SGSI/SAC</v>
      </c>
    </row>
    <row r="26" spans="2:17" ht="43.5" x14ac:dyDescent="0.35">
      <c r="C26" s="12">
        <f>VLOOKUP(Contacts45[[#This Row],[Código Tarea ]],'[7]4. Directorio Integrado'!$B$4:$N$245,2,0)</f>
        <v>3</v>
      </c>
      <c r="D26" s="12" t="str">
        <f>VLOOKUP(Contacts45[[#This Row],[Código Tarea ]],'[7]4. Directorio Integrado'!$B$4:$N$245,3,0)</f>
        <v>SAC</v>
      </c>
      <c r="E26" s="12" t="str">
        <f>VLOOKUP(Contacts45[[#This Row],[Código Tarea ]],'[7]4. Directorio Integrado'!$B$4:$N$245,4,0)</f>
        <v>3.3</v>
      </c>
      <c r="F26" s="12" t="str">
        <f>VLOOKUP(Contacts45[[#This Row],[Código Tarea ]],'[7]4. Directorio Integrado'!$B$4:$N$245,5,0)</f>
        <v>Protección de datos</v>
      </c>
      <c r="G26" s="12" t="str">
        <f>VLOOKUP(Contacts45[[#This Row],[Código Tarea ]],'[7]4. Directorio Integrado'!$B$4:$N$245,6,0)</f>
        <v>3.3.1</v>
      </c>
      <c r="H26" s="12" t="str">
        <f>VLOOKUP(Contacts45[[#This Row],[Código Tarea ]],'[7]4. Directorio Integrado'!$B$4:$N$245,7,0)</f>
        <v xml:space="preserve">Revisión control de documentos </v>
      </c>
      <c r="I26" s="20" t="str">
        <f>'[7]4. Directorio Integrado'!I121</f>
        <v>3.3.1.004</v>
      </c>
      <c r="J26" s="21" t="str">
        <f>VLOOKUP(Contacts45[[#This Row],[Código Tarea ]],'[7]4. Directorio Integrado'!$I$104:$J$122,2,0)</f>
        <v>Se lleva un registro de las personas que acceden al archivo en donde se especifique la información que consultó o extrajo del mismo? (foto del registro).</v>
      </c>
      <c r="K26" s="14" t="str">
        <f>IFERROR((VLOOKUP(Contacts45[[#This Row],[Código Tarea ]],'[7]4. Directorio Integrado'!I$4:K$1048576,3,0)),"")</f>
        <v>Actividad a Distancia</v>
      </c>
      <c r="L26" s="16" t="str">
        <f>VLOOKUP(Contacts45[[#This Row],[Código Tarea ]],'[7]Formato 3 - SAC'!$B$10:$I$34,3,0)</f>
        <v>X</v>
      </c>
      <c r="M26" s="16">
        <f>VLOOKUP(Contacts45[[#This Row],[Código Tarea ]],'[7]Formato 3 - SAC'!$B$10:$I$34,4,0)</f>
        <v>0</v>
      </c>
      <c r="N26" s="16">
        <f>VLOOKUP(Contacts45[[#This Row],[Código Tarea ]],'[7]Formato 3 - SAC'!$B$10:$I$34,5,0)</f>
        <v>0</v>
      </c>
      <c r="O26" s="16">
        <f>VLOOKUP(Contacts45[[#This Row],[Código Tarea ]],'[7]Formato 3 - SAC'!$B$10:$I$34,6,0)</f>
        <v>0</v>
      </c>
      <c r="P26" s="16">
        <f>VLOOKUP(Contacts45[[#This Row],[Código Tarea ]],'[7]Formato 3 - SAC'!$B$10:$I$34,7,0)</f>
        <v>0</v>
      </c>
      <c r="Q26" s="22" t="str">
        <f>VLOOKUP(Contacts45[[#This Row],[Código Tarea ]],'[7]4. Directorio Integrado'!$I$4:$M$245,5,0)</f>
        <v>SARO/SAC</v>
      </c>
    </row>
    <row r="27" spans="2:17" ht="72.5" x14ac:dyDescent="0.35">
      <c r="C27" s="12">
        <f>VLOOKUP(Contacts45[[#This Row],[Código Tarea ]],'[7]4. Directorio Integrado'!$B$4:$N$245,2,0)</f>
        <v>3</v>
      </c>
      <c r="D27" s="12" t="str">
        <f>VLOOKUP(Contacts45[[#This Row],[Código Tarea ]],'[7]4. Directorio Integrado'!$B$4:$N$245,3,0)</f>
        <v>SAC</v>
      </c>
      <c r="E27" s="12" t="str">
        <f>VLOOKUP(Contacts45[[#This Row],[Código Tarea ]],'[7]4. Directorio Integrado'!$B$4:$N$245,4,0)</f>
        <v>3.3</v>
      </c>
      <c r="F27" s="12" t="str">
        <f>VLOOKUP(Contacts45[[#This Row],[Código Tarea ]],'[7]4. Directorio Integrado'!$B$4:$N$245,5,0)</f>
        <v>Protección de datos</v>
      </c>
      <c r="G27" s="12" t="str">
        <f>VLOOKUP(Contacts45[[#This Row],[Código Tarea ]],'[7]4. Directorio Integrado'!$B$4:$N$245,6,0)</f>
        <v>3.3.1</v>
      </c>
      <c r="H27" s="12" t="str">
        <f>VLOOKUP(Contacts45[[#This Row],[Código Tarea ]],'[7]4. Directorio Integrado'!$B$4:$N$245,7,0)</f>
        <v xml:space="preserve">Revisión control de documentos </v>
      </c>
      <c r="I27" s="20" t="str">
        <f>'[7]4. Directorio Integrado'!I122</f>
        <v>3.3.1.005</v>
      </c>
      <c r="J27" s="21" t="str">
        <f>VLOOKUP(Contacts45[[#This Row],[Código Tarea ]],'[7]4. Directorio Integrado'!$I$104:$J$122,2,0)</f>
        <v>Al verificar las estaciones de reciclaje de papel, éste contiene datos personales de los clientes (tablas de amortización, cartas de cobro, consulta de cuotas, etc)? (fotos de las estaciones de reciclaje y de la información que allí reposa).</v>
      </c>
      <c r="K27" s="14" t="str">
        <f>IFERROR((VLOOKUP(Contacts45[[#This Row],[Código Tarea ]],'[7]4. Directorio Integrado'!I$4:K$1048576,3,0)),"")</f>
        <v>Presencial</v>
      </c>
      <c r="L27" s="16" t="str">
        <f>VLOOKUP(Contacts45[[#This Row],[Código Tarea ]],'[7]Formato 3 - SAC'!$B$10:$I$34,3,0)</f>
        <v>x</v>
      </c>
      <c r="M27" s="16">
        <f>VLOOKUP(Contacts45[[#This Row],[Código Tarea ]],'[7]Formato 3 - SAC'!$B$10:$I$34,4,0)</f>
        <v>0</v>
      </c>
      <c r="N27" s="16">
        <f>VLOOKUP(Contacts45[[#This Row],[Código Tarea ]],'[7]Formato 3 - SAC'!$B$10:$I$34,5,0)</f>
        <v>0</v>
      </c>
      <c r="O27" s="16">
        <f>VLOOKUP(Contacts45[[#This Row],[Código Tarea ]],'[7]Formato 3 - SAC'!$B$10:$I$34,6,0)</f>
        <v>0</v>
      </c>
      <c r="P27" s="16">
        <f>VLOOKUP(Contacts45[[#This Row],[Código Tarea ]],'[7]Formato 3 - SAC'!$B$10:$I$34,7,0)</f>
        <v>0</v>
      </c>
      <c r="Q27" s="22" t="str">
        <f>VLOOKUP(Contacts45[[#This Row],[Código Tarea ]],'[7]4. Directorio Integrado'!$I$4:$M$245,5,0)</f>
        <v>SARO/SAC</v>
      </c>
    </row>
    <row r="28" spans="2:17" ht="14.5" x14ac:dyDescent="0.35">
      <c r="C28" s="34"/>
      <c r="D28" s="35"/>
      <c r="E28" s="36"/>
      <c r="F28" s="35"/>
      <c r="G28" s="34"/>
      <c r="H28" s="37"/>
      <c r="I28" s="36"/>
      <c r="J28" s="36"/>
      <c r="K28" s="36"/>
      <c r="L28" s="36"/>
      <c r="M28" s="36"/>
      <c r="N28" s="36"/>
      <c r="O28" s="38"/>
      <c r="P28" s="39"/>
      <c r="Q28" s="39"/>
    </row>
  </sheetData>
  <mergeCells count="1">
    <mergeCell ref="J7:N7"/>
  </mergeCells>
  <conditionalFormatting sqref="J28:N28 L9:P27">
    <cfRule type="containsText" dxfId="153" priority="14" stopIfTrue="1" operator="containsText" text="0">
      <formula>NOT(ISERROR(SEARCH("0",J9)))</formula>
    </cfRule>
  </conditionalFormatting>
  <conditionalFormatting sqref="J28:N28 L9:P27">
    <cfRule type="containsText" dxfId="152" priority="13" operator="containsText" text="X">
      <formula>NOT(ISERROR(SEARCH("X",J9)))</formula>
    </cfRule>
  </conditionalFormatting>
  <conditionalFormatting sqref="O9:O27">
    <cfRule type="containsText" dxfId="151" priority="6" stopIfTrue="1" operator="containsText" text="0">
      <formula>NOT(ISERROR(SEARCH("0",O9)))</formula>
    </cfRule>
  </conditionalFormatting>
  <conditionalFormatting sqref="P9:P27">
    <cfRule type="containsText" dxfId="150" priority="4" stopIfTrue="1" operator="containsText" text="0">
      <formula>NOT(ISERROR(SEARCH("0",P9)))</formula>
    </cfRule>
  </conditionalFormatting>
  <conditionalFormatting sqref="L9">
    <cfRule type="containsText" dxfId="149" priority="2" stopIfTrue="1" operator="containsText" text="0">
      <formula>NOT(ISERROR(SEARCH("0",L9)))</formula>
    </cfRule>
  </conditionalFormatting>
  <conditionalFormatting sqref="L9">
    <cfRule type="containsText" dxfId="148" priority="1" operator="containsText" text="X">
      <formula>NOT(ISERROR(SEARCH("X",L9)))</formula>
    </cfRule>
  </conditionalFormatting>
  <conditionalFormatting sqref="N9:N27">
    <cfRule type="containsText" dxfId="147" priority="8" stopIfTrue="1" operator="containsText" text="0">
      <formula>NOT(ISERROR(SEARCH("0",N9)))</formula>
    </cfRule>
  </conditionalFormatting>
  <conditionalFormatting sqref="P9:P27">
    <cfRule type="containsText" dxfId="146" priority="3" operator="containsText" text="X">
      <formula>NOT(ISERROR(SEARCH("X",P9)))</formula>
    </cfRule>
  </conditionalFormatting>
  <conditionalFormatting sqref="L9:L27">
    <cfRule type="containsText" dxfId="145" priority="12" stopIfTrue="1" operator="containsText" text="0">
      <formula>NOT(ISERROR(SEARCH("0",L9)))</formula>
    </cfRule>
  </conditionalFormatting>
  <conditionalFormatting sqref="L9:L27">
    <cfRule type="containsText" dxfId="144" priority="11" operator="containsText" text="X">
      <formula>NOT(ISERROR(SEARCH("X",L9)))</formula>
    </cfRule>
  </conditionalFormatting>
  <conditionalFormatting sqref="M9:M27">
    <cfRule type="containsText" dxfId="143" priority="10" stopIfTrue="1" operator="containsText" text="0">
      <formula>NOT(ISERROR(SEARCH("0",M9)))</formula>
    </cfRule>
  </conditionalFormatting>
  <conditionalFormatting sqref="M9:M27">
    <cfRule type="containsText" dxfId="142" priority="9" operator="containsText" text="X">
      <formula>NOT(ISERROR(SEARCH("X",M9)))</formula>
    </cfRule>
  </conditionalFormatting>
  <conditionalFormatting sqref="N9:N27">
    <cfRule type="containsText" dxfId="141" priority="7" operator="containsText" text="X">
      <formula>NOT(ISERROR(SEARCH("X",N9)))</formula>
    </cfRule>
  </conditionalFormatting>
  <conditionalFormatting sqref="O9:O27">
    <cfRule type="containsText" dxfId="140" priority="5" operator="containsText" text="X">
      <formula>NOT(ISERROR(SEARCH("X",O9)))</formula>
    </cfRule>
  </conditionalFormatting>
  <dataValidations count="3">
    <dataValidation allowBlank="1" showInputMessage="1" showErrorMessage="1" promptTitle="Facebook Address" prompt="Just enter the unique portion._x000a__x000a_www.facebook.com/     will be added for you." sqref="Q28" xr:uid="{D11ECCD8-78E3-4576-8F6E-4CEFDE092063}"/>
    <dataValidation allowBlank="1" showInputMessage="1" promptTitle="Email Address" prompt="xxx@xxx.xxx" sqref="O28" xr:uid="{D663F609-D422-425E-9849-46C12E55C7CB}"/>
    <dataValidation allowBlank="1" showInputMessage="1" showErrorMessage="1" promptTitle="Twitter Address" prompt="_x000a_xxx_x000a__x000a__x000a_Note: the &quot;@&quot; will be added for you." sqref="P28" xr:uid="{D51CCB2C-8EAD-47EE-9EBD-6EE30214D00E}"/>
  </dataValidations>
  <printOptions horizontalCentered="1"/>
  <pageMargins left="0.7" right="0.7" top="0.75" bottom="0.75" header="0.3" footer="0.3"/>
  <pageSetup fitToHeight="0"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3D77-3E61-4A09-AF42-D1732798B070}">
  <sheetPr>
    <tabColor theme="4" tint="-0.499984740745262"/>
    <pageSetUpPr autoPageBreaks="0" fitToPage="1"/>
  </sheetPr>
  <dimension ref="A1:R105"/>
  <sheetViews>
    <sheetView showGridLines="0" zoomScaleNormal="100" workbookViewId="0">
      <selection activeCell="A2" sqref="A2"/>
    </sheetView>
  </sheetViews>
  <sheetFormatPr baseColWidth="10" defaultColWidth="9.1796875" defaultRowHeight="21" customHeight="1" x14ac:dyDescent="0.35"/>
  <cols>
    <col min="1" max="1" width="7.7265625" style="1" customWidth="1"/>
    <col min="2" max="2" width="31.7265625" style="23" customWidth="1"/>
    <col min="3" max="3" width="46.81640625" style="3" hidden="1" customWidth="1"/>
    <col min="4" max="7" width="9.1796875" style="3" hidden="1" customWidth="1"/>
    <col min="8" max="8" width="36.1796875" style="3" hidden="1" customWidth="1"/>
    <col min="9" max="9" width="9.7265625" style="3" customWidth="1"/>
    <col min="10" max="10" width="67.26953125" style="3" customWidth="1"/>
    <col min="11" max="11" width="20" style="3" customWidth="1"/>
    <col min="12" max="14" width="12.7265625" style="3" customWidth="1"/>
    <col min="15" max="16" width="12.7265625" style="1" customWidth="1"/>
    <col min="17" max="17" width="34.81640625" style="1" customWidth="1"/>
    <col min="18" max="18" width="12.7265625" style="1" customWidth="1"/>
    <col min="19" max="16384" width="9.1796875" style="1"/>
  </cols>
  <sheetData>
    <row r="1" spans="1:18" ht="13" x14ac:dyDescent="0.35">
      <c r="B1" s="1"/>
      <c r="C1" s="1"/>
      <c r="D1" s="1"/>
      <c r="E1" s="1"/>
      <c r="F1" s="1"/>
      <c r="G1" s="1"/>
      <c r="H1" s="1"/>
      <c r="I1" s="1"/>
      <c r="J1" s="1"/>
      <c r="K1" s="1"/>
      <c r="L1" s="1"/>
      <c r="M1" s="1"/>
      <c r="N1" s="1"/>
      <c r="P1" s="2"/>
      <c r="Q1" s="2"/>
      <c r="R1" s="2"/>
    </row>
    <row r="2" spans="1:18" ht="36" x14ac:dyDescent="0.35">
      <c r="B2" s="4" t="s">
        <v>0</v>
      </c>
      <c r="C2" s="1"/>
      <c r="D2" s="1"/>
      <c r="E2" s="1"/>
      <c r="F2" s="1"/>
      <c r="G2" s="1"/>
      <c r="H2" s="1"/>
      <c r="I2" s="1"/>
      <c r="J2" s="1"/>
      <c r="K2" s="1"/>
      <c r="L2" s="1"/>
      <c r="M2" s="1"/>
      <c r="N2" s="1"/>
    </row>
    <row r="3" spans="1:18" ht="17.25" customHeight="1" x14ac:dyDescent="0.35">
      <c r="B3" s="1"/>
      <c r="C3" s="1"/>
      <c r="D3" s="1"/>
      <c r="E3" s="1"/>
      <c r="F3" s="1"/>
      <c r="G3" s="1"/>
      <c r="H3" s="1"/>
      <c r="I3" s="1"/>
      <c r="J3" s="1"/>
      <c r="K3" s="1"/>
      <c r="L3" s="1"/>
      <c r="M3" s="1"/>
      <c r="N3" s="1"/>
    </row>
    <row r="4" spans="1:18" ht="15.75" customHeight="1" x14ac:dyDescent="0.35">
      <c r="B4" s="1"/>
      <c r="C4" s="1"/>
      <c r="D4" s="1"/>
      <c r="E4" s="1"/>
      <c r="F4" s="1"/>
      <c r="G4" s="1"/>
      <c r="H4" s="1"/>
      <c r="I4" s="1"/>
      <c r="J4" s="1"/>
      <c r="K4" s="1"/>
      <c r="L4" s="1"/>
      <c r="M4" s="1"/>
      <c r="N4" s="1"/>
    </row>
    <row r="5" spans="1:18" ht="17.25" customHeight="1" x14ac:dyDescent="0.35">
      <c r="B5" s="1"/>
      <c r="C5" s="1"/>
      <c r="D5" s="1"/>
      <c r="E5" s="1"/>
      <c r="F5" s="1"/>
      <c r="G5" s="1"/>
      <c r="H5" s="1"/>
      <c r="I5" s="1"/>
      <c r="J5" s="1"/>
      <c r="K5" s="1"/>
      <c r="L5" s="1"/>
      <c r="M5" s="1"/>
      <c r="N5" s="1"/>
    </row>
    <row r="6" spans="1:18" ht="12.75" customHeight="1" x14ac:dyDescent="0.35">
      <c r="B6" s="19"/>
      <c r="C6" s="1"/>
      <c r="D6" s="1"/>
      <c r="E6" s="1"/>
      <c r="F6" s="1"/>
      <c r="G6" s="1"/>
      <c r="H6" s="1"/>
      <c r="I6" s="1"/>
      <c r="J6" s="1"/>
      <c r="K6" s="1"/>
      <c r="L6" s="1"/>
      <c r="M6" s="1"/>
      <c r="N6" s="1"/>
    </row>
    <row r="7" spans="1:18" ht="31.5" customHeight="1" x14ac:dyDescent="0.35">
      <c r="B7" s="1"/>
      <c r="C7" s="1"/>
      <c r="D7" s="1"/>
      <c r="E7" s="1"/>
      <c r="F7" s="1"/>
      <c r="G7" s="1"/>
      <c r="H7" s="1"/>
      <c r="I7" s="1"/>
      <c r="J7" s="51" t="s">
        <v>2</v>
      </c>
      <c r="K7" s="51"/>
      <c r="L7" s="51"/>
      <c r="M7" s="51"/>
      <c r="N7" s="51"/>
      <c r="O7" s="1" t="s">
        <v>1</v>
      </c>
    </row>
    <row r="8" spans="1:18" s="30" customFormat="1" ht="39" customHeight="1" x14ac:dyDescent="0.35">
      <c r="A8" s="6"/>
      <c r="B8" s="6"/>
      <c r="C8" s="24" t="s">
        <v>3</v>
      </c>
      <c r="D8" s="24" t="s">
        <v>19</v>
      </c>
      <c r="E8" s="24" t="s">
        <v>5</v>
      </c>
      <c r="F8" s="24" t="s">
        <v>8</v>
      </c>
      <c r="G8" s="25" t="s">
        <v>7</v>
      </c>
      <c r="H8" s="26" t="s">
        <v>20</v>
      </c>
      <c r="I8" s="40" t="s">
        <v>9</v>
      </c>
      <c r="J8" s="40" t="s">
        <v>10</v>
      </c>
      <c r="K8" s="40" t="s">
        <v>11</v>
      </c>
      <c r="L8" s="40" t="s">
        <v>12</v>
      </c>
      <c r="M8" s="40" t="s">
        <v>13</v>
      </c>
      <c r="N8" s="40" t="s">
        <v>14</v>
      </c>
      <c r="O8" s="40" t="s">
        <v>15</v>
      </c>
      <c r="P8" s="40" t="s">
        <v>16</v>
      </c>
      <c r="Q8" s="40" t="s">
        <v>17</v>
      </c>
      <c r="R8" s="41" t="s">
        <v>18</v>
      </c>
    </row>
    <row r="9" spans="1:18" s="30" customFormat="1" ht="30" customHeight="1" x14ac:dyDescent="0.35">
      <c r="A9" s="6"/>
      <c r="B9" s="6"/>
      <c r="C9" s="42">
        <f>VLOOKUP(Contacts6[[#This Row],[Código Tarea]],'[7]4. Directorio Integrado'!$B$4:$N$245,2,0)</f>
        <v>4</v>
      </c>
      <c r="D9" s="42" t="str">
        <f>VLOOKUP(Contacts6[[#This Row],[Código Tarea]],'[7]4. Directorio Integrado'!$B$4:$N$245,3,0)</f>
        <v>Seguridad Financiera</v>
      </c>
      <c r="E9" s="42" t="str">
        <f>VLOOKUP(Contacts6[[#This Row],[Código Tarea]],'[7]4. Directorio Integrado'!$B$4:$N$245,4,0)</f>
        <v>4.1</v>
      </c>
      <c r="F9" s="42" t="str">
        <f>VLOOKUP(Contacts6[[#This Row],[Código Tarea]],'[7]4. Directorio Integrado'!$B$4:$N$245,5,0)</f>
        <v>Seguridad de la Información electrónica</v>
      </c>
      <c r="G9" s="42" t="str">
        <f>VLOOKUP(Contacts6[[#This Row],[Código Tarea]],'[7]4. Directorio Integrado'!$B$4:$N$245,6,0)</f>
        <v>4.1.1</v>
      </c>
      <c r="H9" s="42" t="str">
        <f>VLOOKUP(Contacts6[[#This Row],[Código Tarea]],'[7]4. Directorio Integrado'!$B$4:$N$245,7,0)</f>
        <v>Revisión área de bóveda</v>
      </c>
      <c r="I9" s="12" t="str">
        <f>'[7]4. Directorio Integrado'!I123</f>
        <v>4.1.1.001</v>
      </c>
      <c r="J9" s="13" t="str">
        <f>VLOOKUP(Contacts6[[#This Row],[Código Tarea]],'[7]4. Directorio Integrado'!I123:J219,2,0)</f>
        <v>Cuenta con sensor anti máscara - cubrimiento estado óptimo.</v>
      </c>
      <c r="K9" s="14" t="str">
        <f>VLOOKUP(Contacts6[[#This Row],[Código Tarea]],'[7]4. Directorio Integrado'!$I$4:$M$227,3,0)</f>
        <v>Presencial</v>
      </c>
      <c r="L9" s="16" t="str">
        <f>VLOOKUP(Contacts6[[#This Row],[Código Tarea]],'[7]Formato 4 - SGSF'!$B$8:$H$129,3,0)</f>
        <v>X</v>
      </c>
      <c r="M9" s="16">
        <f>VLOOKUP(Contacts6[[#This Row],[Código Tarea]],'[7]Formato 4 - SGSF'!$B$8:$H$129,4,0)</f>
        <v>0</v>
      </c>
      <c r="N9" s="16">
        <f>VLOOKUP(Contacts6[[#This Row],[Código Tarea]],'[7]Formato 4 - SGSF'!$B$8:$H$129,5,0)</f>
        <v>0</v>
      </c>
      <c r="O9" s="16">
        <f>VLOOKUP(Contacts6[[#This Row],[Código Tarea]],'[7]Formato 4 - SGSF'!$B$8:$H$129,6,0)</f>
        <v>0</v>
      </c>
      <c r="P9" s="16">
        <f>VLOOKUP(Contacts6[[#This Row],[Código Tarea]],'[7]Formato 4 - SGSF'!$B$8:$H$129,7,0)</f>
        <v>0</v>
      </c>
      <c r="Q9" s="16">
        <f>VLOOKUP(Contacts6[[#This Row],[Código Tarea]],'[7]Formato 4 - SGSF'!$B$8:$I$129,8,0)</f>
        <v>0</v>
      </c>
      <c r="R9" s="22" t="str">
        <f>VLOOKUP(Contacts6[[#This Row],[Código Tarea]],'[7]4. Directorio Integrado'!$I$4:$M$245,5,0)</f>
        <v>SARO/SGSI/SGSF</v>
      </c>
    </row>
    <row r="10" spans="1:18" s="30" customFormat="1" ht="30" customHeight="1" x14ac:dyDescent="0.35">
      <c r="A10" s="34"/>
      <c r="B10" s="6"/>
      <c r="C10" s="42">
        <f>VLOOKUP(Contacts6[[#This Row],[Código Tarea]],'[7]4. Directorio Integrado'!$B$4:$N$245,2,0)</f>
        <v>4</v>
      </c>
      <c r="D10" s="42" t="str">
        <f>VLOOKUP(Contacts6[[#This Row],[Código Tarea]],'[7]4. Directorio Integrado'!$B$4:$N$245,3,0)</f>
        <v>Seguridad Financiera</v>
      </c>
      <c r="E10" s="42" t="str">
        <f>VLOOKUP(Contacts6[[#This Row],[Código Tarea]],'[7]4. Directorio Integrado'!$B$4:$N$245,4,0)</f>
        <v>4.1</v>
      </c>
      <c r="F10" s="42" t="str">
        <f>VLOOKUP(Contacts6[[#This Row],[Código Tarea]],'[7]4. Directorio Integrado'!$B$4:$N$245,5,0)</f>
        <v>Seguridad de la Información electrónica</v>
      </c>
      <c r="G10" s="42" t="str">
        <f>VLOOKUP(Contacts6[[#This Row],[Código Tarea]],'[7]4. Directorio Integrado'!$B$4:$N$245,6,0)</f>
        <v>4.1.1</v>
      </c>
      <c r="H10" s="42" t="str">
        <f>VLOOKUP(Contacts6[[#This Row],[Código Tarea]],'[7]4. Directorio Integrado'!$B$4:$N$245,7,0)</f>
        <v>Revisión área de bóveda</v>
      </c>
      <c r="I10" s="20" t="str">
        <f>'[7]4. Directorio Integrado'!I124</f>
        <v>4.1.1.002</v>
      </c>
      <c r="J10" s="13" t="str">
        <f>VLOOKUP(Contacts6[[#This Row],[Código Tarea]],'[7]4. Directorio Integrado'!I124:J220,2,0)</f>
        <v>Cuenta con pulsador de pánico fijo - estado óptimo.</v>
      </c>
      <c r="K10" s="43" t="str">
        <f>VLOOKUP(Contacts6[[#This Row],[Código Tarea]],'[7]4. Directorio Integrado'!$I$4:$M$227,3,0)</f>
        <v>Presencial</v>
      </c>
      <c r="L10" s="16" t="str">
        <f>VLOOKUP(Contacts6[[#This Row],[Código Tarea]],'[7]Formato 4 - SGSF'!$B$8:$H$129,3,0)</f>
        <v>X</v>
      </c>
      <c r="M10" s="16">
        <f>VLOOKUP(Contacts6[[#This Row],[Código Tarea]],'[7]Formato 4 - SGSF'!$B$8:$H$129,4,0)</f>
        <v>0</v>
      </c>
      <c r="N10" s="16">
        <f>VLOOKUP(Contacts6[[#This Row],[Código Tarea]],'[7]Formato 4 - SGSF'!$B$8:$H$129,5,0)</f>
        <v>0</v>
      </c>
      <c r="O10" s="16">
        <f>VLOOKUP(Contacts6[[#This Row],[Código Tarea]],'[7]Formato 4 - SGSF'!$B$8:$H$129,6,0)</f>
        <v>0</v>
      </c>
      <c r="P10" s="16">
        <f>VLOOKUP(Contacts6[[#This Row],[Código Tarea]],'[7]Formato 4 - SGSF'!$B$8:$H$129,7,0)</f>
        <v>0</v>
      </c>
      <c r="Q10" s="16">
        <f>VLOOKUP(Contacts6[[#This Row],[Código Tarea]],'[7]Formato 4 - SGSF'!$B$8:$I$129,8,0)</f>
        <v>0</v>
      </c>
      <c r="R10" s="22" t="str">
        <f>VLOOKUP(Contacts6[[#This Row],[Código Tarea]],'[7]4. Directorio Integrado'!$I$4:$M$245,5,0)</f>
        <v>SARO/SGSI/SGSF</v>
      </c>
    </row>
    <row r="11" spans="1:18" s="30" customFormat="1" ht="30" customHeight="1" x14ac:dyDescent="0.35">
      <c r="A11" s="34"/>
      <c r="B11" s="6"/>
      <c r="C11" s="42">
        <f>VLOOKUP(Contacts6[[#This Row],[Código Tarea]],'[7]4. Directorio Integrado'!$B$4:$N$245,2,0)</f>
        <v>4</v>
      </c>
      <c r="D11" s="42" t="str">
        <f>VLOOKUP(Contacts6[[#This Row],[Código Tarea]],'[7]4. Directorio Integrado'!$B$4:$N$245,3,0)</f>
        <v>Seguridad Financiera</v>
      </c>
      <c r="E11" s="42" t="str">
        <f>VLOOKUP(Contacts6[[#This Row],[Código Tarea]],'[7]4. Directorio Integrado'!$B$4:$N$245,4,0)</f>
        <v>4.1</v>
      </c>
      <c r="F11" s="42" t="str">
        <f>VLOOKUP(Contacts6[[#This Row],[Código Tarea]],'[7]4. Directorio Integrado'!$B$4:$N$245,5,0)</f>
        <v>Seguridad de la Información electrónica</v>
      </c>
      <c r="G11" s="42" t="str">
        <f>VLOOKUP(Contacts6[[#This Row],[Código Tarea]],'[7]4. Directorio Integrado'!$B$4:$N$245,6,0)</f>
        <v>4.1.1</v>
      </c>
      <c r="H11" s="42" t="str">
        <f>VLOOKUP(Contacts6[[#This Row],[Código Tarea]],'[7]4. Directorio Integrado'!$B$4:$N$245,7,0)</f>
        <v>Revisión área de bóveda</v>
      </c>
      <c r="I11" s="20" t="str">
        <f>'[7]4. Directorio Integrado'!I125</f>
        <v>4.1.1.003</v>
      </c>
      <c r="J11" s="13" t="str">
        <f>VLOOKUP(Contacts6[[#This Row],[Código Tarea]],'[7]4. Directorio Integrado'!I125:J221,2,0)</f>
        <v>Cuenta con sensor de humo - estado  óptimo.</v>
      </c>
      <c r="K11" s="43" t="str">
        <f>VLOOKUP(Contacts6[[#This Row],[Código Tarea]],'[7]4. Directorio Integrado'!$I$4:$M$227,3,0)</f>
        <v>Presencial</v>
      </c>
      <c r="L11" s="16" t="str">
        <f>VLOOKUP(Contacts6[[#This Row],[Código Tarea]],'[7]Formato 4 - SGSF'!$B$8:$H$129,3,0)</f>
        <v>X</v>
      </c>
      <c r="M11" s="16">
        <f>VLOOKUP(Contacts6[[#This Row],[Código Tarea]],'[7]Formato 4 - SGSF'!$B$8:$H$129,4,0)</f>
        <v>0</v>
      </c>
      <c r="N11" s="16">
        <f>VLOOKUP(Contacts6[[#This Row],[Código Tarea]],'[7]Formato 4 - SGSF'!$B$8:$H$129,5,0)</f>
        <v>0</v>
      </c>
      <c r="O11" s="16">
        <f>VLOOKUP(Contacts6[[#This Row],[Código Tarea]],'[7]Formato 4 - SGSF'!$B$8:$H$129,6,0)</f>
        <v>0</v>
      </c>
      <c r="P11" s="16">
        <f>VLOOKUP(Contacts6[[#This Row],[Código Tarea]],'[7]Formato 4 - SGSF'!$B$8:$H$129,7,0)</f>
        <v>0</v>
      </c>
      <c r="Q11" s="16">
        <f>VLOOKUP(Contacts6[[#This Row],[Código Tarea]],'[7]Formato 4 - SGSF'!$B$8:$I$129,8,0)</f>
        <v>0</v>
      </c>
      <c r="R11" s="22" t="str">
        <f>VLOOKUP(Contacts6[[#This Row],[Código Tarea]],'[7]4. Directorio Integrado'!$I$4:$M$245,5,0)</f>
        <v>SARO/SGSI/SGSF</v>
      </c>
    </row>
    <row r="12" spans="1:18" s="30" customFormat="1" ht="30" customHeight="1" x14ac:dyDescent="0.35">
      <c r="A12" s="34"/>
      <c r="B12" s="6"/>
      <c r="C12" s="42">
        <f>VLOOKUP(Contacts6[[#This Row],[Código Tarea]],'[7]4. Directorio Integrado'!$B$4:$N$245,2,0)</f>
        <v>4</v>
      </c>
      <c r="D12" s="42" t="str">
        <f>VLOOKUP(Contacts6[[#This Row],[Código Tarea]],'[7]4. Directorio Integrado'!$B$4:$N$245,3,0)</f>
        <v>Seguridad Financiera</v>
      </c>
      <c r="E12" s="42" t="str">
        <f>VLOOKUP(Contacts6[[#This Row],[Código Tarea]],'[7]4. Directorio Integrado'!$B$4:$N$245,4,0)</f>
        <v>4.1</v>
      </c>
      <c r="F12" s="42" t="str">
        <f>VLOOKUP(Contacts6[[#This Row],[Código Tarea]],'[7]4. Directorio Integrado'!$B$4:$N$245,5,0)</f>
        <v>Seguridad de la Información electrónica</v>
      </c>
      <c r="G12" s="42" t="str">
        <f>VLOOKUP(Contacts6[[#This Row],[Código Tarea]],'[7]4. Directorio Integrado'!$B$4:$N$245,6,0)</f>
        <v>4.1.1</v>
      </c>
      <c r="H12" s="42" t="str">
        <f>VLOOKUP(Contacts6[[#This Row],[Código Tarea]],'[7]4. Directorio Integrado'!$B$4:$N$245,7,0)</f>
        <v>Revisión área de bóveda</v>
      </c>
      <c r="I12" s="20" t="str">
        <f>'[7]4. Directorio Integrado'!I126</f>
        <v>4.1.1.004</v>
      </c>
      <c r="J12" s="13" t="str">
        <f>VLOOKUP(Contacts6[[#This Row],[Código Tarea]],'[7]4. Directorio Integrado'!I126:J222,2,0)</f>
        <v>Cuenta con magnético en la puerta principal- estado óptimo.</v>
      </c>
      <c r="K12" s="43" t="str">
        <f>VLOOKUP(Contacts6[[#This Row],[Código Tarea]],'[7]4. Directorio Integrado'!$I$4:$M$227,3,0)</f>
        <v>Presencial</v>
      </c>
      <c r="L12" s="16" t="str">
        <f>VLOOKUP(Contacts6[[#This Row],[Código Tarea]],'[7]Formato 4 - SGSF'!$B$8:$H$129,3,0)</f>
        <v>X</v>
      </c>
      <c r="M12" s="16">
        <f>VLOOKUP(Contacts6[[#This Row],[Código Tarea]],'[7]Formato 4 - SGSF'!$B$8:$H$129,4,0)</f>
        <v>0</v>
      </c>
      <c r="N12" s="16">
        <f>VLOOKUP(Contacts6[[#This Row],[Código Tarea]],'[7]Formato 4 - SGSF'!$B$8:$H$129,5,0)</f>
        <v>0</v>
      </c>
      <c r="O12" s="16">
        <f>VLOOKUP(Contacts6[[#This Row],[Código Tarea]],'[7]Formato 4 - SGSF'!$B$8:$H$129,6,0)</f>
        <v>0</v>
      </c>
      <c r="P12" s="16">
        <f>VLOOKUP(Contacts6[[#This Row],[Código Tarea]],'[7]Formato 4 - SGSF'!$B$8:$H$129,7,0)</f>
        <v>0</v>
      </c>
      <c r="Q12" s="16">
        <f>VLOOKUP(Contacts6[[#This Row],[Código Tarea]],'[7]Formato 4 - SGSF'!$B$8:$I$129,8,0)</f>
        <v>0</v>
      </c>
      <c r="R12" s="22" t="str">
        <f>VLOOKUP(Contacts6[[#This Row],[Código Tarea]],'[7]4. Directorio Integrado'!$I$4:$M$245,5,0)</f>
        <v>SARO/SGSI/SGSF</v>
      </c>
    </row>
    <row r="13" spans="1:18" s="30" customFormat="1" ht="30" customHeight="1" x14ac:dyDescent="0.35">
      <c r="A13" s="34"/>
      <c r="B13" s="6"/>
      <c r="C13" s="42">
        <f>VLOOKUP(Contacts6[[#This Row],[Código Tarea]],'[7]4. Directorio Integrado'!$B$4:$N$245,2,0)</f>
        <v>4</v>
      </c>
      <c r="D13" s="42" t="str">
        <f>VLOOKUP(Contacts6[[#This Row],[Código Tarea]],'[7]4. Directorio Integrado'!$B$4:$N$245,3,0)</f>
        <v>Seguridad Financiera</v>
      </c>
      <c r="E13" s="42" t="str">
        <f>VLOOKUP(Contacts6[[#This Row],[Código Tarea]],'[7]4. Directorio Integrado'!$B$4:$N$245,4,0)</f>
        <v>4.1</v>
      </c>
      <c r="F13" s="42" t="str">
        <f>VLOOKUP(Contacts6[[#This Row],[Código Tarea]],'[7]4. Directorio Integrado'!$B$4:$N$245,5,0)</f>
        <v>Seguridad de la Información electrónica</v>
      </c>
      <c r="G13" s="42" t="str">
        <f>VLOOKUP(Contacts6[[#This Row],[Código Tarea]],'[7]4. Directorio Integrado'!$B$4:$N$245,6,0)</f>
        <v>4.1.1</v>
      </c>
      <c r="H13" s="42" t="str">
        <f>VLOOKUP(Contacts6[[#This Row],[Código Tarea]],'[7]4. Directorio Integrado'!$B$4:$N$245,7,0)</f>
        <v>Revisión área de bóveda</v>
      </c>
      <c r="I13" s="20" t="str">
        <f>'[7]4. Directorio Integrado'!I127</f>
        <v>4.1.1.005</v>
      </c>
      <c r="J13" s="13" t="str">
        <f>VLOOKUP(Contacts6[[#This Row],[Código Tarea]],'[7]4. Directorio Integrado'!I127:J223,2,0)</f>
        <v>Cuenta con sensor antisísmico, estado óptimo.</v>
      </c>
      <c r="K13" s="43" t="str">
        <f>VLOOKUP(Contacts6[[#This Row],[Código Tarea]],'[7]4. Directorio Integrado'!$I$4:$M$227,3,0)</f>
        <v>Presencial</v>
      </c>
      <c r="L13" s="16" t="str">
        <f>VLOOKUP(Contacts6[[#This Row],[Código Tarea]],'[7]Formato 4 - SGSF'!$B$8:$H$129,3,0)</f>
        <v>X</v>
      </c>
      <c r="M13" s="16">
        <f>VLOOKUP(Contacts6[[#This Row],[Código Tarea]],'[7]Formato 4 - SGSF'!$B$8:$H$129,4,0)</f>
        <v>0</v>
      </c>
      <c r="N13" s="16">
        <f>VLOOKUP(Contacts6[[#This Row],[Código Tarea]],'[7]Formato 4 - SGSF'!$B$8:$H$129,5,0)</f>
        <v>0</v>
      </c>
      <c r="O13" s="16">
        <f>VLOOKUP(Contacts6[[#This Row],[Código Tarea]],'[7]Formato 4 - SGSF'!$B$8:$H$129,6,0)</f>
        <v>0</v>
      </c>
      <c r="P13" s="16">
        <f>VLOOKUP(Contacts6[[#This Row],[Código Tarea]],'[7]Formato 4 - SGSF'!$B$8:$H$129,7,0)</f>
        <v>0</v>
      </c>
      <c r="Q13" s="16">
        <f>VLOOKUP(Contacts6[[#This Row],[Código Tarea]],'[7]Formato 4 - SGSF'!$B$8:$I$129,8,0)</f>
        <v>0</v>
      </c>
      <c r="R13" s="22" t="str">
        <f>VLOOKUP(Contacts6[[#This Row],[Código Tarea]],'[7]4. Directorio Integrado'!$I$4:$M$245,5,0)</f>
        <v>SARO/SGSI/SGSF</v>
      </c>
    </row>
    <row r="14" spans="1:18" s="30" customFormat="1" ht="30" customHeight="1" x14ac:dyDescent="0.35">
      <c r="A14" s="34"/>
      <c r="B14" s="6"/>
      <c r="C14" s="42">
        <f>VLOOKUP(Contacts6[[#This Row],[Código Tarea]],'[7]4. Directorio Integrado'!$B$4:$N$245,2,0)</f>
        <v>4</v>
      </c>
      <c r="D14" s="42" t="str">
        <f>VLOOKUP(Contacts6[[#This Row],[Código Tarea]],'[7]4. Directorio Integrado'!$B$4:$N$245,3,0)</f>
        <v>Seguridad Financiera</v>
      </c>
      <c r="E14" s="42" t="str">
        <f>VLOOKUP(Contacts6[[#This Row],[Código Tarea]],'[7]4. Directorio Integrado'!$B$4:$N$245,4,0)</f>
        <v>4.1</v>
      </c>
      <c r="F14" s="42" t="str">
        <f>VLOOKUP(Contacts6[[#This Row],[Código Tarea]],'[7]4. Directorio Integrado'!$B$4:$N$245,5,0)</f>
        <v>Seguridad de la Información electrónica</v>
      </c>
      <c r="G14" s="42" t="str">
        <f>VLOOKUP(Contacts6[[#This Row],[Código Tarea]],'[7]4. Directorio Integrado'!$B$4:$N$245,6,0)</f>
        <v>4.1.1</v>
      </c>
      <c r="H14" s="42" t="str">
        <f>VLOOKUP(Contacts6[[#This Row],[Código Tarea]],'[7]4. Directorio Integrado'!$B$4:$N$245,7,0)</f>
        <v>Revisión área de bóveda</v>
      </c>
      <c r="I14" s="20" t="str">
        <f>'[7]4. Directorio Integrado'!I128</f>
        <v>4.1.1.006</v>
      </c>
      <c r="J14" s="13" t="str">
        <f>VLOOKUP(Contacts6[[#This Row],[Código Tarea]],'[7]4. Directorio Integrado'!I128:J224,2,0)</f>
        <v>Cuenta con cámara interna - cubrimiento y se cuenta con luces led.</v>
      </c>
      <c r="K14" s="43" t="str">
        <f>VLOOKUP(Contacts6[[#This Row],[Código Tarea]],'[7]4. Directorio Integrado'!$I$4:$M$227,3,0)</f>
        <v>Presencial</v>
      </c>
      <c r="L14" s="16" t="str">
        <f>VLOOKUP(Contacts6[[#This Row],[Código Tarea]],'[7]Formato 4 - SGSF'!$B$8:$H$129,3,0)</f>
        <v>X</v>
      </c>
      <c r="M14" s="16">
        <f>VLOOKUP(Contacts6[[#This Row],[Código Tarea]],'[7]Formato 4 - SGSF'!$B$8:$H$129,4,0)</f>
        <v>0</v>
      </c>
      <c r="N14" s="16">
        <f>VLOOKUP(Contacts6[[#This Row],[Código Tarea]],'[7]Formato 4 - SGSF'!$B$8:$H$129,5,0)</f>
        <v>0</v>
      </c>
      <c r="O14" s="16">
        <f>VLOOKUP(Contacts6[[#This Row],[Código Tarea]],'[7]Formato 4 - SGSF'!$B$8:$H$129,6,0)</f>
        <v>0</v>
      </c>
      <c r="P14" s="16">
        <f>VLOOKUP(Contacts6[[#This Row],[Código Tarea]],'[7]Formato 4 - SGSF'!$B$8:$H$129,7,0)</f>
        <v>0</v>
      </c>
      <c r="Q14" s="16">
        <f>VLOOKUP(Contacts6[[#This Row],[Código Tarea]],'[7]Formato 4 - SGSF'!$B$8:$I$129,8,0)</f>
        <v>0</v>
      </c>
      <c r="R14" s="22" t="str">
        <f>VLOOKUP(Contacts6[[#This Row],[Código Tarea]],'[7]4. Directorio Integrado'!$I$4:$M$245,5,0)</f>
        <v>SARO/SGSI/SGSF</v>
      </c>
    </row>
    <row r="15" spans="1:18" s="30" customFormat="1" ht="30" customHeight="1" x14ac:dyDescent="0.35">
      <c r="A15" s="34"/>
      <c r="B15" s="6"/>
      <c r="C15" s="42">
        <f>VLOOKUP(Contacts6[[#This Row],[Código Tarea]],'[7]4. Directorio Integrado'!$B$4:$N$245,2,0)</f>
        <v>4</v>
      </c>
      <c r="D15" s="42" t="str">
        <f>VLOOKUP(Contacts6[[#This Row],[Código Tarea]],'[7]4. Directorio Integrado'!$B$4:$N$245,3,0)</f>
        <v>Seguridad Financiera</v>
      </c>
      <c r="E15" s="42" t="str">
        <f>VLOOKUP(Contacts6[[#This Row],[Código Tarea]],'[7]4. Directorio Integrado'!$B$4:$N$245,4,0)</f>
        <v>4.1</v>
      </c>
      <c r="F15" s="42" t="str">
        <f>VLOOKUP(Contacts6[[#This Row],[Código Tarea]],'[7]4. Directorio Integrado'!$B$4:$N$245,5,0)</f>
        <v>Seguridad de la Información electrónica</v>
      </c>
      <c r="G15" s="42" t="str">
        <f>VLOOKUP(Contacts6[[#This Row],[Código Tarea]],'[7]4. Directorio Integrado'!$B$4:$N$245,6,0)</f>
        <v>4.1.2</v>
      </c>
      <c r="H15" s="42" t="str">
        <f>VLOOKUP(Contacts6[[#This Row],[Código Tarea]],'[7]4. Directorio Integrado'!$B$4:$N$245,7,0)</f>
        <v>Revisión área de ejecutivos</v>
      </c>
      <c r="I15" s="20" t="str">
        <f>'[7]4. Directorio Integrado'!I129</f>
        <v>4.1.2.001</v>
      </c>
      <c r="J15" s="13" t="str">
        <f>VLOOKUP(Contacts6[[#This Row],[Código Tarea]],'[7]4. Directorio Integrado'!I129:J225,2,0)</f>
        <v>Cuenta con sensor de movimiento y su cubrimiento es optimo.</v>
      </c>
      <c r="K15" s="43" t="str">
        <f>VLOOKUP(Contacts6[[#This Row],[Código Tarea]],'[7]4. Directorio Integrado'!$I$4:$M$227,3,0)</f>
        <v>Actividad a Distancia</v>
      </c>
      <c r="L15" s="16">
        <f>VLOOKUP(Contacts6[[#This Row],[Código Tarea]],'[7]Formato 4 - SGSF'!$B$8:$H$129,3,0)</f>
        <v>0</v>
      </c>
      <c r="M15" s="16" t="str">
        <f>VLOOKUP(Contacts6[[#This Row],[Código Tarea]],'[7]Formato 4 - SGSF'!$B$8:$H$129,4,0)</f>
        <v>X</v>
      </c>
      <c r="N15" s="16">
        <f>VLOOKUP(Contacts6[[#This Row],[Código Tarea]],'[7]Formato 4 - SGSF'!$B$8:$H$129,5,0)</f>
        <v>0</v>
      </c>
      <c r="O15" s="16">
        <f>VLOOKUP(Contacts6[[#This Row],[Código Tarea]],'[7]Formato 4 - SGSF'!$B$8:$H$129,6,0)</f>
        <v>0</v>
      </c>
      <c r="P15" s="16">
        <f>VLOOKUP(Contacts6[[#This Row],[Código Tarea]],'[7]Formato 4 - SGSF'!$B$8:$H$129,7,0)</f>
        <v>0</v>
      </c>
      <c r="Q15" s="16">
        <f>VLOOKUP(Contacts6[[#This Row],[Código Tarea]],'[7]Formato 4 - SGSF'!$B$8:$I$129,8,0)</f>
        <v>0</v>
      </c>
      <c r="R15" s="22" t="str">
        <f>VLOOKUP(Contacts6[[#This Row],[Código Tarea]],'[7]4. Directorio Integrado'!$I$4:$M$245,5,0)</f>
        <v>SARO/SGSI/SGSF</v>
      </c>
    </row>
    <row r="16" spans="1:18" s="30" customFormat="1" ht="30" customHeight="1" x14ac:dyDescent="0.35">
      <c r="A16" s="34"/>
      <c r="B16" s="6"/>
      <c r="C16" s="42">
        <f>VLOOKUP(Contacts6[[#This Row],[Código Tarea]],'[7]4. Directorio Integrado'!$B$4:$N$245,2,0)</f>
        <v>4</v>
      </c>
      <c r="D16" s="42" t="str">
        <f>VLOOKUP(Contacts6[[#This Row],[Código Tarea]],'[7]4. Directorio Integrado'!$B$4:$N$245,3,0)</f>
        <v>Seguridad Financiera</v>
      </c>
      <c r="E16" s="42" t="str">
        <f>VLOOKUP(Contacts6[[#This Row],[Código Tarea]],'[7]4. Directorio Integrado'!$B$4:$N$245,4,0)</f>
        <v>4.1</v>
      </c>
      <c r="F16" s="42" t="str">
        <f>VLOOKUP(Contacts6[[#This Row],[Código Tarea]],'[7]4. Directorio Integrado'!$B$4:$N$245,5,0)</f>
        <v>Seguridad de la Información electrónica</v>
      </c>
      <c r="G16" s="42" t="str">
        <f>VLOOKUP(Contacts6[[#This Row],[Código Tarea]],'[7]4. Directorio Integrado'!$B$4:$N$245,6,0)</f>
        <v>4.1.2</v>
      </c>
      <c r="H16" s="42" t="str">
        <f>VLOOKUP(Contacts6[[#This Row],[Código Tarea]],'[7]4. Directorio Integrado'!$B$4:$N$245,7,0)</f>
        <v>Revisión área de ejecutivos</v>
      </c>
      <c r="I16" s="20" t="str">
        <f>'[7]4. Directorio Integrado'!I130</f>
        <v>4.1.2.002</v>
      </c>
      <c r="J16" s="13" t="str">
        <f>VLOOKUP(Contacts6[[#This Row],[Código Tarea]],'[7]4. Directorio Integrado'!I130:J226,2,0)</f>
        <v>Cuenta con discriminadores de audio.</v>
      </c>
      <c r="K16" s="43" t="str">
        <f>VLOOKUP(Contacts6[[#This Row],[Código Tarea]],'[7]4. Directorio Integrado'!$I$4:$M$227,3,0)</f>
        <v>Actividad a Distancia</v>
      </c>
      <c r="L16" s="16" t="str">
        <f>VLOOKUP(Contacts6[[#This Row],[Código Tarea]],'[7]Formato 4 - SGSF'!$B$8:$H$129,3,0)</f>
        <v>X</v>
      </c>
      <c r="M16" s="16">
        <f>VLOOKUP(Contacts6[[#This Row],[Código Tarea]],'[7]Formato 4 - SGSF'!$B$8:$H$129,4,0)</f>
        <v>0</v>
      </c>
      <c r="N16" s="16">
        <f>VLOOKUP(Contacts6[[#This Row],[Código Tarea]],'[7]Formato 4 - SGSF'!$B$8:$H$129,5,0)</f>
        <v>0</v>
      </c>
      <c r="O16" s="16">
        <f>VLOOKUP(Contacts6[[#This Row],[Código Tarea]],'[7]Formato 4 - SGSF'!$B$8:$H$129,6,0)</f>
        <v>0</v>
      </c>
      <c r="P16" s="16">
        <f>VLOOKUP(Contacts6[[#This Row],[Código Tarea]],'[7]Formato 4 - SGSF'!$B$8:$H$129,7,0)</f>
        <v>0</v>
      </c>
      <c r="Q16" s="16">
        <f>VLOOKUP(Contacts6[[#This Row],[Código Tarea]],'[7]Formato 4 - SGSF'!$B$8:$I$129,8,0)</f>
        <v>0</v>
      </c>
      <c r="R16" s="22" t="str">
        <f>VLOOKUP(Contacts6[[#This Row],[Código Tarea]],'[7]4. Directorio Integrado'!$I$4:$M$245,5,0)</f>
        <v>SARO/SGSI/SGSF</v>
      </c>
    </row>
    <row r="17" spans="1:18" s="30" customFormat="1" ht="30" customHeight="1" x14ac:dyDescent="0.35">
      <c r="A17" s="34"/>
      <c r="B17" s="6"/>
      <c r="C17" s="42">
        <f>VLOOKUP(Contacts6[[#This Row],[Código Tarea]],'[7]4. Directorio Integrado'!$B$4:$N$245,2,0)</f>
        <v>4</v>
      </c>
      <c r="D17" s="42" t="str">
        <f>VLOOKUP(Contacts6[[#This Row],[Código Tarea]],'[7]4. Directorio Integrado'!$B$4:$N$245,3,0)</f>
        <v>Seguridad Financiera</v>
      </c>
      <c r="E17" s="42" t="str">
        <f>VLOOKUP(Contacts6[[#This Row],[Código Tarea]],'[7]4. Directorio Integrado'!$B$4:$N$245,4,0)</f>
        <v>4.1</v>
      </c>
      <c r="F17" s="42" t="str">
        <f>VLOOKUP(Contacts6[[#This Row],[Código Tarea]],'[7]4. Directorio Integrado'!$B$4:$N$245,5,0)</f>
        <v>Seguridad de la Información electrónica</v>
      </c>
      <c r="G17" s="42" t="str">
        <f>VLOOKUP(Contacts6[[#This Row],[Código Tarea]],'[7]4. Directorio Integrado'!$B$4:$N$245,6,0)</f>
        <v>4.1.2</v>
      </c>
      <c r="H17" s="42" t="str">
        <f>VLOOKUP(Contacts6[[#This Row],[Código Tarea]],'[7]4. Directorio Integrado'!$B$4:$N$245,7,0)</f>
        <v>Revisión área de ejecutivos</v>
      </c>
      <c r="I17" s="20" t="str">
        <f>'[7]4. Directorio Integrado'!I131</f>
        <v>4.1.2.003</v>
      </c>
      <c r="J17" s="13" t="str">
        <f>VLOOKUP(Contacts6[[#This Row],[Código Tarea]],'[7]4. Directorio Integrado'!I131:J227,2,0)</f>
        <v>Cuenta con sensor de humo.</v>
      </c>
      <c r="K17" s="43" t="str">
        <f>VLOOKUP(Contacts6[[#This Row],[Código Tarea]],'[7]4. Directorio Integrado'!$I$4:$M$227,3,0)</f>
        <v>Actividad a Distancia</v>
      </c>
      <c r="L17" s="16" t="str">
        <f>VLOOKUP(Contacts6[[#This Row],[Código Tarea]],'[7]Formato 4 - SGSF'!$B$8:$H$129,3,0)</f>
        <v>X</v>
      </c>
      <c r="M17" s="16">
        <f>VLOOKUP(Contacts6[[#This Row],[Código Tarea]],'[7]Formato 4 - SGSF'!$B$8:$H$129,4,0)</f>
        <v>0</v>
      </c>
      <c r="N17" s="16">
        <f>VLOOKUP(Contacts6[[#This Row],[Código Tarea]],'[7]Formato 4 - SGSF'!$B$8:$H$129,5,0)</f>
        <v>0</v>
      </c>
      <c r="O17" s="16">
        <f>VLOOKUP(Contacts6[[#This Row],[Código Tarea]],'[7]Formato 4 - SGSF'!$B$8:$H$129,6,0)</f>
        <v>0</v>
      </c>
      <c r="P17" s="16">
        <f>VLOOKUP(Contacts6[[#This Row],[Código Tarea]],'[7]Formato 4 - SGSF'!$B$8:$H$129,7,0)</f>
        <v>0</v>
      </c>
      <c r="Q17" s="16">
        <f>VLOOKUP(Contacts6[[#This Row],[Código Tarea]],'[7]Formato 4 - SGSF'!$B$8:$I$129,8,0)</f>
        <v>0</v>
      </c>
      <c r="R17" s="22" t="str">
        <f>VLOOKUP(Contacts6[[#This Row],[Código Tarea]],'[7]4. Directorio Integrado'!$I$4:$M$245,5,0)</f>
        <v>SARO/SGSI/SGSF</v>
      </c>
    </row>
    <row r="18" spans="1:18" s="30" customFormat="1" ht="30" customHeight="1" x14ac:dyDescent="0.35">
      <c r="A18" s="34"/>
      <c r="B18" s="6"/>
      <c r="C18" s="42">
        <f>VLOOKUP(Contacts6[[#This Row],[Código Tarea]],'[7]4. Directorio Integrado'!$B$4:$N$245,2,0)</f>
        <v>4</v>
      </c>
      <c r="D18" s="42" t="str">
        <f>VLOOKUP(Contacts6[[#This Row],[Código Tarea]],'[7]4. Directorio Integrado'!$B$4:$N$245,3,0)</f>
        <v>Seguridad Financiera</v>
      </c>
      <c r="E18" s="42" t="str">
        <f>VLOOKUP(Contacts6[[#This Row],[Código Tarea]],'[7]4. Directorio Integrado'!$B$4:$N$245,4,0)</f>
        <v>4.1</v>
      </c>
      <c r="F18" s="42" t="str">
        <f>VLOOKUP(Contacts6[[#This Row],[Código Tarea]],'[7]4. Directorio Integrado'!$B$4:$N$245,5,0)</f>
        <v>Seguridad de la Información electrónica</v>
      </c>
      <c r="G18" s="42" t="str">
        <f>VLOOKUP(Contacts6[[#This Row],[Código Tarea]],'[7]4. Directorio Integrado'!$B$4:$N$245,6,0)</f>
        <v>4.1.2</v>
      </c>
      <c r="H18" s="42" t="str">
        <f>VLOOKUP(Contacts6[[#This Row],[Código Tarea]],'[7]4. Directorio Integrado'!$B$4:$N$245,7,0)</f>
        <v>Revisión área de ejecutivos</v>
      </c>
      <c r="I18" s="20" t="str">
        <f>'[7]4. Directorio Integrado'!I132</f>
        <v>4.1.2.004</v>
      </c>
      <c r="J18" s="13" t="str">
        <f>VLOOKUP(Contacts6[[#This Row],[Código Tarea]],'[7]4. Directorio Integrado'!I132:J228,2,0)</f>
        <v>Cuenta con sensores de choque.</v>
      </c>
      <c r="K18" s="43" t="str">
        <f>VLOOKUP(Contacts6[[#This Row],[Código Tarea]],'[7]4. Directorio Integrado'!$I$4:$M$227,3,0)</f>
        <v>Actividad a Distancia</v>
      </c>
      <c r="L18" s="16" t="str">
        <f>VLOOKUP(Contacts6[[#This Row],[Código Tarea]],'[7]Formato 4 - SGSF'!$B$8:$H$129,3,0)</f>
        <v>X</v>
      </c>
      <c r="M18" s="16">
        <f>VLOOKUP(Contacts6[[#This Row],[Código Tarea]],'[7]Formato 4 - SGSF'!$B$8:$H$129,4,0)</f>
        <v>0</v>
      </c>
      <c r="N18" s="16">
        <f>VLOOKUP(Contacts6[[#This Row],[Código Tarea]],'[7]Formato 4 - SGSF'!$B$8:$H$129,5,0)</f>
        <v>0</v>
      </c>
      <c r="O18" s="16">
        <f>VLOOKUP(Contacts6[[#This Row],[Código Tarea]],'[7]Formato 4 - SGSF'!$B$8:$H$129,6,0)</f>
        <v>0</v>
      </c>
      <c r="P18" s="16">
        <f>VLOOKUP(Contacts6[[#This Row],[Código Tarea]],'[7]Formato 4 - SGSF'!$B$8:$H$129,7,0)</f>
        <v>0</v>
      </c>
      <c r="Q18" s="16">
        <f>VLOOKUP(Contacts6[[#This Row],[Código Tarea]],'[7]Formato 4 - SGSF'!$B$8:$I$129,8,0)</f>
        <v>0</v>
      </c>
      <c r="R18" s="22" t="str">
        <f>VLOOKUP(Contacts6[[#This Row],[Código Tarea]],'[7]4. Directorio Integrado'!$I$4:$M$245,5,0)</f>
        <v>SARO/SGSI/SGSF</v>
      </c>
    </row>
    <row r="19" spans="1:18" s="30" customFormat="1" ht="30" customHeight="1" x14ac:dyDescent="0.35">
      <c r="A19" s="34"/>
      <c r="B19" s="6"/>
      <c r="C19" s="42">
        <f>VLOOKUP(Contacts6[[#This Row],[Código Tarea]],'[7]4. Directorio Integrado'!$B$4:$N$245,2,0)</f>
        <v>4</v>
      </c>
      <c r="D19" s="42" t="str">
        <f>VLOOKUP(Contacts6[[#This Row],[Código Tarea]],'[7]4. Directorio Integrado'!$B$4:$N$245,3,0)</f>
        <v>Seguridad Financiera</v>
      </c>
      <c r="E19" s="42" t="str">
        <f>VLOOKUP(Contacts6[[#This Row],[Código Tarea]],'[7]4. Directorio Integrado'!$B$4:$N$245,4,0)</f>
        <v>4.1</v>
      </c>
      <c r="F19" s="42" t="str">
        <f>VLOOKUP(Contacts6[[#This Row],[Código Tarea]],'[7]4. Directorio Integrado'!$B$4:$N$245,5,0)</f>
        <v>Seguridad de la Información electrónica</v>
      </c>
      <c r="G19" s="42" t="str">
        <f>VLOOKUP(Contacts6[[#This Row],[Código Tarea]],'[7]4. Directorio Integrado'!$B$4:$N$245,6,0)</f>
        <v>4.1.2</v>
      </c>
      <c r="H19" s="42" t="str">
        <f>VLOOKUP(Contacts6[[#This Row],[Código Tarea]],'[7]4. Directorio Integrado'!$B$4:$N$245,7,0)</f>
        <v>Revisión área de ejecutivos</v>
      </c>
      <c r="I19" s="20" t="str">
        <f>'[7]4. Directorio Integrado'!I133</f>
        <v>4.1.2.005</v>
      </c>
      <c r="J19" s="13" t="str">
        <f>VLOOKUP(Contacts6[[#This Row],[Código Tarea]],'[7]4. Directorio Integrado'!I133:J229,2,0)</f>
        <v>Cuenta con cámara de cctv cubrimiento es óptimo.</v>
      </c>
      <c r="K19" s="43" t="str">
        <f>VLOOKUP(Contacts6[[#This Row],[Código Tarea]],'[7]4. Directorio Integrado'!$I$4:$M$227,3,0)</f>
        <v>Actividad a Distancia</v>
      </c>
      <c r="L19" s="16">
        <f>VLOOKUP(Contacts6[[#This Row],[Código Tarea]],'[7]Formato 4 - SGSF'!$B$8:$H$129,3,0)</f>
        <v>0</v>
      </c>
      <c r="M19" s="16" t="str">
        <f>VLOOKUP(Contacts6[[#This Row],[Código Tarea]],'[7]Formato 4 - SGSF'!$B$8:$H$129,4,0)</f>
        <v>X</v>
      </c>
      <c r="N19" s="16">
        <f>VLOOKUP(Contacts6[[#This Row],[Código Tarea]],'[7]Formato 4 - SGSF'!$B$8:$H$129,5,0)</f>
        <v>0</v>
      </c>
      <c r="O19" s="16">
        <f>VLOOKUP(Contacts6[[#This Row],[Código Tarea]],'[7]Formato 4 - SGSF'!$B$8:$H$129,6,0)</f>
        <v>0</v>
      </c>
      <c r="P19" s="16">
        <f>VLOOKUP(Contacts6[[#This Row],[Código Tarea]],'[7]Formato 4 - SGSF'!$B$8:$H$129,7,0)</f>
        <v>0</v>
      </c>
      <c r="Q19" s="16">
        <f>VLOOKUP(Contacts6[[#This Row],[Código Tarea]],'[7]Formato 4 - SGSF'!$B$8:$I$129,8,0)</f>
        <v>0</v>
      </c>
      <c r="R19" s="22" t="str">
        <f>VLOOKUP(Contacts6[[#This Row],[Código Tarea]],'[7]4. Directorio Integrado'!$I$4:$M$245,5,0)</f>
        <v>SARO/SGSI/SGSF</v>
      </c>
    </row>
    <row r="20" spans="1:18" s="30" customFormat="1" ht="30" customHeight="1" x14ac:dyDescent="0.35">
      <c r="A20" s="34"/>
      <c r="B20" s="6"/>
      <c r="C20" s="42">
        <f>VLOOKUP(Contacts6[[#This Row],[Código Tarea]],'[7]4. Directorio Integrado'!$B$4:$N$245,2,0)</f>
        <v>4</v>
      </c>
      <c r="D20" s="42" t="str">
        <f>VLOOKUP(Contacts6[[#This Row],[Código Tarea]],'[7]4. Directorio Integrado'!$B$4:$N$245,3,0)</f>
        <v>Seguridad Financiera</v>
      </c>
      <c r="E20" s="42" t="str">
        <f>VLOOKUP(Contacts6[[#This Row],[Código Tarea]],'[7]4. Directorio Integrado'!$B$4:$N$245,4,0)</f>
        <v>4.1</v>
      </c>
      <c r="F20" s="42" t="str">
        <f>VLOOKUP(Contacts6[[#This Row],[Código Tarea]],'[7]4. Directorio Integrado'!$B$4:$N$245,5,0)</f>
        <v>Seguridad de la Información electrónica</v>
      </c>
      <c r="G20" s="42" t="str">
        <f>VLOOKUP(Contacts6[[#This Row],[Código Tarea]],'[7]4. Directorio Integrado'!$B$4:$N$245,6,0)</f>
        <v>4.1.3</v>
      </c>
      <c r="H20" s="42" t="str">
        <f>VLOOKUP(Contacts6[[#This Row],[Código Tarea]],'[7]4. Directorio Integrado'!$B$4:$N$245,7,0)</f>
        <v>Revisión en caja</v>
      </c>
      <c r="I20" s="20" t="str">
        <f>'[7]4. Directorio Integrado'!I134</f>
        <v>4.1.3.001</v>
      </c>
      <c r="J20" s="13" t="str">
        <f>VLOOKUP(Contacts6[[#This Row],[Código Tarea]],'[7]4. Directorio Integrado'!I134:J230,2,0)</f>
        <v>Cuenta con sensor de movimiento su cubrimiento.</v>
      </c>
      <c r="K20" s="43" t="str">
        <f>VLOOKUP(Contacts6[[#This Row],[Código Tarea]],'[7]4. Directorio Integrado'!$I$4:$M$227,3,0)</f>
        <v>Actividad a Distancia</v>
      </c>
      <c r="L20" s="16">
        <f>VLOOKUP(Contacts6[[#This Row],[Código Tarea]],'[7]Formato 4 - SGSF'!$B$8:$H$129,3,0)</f>
        <v>0</v>
      </c>
      <c r="M20" s="16" t="str">
        <f>VLOOKUP(Contacts6[[#This Row],[Código Tarea]],'[7]Formato 4 - SGSF'!$B$8:$H$129,4,0)</f>
        <v>X</v>
      </c>
      <c r="N20" s="16">
        <f>VLOOKUP(Contacts6[[#This Row],[Código Tarea]],'[7]Formato 4 - SGSF'!$B$8:$H$129,5,0)</f>
        <v>0</v>
      </c>
      <c r="O20" s="16">
        <f>VLOOKUP(Contacts6[[#This Row],[Código Tarea]],'[7]Formato 4 - SGSF'!$B$8:$H$129,6,0)</f>
        <v>0</v>
      </c>
      <c r="P20" s="16">
        <f>VLOOKUP(Contacts6[[#This Row],[Código Tarea]],'[7]Formato 4 - SGSF'!$B$8:$H$129,7,0)</f>
        <v>0</v>
      </c>
      <c r="Q20" s="16">
        <f>VLOOKUP(Contacts6[[#This Row],[Código Tarea]],'[7]Formato 4 - SGSF'!$B$8:$I$129,8,0)</f>
        <v>0</v>
      </c>
      <c r="R20" s="22" t="str">
        <f>VLOOKUP(Contacts6[[#This Row],[Código Tarea]],'[7]4. Directorio Integrado'!$I$4:$M$245,5,0)</f>
        <v>SARO/SGSI/SGSF</v>
      </c>
    </row>
    <row r="21" spans="1:18" s="30" customFormat="1" ht="30" customHeight="1" x14ac:dyDescent="0.35">
      <c r="A21" s="34"/>
      <c r="B21" s="6"/>
      <c r="C21" s="42">
        <f>VLOOKUP(Contacts6[[#This Row],[Código Tarea]],'[7]4. Directorio Integrado'!$B$4:$N$245,2,0)</f>
        <v>4</v>
      </c>
      <c r="D21" s="42" t="str">
        <f>VLOOKUP(Contacts6[[#This Row],[Código Tarea]],'[7]4. Directorio Integrado'!$B$4:$N$245,3,0)</f>
        <v>Seguridad Financiera</v>
      </c>
      <c r="E21" s="42" t="str">
        <f>VLOOKUP(Contacts6[[#This Row],[Código Tarea]],'[7]4. Directorio Integrado'!$B$4:$N$245,4,0)</f>
        <v>4.1</v>
      </c>
      <c r="F21" s="42" t="str">
        <f>VLOOKUP(Contacts6[[#This Row],[Código Tarea]],'[7]4. Directorio Integrado'!$B$4:$N$245,5,0)</f>
        <v>Seguridad de la Información electrónica</v>
      </c>
      <c r="G21" s="42" t="str">
        <f>VLOOKUP(Contacts6[[#This Row],[Código Tarea]],'[7]4. Directorio Integrado'!$B$4:$N$245,6,0)</f>
        <v>4.1.3</v>
      </c>
      <c r="H21" s="42" t="str">
        <f>VLOOKUP(Contacts6[[#This Row],[Código Tarea]],'[7]4. Directorio Integrado'!$B$4:$N$245,7,0)</f>
        <v>Revisión en caja</v>
      </c>
      <c r="I21" s="20" t="str">
        <f>'[7]4. Directorio Integrado'!I135</f>
        <v>4.1.3.002</v>
      </c>
      <c r="J21" s="13" t="str">
        <f>VLOOKUP(Contacts6[[#This Row],[Código Tarea]],'[7]4. Directorio Integrado'!I135:J231,2,0)</f>
        <v>Cuenta con pulsadores de pánico fijo en caja.</v>
      </c>
      <c r="K21" s="43" t="str">
        <f>VLOOKUP(Contacts6[[#This Row],[Código Tarea]],'[7]4. Directorio Integrado'!$I$4:$M$227,3,0)</f>
        <v>Actividad a Distancia</v>
      </c>
      <c r="L21" s="16">
        <f>VLOOKUP(Contacts6[[#This Row],[Código Tarea]],'[7]Formato 4 - SGSF'!$B$8:$H$129,3,0)</f>
        <v>0</v>
      </c>
      <c r="M21" s="16" t="str">
        <f>VLOOKUP(Contacts6[[#This Row],[Código Tarea]],'[7]Formato 4 - SGSF'!$B$8:$H$129,4,0)</f>
        <v>X</v>
      </c>
      <c r="N21" s="16">
        <f>VLOOKUP(Contacts6[[#This Row],[Código Tarea]],'[7]Formato 4 - SGSF'!$B$8:$H$129,5,0)</f>
        <v>0</v>
      </c>
      <c r="O21" s="16">
        <f>VLOOKUP(Contacts6[[#This Row],[Código Tarea]],'[7]Formato 4 - SGSF'!$B$8:$H$129,6,0)</f>
        <v>0</v>
      </c>
      <c r="P21" s="16">
        <f>VLOOKUP(Contacts6[[#This Row],[Código Tarea]],'[7]Formato 4 - SGSF'!$B$8:$H$129,7,0)</f>
        <v>0</v>
      </c>
      <c r="Q21" s="16">
        <f>VLOOKUP(Contacts6[[#This Row],[Código Tarea]],'[7]Formato 4 - SGSF'!$B$8:$I$129,8,0)</f>
        <v>0</v>
      </c>
      <c r="R21" s="22" t="str">
        <f>VLOOKUP(Contacts6[[#This Row],[Código Tarea]],'[7]4. Directorio Integrado'!$I$4:$M$245,5,0)</f>
        <v>SARO/SGSI/SGSF</v>
      </c>
    </row>
    <row r="22" spans="1:18" s="30" customFormat="1" ht="30" customHeight="1" x14ac:dyDescent="0.35">
      <c r="A22" s="34"/>
      <c r="B22" s="6"/>
      <c r="C22" s="42">
        <f>VLOOKUP(Contacts6[[#This Row],[Código Tarea]],'[7]4. Directorio Integrado'!$B$4:$N$245,2,0)</f>
        <v>4</v>
      </c>
      <c r="D22" s="42" t="str">
        <f>VLOOKUP(Contacts6[[#This Row],[Código Tarea]],'[7]4. Directorio Integrado'!$B$4:$N$245,3,0)</f>
        <v>Seguridad Financiera</v>
      </c>
      <c r="E22" s="42" t="str">
        <f>VLOOKUP(Contacts6[[#This Row],[Código Tarea]],'[7]4. Directorio Integrado'!$B$4:$N$245,4,0)</f>
        <v>4.1</v>
      </c>
      <c r="F22" s="42" t="str">
        <f>VLOOKUP(Contacts6[[#This Row],[Código Tarea]],'[7]4. Directorio Integrado'!$B$4:$N$245,5,0)</f>
        <v>Seguridad de la Información electrónica</v>
      </c>
      <c r="G22" s="42" t="str">
        <f>VLOOKUP(Contacts6[[#This Row],[Código Tarea]],'[7]4. Directorio Integrado'!$B$4:$N$245,6,0)</f>
        <v>4.1.3</v>
      </c>
      <c r="H22" s="42" t="str">
        <f>VLOOKUP(Contacts6[[#This Row],[Código Tarea]],'[7]4. Directorio Integrado'!$B$4:$N$245,7,0)</f>
        <v>Revisión en caja</v>
      </c>
      <c r="I22" s="20" t="str">
        <f>'[7]4. Directorio Integrado'!I136</f>
        <v>4.1.3.003</v>
      </c>
      <c r="J22" s="13" t="str">
        <f>VLOOKUP(Contacts6[[#This Row],[Código Tarea]],'[7]4. Directorio Integrado'!I136:J232,2,0)</f>
        <v>Cuenta con sensor de humo.</v>
      </c>
      <c r="K22" s="43" t="str">
        <f>VLOOKUP(Contacts6[[#This Row],[Código Tarea]],'[7]4. Directorio Integrado'!$I$4:$M$227,3,0)</f>
        <v>Actividad a Distancia</v>
      </c>
      <c r="L22" s="16">
        <f>VLOOKUP(Contacts6[[#This Row],[Código Tarea]],'[7]Formato 4 - SGSF'!$B$8:$H$129,3,0)</f>
        <v>0</v>
      </c>
      <c r="M22" s="16" t="str">
        <f>VLOOKUP(Contacts6[[#This Row],[Código Tarea]],'[7]Formato 4 - SGSF'!$B$8:$H$129,4,0)</f>
        <v>X</v>
      </c>
      <c r="N22" s="16">
        <f>VLOOKUP(Contacts6[[#This Row],[Código Tarea]],'[7]Formato 4 - SGSF'!$B$8:$H$129,5,0)</f>
        <v>0</v>
      </c>
      <c r="O22" s="16">
        <f>VLOOKUP(Contacts6[[#This Row],[Código Tarea]],'[7]Formato 4 - SGSF'!$B$8:$H$129,6,0)</f>
        <v>0</v>
      </c>
      <c r="P22" s="16">
        <f>VLOOKUP(Contacts6[[#This Row],[Código Tarea]],'[7]Formato 4 - SGSF'!$B$8:$H$129,7,0)</f>
        <v>0</v>
      </c>
      <c r="Q22" s="16">
        <f>VLOOKUP(Contacts6[[#This Row],[Código Tarea]],'[7]Formato 4 - SGSF'!$B$8:$I$129,8,0)</f>
        <v>0</v>
      </c>
      <c r="R22" s="22" t="str">
        <f>VLOOKUP(Contacts6[[#This Row],[Código Tarea]],'[7]4. Directorio Integrado'!$I$4:$M$245,5,0)</f>
        <v>SARO/SGSI/SGSF</v>
      </c>
    </row>
    <row r="23" spans="1:18" s="30" customFormat="1" ht="30" customHeight="1" x14ac:dyDescent="0.35">
      <c r="A23" s="34"/>
      <c r="B23" s="6"/>
      <c r="C23" s="42">
        <f>VLOOKUP(Contacts6[[#This Row],[Código Tarea]],'[7]4. Directorio Integrado'!$B$4:$N$245,2,0)</f>
        <v>4</v>
      </c>
      <c r="D23" s="42" t="str">
        <f>VLOOKUP(Contacts6[[#This Row],[Código Tarea]],'[7]4. Directorio Integrado'!$B$4:$N$245,3,0)</f>
        <v>Seguridad Financiera</v>
      </c>
      <c r="E23" s="42" t="str">
        <f>VLOOKUP(Contacts6[[#This Row],[Código Tarea]],'[7]4. Directorio Integrado'!$B$4:$N$245,4,0)</f>
        <v>4.1</v>
      </c>
      <c r="F23" s="42" t="str">
        <f>VLOOKUP(Contacts6[[#This Row],[Código Tarea]],'[7]4. Directorio Integrado'!$B$4:$N$245,5,0)</f>
        <v>Seguridad de la Información electrónica</v>
      </c>
      <c r="G23" s="42" t="str">
        <f>VLOOKUP(Contacts6[[#This Row],[Código Tarea]],'[7]4. Directorio Integrado'!$B$4:$N$245,6,0)</f>
        <v>4.1.3</v>
      </c>
      <c r="H23" s="42" t="str">
        <f>VLOOKUP(Contacts6[[#This Row],[Código Tarea]],'[7]4. Directorio Integrado'!$B$4:$N$245,7,0)</f>
        <v>Revisión en caja</v>
      </c>
      <c r="I23" s="20" t="str">
        <f>'[7]4. Directorio Integrado'!I137</f>
        <v>4.1.3.004</v>
      </c>
      <c r="J23" s="13" t="str">
        <f>VLOOKUP(Contacts6[[#This Row],[Código Tarea]],'[7]4. Directorio Integrado'!I137:J233,2,0)</f>
        <v>Cuenta con fajo trampa.</v>
      </c>
      <c r="K23" s="43" t="str">
        <f>VLOOKUP(Contacts6[[#This Row],[Código Tarea]],'[7]4. Directorio Integrado'!$I$4:$M$227,3,0)</f>
        <v>Actividad a Distancia</v>
      </c>
      <c r="L23" s="16">
        <f>VLOOKUP(Contacts6[[#This Row],[Código Tarea]],'[7]Formato 4 - SGSF'!$B$8:$H$129,3,0)</f>
        <v>0</v>
      </c>
      <c r="M23" s="16" t="str">
        <f>VLOOKUP(Contacts6[[#This Row],[Código Tarea]],'[7]Formato 4 - SGSF'!$B$8:$H$129,4,0)</f>
        <v>X</v>
      </c>
      <c r="N23" s="16">
        <f>VLOOKUP(Contacts6[[#This Row],[Código Tarea]],'[7]Formato 4 - SGSF'!$B$8:$H$129,5,0)</f>
        <v>0</v>
      </c>
      <c r="O23" s="16">
        <f>VLOOKUP(Contacts6[[#This Row],[Código Tarea]],'[7]Formato 4 - SGSF'!$B$8:$H$129,6,0)</f>
        <v>0</v>
      </c>
      <c r="P23" s="16">
        <f>VLOOKUP(Contacts6[[#This Row],[Código Tarea]],'[7]Formato 4 - SGSF'!$B$8:$H$129,7,0)</f>
        <v>0</v>
      </c>
      <c r="Q23" s="16">
        <f>VLOOKUP(Contacts6[[#This Row],[Código Tarea]],'[7]Formato 4 - SGSF'!$B$8:$I$129,8,0)</f>
        <v>0</v>
      </c>
      <c r="R23" s="22" t="str">
        <f>VLOOKUP(Contacts6[[#This Row],[Código Tarea]],'[7]4. Directorio Integrado'!$I$4:$M$245,5,0)</f>
        <v>SARO/SGSI/SGSF</v>
      </c>
    </row>
    <row r="24" spans="1:18" s="30" customFormat="1" ht="30" customHeight="1" x14ac:dyDescent="0.35">
      <c r="A24" s="34"/>
      <c r="B24" s="6"/>
      <c r="C24" s="42">
        <f>VLOOKUP(Contacts6[[#This Row],[Código Tarea]],'[7]4. Directorio Integrado'!$B$4:$N$245,2,0)</f>
        <v>4</v>
      </c>
      <c r="D24" s="42" t="str">
        <f>VLOOKUP(Contacts6[[#This Row],[Código Tarea]],'[7]4. Directorio Integrado'!$B$4:$N$245,3,0)</f>
        <v>Seguridad Financiera</v>
      </c>
      <c r="E24" s="42" t="str">
        <f>VLOOKUP(Contacts6[[#This Row],[Código Tarea]],'[7]4. Directorio Integrado'!$B$4:$N$245,4,0)</f>
        <v>4.1</v>
      </c>
      <c r="F24" s="42" t="str">
        <f>VLOOKUP(Contacts6[[#This Row],[Código Tarea]],'[7]4. Directorio Integrado'!$B$4:$N$245,5,0)</f>
        <v>Seguridad de la Información electrónica</v>
      </c>
      <c r="G24" s="42" t="str">
        <f>VLOOKUP(Contacts6[[#This Row],[Código Tarea]],'[7]4. Directorio Integrado'!$B$4:$N$245,6,0)</f>
        <v>4.1.3</v>
      </c>
      <c r="H24" s="42" t="str">
        <f>VLOOKUP(Contacts6[[#This Row],[Código Tarea]],'[7]4. Directorio Integrado'!$B$4:$N$245,7,0)</f>
        <v>Revisión en caja</v>
      </c>
      <c r="I24" s="20" t="str">
        <f>'[7]4. Directorio Integrado'!I138</f>
        <v>4.1.3.005</v>
      </c>
      <c r="J24" s="13" t="str">
        <f>VLOOKUP(Contacts6[[#This Row],[Código Tarea]],'[7]4. Directorio Integrado'!I138:J234,2,0)</f>
        <v>Cuenta con cámara de cctv cubrimiento es óptimo.</v>
      </c>
      <c r="K24" s="43" t="str">
        <f>VLOOKUP(Contacts6[[#This Row],[Código Tarea]],'[7]4. Directorio Integrado'!$I$4:$M$227,3,0)</f>
        <v>Actividad a Distancia</v>
      </c>
      <c r="L24" s="16">
        <f>VLOOKUP(Contacts6[[#This Row],[Código Tarea]],'[7]Formato 4 - SGSF'!$B$8:$H$129,3,0)</f>
        <v>0</v>
      </c>
      <c r="M24" s="16" t="str">
        <f>VLOOKUP(Contacts6[[#This Row],[Código Tarea]],'[7]Formato 4 - SGSF'!$B$8:$H$129,4,0)</f>
        <v>X</v>
      </c>
      <c r="N24" s="16">
        <f>VLOOKUP(Contacts6[[#This Row],[Código Tarea]],'[7]Formato 4 - SGSF'!$B$8:$H$129,5,0)</f>
        <v>0</v>
      </c>
      <c r="O24" s="16">
        <f>VLOOKUP(Contacts6[[#This Row],[Código Tarea]],'[7]Formato 4 - SGSF'!$B$8:$H$129,6,0)</f>
        <v>0</v>
      </c>
      <c r="P24" s="16">
        <f>VLOOKUP(Contacts6[[#This Row],[Código Tarea]],'[7]Formato 4 - SGSF'!$B$8:$H$129,7,0)</f>
        <v>0</v>
      </c>
      <c r="Q24" s="16">
        <f>VLOOKUP(Contacts6[[#This Row],[Código Tarea]],'[7]Formato 4 - SGSF'!$B$8:$I$129,8,0)</f>
        <v>0</v>
      </c>
      <c r="R24" s="22" t="str">
        <f>VLOOKUP(Contacts6[[#This Row],[Código Tarea]],'[7]4. Directorio Integrado'!$I$4:$M$245,5,0)</f>
        <v>SARO/SGSI/SGSF</v>
      </c>
    </row>
    <row r="25" spans="1:18" s="30" customFormat="1" ht="30" customHeight="1" x14ac:dyDescent="0.35">
      <c r="A25" s="34"/>
      <c r="B25" s="6"/>
      <c r="C25" s="42">
        <f>VLOOKUP(Contacts6[[#This Row],[Código Tarea]],'[7]4. Directorio Integrado'!$B$4:$N$245,2,0)</f>
        <v>4</v>
      </c>
      <c r="D25" s="42" t="str">
        <f>VLOOKUP(Contacts6[[#This Row],[Código Tarea]],'[7]4. Directorio Integrado'!$B$4:$N$245,3,0)</f>
        <v>Seguridad Financiera</v>
      </c>
      <c r="E25" s="42" t="str">
        <f>VLOOKUP(Contacts6[[#This Row],[Código Tarea]],'[7]4. Directorio Integrado'!$B$4:$N$245,4,0)</f>
        <v>4.1</v>
      </c>
      <c r="F25" s="42" t="str">
        <f>VLOOKUP(Contacts6[[#This Row],[Código Tarea]],'[7]4. Directorio Integrado'!$B$4:$N$245,5,0)</f>
        <v>Seguridad de la Información electrónica</v>
      </c>
      <c r="G25" s="42" t="str">
        <f>VLOOKUP(Contacts6[[#This Row],[Código Tarea]],'[7]4. Directorio Integrado'!$B$4:$N$245,6,0)</f>
        <v>4.1.4</v>
      </c>
      <c r="H25" s="42" t="str">
        <f>VLOOKUP(Contacts6[[#This Row],[Código Tarea]],'[7]4. Directorio Integrado'!$B$4:$N$245,7,0)</f>
        <v>Revisión hall de servicios</v>
      </c>
      <c r="I25" s="20" t="str">
        <f>'[7]4. Directorio Integrado'!I139</f>
        <v>4.1.4.001</v>
      </c>
      <c r="J25" s="13" t="str">
        <f>VLOOKUP(Contacts6[[#This Row],[Código Tarea]],'[7]4. Directorio Integrado'!I139:J235,2,0)</f>
        <v>Cuenta con sensor de movimiento.</v>
      </c>
      <c r="K25" s="43" t="str">
        <f>VLOOKUP(Contacts6[[#This Row],[Código Tarea]],'[7]4. Directorio Integrado'!$I$4:$M$227,3,0)</f>
        <v>Actividad a Distancia</v>
      </c>
      <c r="L25" s="16" t="str">
        <f>VLOOKUP(Contacts6[[#This Row],[Código Tarea]],'[7]Formato 4 - SGSF'!$B$8:$H$129,3,0)</f>
        <v>X</v>
      </c>
      <c r="M25" s="16">
        <f>VLOOKUP(Contacts6[[#This Row],[Código Tarea]],'[7]Formato 4 - SGSF'!$B$8:$H$129,4,0)</f>
        <v>0</v>
      </c>
      <c r="N25" s="16">
        <f>VLOOKUP(Contacts6[[#This Row],[Código Tarea]],'[7]Formato 4 - SGSF'!$B$8:$H$129,5,0)</f>
        <v>0</v>
      </c>
      <c r="O25" s="16">
        <f>VLOOKUP(Contacts6[[#This Row],[Código Tarea]],'[7]Formato 4 - SGSF'!$B$8:$H$129,6,0)</f>
        <v>0</v>
      </c>
      <c r="P25" s="16">
        <f>VLOOKUP(Contacts6[[#This Row],[Código Tarea]],'[7]Formato 4 - SGSF'!$B$8:$H$129,7,0)</f>
        <v>0</v>
      </c>
      <c r="Q25" s="16">
        <f>VLOOKUP(Contacts6[[#This Row],[Código Tarea]],'[7]Formato 4 - SGSF'!$B$8:$I$129,8,0)</f>
        <v>0</v>
      </c>
      <c r="R25" s="22" t="str">
        <f>VLOOKUP(Contacts6[[#This Row],[Código Tarea]],'[7]4. Directorio Integrado'!$I$4:$M$245,5,0)</f>
        <v>SARO/SGSI/SGSF</v>
      </c>
    </row>
    <row r="26" spans="1:18" s="30" customFormat="1" ht="30" customHeight="1" x14ac:dyDescent="0.35">
      <c r="A26" s="34"/>
      <c r="B26" s="6"/>
      <c r="C26" s="42">
        <f>VLOOKUP(Contacts6[[#This Row],[Código Tarea]],'[7]4. Directorio Integrado'!$B$4:$N$245,2,0)</f>
        <v>4</v>
      </c>
      <c r="D26" s="42" t="str">
        <f>VLOOKUP(Contacts6[[#This Row],[Código Tarea]],'[7]4. Directorio Integrado'!$B$4:$N$245,3,0)</f>
        <v>Seguridad Financiera</v>
      </c>
      <c r="E26" s="42" t="str">
        <f>VLOOKUP(Contacts6[[#This Row],[Código Tarea]],'[7]4. Directorio Integrado'!$B$4:$N$245,4,0)</f>
        <v>4.1</v>
      </c>
      <c r="F26" s="42" t="str">
        <f>VLOOKUP(Contacts6[[#This Row],[Código Tarea]],'[7]4. Directorio Integrado'!$B$4:$N$245,5,0)</f>
        <v>Seguridad de la Información electrónica</v>
      </c>
      <c r="G26" s="42" t="str">
        <f>VLOOKUP(Contacts6[[#This Row],[Código Tarea]],'[7]4. Directorio Integrado'!$B$4:$N$245,6,0)</f>
        <v>4.1.4</v>
      </c>
      <c r="H26" s="42" t="str">
        <f>VLOOKUP(Contacts6[[#This Row],[Código Tarea]],'[7]4. Directorio Integrado'!$B$4:$N$245,7,0)</f>
        <v>Revisión hall de servicios</v>
      </c>
      <c r="I26" s="20" t="str">
        <f>'[7]4. Directorio Integrado'!I140</f>
        <v>4.1.4.002</v>
      </c>
      <c r="J26" s="13" t="str">
        <f>VLOOKUP(Contacts6[[#This Row],[Código Tarea]],'[7]4. Directorio Integrado'!I140:J236,2,0)</f>
        <v>Cuenta con pulsadores de pánico fijo en asesorías.</v>
      </c>
      <c r="K26" s="43" t="str">
        <f>VLOOKUP(Contacts6[[#This Row],[Código Tarea]],'[7]4. Directorio Integrado'!$I$4:$M$227,3,0)</f>
        <v>Presencial</v>
      </c>
      <c r="L26" s="16" t="str">
        <f>VLOOKUP(Contacts6[[#This Row],[Código Tarea]],'[7]Formato 4 - SGSF'!$B$8:$H$129,3,0)</f>
        <v>X</v>
      </c>
      <c r="M26" s="16">
        <f>VLOOKUP(Contacts6[[#This Row],[Código Tarea]],'[7]Formato 4 - SGSF'!$B$8:$H$129,4,0)</f>
        <v>0</v>
      </c>
      <c r="N26" s="16">
        <f>VLOOKUP(Contacts6[[#This Row],[Código Tarea]],'[7]Formato 4 - SGSF'!$B$8:$H$129,5,0)</f>
        <v>0</v>
      </c>
      <c r="O26" s="16">
        <f>VLOOKUP(Contacts6[[#This Row],[Código Tarea]],'[7]Formato 4 - SGSF'!$B$8:$H$129,6,0)</f>
        <v>0</v>
      </c>
      <c r="P26" s="16">
        <f>VLOOKUP(Contacts6[[#This Row],[Código Tarea]],'[7]Formato 4 - SGSF'!$B$8:$H$129,7,0)</f>
        <v>0</v>
      </c>
      <c r="Q26" s="16">
        <f>VLOOKUP(Contacts6[[#This Row],[Código Tarea]],'[7]Formato 4 - SGSF'!$B$8:$I$129,8,0)</f>
        <v>0</v>
      </c>
      <c r="R26" s="22" t="str">
        <f>VLOOKUP(Contacts6[[#This Row],[Código Tarea]],'[7]4. Directorio Integrado'!$I$4:$M$245,5,0)</f>
        <v>SARO/SGSI/SGSF</v>
      </c>
    </row>
    <row r="27" spans="1:18" s="30" customFormat="1" ht="30" customHeight="1" x14ac:dyDescent="0.35">
      <c r="A27" s="34"/>
      <c r="B27" s="6"/>
      <c r="C27" s="42">
        <f>VLOOKUP(Contacts6[[#This Row],[Código Tarea]],'[7]4. Directorio Integrado'!$B$4:$N$245,2,0)</f>
        <v>4</v>
      </c>
      <c r="D27" s="42" t="str">
        <f>VLOOKUP(Contacts6[[#This Row],[Código Tarea]],'[7]4. Directorio Integrado'!$B$4:$N$245,3,0)</f>
        <v>Seguridad Financiera</v>
      </c>
      <c r="E27" s="42" t="str">
        <f>VLOOKUP(Contacts6[[#This Row],[Código Tarea]],'[7]4. Directorio Integrado'!$B$4:$N$245,4,0)</f>
        <v>4.1</v>
      </c>
      <c r="F27" s="42" t="str">
        <f>VLOOKUP(Contacts6[[#This Row],[Código Tarea]],'[7]4. Directorio Integrado'!$B$4:$N$245,5,0)</f>
        <v>Seguridad de la Información electrónica</v>
      </c>
      <c r="G27" s="42" t="str">
        <f>VLOOKUP(Contacts6[[#This Row],[Código Tarea]],'[7]4. Directorio Integrado'!$B$4:$N$245,6,0)</f>
        <v>4.1.4</v>
      </c>
      <c r="H27" s="42" t="str">
        <f>VLOOKUP(Contacts6[[#This Row],[Código Tarea]],'[7]4. Directorio Integrado'!$B$4:$N$245,7,0)</f>
        <v>Revisión hall de servicios</v>
      </c>
      <c r="I27" s="20" t="str">
        <f>'[7]4. Directorio Integrado'!I141</f>
        <v>4.1.4.003</v>
      </c>
      <c r="J27" s="13" t="str">
        <f>VLOOKUP(Contacts6[[#This Row],[Código Tarea]],'[7]4. Directorio Integrado'!I141:J237,2,0)</f>
        <v>Cuenta con discriminadores de audio.</v>
      </c>
      <c r="K27" s="43" t="str">
        <f>VLOOKUP(Contacts6[[#This Row],[Código Tarea]],'[7]4. Directorio Integrado'!$I$4:$M$227,3,0)</f>
        <v>Presencial</v>
      </c>
      <c r="L27" s="16" t="str">
        <f>VLOOKUP(Contacts6[[#This Row],[Código Tarea]],'[7]Formato 4 - SGSF'!$B$8:$H$129,3,0)</f>
        <v>X</v>
      </c>
      <c r="M27" s="16">
        <f>VLOOKUP(Contacts6[[#This Row],[Código Tarea]],'[7]Formato 4 - SGSF'!$B$8:$H$129,4,0)</f>
        <v>0</v>
      </c>
      <c r="N27" s="16">
        <f>VLOOKUP(Contacts6[[#This Row],[Código Tarea]],'[7]Formato 4 - SGSF'!$B$8:$H$129,5,0)</f>
        <v>0</v>
      </c>
      <c r="O27" s="16">
        <f>VLOOKUP(Contacts6[[#This Row],[Código Tarea]],'[7]Formato 4 - SGSF'!$B$8:$H$129,6,0)</f>
        <v>0</v>
      </c>
      <c r="P27" s="16">
        <f>VLOOKUP(Contacts6[[#This Row],[Código Tarea]],'[7]Formato 4 - SGSF'!$B$8:$H$129,7,0)</f>
        <v>0</v>
      </c>
      <c r="Q27" s="16">
        <f>VLOOKUP(Contacts6[[#This Row],[Código Tarea]],'[7]Formato 4 - SGSF'!$B$8:$I$129,8,0)</f>
        <v>0</v>
      </c>
      <c r="R27" s="22" t="str">
        <f>VLOOKUP(Contacts6[[#This Row],[Código Tarea]],'[7]4. Directorio Integrado'!$I$4:$M$245,5,0)</f>
        <v>SARO/SGSI/SGSF</v>
      </c>
    </row>
    <row r="28" spans="1:18" s="30" customFormat="1" ht="30" customHeight="1" x14ac:dyDescent="0.35">
      <c r="A28" s="34"/>
      <c r="B28" s="6"/>
      <c r="C28" s="42">
        <f>VLOOKUP(Contacts6[[#This Row],[Código Tarea]],'[7]4. Directorio Integrado'!$B$4:$N$245,2,0)</f>
        <v>4</v>
      </c>
      <c r="D28" s="42" t="str">
        <f>VLOOKUP(Contacts6[[#This Row],[Código Tarea]],'[7]4. Directorio Integrado'!$B$4:$N$245,3,0)</f>
        <v>Seguridad Financiera</v>
      </c>
      <c r="E28" s="42" t="str">
        <f>VLOOKUP(Contacts6[[#This Row],[Código Tarea]],'[7]4. Directorio Integrado'!$B$4:$N$245,4,0)</f>
        <v>4.1</v>
      </c>
      <c r="F28" s="42" t="str">
        <f>VLOOKUP(Contacts6[[#This Row],[Código Tarea]],'[7]4. Directorio Integrado'!$B$4:$N$245,5,0)</f>
        <v>Seguridad de la Información electrónica</v>
      </c>
      <c r="G28" s="42" t="str">
        <f>VLOOKUP(Contacts6[[#This Row],[Código Tarea]],'[7]4. Directorio Integrado'!$B$4:$N$245,6,0)</f>
        <v>4.1.4</v>
      </c>
      <c r="H28" s="42" t="str">
        <f>VLOOKUP(Contacts6[[#This Row],[Código Tarea]],'[7]4. Directorio Integrado'!$B$4:$N$245,7,0)</f>
        <v>Revisión hall de servicios</v>
      </c>
      <c r="I28" s="20" t="str">
        <f>'[7]4. Directorio Integrado'!I142</f>
        <v>4.1.4.004</v>
      </c>
      <c r="J28" s="13" t="str">
        <f>VLOOKUP(Contacts6[[#This Row],[Código Tarea]],'[7]4. Directorio Integrado'!I142:J238,2,0)</f>
        <v>Cuenta con sensor de humo.</v>
      </c>
      <c r="K28" s="43" t="str">
        <f>VLOOKUP(Contacts6[[#This Row],[Código Tarea]],'[7]4. Directorio Integrado'!$I$4:$M$227,3,0)</f>
        <v>Actividad a Distancia</v>
      </c>
      <c r="L28" s="16" t="str">
        <f>VLOOKUP(Contacts6[[#This Row],[Código Tarea]],'[7]Formato 4 - SGSF'!$B$8:$H$129,3,0)</f>
        <v>X</v>
      </c>
      <c r="M28" s="16">
        <f>VLOOKUP(Contacts6[[#This Row],[Código Tarea]],'[7]Formato 4 - SGSF'!$B$8:$H$129,4,0)</f>
        <v>0</v>
      </c>
      <c r="N28" s="16">
        <f>VLOOKUP(Contacts6[[#This Row],[Código Tarea]],'[7]Formato 4 - SGSF'!$B$8:$H$129,5,0)</f>
        <v>0</v>
      </c>
      <c r="O28" s="16">
        <f>VLOOKUP(Contacts6[[#This Row],[Código Tarea]],'[7]Formato 4 - SGSF'!$B$8:$H$129,6,0)</f>
        <v>0</v>
      </c>
      <c r="P28" s="16">
        <f>VLOOKUP(Contacts6[[#This Row],[Código Tarea]],'[7]Formato 4 - SGSF'!$B$8:$H$129,7,0)</f>
        <v>0</v>
      </c>
      <c r="Q28" s="16">
        <f>VLOOKUP(Contacts6[[#This Row],[Código Tarea]],'[7]Formato 4 - SGSF'!$B$8:$I$129,8,0)</f>
        <v>0</v>
      </c>
      <c r="R28" s="22" t="str">
        <f>VLOOKUP(Contacts6[[#This Row],[Código Tarea]],'[7]4. Directorio Integrado'!$I$4:$M$245,5,0)</f>
        <v>SARO/SGSI/SGSF</v>
      </c>
    </row>
    <row r="29" spans="1:18" s="30" customFormat="1" ht="30" customHeight="1" x14ac:dyDescent="0.35">
      <c r="A29" s="34"/>
      <c r="B29" s="6"/>
      <c r="C29" s="42">
        <f>VLOOKUP(Contacts6[[#This Row],[Código Tarea]],'[7]4. Directorio Integrado'!$B$4:$N$245,2,0)</f>
        <v>4</v>
      </c>
      <c r="D29" s="42" t="str">
        <f>VLOOKUP(Contacts6[[#This Row],[Código Tarea]],'[7]4. Directorio Integrado'!$B$4:$N$245,3,0)</f>
        <v>Seguridad Financiera</v>
      </c>
      <c r="E29" s="42" t="str">
        <f>VLOOKUP(Contacts6[[#This Row],[Código Tarea]],'[7]4. Directorio Integrado'!$B$4:$N$245,4,0)</f>
        <v>4.1</v>
      </c>
      <c r="F29" s="42" t="str">
        <f>VLOOKUP(Contacts6[[#This Row],[Código Tarea]],'[7]4. Directorio Integrado'!$B$4:$N$245,5,0)</f>
        <v>Seguridad de la Información electrónica</v>
      </c>
      <c r="G29" s="42" t="str">
        <f>VLOOKUP(Contacts6[[#This Row],[Código Tarea]],'[7]4. Directorio Integrado'!$B$4:$N$245,6,0)</f>
        <v>4.1.4</v>
      </c>
      <c r="H29" s="42" t="str">
        <f>VLOOKUP(Contacts6[[#This Row],[Código Tarea]],'[7]4. Directorio Integrado'!$B$4:$N$245,7,0)</f>
        <v>Revisión hall de servicios</v>
      </c>
      <c r="I29" s="20" t="str">
        <f>'[7]4. Directorio Integrado'!I143</f>
        <v>4.1.4.005</v>
      </c>
      <c r="J29" s="13" t="str">
        <f>VLOOKUP(Contacts6[[#This Row],[Código Tarea]],'[7]4. Directorio Integrado'!I143:J239,2,0)</f>
        <v>Cuenta con magnético en la puerta principal.</v>
      </c>
      <c r="K29" s="43" t="str">
        <f>VLOOKUP(Contacts6[[#This Row],[Código Tarea]],'[7]4. Directorio Integrado'!$I$4:$M$227,3,0)</f>
        <v>Presencial</v>
      </c>
      <c r="L29" s="16" t="str">
        <f>VLOOKUP(Contacts6[[#This Row],[Código Tarea]],'[7]Formato 4 - SGSF'!$B$8:$H$129,3,0)</f>
        <v>X</v>
      </c>
      <c r="M29" s="16">
        <f>VLOOKUP(Contacts6[[#This Row],[Código Tarea]],'[7]Formato 4 - SGSF'!$B$8:$H$129,4,0)</f>
        <v>0</v>
      </c>
      <c r="N29" s="16">
        <f>VLOOKUP(Contacts6[[#This Row],[Código Tarea]],'[7]Formato 4 - SGSF'!$B$8:$H$129,5,0)</f>
        <v>0</v>
      </c>
      <c r="O29" s="16">
        <f>VLOOKUP(Contacts6[[#This Row],[Código Tarea]],'[7]Formato 4 - SGSF'!$B$8:$H$129,6,0)</f>
        <v>0</v>
      </c>
      <c r="P29" s="16">
        <f>VLOOKUP(Contacts6[[#This Row],[Código Tarea]],'[7]Formato 4 - SGSF'!$B$8:$H$129,7,0)</f>
        <v>0</v>
      </c>
      <c r="Q29" s="16">
        <f>VLOOKUP(Contacts6[[#This Row],[Código Tarea]],'[7]Formato 4 - SGSF'!$B$8:$I$129,8,0)</f>
        <v>0</v>
      </c>
      <c r="R29" s="22" t="str">
        <f>VLOOKUP(Contacts6[[#This Row],[Código Tarea]],'[7]4. Directorio Integrado'!$I$4:$M$245,5,0)</f>
        <v>SARO/SGSI/SGSF</v>
      </c>
    </row>
    <row r="30" spans="1:18" s="30" customFormat="1" ht="30" customHeight="1" x14ac:dyDescent="0.35">
      <c r="A30" s="34"/>
      <c r="B30" s="6"/>
      <c r="C30" s="42">
        <f>VLOOKUP(Contacts6[[#This Row],[Código Tarea]],'[7]4. Directorio Integrado'!$B$4:$N$245,2,0)</f>
        <v>4</v>
      </c>
      <c r="D30" s="42" t="str">
        <f>VLOOKUP(Contacts6[[#This Row],[Código Tarea]],'[7]4. Directorio Integrado'!$B$4:$N$245,3,0)</f>
        <v>Seguridad Financiera</v>
      </c>
      <c r="E30" s="42" t="str">
        <f>VLOOKUP(Contacts6[[#This Row],[Código Tarea]],'[7]4. Directorio Integrado'!$B$4:$N$245,4,0)</f>
        <v>4.1</v>
      </c>
      <c r="F30" s="42" t="str">
        <f>VLOOKUP(Contacts6[[#This Row],[Código Tarea]],'[7]4. Directorio Integrado'!$B$4:$N$245,5,0)</f>
        <v>Seguridad de la Información electrónica</v>
      </c>
      <c r="G30" s="42" t="str">
        <f>VLOOKUP(Contacts6[[#This Row],[Código Tarea]],'[7]4. Directorio Integrado'!$B$4:$N$245,6,0)</f>
        <v>4.1.4</v>
      </c>
      <c r="H30" s="42" t="str">
        <f>VLOOKUP(Contacts6[[#This Row],[Código Tarea]],'[7]4. Directorio Integrado'!$B$4:$N$245,7,0)</f>
        <v>Revisión hall de servicios</v>
      </c>
      <c r="I30" s="20" t="str">
        <f>'[7]4. Directorio Integrado'!I144</f>
        <v>4.1.4.006</v>
      </c>
      <c r="J30" s="13" t="str">
        <f>VLOOKUP(Contacts6[[#This Row],[Código Tarea]],'[7]4. Directorio Integrado'!I144:J240,2,0)</f>
        <v>Cuenta con pulsador de pánico inalámbrico.</v>
      </c>
      <c r="K30" s="43" t="str">
        <f>VLOOKUP(Contacts6[[#This Row],[Código Tarea]],'[7]4. Directorio Integrado'!$I$4:$M$227,3,0)</f>
        <v>Actividad a Distancia</v>
      </c>
      <c r="L30" s="16" t="str">
        <f>VLOOKUP(Contacts6[[#This Row],[Código Tarea]],'[7]Formato 4 - SGSF'!$B$8:$H$129,3,0)</f>
        <v>X</v>
      </c>
      <c r="M30" s="16">
        <f>VLOOKUP(Contacts6[[#This Row],[Código Tarea]],'[7]Formato 4 - SGSF'!$B$8:$H$129,4,0)</f>
        <v>0</v>
      </c>
      <c r="N30" s="16">
        <f>VLOOKUP(Contacts6[[#This Row],[Código Tarea]],'[7]Formato 4 - SGSF'!$B$8:$H$129,5,0)</f>
        <v>0</v>
      </c>
      <c r="O30" s="16">
        <f>VLOOKUP(Contacts6[[#This Row],[Código Tarea]],'[7]Formato 4 - SGSF'!$B$8:$H$129,6,0)</f>
        <v>0</v>
      </c>
      <c r="P30" s="16">
        <f>VLOOKUP(Contacts6[[#This Row],[Código Tarea]],'[7]Formato 4 - SGSF'!$B$8:$H$129,7,0)</f>
        <v>0</v>
      </c>
      <c r="Q30" s="16">
        <f>VLOOKUP(Contacts6[[#This Row],[Código Tarea]],'[7]Formato 4 - SGSF'!$B$8:$I$129,8,0)</f>
        <v>0</v>
      </c>
      <c r="R30" s="22" t="str">
        <f>VLOOKUP(Contacts6[[#This Row],[Código Tarea]],'[7]4. Directorio Integrado'!$I$4:$M$245,5,0)</f>
        <v>SARO/SGSI/SGSF</v>
      </c>
    </row>
    <row r="31" spans="1:18" s="30" customFormat="1" ht="30" customHeight="1" x14ac:dyDescent="0.35">
      <c r="A31" s="34"/>
      <c r="B31" s="6"/>
      <c r="C31" s="42">
        <f>VLOOKUP(Contacts6[[#This Row],[Código Tarea]],'[7]4. Directorio Integrado'!$B$4:$N$245,2,0)</f>
        <v>4</v>
      </c>
      <c r="D31" s="42" t="str">
        <f>VLOOKUP(Contacts6[[#This Row],[Código Tarea]],'[7]4. Directorio Integrado'!$B$4:$N$245,3,0)</f>
        <v>Seguridad Financiera</v>
      </c>
      <c r="E31" s="42" t="str">
        <f>VLOOKUP(Contacts6[[#This Row],[Código Tarea]],'[7]4. Directorio Integrado'!$B$4:$N$245,4,0)</f>
        <v>4.1</v>
      </c>
      <c r="F31" s="42" t="str">
        <f>VLOOKUP(Contacts6[[#This Row],[Código Tarea]],'[7]4. Directorio Integrado'!$B$4:$N$245,5,0)</f>
        <v>Seguridad de la Información electrónica</v>
      </c>
      <c r="G31" s="42" t="str">
        <f>VLOOKUP(Contacts6[[#This Row],[Código Tarea]],'[7]4. Directorio Integrado'!$B$4:$N$245,6,0)</f>
        <v>4.1.4</v>
      </c>
      <c r="H31" s="42" t="str">
        <f>VLOOKUP(Contacts6[[#This Row],[Código Tarea]],'[7]4. Directorio Integrado'!$B$4:$N$245,7,0)</f>
        <v>Revisión hall de servicios</v>
      </c>
      <c r="I31" s="20" t="str">
        <f>'[7]4. Directorio Integrado'!I145</f>
        <v>4.1.4.007</v>
      </c>
      <c r="J31" s="13" t="str">
        <f>VLOOKUP(Contacts6[[#This Row],[Código Tarea]],'[7]4. Directorio Integrado'!I145:J241,2,0)</f>
        <v>Cuenta con sensores de choque.</v>
      </c>
      <c r="K31" s="43" t="str">
        <f>VLOOKUP(Contacts6[[#This Row],[Código Tarea]],'[7]4. Directorio Integrado'!$I$4:$M$227,3,0)</f>
        <v>Presencial</v>
      </c>
      <c r="L31" s="16" t="str">
        <f>VLOOKUP(Contacts6[[#This Row],[Código Tarea]],'[7]Formato 4 - SGSF'!$B$8:$H$129,3,0)</f>
        <v>X</v>
      </c>
      <c r="M31" s="16">
        <f>VLOOKUP(Contacts6[[#This Row],[Código Tarea]],'[7]Formato 4 - SGSF'!$B$8:$H$129,4,0)</f>
        <v>0</v>
      </c>
      <c r="N31" s="16">
        <f>VLOOKUP(Contacts6[[#This Row],[Código Tarea]],'[7]Formato 4 - SGSF'!$B$8:$H$129,5,0)</f>
        <v>0</v>
      </c>
      <c r="O31" s="16">
        <f>VLOOKUP(Contacts6[[#This Row],[Código Tarea]],'[7]Formato 4 - SGSF'!$B$8:$H$129,6,0)</f>
        <v>0</v>
      </c>
      <c r="P31" s="16">
        <f>VLOOKUP(Contacts6[[#This Row],[Código Tarea]],'[7]Formato 4 - SGSF'!$B$8:$H$129,7,0)</f>
        <v>0</v>
      </c>
      <c r="Q31" s="16">
        <f>VLOOKUP(Contacts6[[#This Row],[Código Tarea]],'[7]Formato 4 - SGSF'!$B$8:$I$129,8,0)</f>
        <v>0</v>
      </c>
      <c r="R31" s="22" t="str">
        <f>VLOOKUP(Contacts6[[#This Row],[Código Tarea]],'[7]4. Directorio Integrado'!$I$4:$M$245,5,0)</f>
        <v>SARO/SGSI/SGSF</v>
      </c>
    </row>
    <row r="32" spans="1:18" s="30" customFormat="1" ht="30" customHeight="1" x14ac:dyDescent="0.35">
      <c r="A32" s="34"/>
      <c r="B32" s="6"/>
      <c r="C32" s="42">
        <f>VLOOKUP(Contacts6[[#This Row],[Código Tarea]],'[7]4. Directorio Integrado'!$B$4:$N$245,2,0)</f>
        <v>4</v>
      </c>
      <c r="D32" s="42" t="str">
        <f>VLOOKUP(Contacts6[[#This Row],[Código Tarea]],'[7]4. Directorio Integrado'!$B$4:$N$245,3,0)</f>
        <v>Seguridad Financiera</v>
      </c>
      <c r="E32" s="42" t="str">
        <f>VLOOKUP(Contacts6[[#This Row],[Código Tarea]],'[7]4. Directorio Integrado'!$B$4:$N$245,4,0)</f>
        <v>4.1</v>
      </c>
      <c r="F32" s="42" t="str">
        <f>VLOOKUP(Contacts6[[#This Row],[Código Tarea]],'[7]4. Directorio Integrado'!$B$4:$N$245,5,0)</f>
        <v>Seguridad de la Información electrónica</v>
      </c>
      <c r="G32" s="42" t="str">
        <f>VLOOKUP(Contacts6[[#This Row],[Código Tarea]],'[7]4. Directorio Integrado'!$B$4:$N$245,6,0)</f>
        <v>4.1.4</v>
      </c>
      <c r="H32" s="42" t="str">
        <f>VLOOKUP(Contacts6[[#This Row],[Código Tarea]],'[7]4. Directorio Integrado'!$B$4:$N$245,7,0)</f>
        <v>Revisión hall de servicios</v>
      </c>
      <c r="I32" s="20" t="str">
        <f>'[7]4. Directorio Integrado'!I146</f>
        <v>4.1.4.008</v>
      </c>
      <c r="J32" s="13" t="str">
        <f>VLOOKUP(Contacts6[[#This Row],[Código Tarea]],'[7]4. Directorio Integrado'!I146:J242,2,0)</f>
        <v>Cuenta con cámara de cctv cubrimiento es óptimo.</v>
      </c>
      <c r="K32" s="43" t="str">
        <f>VLOOKUP(Contacts6[[#This Row],[Código Tarea]],'[7]4. Directorio Integrado'!$I$4:$M$227,3,0)</f>
        <v>Actividad a Distancia</v>
      </c>
      <c r="L32" s="16" t="str">
        <f>VLOOKUP(Contacts6[[#This Row],[Código Tarea]],'[7]Formato 4 - SGSF'!$B$8:$H$129,3,0)</f>
        <v>X</v>
      </c>
      <c r="M32" s="16">
        <f>VLOOKUP(Contacts6[[#This Row],[Código Tarea]],'[7]Formato 4 - SGSF'!$B$8:$H$129,4,0)</f>
        <v>0</v>
      </c>
      <c r="N32" s="16">
        <f>VLOOKUP(Contacts6[[#This Row],[Código Tarea]],'[7]Formato 4 - SGSF'!$B$8:$H$129,5,0)</f>
        <v>0</v>
      </c>
      <c r="O32" s="16">
        <f>VLOOKUP(Contacts6[[#This Row],[Código Tarea]],'[7]Formato 4 - SGSF'!$B$8:$H$129,6,0)</f>
        <v>0</v>
      </c>
      <c r="P32" s="16">
        <f>VLOOKUP(Contacts6[[#This Row],[Código Tarea]],'[7]Formato 4 - SGSF'!$B$8:$H$129,7,0)</f>
        <v>0</v>
      </c>
      <c r="Q32" s="16">
        <f>VLOOKUP(Contacts6[[#This Row],[Código Tarea]],'[7]Formato 4 - SGSF'!$B$8:$I$129,8,0)</f>
        <v>0</v>
      </c>
      <c r="R32" s="22" t="str">
        <f>VLOOKUP(Contacts6[[#This Row],[Código Tarea]],'[7]4. Directorio Integrado'!$I$4:$M$245,5,0)</f>
        <v>SARO/SGSI/SGSF</v>
      </c>
    </row>
    <row r="33" spans="1:18" s="30" customFormat="1" ht="30" customHeight="1" x14ac:dyDescent="0.35">
      <c r="A33" s="34"/>
      <c r="B33" s="6"/>
      <c r="C33" s="42">
        <f>VLOOKUP(Contacts6[[#This Row],[Código Tarea]],'[7]4. Directorio Integrado'!$B$4:$N$245,2,0)</f>
        <v>4</v>
      </c>
      <c r="D33" s="42" t="str">
        <f>VLOOKUP(Contacts6[[#This Row],[Código Tarea]],'[7]4. Directorio Integrado'!$B$4:$N$245,3,0)</f>
        <v>Seguridad Financiera</v>
      </c>
      <c r="E33" s="42" t="str">
        <f>VLOOKUP(Contacts6[[#This Row],[Código Tarea]],'[7]4. Directorio Integrado'!$B$4:$N$245,4,0)</f>
        <v>4.1</v>
      </c>
      <c r="F33" s="42" t="str">
        <f>VLOOKUP(Contacts6[[#This Row],[Código Tarea]],'[7]4. Directorio Integrado'!$B$4:$N$245,5,0)</f>
        <v>Seguridad de la Información electrónica</v>
      </c>
      <c r="G33" s="42" t="str">
        <f>VLOOKUP(Contacts6[[#This Row],[Código Tarea]],'[7]4. Directorio Integrado'!$B$4:$N$245,6,0)</f>
        <v>4.1.5</v>
      </c>
      <c r="H33" s="42" t="str">
        <f>VLOOKUP(Contacts6[[#This Row],[Código Tarea]],'[7]4. Directorio Integrado'!$B$4:$N$245,7,0)</f>
        <v>Revisión otras zonas de la oficina</v>
      </c>
      <c r="I33" s="20" t="str">
        <f>'[7]4. Directorio Integrado'!I147</f>
        <v>4.1.5.001</v>
      </c>
      <c r="J33" s="13" t="str">
        <f>VLOOKUP(Contacts6[[#This Row],[Código Tarea]],'[7]4. Directorio Integrado'!I147:J243,2,0)</f>
        <v>Los baños y cocina cuenta con pulsadores de pánico fijo.</v>
      </c>
      <c r="K33" s="43" t="str">
        <f>VLOOKUP(Contacts6[[#This Row],[Código Tarea]],'[7]4. Directorio Integrado'!$I$4:$M$227,3,0)</f>
        <v>Actividad a Distancia</v>
      </c>
      <c r="L33" s="16" t="str">
        <f>VLOOKUP(Contacts6[[#This Row],[Código Tarea]],'[7]Formato 4 - SGSF'!$B$8:$H$129,3,0)</f>
        <v>X</v>
      </c>
      <c r="M33" s="16">
        <f>VLOOKUP(Contacts6[[#This Row],[Código Tarea]],'[7]Formato 4 - SGSF'!$B$8:$H$129,4,0)</f>
        <v>0</v>
      </c>
      <c r="N33" s="16">
        <f>VLOOKUP(Contacts6[[#This Row],[Código Tarea]],'[7]Formato 4 - SGSF'!$B$8:$H$129,5,0)</f>
        <v>0</v>
      </c>
      <c r="O33" s="16">
        <f>VLOOKUP(Contacts6[[#This Row],[Código Tarea]],'[7]Formato 4 - SGSF'!$B$8:$H$129,6,0)</f>
        <v>0</v>
      </c>
      <c r="P33" s="16">
        <f>VLOOKUP(Contacts6[[#This Row],[Código Tarea]],'[7]Formato 4 - SGSF'!$B$8:$H$129,7,0)</f>
        <v>0</v>
      </c>
      <c r="Q33" s="16">
        <f>VLOOKUP(Contacts6[[#This Row],[Código Tarea]],'[7]Formato 4 - SGSF'!$B$8:$I$129,8,0)</f>
        <v>0</v>
      </c>
      <c r="R33" s="22" t="str">
        <f>VLOOKUP(Contacts6[[#This Row],[Código Tarea]],'[7]4. Directorio Integrado'!$I$4:$M$245,5,0)</f>
        <v>SARO/SGSF</v>
      </c>
    </row>
    <row r="34" spans="1:18" s="30" customFormat="1" ht="30" customHeight="1" x14ac:dyDescent="0.35">
      <c r="A34" s="34"/>
      <c r="B34" s="6"/>
      <c r="C34" s="42">
        <f>VLOOKUP(Contacts6[[#This Row],[Código Tarea]],'[7]4. Directorio Integrado'!$B$4:$N$245,2,0)</f>
        <v>4</v>
      </c>
      <c r="D34" s="42" t="str">
        <f>VLOOKUP(Contacts6[[#This Row],[Código Tarea]],'[7]4. Directorio Integrado'!$B$4:$N$245,3,0)</f>
        <v>Seguridad Financiera</v>
      </c>
      <c r="E34" s="42" t="str">
        <f>VLOOKUP(Contacts6[[#This Row],[Código Tarea]],'[7]4. Directorio Integrado'!$B$4:$N$245,4,0)</f>
        <v>4.1</v>
      </c>
      <c r="F34" s="42" t="str">
        <f>VLOOKUP(Contacts6[[#This Row],[Código Tarea]],'[7]4. Directorio Integrado'!$B$4:$N$245,5,0)</f>
        <v>Seguridad de la Información electrónica</v>
      </c>
      <c r="G34" s="42" t="str">
        <f>VLOOKUP(Contacts6[[#This Row],[Código Tarea]],'[7]4. Directorio Integrado'!$B$4:$N$245,6,0)</f>
        <v>4.1.5</v>
      </c>
      <c r="H34" s="42" t="str">
        <f>VLOOKUP(Contacts6[[#This Row],[Código Tarea]],'[7]4. Directorio Integrado'!$B$4:$N$245,7,0)</f>
        <v>Revisión otras zonas de la oficina</v>
      </c>
      <c r="I34" s="20" t="str">
        <f>'[7]4. Directorio Integrado'!I148</f>
        <v>4.1.5.002</v>
      </c>
      <c r="J34" s="13" t="str">
        <f>VLOOKUP(Contacts6[[#This Row],[Código Tarea]],'[7]4. Directorio Integrado'!I148:J244,2,0)</f>
        <v>Área de archivo, papeleria, otros cuentan con dispositivos de alarma adecuados</v>
      </c>
      <c r="K34" s="43" t="str">
        <f>VLOOKUP(Contacts6[[#This Row],[Código Tarea]],'[7]4. Directorio Integrado'!$I$4:$M$227,3,0)</f>
        <v>Actividad a Distancia</v>
      </c>
      <c r="L34" s="16" t="str">
        <f>VLOOKUP(Contacts6[[#This Row],[Código Tarea]],'[7]Formato 4 - SGSF'!$B$8:$H$129,3,0)</f>
        <v>X</v>
      </c>
      <c r="M34" s="16">
        <f>VLOOKUP(Contacts6[[#This Row],[Código Tarea]],'[7]Formato 4 - SGSF'!$B$8:$H$129,4,0)</f>
        <v>0</v>
      </c>
      <c r="N34" s="16">
        <f>VLOOKUP(Contacts6[[#This Row],[Código Tarea]],'[7]Formato 4 - SGSF'!$B$8:$H$129,5,0)</f>
        <v>0</v>
      </c>
      <c r="O34" s="16">
        <f>VLOOKUP(Contacts6[[#This Row],[Código Tarea]],'[7]Formato 4 - SGSF'!$B$8:$H$129,6,0)</f>
        <v>0</v>
      </c>
      <c r="P34" s="16">
        <f>VLOOKUP(Contacts6[[#This Row],[Código Tarea]],'[7]Formato 4 - SGSF'!$B$8:$H$129,7,0)</f>
        <v>0</v>
      </c>
      <c r="Q34" s="16">
        <f>VLOOKUP(Contacts6[[#This Row],[Código Tarea]],'[7]Formato 4 - SGSF'!$B$8:$I$129,8,0)</f>
        <v>0</v>
      </c>
      <c r="R34" s="22" t="str">
        <f>VLOOKUP(Contacts6[[#This Row],[Código Tarea]],'[7]4. Directorio Integrado'!$I$4:$M$245,5,0)</f>
        <v>SARO/SGSF</v>
      </c>
    </row>
    <row r="35" spans="1:18" s="30" customFormat="1" ht="30" customHeight="1" x14ac:dyDescent="0.35">
      <c r="A35" s="34"/>
      <c r="B35" s="6"/>
      <c r="C35" s="42">
        <f>VLOOKUP(Contacts6[[#This Row],[Código Tarea]],'[7]4. Directorio Integrado'!$B$4:$N$245,2,0)</f>
        <v>4</v>
      </c>
      <c r="D35" s="42" t="str">
        <f>VLOOKUP(Contacts6[[#This Row],[Código Tarea]],'[7]4. Directorio Integrado'!$B$4:$N$245,3,0)</f>
        <v>Seguridad Financiera</v>
      </c>
      <c r="E35" s="42" t="str">
        <f>VLOOKUP(Contacts6[[#This Row],[Código Tarea]],'[7]4. Directorio Integrado'!$B$4:$N$245,4,0)</f>
        <v>4.1</v>
      </c>
      <c r="F35" s="42" t="str">
        <f>VLOOKUP(Contacts6[[#This Row],[Código Tarea]],'[7]4. Directorio Integrado'!$B$4:$N$245,5,0)</f>
        <v>Seguridad de la Información electrónica</v>
      </c>
      <c r="G35" s="42" t="str">
        <f>VLOOKUP(Contacts6[[#This Row],[Código Tarea]],'[7]4. Directorio Integrado'!$B$4:$N$245,6,0)</f>
        <v>4.1.5</v>
      </c>
      <c r="H35" s="42" t="str">
        <f>VLOOKUP(Contacts6[[#This Row],[Código Tarea]],'[7]4. Directorio Integrado'!$B$4:$N$245,7,0)</f>
        <v>Revisión otras zonas de la oficina</v>
      </c>
      <c r="I35" s="20" t="str">
        <f>'[7]4. Directorio Integrado'!I149</f>
        <v>4.1.5.003</v>
      </c>
      <c r="J35" s="13" t="str">
        <f>VLOOKUP(Contacts6[[#This Row],[Código Tarea]],'[7]4. Directorio Integrado'!I149:J245,2,0)</f>
        <v>Cuenta con DVR y el sistema transmite y adelanta grabación.</v>
      </c>
      <c r="K35" s="43" t="str">
        <f>VLOOKUP(Contacts6[[#This Row],[Código Tarea]],'[7]4. Directorio Integrado'!$I$4:$M$227,3,0)</f>
        <v>Actividad a Distancia</v>
      </c>
      <c r="L35" s="16" t="str">
        <f>VLOOKUP(Contacts6[[#This Row],[Código Tarea]],'[7]Formato 4 - SGSF'!$B$8:$H$129,3,0)</f>
        <v>X</v>
      </c>
      <c r="M35" s="16">
        <f>VLOOKUP(Contacts6[[#This Row],[Código Tarea]],'[7]Formato 4 - SGSF'!$B$8:$H$129,4,0)</f>
        <v>0</v>
      </c>
      <c r="N35" s="16">
        <f>VLOOKUP(Contacts6[[#This Row],[Código Tarea]],'[7]Formato 4 - SGSF'!$B$8:$H$129,5,0)</f>
        <v>0</v>
      </c>
      <c r="O35" s="16">
        <f>VLOOKUP(Contacts6[[#This Row],[Código Tarea]],'[7]Formato 4 - SGSF'!$B$8:$H$129,6,0)</f>
        <v>0</v>
      </c>
      <c r="P35" s="16">
        <f>VLOOKUP(Contacts6[[#This Row],[Código Tarea]],'[7]Formato 4 - SGSF'!$B$8:$H$129,7,0)</f>
        <v>0</v>
      </c>
      <c r="Q35" s="16">
        <f>VLOOKUP(Contacts6[[#This Row],[Código Tarea]],'[7]Formato 4 - SGSF'!$B$8:$I$129,8,0)</f>
        <v>0</v>
      </c>
      <c r="R35" s="22" t="str">
        <f>VLOOKUP(Contacts6[[#This Row],[Código Tarea]],'[7]4. Directorio Integrado'!$I$4:$M$245,5,0)</f>
        <v>SARO/SGSI/SGSF</v>
      </c>
    </row>
    <row r="36" spans="1:18" s="30" customFormat="1" ht="30" customHeight="1" x14ac:dyDescent="0.35">
      <c r="A36" s="34"/>
      <c r="B36" s="6"/>
      <c r="C36" s="42">
        <f>VLOOKUP(Contacts6[[#This Row],[Código Tarea]],'[7]4. Directorio Integrado'!$B$4:$N$245,2,0)</f>
        <v>4</v>
      </c>
      <c r="D36" s="42" t="str">
        <f>VLOOKUP(Contacts6[[#This Row],[Código Tarea]],'[7]4. Directorio Integrado'!$B$4:$N$245,3,0)</f>
        <v>Seguridad Financiera</v>
      </c>
      <c r="E36" s="42" t="str">
        <f>VLOOKUP(Contacts6[[#This Row],[Código Tarea]],'[7]4. Directorio Integrado'!$B$4:$N$245,4,0)</f>
        <v>4.2</v>
      </c>
      <c r="F36" s="42" t="str">
        <f>VLOOKUP(Contacts6[[#This Row],[Código Tarea]],'[7]4. Directorio Integrado'!$B$4:$N$245,5,0)</f>
        <v>Seguridad de la Información física</v>
      </c>
      <c r="G36" s="42" t="str">
        <f>VLOOKUP(Contacts6[[#This Row],[Código Tarea]],'[7]4. Directorio Integrado'!$B$4:$N$245,6,0)</f>
        <v>4.2.1</v>
      </c>
      <c r="H36" s="42" t="str">
        <f>VLOOKUP(Contacts6[[#This Row],[Código Tarea]],'[7]4. Directorio Integrado'!$B$4:$N$245,7,0)</f>
        <v>Revisión área de bóveda</v>
      </c>
      <c r="I36" s="20" t="str">
        <f>'[7]4. Directorio Integrado'!I150</f>
        <v>4.2.1.001</v>
      </c>
      <c r="J36" s="13" t="str">
        <f>VLOOKUP(Contacts6[[#This Row],[Código Tarea]],'[7]4. Directorio Integrado'!I150:J246,2,0)</f>
        <v>El área de bóveda cuenta con cuarto de conteo y este cuenta con  puerta metálica anclada, cerradura y ventanilla con vidrio de Seguridad de la Información, pasador interno y brazo hidráulico.</v>
      </c>
      <c r="K36" s="43" t="str">
        <f>VLOOKUP(Contacts6[[#This Row],[Código Tarea]],'[7]4. Directorio Integrado'!$I$4:$M$227,3,0)</f>
        <v>Presencial</v>
      </c>
      <c r="L36" s="16">
        <f>VLOOKUP(Contacts6[[#This Row],[Código Tarea]],'[7]Formato 4 - SGSF'!$B$8:$H$129,3,0)</f>
        <v>0</v>
      </c>
      <c r="M36" s="16" t="str">
        <f>VLOOKUP(Contacts6[[#This Row],[Código Tarea]],'[7]Formato 4 - SGSF'!$B$8:$H$129,4,0)</f>
        <v>X</v>
      </c>
      <c r="N36" s="16">
        <f>VLOOKUP(Contacts6[[#This Row],[Código Tarea]],'[7]Formato 4 - SGSF'!$B$8:$H$129,5,0)</f>
        <v>0</v>
      </c>
      <c r="O36" s="16">
        <f>VLOOKUP(Contacts6[[#This Row],[Código Tarea]],'[7]Formato 4 - SGSF'!$B$8:$H$129,6,0)</f>
        <v>0</v>
      </c>
      <c r="P36" s="16">
        <f>VLOOKUP(Contacts6[[#This Row],[Código Tarea]],'[7]Formato 4 - SGSF'!$B$8:$H$129,7,0)</f>
        <v>0</v>
      </c>
      <c r="Q36" s="16">
        <f>VLOOKUP(Contacts6[[#This Row],[Código Tarea]],'[7]Formato 4 - SGSF'!$B$8:$I$129,8,0)</f>
        <v>0</v>
      </c>
      <c r="R36" s="22" t="str">
        <f>VLOOKUP(Contacts6[[#This Row],[Código Tarea]],'[7]4. Directorio Integrado'!$I$4:$M$245,5,0)</f>
        <v>SARO/SGSI/SGSF</v>
      </c>
    </row>
    <row r="37" spans="1:18" s="30" customFormat="1" ht="30" customHeight="1" x14ac:dyDescent="0.35">
      <c r="A37" s="34"/>
      <c r="B37" s="6"/>
      <c r="C37" s="42">
        <f>VLOOKUP(Contacts6[[#This Row],[Código Tarea]],'[7]4. Directorio Integrado'!$B$4:$N$245,2,0)</f>
        <v>4</v>
      </c>
      <c r="D37" s="42" t="str">
        <f>VLOOKUP(Contacts6[[#This Row],[Código Tarea]],'[7]4. Directorio Integrado'!$B$4:$N$245,3,0)</f>
        <v>Seguridad Financiera</v>
      </c>
      <c r="E37" s="42" t="str">
        <f>VLOOKUP(Contacts6[[#This Row],[Código Tarea]],'[7]4. Directorio Integrado'!$B$4:$N$245,4,0)</f>
        <v>4.2</v>
      </c>
      <c r="F37" s="42" t="str">
        <f>VLOOKUP(Contacts6[[#This Row],[Código Tarea]],'[7]4. Directorio Integrado'!$B$4:$N$245,5,0)</f>
        <v>Seguridad de la Información física</v>
      </c>
      <c r="G37" s="42" t="str">
        <f>VLOOKUP(Contacts6[[#This Row],[Código Tarea]],'[7]4. Directorio Integrado'!$B$4:$N$245,6,0)</f>
        <v>4.2.1</v>
      </c>
      <c r="H37" s="42" t="str">
        <f>VLOOKUP(Contacts6[[#This Row],[Código Tarea]],'[7]4. Directorio Integrado'!$B$4:$N$245,7,0)</f>
        <v>Revisión área de bóveda</v>
      </c>
      <c r="I37" s="20" t="str">
        <f>'[7]4. Directorio Integrado'!I151</f>
        <v>4.2.1.002</v>
      </c>
      <c r="J37" s="13" t="str">
        <f>VLOOKUP(Contacts6[[#This Row],[Código Tarea]],'[7]4. Directorio Integrado'!I151:J247,2,0)</f>
        <v>El cuarto de bóveda cuenta con doble muro o es reforzado.</v>
      </c>
      <c r="K37" s="43" t="str">
        <f>VLOOKUP(Contacts6[[#This Row],[Código Tarea]],'[7]4. Directorio Integrado'!$I$4:$M$227,3,0)</f>
        <v>Presencial</v>
      </c>
      <c r="L37" s="16" t="str">
        <f>VLOOKUP(Contacts6[[#This Row],[Código Tarea]],'[7]Formato 4 - SGSF'!$B$8:$H$129,3,0)</f>
        <v>x</v>
      </c>
      <c r="M37" s="16">
        <f>VLOOKUP(Contacts6[[#This Row],[Código Tarea]],'[7]Formato 4 - SGSF'!$B$8:$H$129,4,0)</f>
        <v>0</v>
      </c>
      <c r="N37" s="16">
        <f>VLOOKUP(Contacts6[[#This Row],[Código Tarea]],'[7]Formato 4 - SGSF'!$B$8:$H$129,5,0)</f>
        <v>0</v>
      </c>
      <c r="O37" s="16">
        <f>VLOOKUP(Contacts6[[#This Row],[Código Tarea]],'[7]Formato 4 - SGSF'!$B$8:$H$129,6,0)</f>
        <v>0</v>
      </c>
      <c r="P37" s="16">
        <f>VLOOKUP(Contacts6[[#This Row],[Código Tarea]],'[7]Formato 4 - SGSF'!$B$8:$H$129,7,0)</f>
        <v>0</v>
      </c>
      <c r="Q37" s="16">
        <f>VLOOKUP(Contacts6[[#This Row],[Código Tarea]],'[7]Formato 4 - SGSF'!$B$8:$I$129,8,0)</f>
        <v>0</v>
      </c>
      <c r="R37" s="22" t="str">
        <f>VLOOKUP(Contacts6[[#This Row],[Código Tarea]],'[7]4. Directorio Integrado'!$I$4:$M$245,5,0)</f>
        <v>SARO/SGSI/SGSF</v>
      </c>
    </row>
    <row r="38" spans="1:18" s="30" customFormat="1" ht="30" customHeight="1" x14ac:dyDescent="0.35">
      <c r="A38" s="34"/>
      <c r="B38" s="6"/>
      <c r="C38" s="42">
        <f>VLOOKUP(Contacts6[[#This Row],[Código Tarea]],'[7]4. Directorio Integrado'!$B$4:$N$245,2,0)</f>
        <v>4</v>
      </c>
      <c r="D38" s="42" t="str">
        <f>VLOOKUP(Contacts6[[#This Row],[Código Tarea]],'[7]4. Directorio Integrado'!$B$4:$N$245,3,0)</f>
        <v>Seguridad Financiera</v>
      </c>
      <c r="E38" s="42" t="str">
        <f>VLOOKUP(Contacts6[[#This Row],[Código Tarea]],'[7]4. Directorio Integrado'!$B$4:$N$245,4,0)</f>
        <v>4.2</v>
      </c>
      <c r="F38" s="42" t="str">
        <f>VLOOKUP(Contacts6[[#This Row],[Código Tarea]],'[7]4. Directorio Integrado'!$B$4:$N$245,5,0)</f>
        <v>Seguridad de la Información física</v>
      </c>
      <c r="G38" s="42" t="str">
        <f>VLOOKUP(Contacts6[[#This Row],[Código Tarea]],'[7]4. Directorio Integrado'!$B$4:$N$245,6,0)</f>
        <v>4.2.1</v>
      </c>
      <c r="H38" s="42" t="str">
        <f>VLOOKUP(Contacts6[[#This Row],[Código Tarea]],'[7]4. Directorio Integrado'!$B$4:$N$245,7,0)</f>
        <v>Revisión área de bóveda</v>
      </c>
      <c r="I38" s="20" t="str">
        <f>'[7]4. Directorio Integrado'!I152</f>
        <v>4.2.1.003</v>
      </c>
      <c r="J38" s="13" t="str">
        <f>VLOOKUP(Contacts6[[#This Row],[Código Tarea]],'[7]4. Directorio Integrado'!I152:J248,2,0)</f>
        <v>El techo del cuarto de bóveda cuenta con placa de concreto.</v>
      </c>
      <c r="K38" s="43" t="str">
        <f>VLOOKUP(Contacts6[[#This Row],[Código Tarea]],'[7]4. Directorio Integrado'!$I$4:$M$227,3,0)</f>
        <v>Presencial</v>
      </c>
      <c r="L38" s="16">
        <f>VLOOKUP(Contacts6[[#This Row],[Código Tarea]],'[7]Formato 4 - SGSF'!$B$8:$H$129,3,0)</f>
        <v>0</v>
      </c>
      <c r="M38" s="16" t="str">
        <f>VLOOKUP(Contacts6[[#This Row],[Código Tarea]],'[7]Formato 4 - SGSF'!$B$8:$H$129,4,0)</f>
        <v>X</v>
      </c>
      <c r="N38" s="16">
        <f>VLOOKUP(Contacts6[[#This Row],[Código Tarea]],'[7]Formato 4 - SGSF'!$B$8:$H$129,5,0)</f>
        <v>0</v>
      </c>
      <c r="O38" s="16">
        <f>VLOOKUP(Contacts6[[#This Row],[Código Tarea]],'[7]Formato 4 - SGSF'!$B$8:$H$129,6,0)</f>
        <v>0</v>
      </c>
      <c r="P38" s="16">
        <f>VLOOKUP(Contacts6[[#This Row],[Código Tarea]],'[7]Formato 4 - SGSF'!$B$8:$H$129,7,0)</f>
        <v>0</v>
      </c>
      <c r="Q38" s="16">
        <f>VLOOKUP(Contacts6[[#This Row],[Código Tarea]],'[7]Formato 4 - SGSF'!$B$8:$I$129,8,0)</f>
        <v>0</v>
      </c>
      <c r="R38" s="22" t="str">
        <f>VLOOKUP(Contacts6[[#This Row],[Código Tarea]],'[7]4. Directorio Integrado'!$I$4:$M$245,5,0)</f>
        <v>SARO/SGSI/SGSF</v>
      </c>
    </row>
    <row r="39" spans="1:18" s="30" customFormat="1" ht="30" customHeight="1" x14ac:dyDescent="0.35">
      <c r="A39" s="34"/>
      <c r="B39" s="6"/>
      <c r="C39" s="42">
        <f>VLOOKUP(Contacts6[[#This Row],[Código Tarea]],'[7]4. Directorio Integrado'!$B$4:$N$245,2,0)</f>
        <v>4</v>
      </c>
      <c r="D39" s="42" t="str">
        <f>VLOOKUP(Contacts6[[#This Row],[Código Tarea]],'[7]4. Directorio Integrado'!$B$4:$N$245,3,0)</f>
        <v>Seguridad Financiera</v>
      </c>
      <c r="E39" s="42" t="str">
        <f>VLOOKUP(Contacts6[[#This Row],[Código Tarea]],'[7]4. Directorio Integrado'!$B$4:$N$245,4,0)</f>
        <v>4.2</v>
      </c>
      <c r="F39" s="42" t="str">
        <f>VLOOKUP(Contacts6[[#This Row],[Código Tarea]],'[7]4. Directorio Integrado'!$B$4:$N$245,5,0)</f>
        <v>Seguridad de la Información física</v>
      </c>
      <c r="G39" s="42" t="str">
        <f>VLOOKUP(Contacts6[[#This Row],[Código Tarea]],'[7]4. Directorio Integrado'!$B$4:$N$245,6,0)</f>
        <v>4.2.1</v>
      </c>
      <c r="H39" s="42" t="str">
        <f>VLOOKUP(Contacts6[[#This Row],[Código Tarea]],'[7]4. Directorio Integrado'!$B$4:$N$245,7,0)</f>
        <v>Revisión área de bóveda</v>
      </c>
      <c r="I39" s="20" t="str">
        <f>'[7]4. Directorio Integrado'!I153</f>
        <v>4.2.1.004</v>
      </c>
      <c r="J39" s="13" t="str">
        <f>VLOOKUP(Contacts6[[#This Row],[Código Tarea]],'[7]4. Directorio Integrado'!I153:J249,2,0)</f>
        <v>Cuenta con cofre de bóveda, este tiene dial mecánico y digitales temporizados.</v>
      </c>
      <c r="K39" s="43" t="str">
        <f>VLOOKUP(Contacts6[[#This Row],[Código Tarea]],'[7]4. Directorio Integrado'!$I$4:$M$227,3,0)</f>
        <v>Presencial</v>
      </c>
      <c r="L39" s="16">
        <f>VLOOKUP(Contacts6[[#This Row],[Código Tarea]],'[7]Formato 4 - SGSF'!$B$8:$H$129,3,0)</f>
        <v>0</v>
      </c>
      <c r="M39" s="16" t="str">
        <f>VLOOKUP(Contacts6[[#This Row],[Código Tarea]],'[7]Formato 4 - SGSF'!$B$8:$H$129,4,0)</f>
        <v>X</v>
      </c>
      <c r="N39" s="16">
        <f>VLOOKUP(Contacts6[[#This Row],[Código Tarea]],'[7]Formato 4 - SGSF'!$B$8:$H$129,5,0)</f>
        <v>0</v>
      </c>
      <c r="O39" s="16">
        <f>VLOOKUP(Contacts6[[#This Row],[Código Tarea]],'[7]Formato 4 - SGSF'!$B$8:$H$129,6,0)</f>
        <v>0</v>
      </c>
      <c r="P39" s="16">
        <f>VLOOKUP(Contacts6[[#This Row],[Código Tarea]],'[7]Formato 4 - SGSF'!$B$8:$H$129,7,0)</f>
        <v>0</v>
      </c>
      <c r="Q39" s="16">
        <f>VLOOKUP(Contacts6[[#This Row],[Código Tarea]],'[7]Formato 4 - SGSF'!$B$8:$I$129,8,0)</f>
        <v>0</v>
      </c>
      <c r="R39" s="22" t="str">
        <f>VLOOKUP(Contacts6[[#This Row],[Código Tarea]],'[7]4. Directorio Integrado'!$I$4:$M$245,5,0)</f>
        <v>SARO/SGSI/SGSF</v>
      </c>
    </row>
    <row r="40" spans="1:18" s="30" customFormat="1" ht="30" customHeight="1" x14ac:dyDescent="0.35">
      <c r="A40" s="34"/>
      <c r="B40" s="6"/>
      <c r="C40" s="42">
        <f>VLOOKUP(Contacts6[[#This Row],[Código Tarea]],'[7]4. Directorio Integrado'!$B$4:$N$245,2,0)</f>
        <v>4</v>
      </c>
      <c r="D40" s="42" t="str">
        <f>VLOOKUP(Contacts6[[#This Row],[Código Tarea]],'[7]4. Directorio Integrado'!$B$4:$N$245,3,0)</f>
        <v>Seguridad Financiera</v>
      </c>
      <c r="E40" s="42" t="str">
        <f>VLOOKUP(Contacts6[[#This Row],[Código Tarea]],'[7]4. Directorio Integrado'!$B$4:$N$245,4,0)</f>
        <v>4.2</v>
      </c>
      <c r="F40" s="42" t="str">
        <f>VLOOKUP(Contacts6[[#This Row],[Código Tarea]],'[7]4. Directorio Integrado'!$B$4:$N$245,5,0)</f>
        <v>Seguridad de la Información física</v>
      </c>
      <c r="G40" s="42" t="str">
        <f>VLOOKUP(Contacts6[[#This Row],[Código Tarea]],'[7]4. Directorio Integrado'!$B$4:$N$245,6,0)</f>
        <v>4.2.1</v>
      </c>
      <c r="H40" s="42" t="str">
        <f>VLOOKUP(Contacts6[[#This Row],[Código Tarea]],'[7]4. Directorio Integrado'!$B$4:$N$245,7,0)</f>
        <v>Revisión área de bóveda</v>
      </c>
      <c r="I40" s="20" t="str">
        <f>'[7]4. Directorio Integrado'!I154</f>
        <v>4.2.1.005</v>
      </c>
      <c r="J40" s="13" t="str">
        <f>VLOOKUP(Contacts6[[#This Row],[Código Tarea]],'[7]4. Directorio Integrado'!I154:J250,2,0)</f>
        <v>El cuarto cuenta con ductos de ventilación, y pasafajos.</v>
      </c>
      <c r="K40" s="43" t="str">
        <f>VLOOKUP(Contacts6[[#This Row],[Código Tarea]],'[7]4. Directorio Integrado'!$I$4:$M$227,3,0)</f>
        <v>Presencial</v>
      </c>
      <c r="L40" s="16">
        <f>VLOOKUP(Contacts6[[#This Row],[Código Tarea]],'[7]Formato 4 - SGSF'!$B$8:$H$129,3,0)</f>
        <v>0</v>
      </c>
      <c r="M40" s="16" t="str">
        <f>VLOOKUP(Contacts6[[#This Row],[Código Tarea]],'[7]Formato 4 - SGSF'!$B$8:$H$129,4,0)</f>
        <v>X</v>
      </c>
      <c r="N40" s="16">
        <f>VLOOKUP(Contacts6[[#This Row],[Código Tarea]],'[7]Formato 4 - SGSF'!$B$8:$H$129,5,0)</f>
        <v>0</v>
      </c>
      <c r="O40" s="16">
        <f>VLOOKUP(Contacts6[[#This Row],[Código Tarea]],'[7]Formato 4 - SGSF'!$B$8:$H$129,6,0)</f>
        <v>0</v>
      </c>
      <c r="P40" s="16">
        <f>VLOOKUP(Contacts6[[#This Row],[Código Tarea]],'[7]Formato 4 - SGSF'!$B$8:$H$129,7,0)</f>
        <v>0</v>
      </c>
      <c r="Q40" s="16">
        <f>VLOOKUP(Contacts6[[#This Row],[Código Tarea]],'[7]Formato 4 - SGSF'!$B$8:$I$129,8,0)</f>
        <v>0</v>
      </c>
      <c r="R40" s="22" t="str">
        <f>VLOOKUP(Contacts6[[#This Row],[Código Tarea]],'[7]4. Directorio Integrado'!$I$4:$M$245,5,0)</f>
        <v>SARO/SGSI/SGSF</v>
      </c>
    </row>
    <row r="41" spans="1:18" s="30" customFormat="1" ht="30" customHeight="1" x14ac:dyDescent="0.35">
      <c r="A41" s="34"/>
      <c r="B41" s="6"/>
      <c r="C41" s="42">
        <f>VLOOKUP(Contacts6[[#This Row],[Código Tarea]],'[7]4. Directorio Integrado'!$B$4:$N$245,2,0)</f>
        <v>4</v>
      </c>
      <c r="D41" s="42" t="str">
        <f>VLOOKUP(Contacts6[[#This Row],[Código Tarea]],'[7]4. Directorio Integrado'!$B$4:$N$245,3,0)</f>
        <v>Seguridad Financiera</v>
      </c>
      <c r="E41" s="42" t="str">
        <f>VLOOKUP(Contacts6[[#This Row],[Código Tarea]],'[7]4. Directorio Integrado'!$B$4:$N$245,4,0)</f>
        <v>4.2</v>
      </c>
      <c r="F41" s="42" t="str">
        <f>VLOOKUP(Contacts6[[#This Row],[Código Tarea]],'[7]4. Directorio Integrado'!$B$4:$N$245,5,0)</f>
        <v>Seguridad de la Información física</v>
      </c>
      <c r="G41" s="42" t="str">
        <f>VLOOKUP(Contacts6[[#This Row],[Código Tarea]],'[7]4. Directorio Integrado'!$B$4:$N$245,6,0)</f>
        <v>4.2.1</v>
      </c>
      <c r="H41" s="42" t="str">
        <f>VLOOKUP(Contacts6[[#This Row],[Código Tarea]],'[7]4. Directorio Integrado'!$B$4:$N$245,7,0)</f>
        <v>Revisión área de bóveda</v>
      </c>
      <c r="I41" s="20" t="str">
        <f>'[7]4. Directorio Integrado'!I155</f>
        <v>4.2.1.006</v>
      </c>
      <c r="J41" s="13" t="str">
        <f>VLOOKUP(Contacts6[[#This Row],[Código Tarea]],'[7]4. Directorio Integrado'!I155:J251,2,0)</f>
        <v>El cuarto cuenta con buena iluminación y se encuentra ordenado.</v>
      </c>
      <c r="K41" s="43" t="str">
        <f>VLOOKUP(Contacts6[[#This Row],[Código Tarea]],'[7]4. Directorio Integrado'!$I$4:$M$227,3,0)</f>
        <v>Presencial</v>
      </c>
      <c r="L41" s="16" t="str">
        <f>VLOOKUP(Contacts6[[#This Row],[Código Tarea]],'[7]Formato 4 - SGSF'!$B$8:$H$129,3,0)</f>
        <v>X</v>
      </c>
      <c r="M41" s="16">
        <f>VLOOKUP(Contacts6[[#This Row],[Código Tarea]],'[7]Formato 4 - SGSF'!$B$8:$H$129,4,0)</f>
        <v>0</v>
      </c>
      <c r="N41" s="16">
        <f>VLOOKUP(Contacts6[[#This Row],[Código Tarea]],'[7]Formato 4 - SGSF'!$B$8:$H$129,5,0)</f>
        <v>0</v>
      </c>
      <c r="O41" s="16">
        <f>VLOOKUP(Contacts6[[#This Row],[Código Tarea]],'[7]Formato 4 - SGSF'!$B$8:$H$129,6,0)</f>
        <v>0</v>
      </c>
      <c r="P41" s="16">
        <f>VLOOKUP(Contacts6[[#This Row],[Código Tarea]],'[7]Formato 4 - SGSF'!$B$8:$H$129,7,0)</f>
        <v>0</v>
      </c>
      <c r="Q41" s="16">
        <f>VLOOKUP(Contacts6[[#This Row],[Código Tarea]],'[7]Formato 4 - SGSF'!$B$8:$I$129,8,0)</f>
        <v>0</v>
      </c>
      <c r="R41" s="22" t="str">
        <f>VLOOKUP(Contacts6[[#This Row],[Código Tarea]],'[7]4. Directorio Integrado'!$I$4:$M$245,5,0)</f>
        <v>SARO/SGSI/SGSF</v>
      </c>
    </row>
    <row r="42" spans="1:18" s="30" customFormat="1" ht="30" customHeight="1" x14ac:dyDescent="0.35">
      <c r="A42" s="34"/>
      <c r="B42" s="6"/>
      <c r="C42" s="42">
        <f>VLOOKUP(Contacts6[[#This Row],[Código Tarea]],'[7]4. Directorio Integrado'!$B$4:$N$245,2,0)</f>
        <v>4</v>
      </c>
      <c r="D42" s="42" t="str">
        <f>VLOOKUP(Contacts6[[#This Row],[Código Tarea]],'[7]4. Directorio Integrado'!$B$4:$N$245,3,0)</f>
        <v>Seguridad Financiera</v>
      </c>
      <c r="E42" s="42" t="str">
        <f>VLOOKUP(Contacts6[[#This Row],[Código Tarea]],'[7]4. Directorio Integrado'!$B$4:$N$245,4,0)</f>
        <v>4.2</v>
      </c>
      <c r="F42" s="42" t="str">
        <f>VLOOKUP(Contacts6[[#This Row],[Código Tarea]],'[7]4. Directorio Integrado'!$B$4:$N$245,5,0)</f>
        <v>Seguridad de la Información física</v>
      </c>
      <c r="G42" s="42" t="str">
        <f>VLOOKUP(Contacts6[[#This Row],[Código Tarea]],'[7]4. Directorio Integrado'!$B$4:$N$245,6,0)</f>
        <v>4.2.2</v>
      </c>
      <c r="H42" s="42" t="str">
        <f>VLOOKUP(Contacts6[[#This Row],[Código Tarea]],'[7]4. Directorio Integrado'!$B$4:$N$245,7,0)</f>
        <v>Revisión areas internas y posteriores</v>
      </c>
      <c r="I42" s="20" t="str">
        <f>'[7]4. Directorio Integrado'!I156</f>
        <v>4.2.2.001</v>
      </c>
      <c r="J42" s="13" t="str">
        <f>VLOOKUP(Contacts6[[#This Row],[Código Tarea]],'[7]4. Directorio Integrado'!I156:J252,2,0)</f>
        <v>Las cerraduras de puertas y ventanas internas se encuentra en buen estado, cuentan con llaves.</v>
      </c>
      <c r="K42" s="43" t="str">
        <f>VLOOKUP(Contacts6[[#This Row],[Código Tarea]],'[7]4. Directorio Integrado'!$I$4:$M$227,3,0)</f>
        <v>Actividad a Distancia</v>
      </c>
      <c r="L42" s="16" t="str">
        <f>VLOOKUP(Contacts6[[#This Row],[Código Tarea]],'[7]Formato 4 - SGSF'!$B$8:$H$129,3,0)</f>
        <v>X</v>
      </c>
      <c r="M42" s="16">
        <f>VLOOKUP(Contacts6[[#This Row],[Código Tarea]],'[7]Formato 4 - SGSF'!$B$8:$H$129,4,0)</f>
        <v>0</v>
      </c>
      <c r="N42" s="16">
        <f>VLOOKUP(Contacts6[[#This Row],[Código Tarea]],'[7]Formato 4 - SGSF'!$B$8:$H$129,5,0)</f>
        <v>0</v>
      </c>
      <c r="O42" s="16">
        <f>VLOOKUP(Contacts6[[#This Row],[Código Tarea]],'[7]Formato 4 - SGSF'!$B$8:$H$129,6,0)</f>
        <v>0</v>
      </c>
      <c r="P42" s="16">
        <f>VLOOKUP(Contacts6[[#This Row],[Código Tarea]],'[7]Formato 4 - SGSF'!$B$8:$H$129,7,0)</f>
        <v>0</v>
      </c>
      <c r="Q42" s="16">
        <f>VLOOKUP(Contacts6[[#This Row],[Código Tarea]],'[7]Formato 4 - SGSF'!$B$8:$I$129,8,0)</f>
        <v>0</v>
      </c>
      <c r="R42" s="22" t="str">
        <f>VLOOKUP(Contacts6[[#This Row],[Código Tarea]],'[7]4. Directorio Integrado'!$I$4:$M$245,5,0)</f>
        <v>SARO/SGSI/SGSF</v>
      </c>
    </row>
    <row r="43" spans="1:18" s="30" customFormat="1" ht="30" customHeight="1" x14ac:dyDescent="0.35">
      <c r="A43" s="34"/>
      <c r="B43" s="6"/>
      <c r="C43" s="42">
        <f>VLOOKUP(Contacts6[[#This Row],[Código Tarea]],'[7]4. Directorio Integrado'!$B$4:$N$245,2,0)</f>
        <v>4</v>
      </c>
      <c r="D43" s="42" t="str">
        <f>VLOOKUP(Contacts6[[#This Row],[Código Tarea]],'[7]4. Directorio Integrado'!$B$4:$N$245,3,0)</f>
        <v>Seguridad Financiera</v>
      </c>
      <c r="E43" s="42" t="str">
        <f>VLOOKUP(Contacts6[[#This Row],[Código Tarea]],'[7]4. Directorio Integrado'!$B$4:$N$245,4,0)</f>
        <v>4.2</v>
      </c>
      <c r="F43" s="42" t="str">
        <f>VLOOKUP(Contacts6[[#This Row],[Código Tarea]],'[7]4. Directorio Integrado'!$B$4:$N$245,5,0)</f>
        <v>Seguridad de la Información física</v>
      </c>
      <c r="G43" s="42" t="str">
        <f>VLOOKUP(Contacts6[[#This Row],[Código Tarea]],'[7]4. Directorio Integrado'!$B$4:$N$245,6,0)</f>
        <v>4.2.2</v>
      </c>
      <c r="H43" s="42" t="str">
        <f>VLOOKUP(Contacts6[[#This Row],[Código Tarea]],'[7]4. Directorio Integrado'!$B$4:$N$245,7,0)</f>
        <v>Revisión areas internas y posteriores</v>
      </c>
      <c r="I43" s="20" t="str">
        <f>'[7]4. Directorio Integrado'!I157</f>
        <v>4.2.2.002</v>
      </c>
      <c r="J43" s="13" t="str">
        <f>VLOOKUP(Contacts6[[#This Row],[Código Tarea]],'[7]4. Directorio Integrado'!I157:J253,2,0)</f>
        <v xml:space="preserve">Las puertas que comunican a patios posteriores brindan Seguridad de la Información y resistencia. </v>
      </c>
      <c r="K43" s="43" t="str">
        <f>VLOOKUP(Contacts6[[#This Row],[Código Tarea]],'[7]4. Directorio Integrado'!$I$4:$M$227,3,0)</f>
        <v>Presencial</v>
      </c>
      <c r="L43" s="16" t="str">
        <f>VLOOKUP(Contacts6[[#This Row],[Código Tarea]],'[7]Formato 4 - SGSF'!$B$8:$H$129,3,0)</f>
        <v>X</v>
      </c>
      <c r="M43" s="16">
        <f>VLOOKUP(Contacts6[[#This Row],[Código Tarea]],'[7]Formato 4 - SGSF'!$B$8:$H$129,4,0)</f>
        <v>0</v>
      </c>
      <c r="N43" s="16">
        <f>VLOOKUP(Contacts6[[#This Row],[Código Tarea]],'[7]Formato 4 - SGSF'!$B$8:$H$129,5,0)</f>
        <v>0</v>
      </c>
      <c r="O43" s="16">
        <f>VLOOKUP(Contacts6[[#This Row],[Código Tarea]],'[7]Formato 4 - SGSF'!$B$8:$H$129,6,0)</f>
        <v>0</v>
      </c>
      <c r="P43" s="16">
        <f>VLOOKUP(Contacts6[[#This Row],[Código Tarea]],'[7]Formato 4 - SGSF'!$B$8:$H$129,7,0)</f>
        <v>0</v>
      </c>
      <c r="Q43" s="16">
        <f>VLOOKUP(Contacts6[[#This Row],[Código Tarea]],'[7]Formato 4 - SGSF'!$B$8:$I$129,8,0)</f>
        <v>0</v>
      </c>
      <c r="R43" s="22" t="str">
        <f>VLOOKUP(Contacts6[[#This Row],[Código Tarea]],'[7]4. Directorio Integrado'!$I$4:$M$245,5,0)</f>
        <v>SARO/SGSI/SGSF</v>
      </c>
    </row>
    <row r="44" spans="1:18" s="30" customFormat="1" ht="30" customHeight="1" x14ac:dyDescent="0.35">
      <c r="A44" s="34"/>
      <c r="B44" s="6"/>
      <c r="C44" s="42">
        <f>VLOOKUP(Contacts6[[#This Row],[Código Tarea]],'[7]4. Directorio Integrado'!$B$4:$N$245,2,0)</f>
        <v>4</v>
      </c>
      <c r="D44" s="42" t="str">
        <f>VLOOKUP(Contacts6[[#This Row],[Código Tarea]],'[7]4. Directorio Integrado'!$B$4:$N$245,3,0)</f>
        <v>Seguridad Financiera</v>
      </c>
      <c r="E44" s="42" t="str">
        <f>VLOOKUP(Contacts6[[#This Row],[Código Tarea]],'[7]4. Directorio Integrado'!$B$4:$N$245,4,0)</f>
        <v>4.2</v>
      </c>
      <c r="F44" s="42" t="str">
        <f>VLOOKUP(Contacts6[[#This Row],[Código Tarea]],'[7]4. Directorio Integrado'!$B$4:$N$245,5,0)</f>
        <v>Seguridad de la Información física</v>
      </c>
      <c r="G44" s="42" t="str">
        <f>VLOOKUP(Contacts6[[#This Row],[Código Tarea]],'[7]4. Directorio Integrado'!$B$4:$N$245,6,0)</f>
        <v>4.2.2</v>
      </c>
      <c r="H44" s="42" t="str">
        <f>VLOOKUP(Contacts6[[#This Row],[Código Tarea]],'[7]4. Directorio Integrado'!$B$4:$N$245,7,0)</f>
        <v>Revisión areas internas y posteriores</v>
      </c>
      <c r="I44" s="20" t="str">
        <f>'[7]4. Directorio Integrado'!I158</f>
        <v>4.2.2.003</v>
      </c>
      <c r="J44" s="13" t="str">
        <f>VLOOKUP(Contacts6[[#This Row],[Código Tarea]],'[7]4. Directorio Integrado'!I158:J254,2,0)</f>
        <v>La oficina cuenta con planta eléctrica, UPS para atención de fallas de energía esta se encuentra con encerramiento y los colaboradores se encuentra capacitados para ponerla en marcha.</v>
      </c>
      <c r="K44" s="43" t="str">
        <f>VLOOKUP(Contacts6[[#This Row],[Código Tarea]],'[7]4. Directorio Integrado'!$I$4:$M$227,3,0)</f>
        <v>Actividad a Distancia</v>
      </c>
      <c r="L44" s="16" t="str">
        <f>VLOOKUP(Contacts6[[#This Row],[Código Tarea]],'[7]Formato 4 - SGSF'!$B$8:$H$129,3,0)</f>
        <v>X</v>
      </c>
      <c r="M44" s="16">
        <f>VLOOKUP(Contacts6[[#This Row],[Código Tarea]],'[7]Formato 4 - SGSF'!$B$8:$H$129,4,0)</f>
        <v>0</v>
      </c>
      <c r="N44" s="16">
        <f>VLOOKUP(Contacts6[[#This Row],[Código Tarea]],'[7]Formato 4 - SGSF'!$B$8:$H$129,5,0)</f>
        <v>0</v>
      </c>
      <c r="O44" s="16">
        <f>VLOOKUP(Contacts6[[#This Row],[Código Tarea]],'[7]Formato 4 - SGSF'!$B$8:$H$129,6,0)</f>
        <v>0</v>
      </c>
      <c r="P44" s="16">
        <f>VLOOKUP(Contacts6[[#This Row],[Código Tarea]],'[7]Formato 4 - SGSF'!$B$8:$H$129,7,0)</f>
        <v>0</v>
      </c>
      <c r="Q44" s="16">
        <f>VLOOKUP(Contacts6[[#This Row],[Código Tarea]],'[7]Formato 4 - SGSF'!$B$8:$I$129,8,0)</f>
        <v>0</v>
      </c>
      <c r="R44" s="22" t="str">
        <f>VLOOKUP(Contacts6[[#This Row],[Código Tarea]],'[7]4. Directorio Integrado'!$I$4:$M$245,5,0)</f>
        <v>SARO/SGSI/SGSF</v>
      </c>
    </row>
    <row r="45" spans="1:18" s="30" customFormat="1" ht="30" customHeight="1" x14ac:dyDescent="0.35">
      <c r="A45" s="34"/>
      <c r="B45" s="6"/>
      <c r="C45" s="42">
        <f>VLOOKUP(Contacts6[[#This Row],[Código Tarea]],'[7]4. Directorio Integrado'!$B$4:$N$245,2,0)</f>
        <v>4</v>
      </c>
      <c r="D45" s="42" t="str">
        <f>VLOOKUP(Contacts6[[#This Row],[Código Tarea]],'[7]4. Directorio Integrado'!$B$4:$N$245,3,0)</f>
        <v>Seguridad Financiera</v>
      </c>
      <c r="E45" s="42" t="str">
        <f>VLOOKUP(Contacts6[[#This Row],[Código Tarea]],'[7]4. Directorio Integrado'!$B$4:$N$245,4,0)</f>
        <v>4.2</v>
      </c>
      <c r="F45" s="42" t="str">
        <f>VLOOKUP(Contacts6[[#This Row],[Código Tarea]],'[7]4. Directorio Integrado'!$B$4:$N$245,5,0)</f>
        <v>Seguridad de la Información física</v>
      </c>
      <c r="G45" s="42" t="str">
        <f>VLOOKUP(Contacts6[[#This Row],[Código Tarea]],'[7]4. Directorio Integrado'!$B$4:$N$245,6,0)</f>
        <v>4.2.2</v>
      </c>
      <c r="H45" s="42" t="str">
        <f>VLOOKUP(Contacts6[[#This Row],[Código Tarea]],'[7]4. Directorio Integrado'!$B$4:$N$245,7,0)</f>
        <v>Revisión areas internas y posteriores</v>
      </c>
      <c r="I45" s="20" t="str">
        <f>'[7]4. Directorio Integrado'!I159</f>
        <v>4.2.2.004</v>
      </c>
      <c r="J45" s="13" t="str">
        <f>VLOOKUP(Contacts6[[#This Row],[Código Tarea]],'[7]4. Directorio Integrado'!I159:J255,2,0)</f>
        <v>El patio posterior del inmueble cuenta con encerramiento, muros y elementos que detecten, retarden e impidan una posible intrusión.</v>
      </c>
      <c r="K45" s="43" t="str">
        <f>VLOOKUP(Contacts6[[#This Row],[Código Tarea]],'[7]4. Directorio Integrado'!$I$4:$M$227,3,0)</f>
        <v>Presencial</v>
      </c>
      <c r="L45" s="16" t="str">
        <f>VLOOKUP(Contacts6[[#This Row],[Código Tarea]],'[7]Formato 4 - SGSF'!$B$8:$H$129,3,0)</f>
        <v>X</v>
      </c>
      <c r="M45" s="16">
        <f>VLOOKUP(Contacts6[[#This Row],[Código Tarea]],'[7]Formato 4 - SGSF'!$B$8:$H$129,4,0)</f>
        <v>0</v>
      </c>
      <c r="N45" s="16">
        <f>VLOOKUP(Contacts6[[#This Row],[Código Tarea]],'[7]Formato 4 - SGSF'!$B$8:$H$129,5,0)</f>
        <v>0</v>
      </c>
      <c r="O45" s="16">
        <f>VLOOKUP(Contacts6[[#This Row],[Código Tarea]],'[7]Formato 4 - SGSF'!$B$8:$H$129,6,0)</f>
        <v>0</v>
      </c>
      <c r="P45" s="16">
        <f>VLOOKUP(Contacts6[[#This Row],[Código Tarea]],'[7]Formato 4 - SGSF'!$B$8:$H$129,7,0)</f>
        <v>0</v>
      </c>
      <c r="Q45" s="16">
        <f>VLOOKUP(Contacts6[[#This Row],[Código Tarea]],'[7]Formato 4 - SGSF'!$B$8:$I$129,8,0)</f>
        <v>0</v>
      </c>
      <c r="R45" s="22" t="str">
        <f>VLOOKUP(Contacts6[[#This Row],[Código Tarea]],'[7]4. Directorio Integrado'!$I$4:$M$245,5,0)</f>
        <v>SARO/SGSI/SGSF</v>
      </c>
    </row>
    <row r="46" spans="1:18" s="30" customFormat="1" ht="30" customHeight="1" x14ac:dyDescent="0.35">
      <c r="A46" s="34"/>
      <c r="B46" s="6"/>
      <c r="C46" s="42">
        <f>VLOOKUP(Contacts6[[#This Row],[Código Tarea]],'[7]4. Directorio Integrado'!$B$4:$N$245,2,0)</f>
        <v>4</v>
      </c>
      <c r="D46" s="42" t="str">
        <f>VLOOKUP(Contacts6[[#This Row],[Código Tarea]],'[7]4. Directorio Integrado'!$B$4:$N$245,3,0)</f>
        <v>Seguridad Financiera</v>
      </c>
      <c r="E46" s="42" t="str">
        <f>VLOOKUP(Contacts6[[#This Row],[Código Tarea]],'[7]4. Directorio Integrado'!$B$4:$N$245,4,0)</f>
        <v>4.2</v>
      </c>
      <c r="F46" s="42" t="str">
        <f>VLOOKUP(Contacts6[[#This Row],[Código Tarea]],'[7]4. Directorio Integrado'!$B$4:$N$245,5,0)</f>
        <v>Seguridad de la Información física</v>
      </c>
      <c r="G46" s="42" t="str">
        <f>VLOOKUP(Contacts6[[#This Row],[Código Tarea]],'[7]4. Directorio Integrado'!$B$4:$N$245,6,0)</f>
        <v>4.2.2</v>
      </c>
      <c r="H46" s="42" t="str">
        <f>VLOOKUP(Contacts6[[#This Row],[Código Tarea]],'[7]4. Directorio Integrado'!$B$4:$N$245,7,0)</f>
        <v>Revisión areas internas y posteriores</v>
      </c>
      <c r="I46" s="20" t="str">
        <f>'[7]4. Directorio Integrado'!I160</f>
        <v>4.2.2.005</v>
      </c>
      <c r="J46" s="13" t="str">
        <f>VLOOKUP(Contacts6[[#This Row],[Código Tarea]],'[7]4. Directorio Integrado'!I160:J256,2,0)</f>
        <v>Las escaleras cuentan con antideslizante y apoyamanos</v>
      </c>
      <c r="K46" s="43" t="str">
        <f>VLOOKUP(Contacts6[[#This Row],[Código Tarea]],'[7]4. Directorio Integrado'!$I$4:$M$227,3,0)</f>
        <v>Presencial</v>
      </c>
      <c r="L46" s="16" t="str">
        <f>VLOOKUP(Contacts6[[#This Row],[Código Tarea]],'[7]Formato 4 - SGSF'!$B$8:$H$129,3,0)</f>
        <v>X</v>
      </c>
      <c r="M46" s="16">
        <f>VLOOKUP(Contacts6[[#This Row],[Código Tarea]],'[7]Formato 4 - SGSF'!$B$8:$H$129,4,0)</f>
        <v>0</v>
      </c>
      <c r="N46" s="16">
        <f>VLOOKUP(Contacts6[[#This Row],[Código Tarea]],'[7]Formato 4 - SGSF'!$B$8:$H$129,5,0)</f>
        <v>0</v>
      </c>
      <c r="O46" s="16">
        <f>VLOOKUP(Contacts6[[#This Row],[Código Tarea]],'[7]Formato 4 - SGSF'!$B$8:$H$129,6,0)</f>
        <v>0</v>
      </c>
      <c r="P46" s="16">
        <f>VLOOKUP(Contacts6[[#This Row],[Código Tarea]],'[7]Formato 4 - SGSF'!$B$8:$H$129,7,0)</f>
        <v>0</v>
      </c>
      <c r="Q46" s="16">
        <f>VLOOKUP(Contacts6[[#This Row],[Código Tarea]],'[7]Formato 4 - SGSF'!$B$8:$I$129,8,0)</f>
        <v>0</v>
      </c>
      <c r="R46" s="22" t="str">
        <f>VLOOKUP(Contacts6[[#This Row],[Código Tarea]],'[7]4. Directorio Integrado'!$I$4:$M$245,5,0)</f>
        <v>SARO/SGSI/SGSF</v>
      </c>
    </row>
    <row r="47" spans="1:18" s="30" customFormat="1" ht="30" customHeight="1" x14ac:dyDescent="0.35">
      <c r="A47" s="34"/>
      <c r="B47" s="6"/>
      <c r="C47" s="42">
        <f>VLOOKUP(Contacts6[[#This Row],[Código Tarea]],'[7]4. Directorio Integrado'!$B$4:$N$245,2,0)</f>
        <v>4</v>
      </c>
      <c r="D47" s="42" t="str">
        <f>VLOOKUP(Contacts6[[#This Row],[Código Tarea]],'[7]4. Directorio Integrado'!$B$4:$N$245,3,0)</f>
        <v>Seguridad Financiera</v>
      </c>
      <c r="E47" s="42" t="str">
        <f>VLOOKUP(Contacts6[[#This Row],[Código Tarea]],'[7]4. Directorio Integrado'!$B$4:$N$245,4,0)</f>
        <v>4.2</v>
      </c>
      <c r="F47" s="42" t="str">
        <f>VLOOKUP(Contacts6[[#This Row],[Código Tarea]],'[7]4. Directorio Integrado'!$B$4:$N$245,5,0)</f>
        <v>Seguridad de la Información física</v>
      </c>
      <c r="G47" s="42" t="str">
        <f>VLOOKUP(Contacts6[[#This Row],[Código Tarea]],'[7]4. Directorio Integrado'!$B$4:$N$245,6,0)</f>
        <v>4.2.2</v>
      </c>
      <c r="H47" s="42" t="str">
        <f>VLOOKUP(Contacts6[[#This Row],[Código Tarea]],'[7]4. Directorio Integrado'!$B$4:$N$245,7,0)</f>
        <v>Revisión areas internas y posteriores</v>
      </c>
      <c r="I47" s="20" t="str">
        <f>'[7]4. Directorio Integrado'!I161</f>
        <v>4.2.2.006</v>
      </c>
      <c r="J47" s="13" t="str">
        <f>VLOOKUP(Contacts6[[#This Row],[Código Tarea]],'[7]4. Directorio Integrado'!I161:J257,2,0)</f>
        <v>Existen cables con su respectiva canaleta que no generan riesgo eléctrico</v>
      </c>
      <c r="K47" s="43" t="str">
        <f>VLOOKUP(Contacts6[[#This Row],[Código Tarea]],'[7]4. Directorio Integrado'!$I$4:$M$227,3,0)</f>
        <v>Presencial</v>
      </c>
      <c r="L47" s="16" t="str">
        <f>VLOOKUP(Contacts6[[#This Row],[Código Tarea]],'[7]Formato 4 - SGSF'!$B$8:$H$129,3,0)</f>
        <v>X</v>
      </c>
      <c r="M47" s="16">
        <f>VLOOKUP(Contacts6[[#This Row],[Código Tarea]],'[7]Formato 4 - SGSF'!$B$8:$H$129,4,0)</f>
        <v>0</v>
      </c>
      <c r="N47" s="16">
        <f>VLOOKUP(Contacts6[[#This Row],[Código Tarea]],'[7]Formato 4 - SGSF'!$B$8:$H$129,5,0)</f>
        <v>0</v>
      </c>
      <c r="O47" s="16">
        <f>VLOOKUP(Contacts6[[#This Row],[Código Tarea]],'[7]Formato 4 - SGSF'!$B$8:$H$129,6,0)</f>
        <v>0</v>
      </c>
      <c r="P47" s="16">
        <f>VLOOKUP(Contacts6[[#This Row],[Código Tarea]],'[7]Formato 4 - SGSF'!$B$8:$H$129,7,0)</f>
        <v>0</v>
      </c>
      <c r="Q47" s="16">
        <f>VLOOKUP(Contacts6[[#This Row],[Código Tarea]],'[7]Formato 4 - SGSF'!$B$8:$I$129,8,0)</f>
        <v>0</v>
      </c>
      <c r="R47" s="22" t="str">
        <f>VLOOKUP(Contacts6[[#This Row],[Código Tarea]],'[7]4. Directorio Integrado'!$I$4:$M$245,5,0)</f>
        <v>SARO/SGSI/SGSF</v>
      </c>
    </row>
    <row r="48" spans="1:18" s="30" customFormat="1" ht="30" customHeight="1" x14ac:dyDescent="0.35">
      <c r="A48" s="34"/>
      <c r="B48" s="6"/>
      <c r="C48" s="42">
        <f>VLOOKUP(Contacts6[[#This Row],[Código Tarea]],'[7]4. Directorio Integrado'!$B$4:$N$245,2,0)</f>
        <v>4</v>
      </c>
      <c r="D48" s="42" t="str">
        <f>VLOOKUP(Contacts6[[#This Row],[Código Tarea]],'[7]4. Directorio Integrado'!$B$4:$N$245,3,0)</f>
        <v>Seguridad Financiera</v>
      </c>
      <c r="E48" s="42" t="str">
        <f>VLOOKUP(Contacts6[[#This Row],[Código Tarea]],'[7]4. Directorio Integrado'!$B$4:$N$245,4,0)</f>
        <v>4.2</v>
      </c>
      <c r="F48" s="42" t="str">
        <f>VLOOKUP(Contacts6[[#This Row],[Código Tarea]],'[7]4. Directorio Integrado'!$B$4:$N$245,5,0)</f>
        <v>Seguridad de la Información física</v>
      </c>
      <c r="G48" s="42" t="str">
        <f>VLOOKUP(Contacts6[[#This Row],[Código Tarea]],'[7]4. Directorio Integrado'!$B$4:$N$245,6,0)</f>
        <v>4.2.2</v>
      </c>
      <c r="H48" s="42" t="str">
        <f>VLOOKUP(Contacts6[[#This Row],[Código Tarea]],'[7]4. Directorio Integrado'!$B$4:$N$245,7,0)</f>
        <v>Revisión areas internas y posteriores</v>
      </c>
      <c r="I48" s="20" t="str">
        <f>'[7]4. Directorio Integrado'!I162</f>
        <v>4.2.2.007</v>
      </c>
      <c r="J48" s="13" t="str">
        <f>VLOOKUP(Contacts6[[#This Row],[Código Tarea]],'[7]4. Directorio Integrado'!I162:J258,2,0)</f>
        <v>En la oficina están controladas las plagas  que puedan afectar la salud de los colaboradores</v>
      </c>
      <c r="K48" s="43" t="str">
        <f>VLOOKUP(Contacts6[[#This Row],[Código Tarea]],'[7]4. Directorio Integrado'!$I$4:$M$227,3,0)</f>
        <v>Presencial</v>
      </c>
      <c r="L48" s="16" t="str">
        <f>VLOOKUP(Contacts6[[#This Row],[Código Tarea]],'[7]Formato 4 - SGSF'!$B$8:$H$129,3,0)</f>
        <v>X</v>
      </c>
      <c r="M48" s="16">
        <f>VLOOKUP(Contacts6[[#This Row],[Código Tarea]],'[7]Formato 4 - SGSF'!$B$8:$H$129,4,0)</f>
        <v>0</v>
      </c>
      <c r="N48" s="16">
        <f>VLOOKUP(Contacts6[[#This Row],[Código Tarea]],'[7]Formato 4 - SGSF'!$B$8:$H$129,5,0)</f>
        <v>0</v>
      </c>
      <c r="O48" s="16">
        <f>VLOOKUP(Contacts6[[#This Row],[Código Tarea]],'[7]Formato 4 - SGSF'!$B$8:$H$129,6,0)</f>
        <v>0</v>
      </c>
      <c r="P48" s="16">
        <f>VLOOKUP(Contacts6[[#This Row],[Código Tarea]],'[7]Formato 4 - SGSF'!$B$8:$H$129,7,0)</f>
        <v>0</v>
      </c>
      <c r="Q48" s="16">
        <f>VLOOKUP(Contacts6[[#This Row],[Código Tarea]],'[7]Formato 4 - SGSF'!$B$8:$I$129,8,0)</f>
        <v>0</v>
      </c>
      <c r="R48" s="22" t="str">
        <f>VLOOKUP(Contacts6[[#This Row],[Código Tarea]],'[7]4. Directorio Integrado'!$I$4:$M$245,5,0)</f>
        <v>SARO/SGSI/SGSF</v>
      </c>
    </row>
    <row r="49" spans="1:18" s="30" customFormat="1" ht="30" customHeight="1" x14ac:dyDescent="0.35">
      <c r="A49" s="34"/>
      <c r="B49" s="6"/>
      <c r="C49" s="42">
        <f>VLOOKUP(Contacts6[[#This Row],[Código Tarea]],'[7]4. Directorio Integrado'!$B$4:$N$245,2,0)</f>
        <v>4</v>
      </c>
      <c r="D49" s="42" t="str">
        <f>VLOOKUP(Contacts6[[#This Row],[Código Tarea]],'[7]4. Directorio Integrado'!$B$4:$N$245,3,0)</f>
        <v>Seguridad Financiera</v>
      </c>
      <c r="E49" s="42" t="str">
        <f>VLOOKUP(Contacts6[[#This Row],[Código Tarea]],'[7]4. Directorio Integrado'!$B$4:$N$245,4,0)</f>
        <v>4.2</v>
      </c>
      <c r="F49" s="42" t="str">
        <f>VLOOKUP(Contacts6[[#This Row],[Código Tarea]],'[7]4. Directorio Integrado'!$B$4:$N$245,5,0)</f>
        <v>Seguridad de la Información física</v>
      </c>
      <c r="G49" s="42" t="str">
        <f>VLOOKUP(Contacts6[[#This Row],[Código Tarea]],'[7]4. Directorio Integrado'!$B$4:$N$245,6,0)</f>
        <v>4.2.2</v>
      </c>
      <c r="H49" s="42" t="str">
        <f>VLOOKUP(Contacts6[[#This Row],[Código Tarea]],'[7]4. Directorio Integrado'!$B$4:$N$245,7,0)</f>
        <v>Revisión areas internas y posteriores</v>
      </c>
      <c r="I49" s="20" t="str">
        <f>'[7]4. Directorio Integrado'!I163</f>
        <v>4.2.2.008</v>
      </c>
      <c r="J49" s="13" t="str">
        <f>VLOOKUP(Contacts6[[#This Row],[Código Tarea]],'[7]4. Directorio Integrado'!I163:J259,2,0)</f>
        <v>Se realizan fumigaciones con la frecuencia pertinente</v>
      </c>
      <c r="K49" s="43" t="str">
        <f>VLOOKUP(Contacts6[[#This Row],[Código Tarea]],'[7]4. Directorio Integrado'!$I$4:$M$227,3,0)</f>
        <v>Presencial</v>
      </c>
      <c r="L49" s="16" t="str">
        <f>VLOOKUP(Contacts6[[#This Row],[Código Tarea]],'[7]Formato 4 - SGSF'!$B$8:$H$129,3,0)</f>
        <v>X</v>
      </c>
      <c r="M49" s="16">
        <f>VLOOKUP(Contacts6[[#This Row],[Código Tarea]],'[7]Formato 4 - SGSF'!$B$8:$H$129,4,0)</f>
        <v>0</v>
      </c>
      <c r="N49" s="16">
        <f>VLOOKUP(Contacts6[[#This Row],[Código Tarea]],'[7]Formato 4 - SGSF'!$B$8:$H$129,5,0)</f>
        <v>0</v>
      </c>
      <c r="O49" s="16">
        <f>VLOOKUP(Contacts6[[#This Row],[Código Tarea]],'[7]Formato 4 - SGSF'!$B$8:$H$129,6,0)</f>
        <v>0</v>
      </c>
      <c r="P49" s="16">
        <f>VLOOKUP(Contacts6[[#This Row],[Código Tarea]],'[7]Formato 4 - SGSF'!$B$8:$H$129,7,0)</f>
        <v>0</v>
      </c>
      <c r="Q49" s="16">
        <f>VLOOKUP(Contacts6[[#This Row],[Código Tarea]],'[7]Formato 4 - SGSF'!$B$8:$I$129,8,0)</f>
        <v>0</v>
      </c>
      <c r="R49" s="22" t="str">
        <f>VLOOKUP(Contacts6[[#This Row],[Código Tarea]],'[7]4. Directorio Integrado'!$I$4:$M$245,5,0)</f>
        <v>SARO/SGSI/SGSF</v>
      </c>
    </row>
    <row r="50" spans="1:18" s="30" customFormat="1" ht="30" customHeight="1" x14ac:dyDescent="0.35">
      <c r="A50" s="34"/>
      <c r="B50" s="6"/>
      <c r="C50" s="42">
        <f>VLOOKUP(Contacts6[[#This Row],[Código Tarea]],'[7]4. Directorio Integrado'!$B$4:$N$245,2,0)</f>
        <v>4</v>
      </c>
      <c r="D50" s="42" t="str">
        <f>VLOOKUP(Contacts6[[#This Row],[Código Tarea]],'[7]4. Directorio Integrado'!$B$4:$N$245,3,0)</f>
        <v>Seguridad Financiera</v>
      </c>
      <c r="E50" s="42" t="str">
        <f>VLOOKUP(Contacts6[[#This Row],[Código Tarea]],'[7]4. Directorio Integrado'!$B$4:$N$245,4,0)</f>
        <v>4.2</v>
      </c>
      <c r="F50" s="42" t="str">
        <f>VLOOKUP(Contacts6[[#This Row],[Código Tarea]],'[7]4. Directorio Integrado'!$B$4:$N$245,5,0)</f>
        <v>Seguridad de la Información física</v>
      </c>
      <c r="G50" s="42" t="str">
        <f>VLOOKUP(Contacts6[[#This Row],[Código Tarea]],'[7]4. Directorio Integrado'!$B$4:$N$245,6,0)</f>
        <v>4.2.3</v>
      </c>
      <c r="H50" s="42" t="str">
        <f>VLOOKUP(Contacts6[[#This Row],[Código Tarea]],'[7]4. Directorio Integrado'!$B$4:$N$245,7,0)</f>
        <v>Revisión en caja</v>
      </c>
      <c r="I50" s="20" t="str">
        <f>'[7]4. Directorio Integrado'!I164</f>
        <v>4.2.3.001</v>
      </c>
      <c r="J50" s="13" t="str">
        <f>VLOOKUP(Contacts6[[#This Row],[Código Tarea]],'[7]4. Directorio Integrado'!I164:J260,2,0)</f>
        <v>Cuenta con  puerta que divide el área de caja, cerradura funcional y llave. Los puestos de trabajo cuentan con cofres tipo tramperos anclados en buen estado  y los cajeros tienen claves de los mismos.</v>
      </c>
      <c r="K50" s="43" t="str">
        <f>VLOOKUP(Contacts6[[#This Row],[Código Tarea]],'[7]4. Directorio Integrado'!$I$4:$M$227,3,0)</f>
        <v>Actividad a Distancia</v>
      </c>
      <c r="L50" s="16" t="str">
        <f>VLOOKUP(Contacts6[[#This Row],[Código Tarea]],'[7]Formato 4 - SGSF'!$B$8:$H$129,3,0)</f>
        <v>X</v>
      </c>
      <c r="M50" s="16">
        <f>VLOOKUP(Contacts6[[#This Row],[Código Tarea]],'[7]Formato 4 - SGSF'!$B$8:$H$129,4,0)</f>
        <v>0</v>
      </c>
      <c r="N50" s="16">
        <f>VLOOKUP(Contacts6[[#This Row],[Código Tarea]],'[7]Formato 4 - SGSF'!$B$8:$H$129,5,0)</f>
        <v>0</v>
      </c>
      <c r="O50" s="16">
        <f>VLOOKUP(Contacts6[[#This Row],[Código Tarea]],'[7]Formato 4 - SGSF'!$B$8:$H$129,6,0)</f>
        <v>0</v>
      </c>
      <c r="P50" s="16">
        <f>VLOOKUP(Contacts6[[#This Row],[Código Tarea]],'[7]Formato 4 - SGSF'!$B$8:$H$129,7,0)</f>
        <v>0</v>
      </c>
      <c r="Q50" s="16">
        <f>VLOOKUP(Contacts6[[#This Row],[Código Tarea]],'[7]Formato 4 - SGSF'!$B$8:$I$129,8,0)</f>
        <v>0</v>
      </c>
      <c r="R50" s="22" t="str">
        <f>VLOOKUP(Contacts6[[#This Row],[Código Tarea]],'[7]4. Directorio Integrado'!$I$4:$M$245,5,0)</f>
        <v>SARO/SGSI/SGSF</v>
      </c>
    </row>
    <row r="51" spans="1:18" s="30" customFormat="1" ht="30" customHeight="1" x14ac:dyDescent="0.35">
      <c r="A51" s="34"/>
      <c r="B51" s="6"/>
      <c r="C51" s="42">
        <f>VLOOKUP(Contacts6[[#This Row],[Código Tarea]],'[7]4. Directorio Integrado'!$B$4:$N$245,2,0)</f>
        <v>4</v>
      </c>
      <c r="D51" s="42" t="str">
        <f>VLOOKUP(Contacts6[[#This Row],[Código Tarea]],'[7]4. Directorio Integrado'!$B$4:$N$245,3,0)</f>
        <v>Seguridad Financiera</v>
      </c>
      <c r="E51" s="42" t="str">
        <f>VLOOKUP(Contacts6[[#This Row],[Código Tarea]],'[7]4. Directorio Integrado'!$B$4:$N$245,4,0)</f>
        <v>4.2</v>
      </c>
      <c r="F51" s="42" t="str">
        <f>VLOOKUP(Contacts6[[#This Row],[Código Tarea]],'[7]4. Directorio Integrado'!$B$4:$N$245,5,0)</f>
        <v>Seguridad de la Información física</v>
      </c>
      <c r="G51" s="42" t="str">
        <f>VLOOKUP(Contacts6[[#This Row],[Código Tarea]],'[7]4. Directorio Integrado'!$B$4:$N$245,6,0)</f>
        <v>4.2.3</v>
      </c>
      <c r="H51" s="42" t="str">
        <f>VLOOKUP(Contacts6[[#This Row],[Código Tarea]],'[7]4. Directorio Integrado'!$B$4:$N$245,7,0)</f>
        <v>Revisión en caja</v>
      </c>
      <c r="I51" s="20" t="str">
        <f>'[7]4. Directorio Integrado'!I165</f>
        <v>4.2.3.002</v>
      </c>
      <c r="J51" s="13" t="str">
        <f>VLOOKUP(Contacts6[[#This Row],[Código Tarea]],'[7]4. Directorio Integrado'!I165:J261,2,0)</f>
        <v>Cuenta con cofres y billeteros anclados a los puestos de trabajo, estos poseen sus respectivas cerraduras y llaves.</v>
      </c>
      <c r="K51" s="43" t="str">
        <f>VLOOKUP(Contacts6[[#This Row],[Código Tarea]],'[7]4. Directorio Integrado'!$I$4:$M$227,3,0)</f>
        <v>Actividad a Distancia</v>
      </c>
      <c r="L51" s="16" t="str">
        <f>VLOOKUP(Contacts6[[#This Row],[Código Tarea]],'[7]Formato 4 - SGSF'!$B$8:$H$129,3,0)</f>
        <v>X</v>
      </c>
      <c r="M51" s="16">
        <f>VLOOKUP(Contacts6[[#This Row],[Código Tarea]],'[7]Formato 4 - SGSF'!$B$8:$H$129,4,0)</f>
        <v>0</v>
      </c>
      <c r="N51" s="16">
        <f>VLOOKUP(Contacts6[[#This Row],[Código Tarea]],'[7]Formato 4 - SGSF'!$B$8:$H$129,5,0)</f>
        <v>0</v>
      </c>
      <c r="O51" s="16">
        <f>VLOOKUP(Contacts6[[#This Row],[Código Tarea]],'[7]Formato 4 - SGSF'!$B$8:$H$129,6,0)</f>
        <v>0</v>
      </c>
      <c r="P51" s="16">
        <f>VLOOKUP(Contacts6[[#This Row],[Código Tarea]],'[7]Formato 4 - SGSF'!$B$8:$H$129,7,0)</f>
        <v>0</v>
      </c>
      <c r="Q51" s="16">
        <f>VLOOKUP(Contacts6[[#This Row],[Código Tarea]],'[7]Formato 4 - SGSF'!$B$8:$I$129,8,0)</f>
        <v>0</v>
      </c>
      <c r="R51" s="22" t="str">
        <f>VLOOKUP(Contacts6[[#This Row],[Código Tarea]],'[7]4. Directorio Integrado'!$I$4:$M$245,5,0)</f>
        <v>SARO/SGSI/SGSF</v>
      </c>
    </row>
    <row r="52" spans="1:18" s="30" customFormat="1" ht="30" customHeight="1" x14ac:dyDescent="0.35">
      <c r="A52" s="34"/>
      <c r="B52" s="6"/>
      <c r="C52" s="42">
        <f>VLOOKUP(Contacts6[[#This Row],[Código Tarea]],'[7]4. Directorio Integrado'!$B$4:$N$245,2,0)</f>
        <v>4</v>
      </c>
      <c r="D52" s="42" t="str">
        <f>VLOOKUP(Contacts6[[#This Row],[Código Tarea]],'[7]4. Directorio Integrado'!$B$4:$N$245,3,0)</f>
        <v>Seguridad Financiera</v>
      </c>
      <c r="E52" s="42" t="str">
        <f>VLOOKUP(Contacts6[[#This Row],[Código Tarea]],'[7]4. Directorio Integrado'!$B$4:$N$245,4,0)</f>
        <v>4.2</v>
      </c>
      <c r="F52" s="42" t="str">
        <f>VLOOKUP(Contacts6[[#This Row],[Código Tarea]],'[7]4. Directorio Integrado'!$B$4:$N$245,5,0)</f>
        <v>Seguridad de la Información física</v>
      </c>
      <c r="G52" s="42" t="str">
        <f>VLOOKUP(Contacts6[[#This Row],[Código Tarea]],'[7]4. Directorio Integrado'!$B$4:$N$245,6,0)</f>
        <v>4.2.3</v>
      </c>
      <c r="H52" s="42" t="str">
        <f>VLOOKUP(Contacts6[[#This Row],[Código Tarea]],'[7]4. Directorio Integrado'!$B$4:$N$245,7,0)</f>
        <v>Revisión en caja</v>
      </c>
      <c r="I52" s="20" t="str">
        <f>'[7]4. Directorio Integrado'!I166</f>
        <v>4.2.3.003</v>
      </c>
      <c r="J52" s="13" t="str">
        <f>VLOOKUP(Contacts6[[#This Row],[Código Tarea]],'[7]4. Directorio Integrado'!I166:J262,2,0)</f>
        <v>El área de caja cuenta con ventanillas adecuadas que brinden Seguridad de la Información al cajero y visualización del cliente.</v>
      </c>
      <c r="K52" s="43" t="str">
        <f>VLOOKUP(Contacts6[[#This Row],[Código Tarea]],'[7]4. Directorio Integrado'!$I$4:$M$227,3,0)</f>
        <v>Actividad a Distancia</v>
      </c>
      <c r="L52" s="16" t="str">
        <f>VLOOKUP(Contacts6[[#This Row],[Código Tarea]],'[7]Formato 4 - SGSF'!$B$8:$H$129,3,0)</f>
        <v>X</v>
      </c>
      <c r="M52" s="16">
        <f>VLOOKUP(Contacts6[[#This Row],[Código Tarea]],'[7]Formato 4 - SGSF'!$B$8:$H$129,4,0)</f>
        <v>0</v>
      </c>
      <c r="N52" s="16">
        <f>VLOOKUP(Contacts6[[#This Row],[Código Tarea]],'[7]Formato 4 - SGSF'!$B$8:$H$129,5,0)</f>
        <v>0</v>
      </c>
      <c r="O52" s="16">
        <f>VLOOKUP(Contacts6[[#This Row],[Código Tarea]],'[7]Formato 4 - SGSF'!$B$8:$H$129,6,0)</f>
        <v>0</v>
      </c>
      <c r="P52" s="16">
        <f>VLOOKUP(Contacts6[[#This Row],[Código Tarea]],'[7]Formato 4 - SGSF'!$B$8:$H$129,7,0)</f>
        <v>0</v>
      </c>
      <c r="Q52" s="16">
        <f>VLOOKUP(Contacts6[[#This Row],[Código Tarea]],'[7]Formato 4 - SGSF'!$B$8:$I$129,8,0)</f>
        <v>0</v>
      </c>
      <c r="R52" s="22" t="str">
        <f>VLOOKUP(Contacts6[[#This Row],[Código Tarea]],'[7]4. Directorio Integrado'!$I$4:$M$245,5,0)</f>
        <v>SARO/SGSI/SGSF</v>
      </c>
    </row>
    <row r="53" spans="1:18" s="30" customFormat="1" ht="30" customHeight="1" x14ac:dyDescent="0.35">
      <c r="A53" s="34"/>
      <c r="B53" s="6"/>
      <c r="C53" s="42">
        <f>VLOOKUP(Contacts6[[#This Row],[Código Tarea]],'[7]4. Directorio Integrado'!$B$4:$N$245,2,0)</f>
        <v>4</v>
      </c>
      <c r="D53" s="42" t="str">
        <f>VLOOKUP(Contacts6[[#This Row],[Código Tarea]],'[7]4. Directorio Integrado'!$B$4:$N$245,3,0)</f>
        <v>Seguridad Financiera</v>
      </c>
      <c r="E53" s="42" t="str">
        <f>VLOOKUP(Contacts6[[#This Row],[Código Tarea]],'[7]4. Directorio Integrado'!$B$4:$N$245,4,0)</f>
        <v>4.2</v>
      </c>
      <c r="F53" s="42" t="str">
        <f>VLOOKUP(Contacts6[[#This Row],[Código Tarea]],'[7]4. Directorio Integrado'!$B$4:$N$245,5,0)</f>
        <v>Seguridad de la Información física</v>
      </c>
      <c r="G53" s="42" t="str">
        <f>VLOOKUP(Contacts6[[#This Row],[Código Tarea]],'[7]4. Directorio Integrado'!$B$4:$N$245,6,0)</f>
        <v>4.2.3</v>
      </c>
      <c r="H53" s="42" t="str">
        <f>VLOOKUP(Contacts6[[#This Row],[Código Tarea]],'[7]4. Directorio Integrado'!$B$4:$N$245,7,0)</f>
        <v>Revisión en caja</v>
      </c>
      <c r="I53" s="20" t="str">
        <f>'[7]4. Directorio Integrado'!I167</f>
        <v>4.2.3.004</v>
      </c>
      <c r="J53" s="13" t="str">
        <f>VLOOKUP(Contacts6[[#This Row],[Código Tarea]],'[7]4. Directorio Integrado'!I167:J263,2,0)</f>
        <v>Cuenta con contadora de billetes, contadora de monedas, detectora de billetes falsos, luz ultravioleta.</v>
      </c>
      <c r="K53" s="43" t="str">
        <f>VLOOKUP(Contacts6[[#This Row],[Código Tarea]],'[7]4. Directorio Integrado'!$I$4:$M$227,3,0)</f>
        <v>Actividad a Distancia</v>
      </c>
      <c r="L53" s="16" t="str">
        <f>VLOOKUP(Contacts6[[#This Row],[Código Tarea]],'[7]Formato 4 - SGSF'!$B$8:$H$129,3,0)</f>
        <v>X</v>
      </c>
      <c r="M53" s="16">
        <f>VLOOKUP(Contacts6[[#This Row],[Código Tarea]],'[7]Formato 4 - SGSF'!$B$8:$H$129,4,0)</f>
        <v>0</v>
      </c>
      <c r="N53" s="16">
        <f>VLOOKUP(Contacts6[[#This Row],[Código Tarea]],'[7]Formato 4 - SGSF'!$B$8:$H$129,5,0)</f>
        <v>0</v>
      </c>
      <c r="O53" s="16">
        <f>VLOOKUP(Contacts6[[#This Row],[Código Tarea]],'[7]Formato 4 - SGSF'!$B$8:$H$129,6,0)</f>
        <v>0</v>
      </c>
      <c r="P53" s="16">
        <f>VLOOKUP(Contacts6[[#This Row],[Código Tarea]],'[7]Formato 4 - SGSF'!$B$8:$H$129,7,0)</f>
        <v>0</v>
      </c>
      <c r="Q53" s="16">
        <f>VLOOKUP(Contacts6[[#This Row],[Código Tarea]],'[7]Formato 4 - SGSF'!$B$8:$I$129,8,0)</f>
        <v>0</v>
      </c>
      <c r="R53" s="22" t="str">
        <f>VLOOKUP(Contacts6[[#This Row],[Código Tarea]],'[7]4. Directorio Integrado'!$I$4:$M$245,5,0)</f>
        <v>SARO/SGSI/SGSF</v>
      </c>
    </row>
    <row r="54" spans="1:18" s="30" customFormat="1" ht="30" customHeight="1" x14ac:dyDescent="0.35">
      <c r="A54" s="34"/>
      <c r="B54" s="6"/>
      <c r="C54" s="42">
        <f>VLOOKUP(Contacts6[[#This Row],[Código Tarea]],'[7]4. Directorio Integrado'!$B$4:$N$245,2,0)</f>
        <v>4</v>
      </c>
      <c r="D54" s="42" t="str">
        <f>VLOOKUP(Contacts6[[#This Row],[Código Tarea]],'[7]4. Directorio Integrado'!$B$4:$N$245,3,0)</f>
        <v>Seguridad Financiera</v>
      </c>
      <c r="E54" s="42" t="str">
        <f>VLOOKUP(Contacts6[[#This Row],[Código Tarea]],'[7]4. Directorio Integrado'!$B$4:$N$245,4,0)</f>
        <v>4.2</v>
      </c>
      <c r="F54" s="42" t="str">
        <f>VLOOKUP(Contacts6[[#This Row],[Código Tarea]],'[7]4. Directorio Integrado'!$B$4:$N$245,5,0)</f>
        <v>Seguridad de la Información física</v>
      </c>
      <c r="G54" s="42" t="str">
        <f>VLOOKUP(Contacts6[[#This Row],[Código Tarea]],'[7]4. Directorio Integrado'!$B$4:$N$245,6,0)</f>
        <v>4.2.4</v>
      </c>
      <c r="H54" s="42" t="str">
        <f>VLOOKUP(Contacts6[[#This Row],[Código Tarea]],'[7]4. Directorio Integrado'!$B$4:$N$245,7,0)</f>
        <v>Revisión fachada</v>
      </c>
      <c r="I54" s="20" t="str">
        <f>'[7]4. Directorio Integrado'!I168</f>
        <v>4.2.4.001</v>
      </c>
      <c r="J54" s="13" t="str">
        <f>VLOOKUP(Contacts6[[#This Row],[Código Tarea]],'[7]4. Directorio Integrado'!I168:J264,2,0)</f>
        <v>La puerta principal cuenta con: vidrio, reja y/o cortina de Seguridad de la Información.</v>
      </c>
      <c r="K54" s="43" t="str">
        <f>VLOOKUP(Contacts6[[#This Row],[Código Tarea]],'[7]4. Directorio Integrado'!$I$4:$M$227,3,0)</f>
        <v>Actividad a Distancia</v>
      </c>
      <c r="L54" s="16" t="str">
        <f>VLOOKUP(Contacts6[[#This Row],[Código Tarea]],'[7]Formato 4 - SGSF'!$B$8:$H$129,3,0)</f>
        <v>X</v>
      </c>
      <c r="M54" s="16">
        <f>VLOOKUP(Contacts6[[#This Row],[Código Tarea]],'[7]Formato 4 - SGSF'!$B$8:$H$129,4,0)</f>
        <v>0</v>
      </c>
      <c r="N54" s="16">
        <f>VLOOKUP(Contacts6[[#This Row],[Código Tarea]],'[7]Formato 4 - SGSF'!$B$8:$H$129,5,0)</f>
        <v>0</v>
      </c>
      <c r="O54" s="16">
        <f>VLOOKUP(Contacts6[[#This Row],[Código Tarea]],'[7]Formato 4 - SGSF'!$B$8:$H$129,6,0)</f>
        <v>0</v>
      </c>
      <c r="P54" s="16">
        <f>VLOOKUP(Contacts6[[#This Row],[Código Tarea]],'[7]Formato 4 - SGSF'!$B$8:$H$129,7,0)</f>
        <v>0</v>
      </c>
      <c r="Q54" s="16">
        <f>VLOOKUP(Contacts6[[#This Row],[Código Tarea]],'[7]Formato 4 - SGSF'!$B$8:$I$129,8,0)</f>
        <v>0</v>
      </c>
      <c r="R54" s="22" t="str">
        <f>VLOOKUP(Contacts6[[#This Row],[Código Tarea]],'[7]4. Directorio Integrado'!$I$4:$M$245,5,0)</f>
        <v>SARO/SGSI/SGSF</v>
      </c>
    </row>
    <row r="55" spans="1:18" s="30" customFormat="1" ht="30" customHeight="1" x14ac:dyDescent="0.35">
      <c r="A55" s="34"/>
      <c r="B55" s="6"/>
      <c r="C55" s="42">
        <f>VLOOKUP(Contacts6[[#This Row],[Código Tarea]],'[7]4. Directorio Integrado'!$B$4:$N$245,2,0)</f>
        <v>4</v>
      </c>
      <c r="D55" s="42" t="str">
        <f>VLOOKUP(Contacts6[[#This Row],[Código Tarea]],'[7]4. Directorio Integrado'!$B$4:$N$245,3,0)</f>
        <v>Seguridad Financiera</v>
      </c>
      <c r="E55" s="42" t="str">
        <f>VLOOKUP(Contacts6[[#This Row],[Código Tarea]],'[7]4. Directorio Integrado'!$B$4:$N$245,4,0)</f>
        <v>4.2</v>
      </c>
      <c r="F55" s="42" t="str">
        <f>VLOOKUP(Contacts6[[#This Row],[Código Tarea]],'[7]4. Directorio Integrado'!$B$4:$N$245,5,0)</f>
        <v>Seguridad de la Información física</v>
      </c>
      <c r="G55" s="42" t="str">
        <f>VLOOKUP(Contacts6[[#This Row],[Código Tarea]],'[7]4. Directorio Integrado'!$B$4:$N$245,6,0)</f>
        <v>4.2.4</v>
      </c>
      <c r="H55" s="42" t="str">
        <f>VLOOKUP(Contacts6[[#This Row],[Código Tarea]],'[7]4. Directorio Integrado'!$B$4:$N$245,7,0)</f>
        <v>Revisión fachada</v>
      </c>
      <c r="I55" s="20" t="str">
        <f>'[7]4. Directorio Integrado'!I169</f>
        <v>4.2.4.002</v>
      </c>
      <c r="J55" s="13" t="str">
        <f>VLOOKUP(Contacts6[[#This Row],[Código Tarea]],'[7]4. Directorio Integrado'!I169:J265,2,0)</f>
        <v>La puerta principal cuenta con: cerradura convencional y cerradura de Seguridad de la Información.</v>
      </c>
      <c r="K55" s="43" t="str">
        <f>VLOOKUP(Contacts6[[#This Row],[Código Tarea]],'[7]4. Directorio Integrado'!$I$4:$M$227,3,0)</f>
        <v>Actividad a Distancia</v>
      </c>
      <c r="L55" s="16" t="str">
        <f>VLOOKUP(Contacts6[[#This Row],[Código Tarea]],'[7]Formato 4 - SGSF'!$B$8:$H$129,3,0)</f>
        <v>X</v>
      </c>
      <c r="M55" s="16">
        <f>VLOOKUP(Contacts6[[#This Row],[Código Tarea]],'[7]Formato 4 - SGSF'!$B$8:$H$129,4,0)</f>
        <v>0</v>
      </c>
      <c r="N55" s="16">
        <f>VLOOKUP(Contacts6[[#This Row],[Código Tarea]],'[7]Formato 4 - SGSF'!$B$8:$H$129,5,0)</f>
        <v>0</v>
      </c>
      <c r="O55" s="16">
        <f>VLOOKUP(Contacts6[[#This Row],[Código Tarea]],'[7]Formato 4 - SGSF'!$B$8:$H$129,6,0)</f>
        <v>0</v>
      </c>
      <c r="P55" s="16">
        <f>VLOOKUP(Contacts6[[#This Row],[Código Tarea]],'[7]Formato 4 - SGSF'!$B$8:$H$129,7,0)</f>
        <v>0</v>
      </c>
      <c r="Q55" s="16">
        <f>VLOOKUP(Contacts6[[#This Row],[Código Tarea]],'[7]Formato 4 - SGSF'!$B$8:$I$129,8,0)</f>
        <v>0</v>
      </c>
      <c r="R55" s="22" t="str">
        <f>VLOOKUP(Contacts6[[#This Row],[Código Tarea]],'[7]4. Directorio Integrado'!$I$4:$M$245,5,0)</f>
        <v>SARO/SGSI/SGSF</v>
      </c>
    </row>
    <row r="56" spans="1:18" s="30" customFormat="1" ht="30" customHeight="1" x14ac:dyDescent="0.35">
      <c r="A56" s="34"/>
      <c r="B56" s="6"/>
      <c r="C56" s="42">
        <f>VLOOKUP(Contacts6[[#This Row],[Código Tarea]],'[7]4. Directorio Integrado'!$B$4:$N$245,2,0)</f>
        <v>4</v>
      </c>
      <c r="D56" s="42" t="str">
        <f>VLOOKUP(Contacts6[[#This Row],[Código Tarea]],'[7]4. Directorio Integrado'!$B$4:$N$245,3,0)</f>
        <v>Seguridad Financiera</v>
      </c>
      <c r="E56" s="42" t="str">
        <f>VLOOKUP(Contacts6[[#This Row],[Código Tarea]],'[7]4. Directorio Integrado'!$B$4:$N$245,4,0)</f>
        <v>4.2</v>
      </c>
      <c r="F56" s="42" t="str">
        <f>VLOOKUP(Contacts6[[#This Row],[Código Tarea]],'[7]4. Directorio Integrado'!$B$4:$N$245,5,0)</f>
        <v>Seguridad de la Información física</v>
      </c>
      <c r="G56" s="42" t="str">
        <f>VLOOKUP(Contacts6[[#This Row],[Código Tarea]],'[7]4. Directorio Integrado'!$B$4:$N$245,6,0)</f>
        <v>4.2.4</v>
      </c>
      <c r="H56" s="42" t="str">
        <f>VLOOKUP(Contacts6[[#This Row],[Código Tarea]],'[7]4. Directorio Integrado'!$B$4:$N$245,7,0)</f>
        <v>Revisión fachada</v>
      </c>
      <c r="I56" s="20" t="str">
        <f>'[7]4. Directorio Integrado'!I170</f>
        <v>4.2.4.003</v>
      </c>
      <c r="J56" s="13" t="str">
        <f>VLOOKUP(Contacts6[[#This Row],[Código Tarea]],'[7]4. Directorio Integrado'!I170:J266,2,0)</f>
        <v>La reja o cortina de la puerta principal cuenta con: sus respectivos candados acerados.</v>
      </c>
      <c r="K56" s="43" t="str">
        <f>VLOOKUP(Contacts6[[#This Row],[Código Tarea]],'[7]4. Directorio Integrado'!$I$4:$M$227,3,0)</f>
        <v>Actividad a Distancia</v>
      </c>
      <c r="L56" s="16" t="str">
        <f>VLOOKUP(Contacts6[[#This Row],[Código Tarea]],'[7]Formato 4 - SGSF'!$B$8:$H$129,3,0)</f>
        <v>X</v>
      </c>
      <c r="M56" s="16">
        <f>VLOOKUP(Contacts6[[#This Row],[Código Tarea]],'[7]Formato 4 - SGSF'!$B$8:$H$129,4,0)</f>
        <v>0</v>
      </c>
      <c r="N56" s="16">
        <f>VLOOKUP(Contacts6[[#This Row],[Código Tarea]],'[7]Formato 4 - SGSF'!$B$8:$H$129,5,0)</f>
        <v>0</v>
      </c>
      <c r="O56" s="16">
        <f>VLOOKUP(Contacts6[[#This Row],[Código Tarea]],'[7]Formato 4 - SGSF'!$B$8:$H$129,6,0)</f>
        <v>0</v>
      </c>
      <c r="P56" s="16">
        <f>VLOOKUP(Contacts6[[#This Row],[Código Tarea]],'[7]Formato 4 - SGSF'!$B$8:$H$129,7,0)</f>
        <v>0</v>
      </c>
      <c r="Q56" s="16">
        <f>VLOOKUP(Contacts6[[#This Row],[Código Tarea]],'[7]Formato 4 - SGSF'!$B$8:$I$129,8,0)</f>
        <v>0</v>
      </c>
      <c r="R56" s="22" t="str">
        <f>VLOOKUP(Contacts6[[#This Row],[Código Tarea]],'[7]4. Directorio Integrado'!$I$4:$M$245,5,0)</f>
        <v>SARO/SGSI/SGSF</v>
      </c>
    </row>
    <row r="57" spans="1:18" s="30" customFormat="1" ht="30" customHeight="1" x14ac:dyDescent="0.35">
      <c r="A57" s="34"/>
      <c r="B57" s="6"/>
      <c r="C57" s="42">
        <f>VLOOKUP(Contacts6[[#This Row],[Código Tarea]],'[7]4. Directorio Integrado'!$B$4:$N$245,2,0)</f>
        <v>4</v>
      </c>
      <c r="D57" s="42" t="str">
        <f>VLOOKUP(Contacts6[[#This Row],[Código Tarea]],'[7]4. Directorio Integrado'!$B$4:$N$245,3,0)</f>
        <v>Seguridad Financiera</v>
      </c>
      <c r="E57" s="42" t="str">
        <f>VLOOKUP(Contacts6[[#This Row],[Código Tarea]],'[7]4. Directorio Integrado'!$B$4:$N$245,4,0)</f>
        <v>4.2</v>
      </c>
      <c r="F57" s="42" t="str">
        <f>VLOOKUP(Contacts6[[#This Row],[Código Tarea]],'[7]4. Directorio Integrado'!$B$4:$N$245,5,0)</f>
        <v>Seguridad de la Información física</v>
      </c>
      <c r="G57" s="42" t="str">
        <f>VLOOKUP(Contacts6[[#This Row],[Código Tarea]],'[7]4. Directorio Integrado'!$B$4:$N$245,6,0)</f>
        <v>4.2.4</v>
      </c>
      <c r="H57" s="42" t="str">
        <f>VLOOKUP(Contacts6[[#This Row],[Código Tarea]],'[7]4. Directorio Integrado'!$B$4:$N$245,7,0)</f>
        <v>Revisión fachada</v>
      </c>
      <c r="I57" s="20" t="str">
        <f>'[7]4. Directorio Integrado'!I171</f>
        <v>4.2.4.004</v>
      </c>
      <c r="J57" s="13" t="str">
        <f>VLOOKUP(Contacts6[[#This Row],[Código Tarea]],'[7]4. Directorio Integrado'!I171:J267,2,0)</f>
        <v>La puertas y ventanas cuentan con sandblasting.</v>
      </c>
      <c r="K57" s="43" t="str">
        <f>VLOOKUP(Contacts6[[#This Row],[Código Tarea]],'[7]4. Directorio Integrado'!$I$4:$M$227,3,0)</f>
        <v>Actividad a Distancia</v>
      </c>
      <c r="L57" s="16" t="str">
        <f>VLOOKUP(Contacts6[[#This Row],[Código Tarea]],'[7]Formato 4 - SGSF'!$B$8:$H$129,3,0)</f>
        <v>X</v>
      </c>
      <c r="M57" s="16">
        <f>VLOOKUP(Contacts6[[#This Row],[Código Tarea]],'[7]Formato 4 - SGSF'!$B$8:$H$129,4,0)</f>
        <v>0</v>
      </c>
      <c r="N57" s="16">
        <f>VLOOKUP(Contacts6[[#This Row],[Código Tarea]],'[7]Formato 4 - SGSF'!$B$8:$H$129,5,0)</f>
        <v>0</v>
      </c>
      <c r="O57" s="16">
        <f>VLOOKUP(Contacts6[[#This Row],[Código Tarea]],'[7]Formato 4 - SGSF'!$B$8:$H$129,6,0)</f>
        <v>0</v>
      </c>
      <c r="P57" s="16">
        <f>VLOOKUP(Contacts6[[#This Row],[Código Tarea]],'[7]Formato 4 - SGSF'!$B$8:$H$129,7,0)</f>
        <v>0</v>
      </c>
      <c r="Q57" s="16">
        <f>VLOOKUP(Contacts6[[#This Row],[Código Tarea]],'[7]Formato 4 - SGSF'!$B$8:$I$129,8,0)</f>
        <v>0</v>
      </c>
      <c r="R57" s="22" t="str">
        <f>VLOOKUP(Contacts6[[#This Row],[Código Tarea]],'[7]4. Directorio Integrado'!$I$4:$M$245,5,0)</f>
        <v>SARO/SGSI/SGSF</v>
      </c>
    </row>
    <row r="58" spans="1:18" s="30" customFormat="1" ht="30" customHeight="1" x14ac:dyDescent="0.35">
      <c r="A58" s="34"/>
      <c r="B58" s="6"/>
      <c r="C58" s="42">
        <f>VLOOKUP(Contacts6[[#This Row],[Código Tarea]],'[7]4. Directorio Integrado'!$B$4:$N$245,2,0)</f>
        <v>4</v>
      </c>
      <c r="D58" s="42" t="str">
        <f>VLOOKUP(Contacts6[[#This Row],[Código Tarea]],'[7]4. Directorio Integrado'!$B$4:$N$245,3,0)</f>
        <v>Seguridad Financiera</v>
      </c>
      <c r="E58" s="42" t="str">
        <f>VLOOKUP(Contacts6[[#This Row],[Código Tarea]],'[7]4. Directorio Integrado'!$B$4:$N$245,4,0)</f>
        <v>4.2</v>
      </c>
      <c r="F58" s="42" t="str">
        <f>VLOOKUP(Contacts6[[#This Row],[Código Tarea]],'[7]4. Directorio Integrado'!$B$4:$N$245,5,0)</f>
        <v>Seguridad de la Información física</v>
      </c>
      <c r="G58" s="42" t="str">
        <f>VLOOKUP(Contacts6[[#This Row],[Código Tarea]],'[7]4. Directorio Integrado'!$B$4:$N$245,6,0)</f>
        <v>4.2.4</v>
      </c>
      <c r="H58" s="42" t="str">
        <f>VLOOKUP(Contacts6[[#This Row],[Código Tarea]],'[7]4. Directorio Integrado'!$B$4:$N$245,7,0)</f>
        <v>Revisión fachada</v>
      </c>
      <c r="I58" s="20" t="str">
        <f>'[7]4. Directorio Integrado'!I172</f>
        <v>4.2.4.005</v>
      </c>
      <c r="J58" s="13" t="str">
        <f>VLOOKUP(Contacts6[[#This Row],[Código Tarea]],'[7]4. Directorio Integrado'!I172:J268,2,0)</f>
        <v>Los contadores del agua y luz cuentan con elementos que los protejan de actos bandálicos.</v>
      </c>
      <c r="K58" s="43" t="str">
        <f>VLOOKUP(Contacts6[[#This Row],[Código Tarea]],'[7]4. Directorio Integrado'!$I$4:$M$227,3,0)</f>
        <v>Presencial</v>
      </c>
      <c r="L58" s="16" t="str">
        <f>VLOOKUP(Contacts6[[#This Row],[Código Tarea]],'[7]Formato 4 - SGSF'!$B$8:$H$129,3,0)</f>
        <v>X</v>
      </c>
      <c r="M58" s="16">
        <f>VLOOKUP(Contacts6[[#This Row],[Código Tarea]],'[7]Formato 4 - SGSF'!$B$8:$H$129,4,0)</f>
        <v>0</v>
      </c>
      <c r="N58" s="16">
        <f>VLOOKUP(Contacts6[[#This Row],[Código Tarea]],'[7]Formato 4 - SGSF'!$B$8:$H$129,5,0)</f>
        <v>0</v>
      </c>
      <c r="O58" s="16">
        <f>VLOOKUP(Contacts6[[#This Row],[Código Tarea]],'[7]Formato 4 - SGSF'!$B$8:$H$129,6,0)</f>
        <v>0</v>
      </c>
      <c r="P58" s="16">
        <f>VLOOKUP(Contacts6[[#This Row],[Código Tarea]],'[7]Formato 4 - SGSF'!$B$8:$H$129,7,0)</f>
        <v>0</v>
      </c>
      <c r="Q58" s="16">
        <f>VLOOKUP(Contacts6[[#This Row],[Código Tarea]],'[7]Formato 4 - SGSF'!$B$8:$I$129,8,0)</f>
        <v>0</v>
      </c>
      <c r="R58" s="22" t="str">
        <f>VLOOKUP(Contacts6[[#This Row],[Código Tarea]],'[7]4. Directorio Integrado'!$I$4:$M$245,5,0)</f>
        <v>SARO/SGSI/SGSF</v>
      </c>
    </row>
    <row r="59" spans="1:18" s="30" customFormat="1" ht="30" customHeight="1" x14ac:dyDescent="0.35">
      <c r="A59" s="34"/>
      <c r="B59" s="6"/>
      <c r="C59" s="42">
        <f>VLOOKUP(Contacts6[[#This Row],[Código Tarea]],'[7]4. Directorio Integrado'!$B$4:$N$245,2,0)</f>
        <v>4</v>
      </c>
      <c r="D59" s="42" t="str">
        <f>VLOOKUP(Contacts6[[#This Row],[Código Tarea]],'[7]4. Directorio Integrado'!$B$4:$N$245,3,0)</f>
        <v>Seguridad Financiera</v>
      </c>
      <c r="E59" s="42" t="str">
        <f>VLOOKUP(Contacts6[[#This Row],[Código Tarea]],'[7]4. Directorio Integrado'!$B$4:$N$245,4,0)</f>
        <v>4.2</v>
      </c>
      <c r="F59" s="42" t="str">
        <f>VLOOKUP(Contacts6[[#This Row],[Código Tarea]],'[7]4. Directorio Integrado'!$B$4:$N$245,5,0)</f>
        <v>Seguridad de la Información física</v>
      </c>
      <c r="G59" s="42" t="str">
        <f>VLOOKUP(Contacts6[[#This Row],[Código Tarea]],'[7]4. Directorio Integrado'!$B$4:$N$245,6,0)</f>
        <v>4.2.5</v>
      </c>
      <c r="H59" s="42" t="str">
        <f>VLOOKUP(Contacts6[[#This Row],[Código Tarea]],'[7]4. Directorio Integrado'!$B$4:$N$245,7,0)</f>
        <v>Revisión hall de servicios</v>
      </c>
      <c r="I59" s="20" t="str">
        <f>'[7]4. Directorio Integrado'!I173</f>
        <v>4.2.5.001</v>
      </c>
      <c r="J59" s="13" t="str">
        <f>VLOOKUP(Contacts6[[#This Row],[Código Tarea]],'[7]4. Directorio Integrado'!I173:J269,2,0)</f>
        <v>Los muros y ventanas son resistentes e impiden posibles intrusiones delincuenciales.</v>
      </c>
      <c r="K59" s="43" t="str">
        <f>VLOOKUP(Contacts6[[#This Row],[Código Tarea]],'[7]4. Directorio Integrado'!$I$4:$M$227,3,0)</f>
        <v>Presencial</v>
      </c>
      <c r="L59" s="16" t="str">
        <f>VLOOKUP(Contacts6[[#This Row],[Código Tarea]],'[7]Formato 4 - SGSF'!$B$8:$H$129,3,0)</f>
        <v>X</v>
      </c>
      <c r="M59" s="16">
        <f>VLOOKUP(Contacts6[[#This Row],[Código Tarea]],'[7]Formato 4 - SGSF'!$B$8:$H$129,4,0)</f>
        <v>0</v>
      </c>
      <c r="N59" s="16">
        <f>VLOOKUP(Contacts6[[#This Row],[Código Tarea]],'[7]Formato 4 - SGSF'!$B$8:$H$129,5,0)</f>
        <v>0</v>
      </c>
      <c r="O59" s="16">
        <f>VLOOKUP(Contacts6[[#This Row],[Código Tarea]],'[7]Formato 4 - SGSF'!$B$8:$H$129,6,0)</f>
        <v>0</v>
      </c>
      <c r="P59" s="16">
        <f>VLOOKUP(Contacts6[[#This Row],[Código Tarea]],'[7]Formato 4 - SGSF'!$B$8:$H$129,7,0)</f>
        <v>0</v>
      </c>
      <c r="Q59" s="16">
        <f>VLOOKUP(Contacts6[[#This Row],[Código Tarea]],'[7]Formato 4 - SGSF'!$B$8:$I$129,8,0)</f>
        <v>0</v>
      </c>
      <c r="R59" s="22" t="str">
        <f>VLOOKUP(Contacts6[[#This Row],[Código Tarea]],'[7]4. Directorio Integrado'!$I$4:$M$245,5,0)</f>
        <v>SARO/SGSI/SGSF</v>
      </c>
    </row>
    <row r="60" spans="1:18" s="30" customFormat="1" ht="30" customHeight="1" x14ac:dyDescent="0.35">
      <c r="A60" s="34"/>
      <c r="B60" s="6"/>
      <c r="C60" s="42">
        <f>VLOOKUP(Contacts6[[#This Row],[Código Tarea]],'[7]4. Directorio Integrado'!$B$4:$N$245,2,0)</f>
        <v>4</v>
      </c>
      <c r="D60" s="42" t="str">
        <f>VLOOKUP(Contacts6[[#This Row],[Código Tarea]],'[7]4. Directorio Integrado'!$B$4:$N$245,3,0)</f>
        <v>Seguridad Financiera</v>
      </c>
      <c r="E60" s="42" t="str">
        <f>VLOOKUP(Contacts6[[#This Row],[Código Tarea]],'[7]4. Directorio Integrado'!$B$4:$N$245,4,0)</f>
        <v>4.2</v>
      </c>
      <c r="F60" s="42" t="str">
        <f>VLOOKUP(Contacts6[[#This Row],[Código Tarea]],'[7]4. Directorio Integrado'!$B$4:$N$245,5,0)</f>
        <v>Seguridad de la Información física</v>
      </c>
      <c r="G60" s="42" t="str">
        <f>VLOOKUP(Contacts6[[#This Row],[Código Tarea]],'[7]4. Directorio Integrado'!$B$4:$N$245,6,0)</f>
        <v>4.2.5</v>
      </c>
      <c r="H60" s="42" t="str">
        <f>VLOOKUP(Contacts6[[#This Row],[Código Tarea]],'[7]4. Directorio Integrado'!$B$4:$N$245,7,0)</f>
        <v>Revisión hall de servicios</v>
      </c>
      <c r="I60" s="20" t="str">
        <f>'[7]4. Directorio Integrado'!I174</f>
        <v>4.2.5.002</v>
      </c>
      <c r="J60" s="13" t="str">
        <f>VLOOKUP(Contacts6[[#This Row],[Código Tarea]],'[7]4. Directorio Integrado'!I174:J270,2,0)</f>
        <v>La estructura del techo de la oficina evita posibles intrusiones delincuenciales.</v>
      </c>
      <c r="K60" s="43" t="str">
        <f>VLOOKUP(Contacts6[[#This Row],[Código Tarea]],'[7]4. Directorio Integrado'!$I$4:$M$227,3,0)</f>
        <v>Presencial</v>
      </c>
      <c r="L60" s="16" t="str">
        <f>VLOOKUP(Contacts6[[#This Row],[Código Tarea]],'[7]Formato 4 - SGSF'!$B$8:$H$129,3,0)</f>
        <v>X</v>
      </c>
      <c r="M60" s="16">
        <f>VLOOKUP(Contacts6[[#This Row],[Código Tarea]],'[7]Formato 4 - SGSF'!$B$8:$H$129,4,0)</f>
        <v>0</v>
      </c>
      <c r="N60" s="16">
        <f>VLOOKUP(Contacts6[[#This Row],[Código Tarea]],'[7]Formato 4 - SGSF'!$B$8:$H$129,5,0)</f>
        <v>0</v>
      </c>
      <c r="O60" s="16">
        <f>VLOOKUP(Contacts6[[#This Row],[Código Tarea]],'[7]Formato 4 - SGSF'!$B$8:$H$129,6,0)</f>
        <v>0</v>
      </c>
      <c r="P60" s="16">
        <f>VLOOKUP(Contacts6[[#This Row],[Código Tarea]],'[7]Formato 4 - SGSF'!$B$8:$H$129,7,0)</f>
        <v>0</v>
      </c>
      <c r="Q60" s="16">
        <f>VLOOKUP(Contacts6[[#This Row],[Código Tarea]],'[7]Formato 4 - SGSF'!$B$8:$I$129,8,0)</f>
        <v>0</v>
      </c>
      <c r="R60" s="22" t="str">
        <f>VLOOKUP(Contacts6[[#This Row],[Código Tarea]],'[7]4. Directorio Integrado'!$I$4:$M$245,5,0)</f>
        <v>SARO/SGSI/SGSF</v>
      </c>
    </row>
    <row r="61" spans="1:18" s="30" customFormat="1" ht="30" customHeight="1" x14ac:dyDescent="0.35">
      <c r="A61" s="34"/>
      <c r="B61" s="6"/>
      <c r="C61" s="42">
        <f>VLOOKUP(Contacts6[[#This Row],[Código Tarea]],'[7]4. Directorio Integrado'!$B$4:$N$245,2,0)</f>
        <v>4</v>
      </c>
      <c r="D61" s="42" t="str">
        <f>VLOOKUP(Contacts6[[#This Row],[Código Tarea]],'[7]4. Directorio Integrado'!$B$4:$N$245,3,0)</f>
        <v>Seguridad Financiera</v>
      </c>
      <c r="E61" s="42" t="str">
        <f>VLOOKUP(Contacts6[[#This Row],[Código Tarea]],'[7]4. Directorio Integrado'!$B$4:$N$245,4,0)</f>
        <v>4.2</v>
      </c>
      <c r="F61" s="42" t="str">
        <f>VLOOKUP(Contacts6[[#This Row],[Código Tarea]],'[7]4. Directorio Integrado'!$B$4:$N$245,5,0)</f>
        <v>Seguridad de la Información física</v>
      </c>
      <c r="G61" s="42" t="str">
        <f>VLOOKUP(Contacts6[[#This Row],[Código Tarea]],'[7]4. Directorio Integrado'!$B$4:$N$245,6,0)</f>
        <v>4.2.5</v>
      </c>
      <c r="H61" s="42" t="str">
        <f>VLOOKUP(Contacts6[[#This Row],[Código Tarea]],'[7]4. Directorio Integrado'!$B$4:$N$245,7,0)</f>
        <v>Revisión hall de servicios</v>
      </c>
      <c r="I61" s="20" t="str">
        <f>'[7]4. Directorio Integrado'!I175</f>
        <v>4.2.5.003</v>
      </c>
      <c r="J61" s="13" t="str">
        <f>VLOOKUP(Contacts6[[#This Row],[Código Tarea]],'[7]4. Directorio Integrado'!I175:J271,2,0)</f>
        <v>Existe puerta que divide el hall bancario del interno, cuenta con sanblasting, cerradura con pomo de Seguridad de la Información y cantonera funcional.</v>
      </c>
      <c r="K61" s="43" t="str">
        <f>VLOOKUP(Contacts6[[#This Row],[Código Tarea]],'[7]4. Directorio Integrado'!$I$4:$M$227,3,0)</f>
        <v>Actividad a Distancia</v>
      </c>
      <c r="L61" s="16" t="str">
        <f>VLOOKUP(Contacts6[[#This Row],[Código Tarea]],'[7]Formato 4 - SGSF'!$B$8:$H$129,3,0)</f>
        <v>X</v>
      </c>
      <c r="M61" s="16">
        <f>VLOOKUP(Contacts6[[#This Row],[Código Tarea]],'[7]Formato 4 - SGSF'!$B$8:$H$129,4,0)</f>
        <v>0</v>
      </c>
      <c r="N61" s="16">
        <f>VLOOKUP(Contacts6[[#This Row],[Código Tarea]],'[7]Formato 4 - SGSF'!$B$8:$H$129,5,0)</f>
        <v>0</v>
      </c>
      <c r="O61" s="16">
        <f>VLOOKUP(Contacts6[[#This Row],[Código Tarea]],'[7]Formato 4 - SGSF'!$B$8:$H$129,6,0)</f>
        <v>0</v>
      </c>
      <c r="P61" s="16">
        <f>VLOOKUP(Contacts6[[#This Row],[Código Tarea]],'[7]Formato 4 - SGSF'!$B$8:$H$129,7,0)</f>
        <v>0</v>
      </c>
      <c r="Q61" s="16">
        <f>VLOOKUP(Contacts6[[#This Row],[Código Tarea]],'[7]Formato 4 - SGSF'!$B$8:$I$129,8,0)</f>
        <v>0</v>
      </c>
      <c r="R61" s="22" t="str">
        <f>VLOOKUP(Contacts6[[#This Row],[Código Tarea]],'[7]4. Directorio Integrado'!$I$4:$M$245,5,0)</f>
        <v>SARO/SGSI/SGSF</v>
      </c>
    </row>
    <row r="62" spans="1:18" s="30" customFormat="1" ht="30" customHeight="1" x14ac:dyDescent="0.35">
      <c r="A62" s="34"/>
      <c r="B62" s="6"/>
      <c r="C62" s="42">
        <f>VLOOKUP(Contacts6[[#This Row],[Código Tarea]],'[7]4. Directorio Integrado'!$B$4:$N$245,2,0)</f>
        <v>4</v>
      </c>
      <c r="D62" s="42" t="str">
        <f>VLOOKUP(Contacts6[[#This Row],[Código Tarea]],'[7]4. Directorio Integrado'!$B$4:$N$245,3,0)</f>
        <v>Seguridad Financiera</v>
      </c>
      <c r="E62" s="42" t="str">
        <f>VLOOKUP(Contacts6[[#This Row],[Código Tarea]],'[7]4. Directorio Integrado'!$B$4:$N$245,4,0)</f>
        <v>4.2</v>
      </c>
      <c r="F62" s="42" t="str">
        <f>VLOOKUP(Contacts6[[#This Row],[Código Tarea]],'[7]4. Directorio Integrado'!$B$4:$N$245,5,0)</f>
        <v>Seguridad de la Información física</v>
      </c>
      <c r="G62" s="42" t="str">
        <f>VLOOKUP(Contacts6[[#This Row],[Código Tarea]],'[7]4. Directorio Integrado'!$B$4:$N$245,6,0)</f>
        <v>4.2.6</v>
      </c>
      <c r="H62" s="42" t="str">
        <f>VLOOKUP(Contacts6[[#This Row],[Código Tarea]],'[7]4. Directorio Integrado'!$B$4:$N$245,7,0)</f>
        <v>Revisión zona perimetral</v>
      </c>
      <c r="I62" s="20" t="str">
        <f>'[7]4. Directorio Integrado'!I176</f>
        <v>4.2.6.001</v>
      </c>
      <c r="J62" s="13" t="str">
        <f>VLOOKUP(Contacts6[[#This Row],[Código Tarea]],'[7]4. Directorio Integrado'!I176:J272,2,0)</f>
        <v>La oficina se ubica dentro de la zona comercial del municipio.</v>
      </c>
      <c r="K62" s="43" t="str">
        <f>VLOOKUP(Contacts6[[#This Row],[Código Tarea]],'[7]4. Directorio Integrado'!$I$4:$M$227,3,0)</f>
        <v>Presencial</v>
      </c>
      <c r="L62" s="16" t="str">
        <f>VLOOKUP(Contacts6[[#This Row],[Código Tarea]],'[7]Formato 4 - SGSF'!$B$8:$H$129,3,0)</f>
        <v>X</v>
      </c>
      <c r="M62" s="16">
        <f>VLOOKUP(Contacts6[[#This Row],[Código Tarea]],'[7]Formato 4 - SGSF'!$B$8:$H$129,4,0)</f>
        <v>0</v>
      </c>
      <c r="N62" s="16">
        <f>VLOOKUP(Contacts6[[#This Row],[Código Tarea]],'[7]Formato 4 - SGSF'!$B$8:$H$129,5,0)</f>
        <v>0</v>
      </c>
      <c r="O62" s="16">
        <f>VLOOKUP(Contacts6[[#This Row],[Código Tarea]],'[7]Formato 4 - SGSF'!$B$8:$H$129,6,0)</f>
        <v>0</v>
      </c>
      <c r="P62" s="16">
        <f>VLOOKUP(Contacts6[[#This Row],[Código Tarea]],'[7]Formato 4 - SGSF'!$B$8:$H$129,7,0)</f>
        <v>0</v>
      </c>
      <c r="Q62" s="16">
        <f>VLOOKUP(Contacts6[[#This Row],[Código Tarea]],'[7]Formato 4 - SGSF'!$B$8:$I$129,8,0)</f>
        <v>0</v>
      </c>
      <c r="R62" s="22" t="str">
        <f>VLOOKUP(Contacts6[[#This Row],[Código Tarea]],'[7]4. Directorio Integrado'!$I$4:$M$245,5,0)</f>
        <v>SARO/SGSF</v>
      </c>
    </row>
    <row r="63" spans="1:18" s="30" customFormat="1" ht="30" customHeight="1" x14ac:dyDescent="0.35">
      <c r="A63" s="34"/>
      <c r="B63" s="6"/>
      <c r="C63" s="42">
        <f>VLOOKUP(Contacts6[[#This Row],[Código Tarea]],'[7]4. Directorio Integrado'!$B$4:$N$245,2,0)</f>
        <v>4</v>
      </c>
      <c r="D63" s="42" t="str">
        <f>VLOOKUP(Contacts6[[#This Row],[Código Tarea]],'[7]4. Directorio Integrado'!$B$4:$N$245,3,0)</f>
        <v>Seguridad Financiera</v>
      </c>
      <c r="E63" s="42" t="str">
        <f>VLOOKUP(Contacts6[[#This Row],[Código Tarea]],'[7]4. Directorio Integrado'!$B$4:$N$245,4,0)</f>
        <v>4.2</v>
      </c>
      <c r="F63" s="42" t="str">
        <f>VLOOKUP(Contacts6[[#This Row],[Código Tarea]],'[7]4. Directorio Integrado'!$B$4:$N$245,5,0)</f>
        <v>Seguridad de la Información física</v>
      </c>
      <c r="G63" s="42" t="str">
        <f>VLOOKUP(Contacts6[[#This Row],[Código Tarea]],'[7]4. Directorio Integrado'!$B$4:$N$245,6,0)</f>
        <v>4.2.6</v>
      </c>
      <c r="H63" s="42" t="str">
        <f>VLOOKUP(Contacts6[[#This Row],[Código Tarea]],'[7]4. Directorio Integrado'!$B$4:$N$245,7,0)</f>
        <v>Revisión zona perimetral</v>
      </c>
      <c r="I63" s="20" t="str">
        <f>'[7]4. Directorio Integrado'!I177</f>
        <v>4.2.6.002</v>
      </c>
      <c r="J63" s="13" t="str">
        <f>VLOOKUP(Contacts6[[#This Row],[Código Tarea]],'[7]4. Directorio Integrado'!I177:J273,2,0)</f>
        <v>Frente a la oficina se ubican vendedores ambulantes, estos son conocidos en la zona.</v>
      </c>
      <c r="K63" s="43" t="str">
        <f>VLOOKUP(Contacts6[[#This Row],[Código Tarea]],'[7]4. Directorio Integrado'!$I$4:$M$227,3,0)</f>
        <v>Presencial</v>
      </c>
      <c r="L63" s="16" t="str">
        <f>VLOOKUP(Contacts6[[#This Row],[Código Tarea]],'[7]Formato 4 - SGSF'!$B$8:$H$129,3,0)</f>
        <v>X</v>
      </c>
      <c r="M63" s="16">
        <f>VLOOKUP(Contacts6[[#This Row],[Código Tarea]],'[7]Formato 4 - SGSF'!$B$8:$H$129,4,0)</f>
        <v>0</v>
      </c>
      <c r="N63" s="16">
        <f>VLOOKUP(Contacts6[[#This Row],[Código Tarea]],'[7]Formato 4 - SGSF'!$B$8:$H$129,5,0)</f>
        <v>0</v>
      </c>
      <c r="O63" s="16">
        <f>VLOOKUP(Contacts6[[#This Row],[Código Tarea]],'[7]Formato 4 - SGSF'!$B$8:$H$129,6,0)</f>
        <v>0</v>
      </c>
      <c r="P63" s="16">
        <f>VLOOKUP(Contacts6[[#This Row],[Código Tarea]],'[7]Formato 4 - SGSF'!$B$8:$H$129,7,0)</f>
        <v>0</v>
      </c>
      <c r="Q63" s="16">
        <f>VLOOKUP(Contacts6[[#This Row],[Código Tarea]],'[7]Formato 4 - SGSF'!$B$8:$I$129,8,0)</f>
        <v>0</v>
      </c>
      <c r="R63" s="22" t="str">
        <f>VLOOKUP(Contacts6[[#This Row],[Código Tarea]],'[7]4. Directorio Integrado'!$I$4:$M$245,5,0)</f>
        <v>SARO/SGSF</v>
      </c>
    </row>
    <row r="64" spans="1:18" s="30" customFormat="1" ht="30" customHeight="1" x14ac:dyDescent="0.35">
      <c r="A64" s="34"/>
      <c r="B64" s="6"/>
      <c r="C64" s="42">
        <f>VLOOKUP(Contacts6[[#This Row],[Código Tarea]],'[7]4. Directorio Integrado'!$B$4:$N$245,2,0)</f>
        <v>4</v>
      </c>
      <c r="D64" s="42" t="str">
        <f>VLOOKUP(Contacts6[[#This Row],[Código Tarea]],'[7]4. Directorio Integrado'!$B$4:$N$245,3,0)</f>
        <v>Seguridad Financiera</v>
      </c>
      <c r="E64" s="42" t="str">
        <f>VLOOKUP(Contacts6[[#This Row],[Código Tarea]],'[7]4. Directorio Integrado'!$B$4:$N$245,4,0)</f>
        <v>4.2</v>
      </c>
      <c r="F64" s="42" t="str">
        <f>VLOOKUP(Contacts6[[#This Row],[Código Tarea]],'[7]4. Directorio Integrado'!$B$4:$N$245,5,0)</f>
        <v>Seguridad de la Información física</v>
      </c>
      <c r="G64" s="42" t="str">
        <f>VLOOKUP(Contacts6[[#This Row],[Código Tarea]],'[7]4. Directorio Integrado'!$B$4:$N$245,6,0)</f>
        <v>4.2.6</v>
      </c>
      <c r="H64" s="42" t="str">
        <f>VLOOKUP(Contacts6[[#This Row],[Código Tarea]],'[7]4. Directorio Integrado'!$B$4:$N$245,7,0)</f>
        <v>Revisión zona perimetral</v>
      </c>
      <c r="I64" s="20" t="str">
        <f>'[7]4. Directorio Integrado'!I178</f>
        <v>4.2.6.003</v>
      </c>
      <c r="J64" s="13" t="str">
        <f>VLOOKUP(Contacts6[[#This Row],[Código Tarea]],'[7]4. Directorio Integrado'!I178:J274,2,0)</f>
        <v>Alrededor de la oficina existen, bares, discotecas o sitios de lenocidio.</v>
      </c>
      <c r="K64" s="43" t="str">
        <f>VLOOKUP(Contacts6[[#This Row],[Código Tarea]],'[7]4. Directorio Integrado'!$I$4:$M$227,3,0)</f>
        <v>Presencial</v>
      </c>
      <c r="L64" s="16" t="str">
        <f>VLOOKUP(Contacts6[[#This Row],[Código Tarea]],'[7]Formato 4 - SGSF'!$B$8:$H$129,3,0)</f>
        <v>X</v>
      </c>
      <c r="M64" s="16">
        <f>VLOOKUP(Contacts6[[#This Row],[Código Tarea]],'[7]Formato 4 - SGSF'!$B$8:$H$129,4,0)</f>
        <v>0</v>
      </c>
      <c r="N64" s="16">
        <f>VLOOKUP(Contacts6[[#This Row],[Código Tarea]],'[7]Formato 4 - SGSF'!$B$8:$H$129,5,0)</f>
        <v>0</v>
      </c>
      <c r="O64" s="16">
        <f>VLOOKUP(Contacts6[[#This Row],[Código Tarea]],'[7]Formato 4 - SGSF'!$B$8:$H$129,6,0)</f>
        <v>0</v>
      </c>
      <c r="P64" s="16">
        <f>VLOOKUP(Contacts6[[#This Row],[Código Tarea]],'[7]Formato 4 - SGSF'!$B$8:$H$129,7,0)</f>
        <v>0</v>
      </c>
      <c r="Q64" s="16">
        <f>VLOOKUP(Contacts6[[#This Row],[Código Tarea]],'[7]Formato 4 - SGSF'!$B$8:$I$129,8,0)</f>
        <v>0</v>
      </c>
      <c r="R64" s="22" t="str">
        <f>VLOOKUP(Contacts6[[#This Row],[Código Tarea]],'[7]4. Directorio Integrado'!$I$4:$M$245,5,0)</f>
        <v>SARO/SGSF</v>
      </c>
    </row>
    <row r="65" spans="1:18" s="30" customFormat="1" ht="30" customHeight="1" x14ac:dyDescent="0.35">
      <c r="A65" s="34"/>
      <c r="B65" s="6"/>
      <c r="C65" s="42">
        <f>VLOOKUP(Contacts6[[#This Row],[Código Tarea]],'[7]4. Directorio Integrado'!$B$4:$N$245,2,0)</f>
        <v>4</v>
      </c>
      <c r="D65" s="42" t="str">
        <f>VLOOKUP(Contacts6[[#This Row],[Código Tarea]],'[7]4. Directorio Integrado'!$B$4:$N$245,3,0)</f>
        <v>Seguridad Financiera</v>
      </c>
      <c r="E65" s="42" t="str">
        <f>VLOOKUP(Contacts6[[#This Row],[Código Tarea]],'[7]4. Directorio Integrado'!$B$4:$N$245,4,0)</f>
        <v>4.2</v>
      </c>
      <c r="F65" s="42" t="str">
        <f>VLOOKUP(Contacts6[[#This Row],[Código Tarea]],'[7]4. Directorio Integrado'!$B$4:$N$245,5,0)</f>
        <v>Seguridad de la Información física</v>
      </c>
      <c r="G65" s="42" t="str">
        <f>VLOOKUP(Contacts6[[#This Row],[Código Tarea]],'[7]4. Directorio Integrado'!$B$4:$N$245,6,0)</f>
        <v>4.2.6</v>
      </c>
      <c r="H65" s="42" t="str">
        <f>VLOOKUP(Contacts6[[#This Row],[Código Tarea]],'[7]4. Directorio Integrado'!$B$4:$N$245,7,0)</f>
        <v>Revisión zona perimetral</v>
      </c>
      <c r="I65" s="20" t="str">
        <f>'[7]4. Directorio Integrado'!I179</f>
        <v>4.2.6.004</v>
      </c>
      <c r="J65" s="13" t="str">
        <f>VLOOKUP(Contacts6[[#This Row],[Código Tarea]],'[7]4. Directorio Integrado'!I179:J275,2,0)</f>
        <v>Se observa presencia de otras entidades financieras y presencia de la policía.</v>
      </c>
      <c r="K65" s="43" t="str">
        <f>VLOOKUP(Contacts6[[#This Row],[Código Tarea]],'[7]4. Directorio Integrado'!$I$4:$M$227,3,0)</f>
        <v>Presencial</v>
      </c>
      <c r="L65" s="16" t="str">
        <f>VLOOKUP(Contacts6[[#This Row],[Código Tarea]],'[7]Formato 4 - SGSF'!$B$8:$H$129,3,0)</f>
        <v>X</v>
      </c>
      <c r="M65" s="16">
        <f>VLOOKUP(Contacts6[[#This Row],[Código Tarea]],'[7]Formato 4 - SGSF'!$B$8:$H$129,4,0)</f>
        <v>0</v>
      </c>
      <c r="N65" s="16">
        <f>VLOOKUP(Contacts6[[#This Row],[Código Tarea]],'[7]Formato 4 - SGSF'!$B$8:$H$129,5,0)</f>
        <v>0</v>
      </c>
      <c r="O65" s="16">
        <f>VLOOKUP(Contacts6[[#This Row],[Código Tarea]],'[7]Formato 4 - SGSF'!$B$8:$H$129,6,0)</f>
        <v>0</v>
      </c>
      <c r="P65" s="16">
        <f>VLOOKUP(Contacts6[[#This Row],[Código Tarea]],'[7]Formato 4 - SGSF'!$B$8:$H$129,7,0)</f>
        <v>0</v>
      </c>
      <c r="Q65" s="16">
        <f>VLOOKUP(Contacts6[[#This Row],[Código Tarea]],'[7]Formato 4 - SGSF'!$B$8:$I$129,8,0)</f>
        <v>0</v>
      </c>
      <c r="R65" s="22" t="str">
        <f>VLOOKUP(Contacts6[[#This Row],[Código Tarea]],'[7]4. Directorio Integrado'!$I$4:$M$245,5,0)</f>
        <v>SARO/SGSF</v>
      </c>
    </row>
    <row r="66" spans="1:18" s="30" customFormat="1" ht="30" customHeight="1" x14ac:dyDescent="0.35">
      <c r="A66" s="34"/>
      <c r="B66" s="6"/>
      <c r="C66" s="42">
        <f>VLOOKUP(Contacts6[[#This Row],[Código Tarea]],'[7]4. Directorio Integrado'!$B$4:$N$245,2,0)</f>
        <v>4</v>
      </c>
      <c r="D66" s="42" t="str">
        <f>VLOOKUP(Contacts6[[#This Row],[Código Tarea]],'[7]4. Directorio Integrado'!$B$4:$N$245,3,0)</f>
        <v>Seguridad Financiera</v>
      </c>
      <c r="E66" s="42" t="str">
        <f>VLOOKUP(Contacts6[[#This Row],[Código Tarea]],'[7]4. Directorio Integrado'!$B$4:$N$245,4,0)</f>
        <v>4.2</v>
      </c>
      <c r="F66" s="42" t="str">
        <f>VLOOKUP(Contacts6[[#This Row],[Código Tarea]],'[7]4. Directorio Integrado'!$B$4:$N$245,5,0)</f>
        <v>Seguridad de la Información física</v>
      </c>
      <c r="G66" s="42" t="str">
        <f>VLOOKUP(Contacts6[[#This Row],[Código Tarea]],'[7]4. Directorio Integrado'!$B$4:$N$245,6,0)</f>
        <v>4.2.6</v>
      </c>
      <c r="H66" s="42" t="str">
        <f>VLOOKUP(Contacts6[[#This Row],[Código Tarea]],'[7]4. Directorio Integrado'!$B$4:$N$245,7,0)</f>
        <v>Revisión zona perimetral</v>
      </c>
      <c r="I66" s="20" t="str">
        <f>'[7]4. Directorio Integrado'!I180</f>
        <v>4.2.6.005</v>
      </c>
      <c r="J66" s="13" t="str">
        <f>VLOOKUP(Contacts6[[#This Row],[Código Tarea]],'[7]4. Directorio Integrado'!I180:J276,2,0)</f>
        <v>La oficina se encuentra dentro de un centro comercial y este cuenta con cctv externo y vigilancia externa?</v>
      </c>
      <c r="K66" s="43" t="str">
        <f>VLOOKUP(Contacts6[[#This Row],[Código Tarea]],'[7]4. Directorio Integrado'!$I$4:$M$227,3,0)</f>
        <v>Presencial</v>
      </c>
      <c r="L66" s="16" t="str">
        <f>VLOOKUP(Contacts6[[#This Row],[Código Tarea]],'[7]Formato 4 - SGSF'!$B$8:$H$129,3,0)</f>
        <v>X</v>
      </c>
      <c r="M66" s="16">
        <f>VLOOKUP(Contacts6[[#This Row],[Código Tarea]],'[7]Formato 4 - SGSF'!$B$8:$H$129,4,0)</f>
        <v>0</v>
      </c>
      <c r="N66" s="16">
        <f>VLOOKUP(Contacts6[[#This Row],[Código Tarea]],'[7]Formato 4 - SGSF'!$B$8:$H$129,5,0)</f>
        <v>0</v>
      </c>
      <c r="O66" s="16">
        <f>VLOOKUP(Contacts6[[#This Row],[Código Tarea]],'[7]Formato 4 - SGSF'!$B$8:$H$129,6,0)</f>
        <v>0</v>
      </c>
      <c r="P66" s="16">
        <f>VLOOKUP(Contacts6[[#This Row],[Código Tarea]],'[7]Formato 4 - SGSF'!$B$8:$H$129,7,0)</f>
        <v>0</v>
      </c>
      <c r="Q66" s="16">
        <f>VLOOKUP(Contacts6[[#This Row],[Código Tarea]],'[7]Formato 4 - SGSF'!$B$8:$I$129,8,0)</f>
        <v>0</v>
      </c>
      <c r="R66" s="22" t="str">
        <f>VLOOKUP(Contacts6[[#This Row],[Código Tarea]],'[7]4. Directorio Integrado'!$I$4:$M$245,5,0)</f>
        <v>SARO/SGSF</v>
      </c>
    </row>
    <row r="67" spans="1:18" s="30" customFormat="1" ht="30" customHeight="1" x14ac:dyDescent="0.35">
      <c r="A67" s="34"/>
      <c r="B67" s="6"/>
      <c r="C67" s="42">
        <f>VLOOKUP(Contacts6[[#This Row],[Código Tarea]],'[7]4. Directorio Integrado'!$B$4:$N$245,2,0)</f>
        <v>4</v>
      </c>
      <c r="D67" s="42" t="str">
        <f>VLOOKUP(Contacts6[[#This Row],[Código Tarea]],'[7]4. Directorio Integrado'!$B$4:$N$245,3,0)</f>
        <v>Seguridad Financiera</v>
      </c>
      <c r="E67" s="42" t="str">
        <f>VLOOKUP(Contacts6[[#This Row],[Código Tarea]],'[7]4. Directorio Integrado'!$B$4:$N$245,4,0)</f>
        <v>4.2</v>
      </c>
      <c r="F67" s="42" t="str">
        <f>VLOOKUP(Contacts6[[#This Row],[Código Tarea]],'[7]4. Directorio Integrado'!$B$4:$N$245,5,0)</f>
        <v>Seguridad de la Información física</v>
      </c>
      <c r="G67" s="42" t="str">
        <f>VLOOKUP(Contacts6[[#This Row],[Código Tarea]],'[7]4. Directorio Integrado'!$B$4:$N$245,6,0)</f>
        <v>4.2.6</v>
      </c>
      <c r="H67" s="42" t="str">
        <f>VLOOKUP(Contacts6[[#This Row],[Código Tarea]],'[7]4. Directorio Integrado'!$B$4:$N$245,7,0)</f>
        <v>Revisión zona perimetral</v>
      </c>
      <c r="I67" s="20" t="str">
        <f>'[7]4. Directorio Integrado'!I181</f>
        <v>4.2.6.006</v>
      </c>
      <c r="J67" s="13" t="str">
        <f>VLOOKUP(Contacts6[[#This Row],[Código Tarea]],'[7]4. Directorio Integrado'!I181:J277,2,0)</f>
        <v>Parquean vehículos (motos y carros) frente a la oficina.</v>
      </c>
      <c r="K67" s="43" t="str">
        <f>VLOOKUP(Contacts6[[#This Row],[Código Tarea]],'[7]4. Directorio Integrado'!$I$4:$M$227,3,0)</f>
        <v>Actividad a Distancia</v>
      </c>
      <c r="L67" s="16" t="str">
        <f>VLOOKUP(Contacts6[[#This Row],[Código Tarea]],'[7]Formato 4 - SGSF'!$B$8:$H$129,3,0)</f>
        <v>X</v>
      </c>
      <c r="M67" s="16">
        <f>VLOOKUP(Contacts6[[#This Row],[Código Tarea]],'[7]Formato 4 - SGSF'!$B$8:$H$129,4,0)</f>
        <v>0</v>
      </c>
      <c r="N67" s="16">
        <f>VLOOKUP(Contacts6[[#This Row],[Código Tarea]],'[7]Formato 4 - SGSF'!$B$8:$H$129,5,0)</f>
        <v>0</v>
      </c>
      <c r="O67" s="16">
        <f>VLOOKUP(Contacts6[[#This Row],[Código Tarea]],'[7]Formato 4 - SGSF'!$B$8:$H$129,6,0)</f>
        <v>0</v>
      </c>
      <c r="P67" s="16">
        <f>VLOOKUP(Contacts6[[#This Row],[Código Tarea]],'[7]Formato 4 - SGSF'!$B$8:$H$129,7,0)</f>
        <v>0</v>
      </c>
      <c r="Q67" s="16">
        <f>VLOOKUP(Contacts6[[#This Row],[Código Tarea]],'[7]Formato 4 - SGSF'!$B$8:$I$129,8,0)</f>
        <v>0</v>
      </c>
      <c r="R67" s="22" t="str">
        <f>VLOOKUP(Contacts6[[#This Row],[Código Tarea]],'[7]4. Directorio Integrado'!$I$4:$M$245,5,0)</f>
        <v>SARO/SGSI/SGSF</v>
      </c>
    </row>
    <row r="68" spans="1:18" s="30" customFormat="1" ht="30" customHeight="1" x14ac:dyDescent="0.35">
      <c r="A68" s="34"/>
      <c r="B68" s="6"/>
      <c r="C68" s="42">
        <f>VLOOKUP(Contacts6[[#This Row],[Código Tarea]],'[7]4. Directorio Integrado'!$B$4:$N$245,2,0)</f>
        <v>4</v>
      </c>
      <c r="D68" s="42" t="str">
        <f>VLOOKUP(Contacts6[[#This Row],[Código Tarea]],'[7]4. Directorio Integrado'!$B$4:$N$245,3,0)</f>
        <v>Seguridad Financiera</v>
      </c>
      <c r="E68" s="42" t="str">
        <f>VLOOKUP(Contacts6[[#This Row],[Código Tarea]],'[7]4. Directorio Integrado'!$B$4:$N$245,4,0)</f>
        <v>4.3</v>
      </c>
      <c r="F68" s="42" t="str">
        <f>VLOOKUP(Contacts6[[#This Row],[Código Tarea]],'[7]4. Directorio Integrado'!$B$4:$N$245,5,0)</f>
        <v>Seguridad de la Información Humana</v>
      </c>
      <c r="G68" s="42" t="str">
        <f>VLOOKUP(Contacts6[[#This Row],[Código Tarea]],'[7]4. Directorio Integrado'!$B$4:$N$245,6,0)</f>
        <v>4.3.1</v>
      </c>
      <c r="H68" s="42" t="str">
        <f>VLOOKUP(Contacts6[[#This Row],[Código Tarea]],'[7]4. Directorio Integrado'!$B$4:$N$245,7,0)</f>
        <v>Revisión Guarda de Seguridad de la Información</v>
      </c>
      <c r="I68" s="20" t="str">
        <f>'[7]4. Directorio Integrado'!I182</f>
        <v>4.3.1.001</v>
      </c>
      <c r="J68" s="13" t="str">
        <f>VLOOKUP(Contacts6[[#This Row],[Código Tarea]],'[7]4. Directorio Integrado'!I182:J278,2,0)</f>
        <v>Existe guarda de Seguridad de la Información en la oficina.</v>
      </c>
      <c r="K68" s="43" t="str">
        <f>VLOOKUP(Contacts6[[#This Row],[Código Tarea]],'[7]4. Directorio Integrado'!$I$4:$M$227,3,0)</f>
        <v>Actividad a Distancia</v>
      </c>
      <c r="L68" s="16" t="str">
        <f>VLOOKUP(Contacts6[[#This Row],[Código Tarea]],'[7]Formato 4 - SGSF'!$B$8:$H$129,3,0)</f>
        <v>X</v>
      </c>
      <c r="M68" s="16">
        <f>VLOOKUP(Contacts6[[#This Row],[Código Tarea]],'[7]Formato 4 - SGSF'!$B$8:$H$129,4,0)</f>
        <v>0</v>
      </c>
      <c r="N68" s="16">
        <f>VLOOKUP(Contacts6[[#This Row],[Código Tarea]],'[7]Formato 4 - SGSF'!$B$8:$H$129,5,0)</f>
        <v>0</v>
      </c>
      <c r="O68" s="16">
        <f>VLOOKUP(Contacts6[[#This Row],[Código Tarea]],'[7]Formato 4 - SGSF'!$B$8:$H$129,6,0)</f>
        <v>0</v>
      </c>
      <c r="P68" s="16">
        <f>VLOOKUP(Contacts6[[#This Row],[Código Tarea]],'[7]Formato 4 - SGSF'!$B$8:$H$129,7,0)</f>
        <v>0</v>
      </c>
      <c r="Q68" s="16">
        <f>VLOOKUP(Contacts6[[#This Row],[Código Tarea]],'[7]Formato 4 - SGSF'!$B$8:$I$129,8,0)</f>
        <v>0</v>
      </c>
      <c r="R68" s="22" t="str">
        <f>VLOOKUP(Contacts6[[#This Row],[Código Tarea]],'[7]4. Directorio Integrado'!$I$4:$M$245,5,0)</f>
        <v>SARO/SGSF</v>
      </c>
    </row>
    <row r="69" spans="1:18" s="30" customFormat="1" ht="30" customHeight="1" x14ac:dyDescent="0.35">
      <c r="A69" s="34"/>
      <c r="B69" s="6"/>
      <c r="C69" s="42">
        <f>VLOOKUP(Contacts6[[#This Row],[Código Tarea]],'[7]4. Directorio Integrado'!$B$4:$N$245,2,0)</f>
        <v>4</v>
      </c>
      <c r="D69" s="42" t="str">
        <f>VLOOKUP(Contacts6[[#This Row],[Código Tarea]],'[7]4. Directorio Integrado'!$B$4:$N$245,3,0)</f>
        <v>Seguridad Financiera</v>
      </c>
      <c r="E69" s="42" t="str">
        <f>VLOOKUP(Contacts6[[#This Row],[Código Tarea]],'[7]4. Directorio Integrado'!$B$4:$N$245,4,0)</f>
        <v>4.3</v>
      </c>
      <c r="F69" s="42" t="str">
        <f>VLOOKUP(Contacts6[[#This Row],[Código Tarea]],'[7]4. Directorio Integrado'!$B$4:$N$245,5,0)</f>
        <v>Seguridad de la Información Humana</v>
      </c>
      <c r="G69" s="42" t="str">
        <f>VLOOKUP(Contacts6[[#This Row],[Código Tarea]],'[7]4. Directorio Integrado'!$B$4:$N$245,6,0)</f>
        <v>4.3.1</v>
      </c>
      <c r="H69" s="42" t="str">
        <f>VLOOKUP(Contacts6[[#This Row],[Código Tarea]],'[7]4. Directorio Integrado'!$B$4:$N$245,7,0)</f>
        <v>Revisión Guarda de Seguridad de la Información</v>
      </c>
      <c r="I69" s="20" t="str">
        <f>'[7]4. Directorio Integrado'!I183</f>
        <v>4.3.1.002</v>
      </c>
      <c r="J69" s="13" t="str">
        <f>VLOOKUP(Contacts6[[#This Row],[Código Tarea]],'[7]4. Directorio Integrado'!I183:J279,2,0)</f>
        <v>El guarda de Seguridad de la Información cumple con el perfil establecido por la gerencia de Seguridad de la Información, conocimiento de consignas específicas y presentación personal es la adecuada.</v>
      </c>
      <c r="K69" s="43" t="str">
        <f>VLOOKUP(Contacts6[[#This Row],[Código Tarea]],'[7]4. Directorio Integrado'!$I$4:$M$227,3,0)</f>
        <v>Presencial</v>
      </c>
      <c r="L69" s="16" t="str">
        <f>VLOOKUP(Contacts6[[#This Row],[Código Tarea]],'[7]Formato 4 - SGSF'!$B$8:$H$129,3,0)</f>
        <v>X</v>
      </c>
      <c r="M69" s="16">
        <f>VLOOKUP(Contacts6[[#This Row],[Código Tarea]],'[7]Formato 4 - SGSF'!$B$8:$H$129,4,0)</f>
        <v>0</v>
      </c>
      <c r="N69" s="16">
        <f>VLOOKUP(Contacts6[[#This Row],[Código Tarea]],'[7]Formato 4 - SGSF'!$B$8:$H$129,5,0)</f>
        <v>0</v>
      </c>
      <c r="O69" s="16">
        <f>VLOOKUP(Contacts6[[#This Row],[Código Tarea]],'[7]Formato 4 - SGSF'!$B$8:$H$129,6,0)</f>
        <v>0</v>
      </c>
      <c r="P69" s="16">
        <f>VLOOKUP(Contacts6[[#This Row],[Código Tarea]],'[7]Formato 4 - SGSF'!$B$8:$H$129,7,0)</f>
        <v>0</v>
      </c>
      <c r="Q69" s="16">
        <f>VLOOKUP(Contacts6[[#This Row],[Código Tarea]],'[7]Formato 4 - SGSF'!$B$8:$I$129,8,0)</f>
        <v>0</v>
      </c>
      <c r="R69" s="22" t="str">
        <f>VLOOKUP(Contacts6[[#This Row],[Código Tarea]],'[7]4. Directorio Integrado'!$I$4:$M$245,5,0)</f>
        <v>SARO/SGSF</v>
      </c>
    </row>
    <row r="70" spans="1:18" s="30" customFormat="1" ht="30" customHeight="1" x14ac:dyDescent="0.35">
      <c r="A70" s="34"/>
      <c r="B70" s="6"/>
      <c r="C70" s="42">
        <f>VLOOKUP(Contacts6[[#This Row],[Código Tarea]],'[7]4. Directorio Integrado'!$B$4:$N$245,2,0)</f>
        <v>4</v>
      </c>
      <c r="D70" s="42" t="str">
        <f>VLOOKUP(Contacts6[[#This Row],[Código Tarea]],'[7]4. Directorio Integrado'!$B$4:$N$245,3,0)</f>
        <v>Seguridad Financiera</v>
      </c>
      <c r="E70" s="42" t="str">
        <f>VLOOKUP(Contacts6[[#This Row],[Código Tarea]],'[7]4. Directorio Integrado'!$B$4:$N$245,4,0)</f>
        <v>4.3</v>
      </c>
      <c r="F70" s="42" t="str">
        <f>VLOOKUP(Contacts6[[#This Row],[Código Tarea]],'[7]4. Directorio Integrado'!$B$4:$N$245,5,0)</f>
        <v>Seguridad de la Información Humana</v>
      </c>
      <c r="G70" s="42" t="str">
        <f>VLOOKUP(Contacts6[[#This Row],[Código Tarea]],'[7]4. Directorio Integrado'!$B$4:$N$245,6,0)</f>
        <v>4.3.1</v>
      </c>
      <c r="H70" s="42" t="str">
        <f>VLOOKUP(Contacts6[[#This Row],[Código Tarea]],'[7]4. Directorio Integrado'!$B$4:$N$245,7,0)</f>
        <v>Revisión Guarda de Seguridad de la Información</v>
      </c>
      <c r="I70" s="20" t="str">
        <f>'[7]4. Directorio Integrado'!I184</f>
        <v>4.3.1.003</v>
      </c>
      <c r="J70" s="13" t="str">
        <f>VLOOKUP(Contacts6[[#This Row],[Código Tarea]],'[7]4. Directorio Integrado'!I184:J280,2,0)</f>
        <v>Dotación uniforme: el guarda cuenta con camisa, pantalón, zapatos, placa, apellido, kepis y ha recibido dotación en el último semestre.</v>
      </c>
      <c r="K70" s="43" t="str">
        <f>VLOOKUP(Contacts6[[#This Row],[Código Tarea]],'[7]4. Directorio Integrado'!$I$4:$M$227,3,0)</f>
        <v>Presencial</v>
      </c>
      <c r="L70" s="16" t="str">
        <f>VLOOKUP(Contacts6[[#This Row],[Código Tarea]],'[7]Formato 4 - SGSF'!$B$8:$H$129,3,0)</f>
        <v>X</v>
      </c>
      <c r="M70" s="16">
        <f>VLOOKUP(Contacts6[[#This Row],[Código Tarea]],'[7]Formato 4 - SGSF'!$B$8:$H$129,4,0)</f>
        <v>0</v>
      </c>
      <c r="N70" s="16">
        <f>VLOOKUP(Contacts6[[#This Row],[Código Tarea]],'[7]Formato 4 - SGSF'!$B$8:$H$129,5,0)</f>
        <v>0</v>
      </c>
      <c r="O70" s="16">
        <f>VLOOKUP(Contacts6[[#This Row],[Código Tarea]],'[7]Formato 4 - SGSF'!$B$8:$H$129,6,0)</f>
        <v>0</v>
      </c>
      <c r="P70" s="16">
        <f>VLOOKUP(Contacts6[[#This Row],[Código Tarea]],'[7]Formato 4 - SGSF'!$B$8:$H$129,7,0)</f>
        <v>0</v>
      </c>
      <c r="Q70" s="16">
        <f>VLOOKUP(Contacts6[[#This Row],[Código Tarea]],'[7]Formato 4 - SGSF'!$B$8:$I$129,8,0)</f>
        <v>0</v>
      </c>
      <c r="R70" s="22" t="str">
        <f>VLOOKUP(Contacts6[[#This Row],[Código Tarea]],'[7]4. Directorio Integrado'!$I$4:$M$245,5,0)</f>
        <v>SARO/SGSF</v>
      </c>
    </row>
    <row r="71" spans="1:18" s="30" customFormat="1" ht="30" customHeight="1" x14ac:dyDescent="0.35">
      <c r="A71" s="34"/>
      <c r="B71" s="6"/>
      <c r="C71" s="42">
        <f>VLOOKUP(Contacts6[[#This Row],[Código Tarea]],'[7]4. Directorio Integrado'!$B$4:$N$245,2,0)</f>
        <v>4</v>
      </c>
      <c r="D71" s="42" t="str">
        <f>VLOOKUP(Contacts6[[#This Row],[Código Tarea]],'[7]4. Directorio Integrado'!$B$4:$N$245,3,0)</f>
        <v>Seguridad Financiera</v>
      </c>
      <c r="E71" s="42" t="str">
        <f>VLOOKUP(Contacts6[[#This Row],[Código Tarea]],'[7]4. Directorio Integrado'!$B$4:$N$245,4,0)</f>
        <v>4.3</v>
      </c>
      <c r="F71" s="42" t="str">
        <f>VLOOKUP(Contacts6[[#This Row],[Código Tarea]],'[7]4. Directorio Integrado'!$B$4:$N$245,5,0)</f>
        <v>Seguridad de la Información Humana</v>
      </c>
      <c r="G71" s="42" t="str">
        <f>VLOOKUP(Contacts6[[#This Row],[Código Tarea]],'[7]4. Directorio Integrado'!$B$4:$N$245,6,0)</f>
        <v>4.3.1</v>
      </c>
      <c r="H71" s="42" t="str">
        <f>VLOOKUP(Contacts6[[#This Row],[Código Tarea]],'[7]4. Directorio Integrado'!$B$4:$N$245,7,0)</f>
        <v>Revisión Guarda de Seguridad de la Información</v>
      </c>
      <c r="I71" s="20" t="str">
        <f>'[7]4. Directorio Integrado'!I185</f>
        <v>4.3.1.004</v>
      </c>
      <c r="J71" s="13" t="str">
        <f>VLOOKUP(Contacts6[[#This Row],[Código Tarea]],'[7]4. Directorio Integrado'!I185:J281,2,0)</f>
        <v>Dotación armamento: cuenta con arma de fuego, chapuza, riata, canana, munición, tonfa, pito y se encuentra en buen estado.</v>
      </c>
      <c r="K71" s="43" t="str">
        <f>VLOOKUP(Contacts6[[#This Row],[Código Tarea]],'[7]4. Directorio Integrado'!$I$4:$M$227,3,0)</f>
        <v>Presencial</v>
      </c>
      <c r="L71" s="16" t="str">
        <f>VLOOKUP(Contacts6[[#This Row],[Código Tarea]],'[7]Formato 4 - SGSF'!$B$8:$H$129,3,0)</f>
        <v>X</v>
      </c>
      <c r="M71" s="16">
        <f>VLOOKUP(Contacts6[[#This Row],[Código Tarea]],'[7]Formato 4 - SGSF'!$B$8:$H$129,4,0)</f>
        <v>0</v>
      </c>
      <c r="N71" s="16">
        <f>VLOOKUP(Contacts6[[#This Row],[Código Tarea]],'[7]Formato 4 - SGSF'!$B$8:$H$129,5,0)</f>
        <v>0</v>
      </c>
      <c r="O71" s="16">
        <f>VLOOKUP(Contacts6[[#This Row],[Código Tarea]],'[7]Formato 4 - SGSF'!$B$8:$H$129,6,0)</f>
        <v>0</v>
      </c>
      <c r="P71" s="16">
        <f>VLOOKUP(Contacts6[[#This Row],[Código Tarea]],'[7]Formato 4 - SGSF'!$B$8:$H$129,7,0)</f>
        <v>0</v>
      </c>
      <c r="Q71" s="16">
        <f>VLOOKUP(Contacts6[[#This Row],[Código Tarea]],'[7]Formato 4 - SGSF'!$B$8:$I$129,8,0)</f>
        <v>0</v>
      </c>
      <c r="R71" s="22" t="str">
        <f>VLOOKUP(Contacts6[[#This Row],[Código Tarea]],'[7]4. Directorio Integrado'!$I$4:$M$245,5,0)</f>
        <v>SARO/SGSF</v>
      </c>
    </row>
    <row r="72" spans="1:18" s="30" customFormat="1" ht="30" customHeight="1" x14ac:dyDescent="0.35">
      <c r="A72" s="34"/>
      <c r="B72" s="6"/>
      <c r="C72" s="42">
        <f>VLOOKUP(Contacts6[[#This Row],[Código Tarea]],'[7]4. Directorio Integrado'!$B$4:$N$245,2,0)</f>
        <v>4</v>
      </c>
      <c r="D72" s="42" t="str">
        <f>VLOOKUP(Contacts6[[#This Row],[Código Tarea]],'[7]4. Directorio Integrado'!$B$4:$N$245,3,0)</f>
        <v>Seguridad Financiera</v>
      </c>
      <c r="E72" s="42" t="str">
        <f>VLOOKUP(Contacts6[[#This Row],[Código Tarea]],'[7]4. Directorio Integrado'!$B$4:$N$245,4,0)</f>
        <v>4.3</v>
      </c>
      <c r="F72" s="42" t="str">
        <f>VLOOKUP(Contacts6[[#This Row],[Código Tarea]],'[7]4. Directorio Integrado'!$B$4:$N$245,5,0)</f>
        <v>Seguridad de la Información Humana</v>
      </c>
      <c r="G72" s="42" t="str">
        <f>VLOOKUP(Contacts6[[#This Row],[Código Tarea]],'[7]4. Directorio Integrado'!$B$4:$N$245,6,0)</f>
        <v>4.3.1</v>
      </c>
      <c r="H72" s="42" t="str">
        <f>VLOOKUP(Contacts6[[#This Row],[Código Tarea]],'[7]4. Directorio Integrado'!$B$4:$N$245,7,0)</f>
        <v>Revisión Guarda de Seguridad de la Información</v>
      </c>
      <c r="I72" s="20" t="str">
        <f>'[7]4. Directorio Integrado'!I186</f>
        <v>4.3.1.005</v>
      </c>
      <c r="J72" s="13" t="str">
        <f>VLOOKUP(Contacts6[[#This Row],[Código Tarea]],'[7]4. Directorio Integrado'!I186:J282,2,0)</f>
        <v>Documentación puesto-registros: existe minuta de puesto, consignas generales y específicas, registro de ingreso de terceros y minuta de visitas de policía.</v>
      </c>
      <c r="K72" s="43" t="str">
        <f>VLOOKUP(Contacts6[[#This Row],[Código Tarea]],'[7]4. Directorio Integrado'!$I$4:$M$227,3,0)</f>
        <v>Presencial</v>
      </c>
      <c r="L72" s="16" t="str">
        <f>VLOOKUP(Contacts6[[#This Row],[Código Tarea]],'[7]Formato 4 - SGSF'!$B$8:$H$129,3,0)</f>
        <v>X</v>
      </c>
      <c r="M72" s="16">
        <f>VLOOKUP(Contacts6[[#This Row],[Código Tarea]],'[7]Formato 4 - SGSF'!$B$8:$H$129,4,0)</f>
        <v>0</v>
      </c>
      <c r="N72" s="16">
        <f>VLOOKUP(Contacts6[[#This Row],[Código Tarea]],'[7]Formato 4 - SGSF'!$B$8:$H$129,5,0)</f>
        <v>0</v>
      </c>
      <c r="O72" s="16">
        <f>VLOOKUP(Contacts6[[#This Row],[Código Tarea]],'[7]Formato 4 - SGSF'!$B$8:$H$129,6,0)</f>
        <v>0</v>
      </c>
      <c r="P72" s="16">
        <f>VLOOKUP(Contacts6[[#This Row],[Código Tarea]],'[7]Formato 4 - SGSF'!$B$8:$H$129,7,0)</f>
        <v>0</v>
      </c>
      <c r="Q72" s="16">
        <f>VLOOKUP(Contacts6[[#This Row],[Código Tarea]],'[7]Formato 4 - SGSF'!$B$8:$I$129,8,0)</f>
        <v>0</v>
      </c>
      <c r="R72" s="22" t="str">
        <f>VLOOKUP(Contacts6[[#This Row],[Código Tarea]],'[7]4. Directorio Integrado'!$I$4:$M$245,5,0)</f>
        <v>SARO/SGSF</v>
      </c>
    </row>
    <row r="73" spans="1:18" s="30" customFormat="1" ht="30" customHeight="1" x14ac:dyDescent="0.35">
      <c r="A73" s="34"/>
      <c r="B73" s="6"/>
      <c r="C73" s="42">
        <f>VLOOKUP(Contacts6[[#This Row],[Código Tarea]],'[7]4. Directorio Integrado'!$B$4:$N$245,2,0)</f>
        <v>4</v>
      </c>
      <c r="D73" s="42" t="str">
        <f>VLOOKUP(Contacts6[[#This Row],[Código Tarea]],'[7]4. Directorio Integrado'!$B$4:$N$245,3,0)</f>
        <v>Seguridad Financiera</v>
      </c>
      <c r="E73" s="42" t="str">
        <f>VLOOKUP(Contacts6[[#This Row],[Código Tarea]],'[7]4. Directorio Integrado'!$B$4:$N$245,4,0)</f>
        <v>4.3</v>
      </c>
      <c r="F73" s="42" t="str">
        <f>VLOOKUP(Contacts6[[#This Row],[Código Tarea]],'[7]4. Directorio Integrado'!$B$4:$N$245,5,0)</f>
        <v>Seguridad de la Información Humana</v>
      </c>
      <c r="G73" s="42" t="str">
        <f>VLOOKUP(Contacts6[[#This Row],[Código Tarea]],'[7]4. Directorio Integrado'!$B$4:$N$245,6,0)</f>
        <v>4.3.1</v>
      </c>
      <c r="H73" s="42" t="str">
        <f>VLOOKUP(Contacts6[[#This Row],[Código Tarea]],'[7]4. Directorio Integrado'!$B$4:$N$245,7,0)</f>
        <v>Revisión Guarda de Seguridad de la Información</v>
      </c>
      <c r="I73" s="20" t="str">
        <f>'[7]4. Directorio Integrado'!I187</f>
        <v>4.3.1.006</v>
      </c>
      <c r="J73" s="13" t="str">
        <f>VLOOKUP(Contacts6[[#This Row],[Código Tarea]],'[7]4. Directorio Integrado'!I187:J283,2,0)</f>
        <v>Documentación puesto-permisos: salvo conducto de tenencia del arma (vigente) y licencia de comunicaciones(vigente), cursos vigentes de Seguridad de la Información. el guarda de Seguridad de la Información ha sido rotado por la empresa según lo establecido por la gerencia de Seguridad de la Información.</v>
      </c>
      <c r="K73" s="43" t="str">
        <f>VLOOKUP(Contacts6[[#This Row],[Código Tarea]],'[7]4. Directorio Integrado'!$I$4:$M$227,3,0)</f>
        <v>Presencial</v>
      </c>
      <c r="L73" s="16" t="str">
        <f>VLOOKUP(Contacts6[[#This Row],[Código Tarea]],'[7]Formato 4 - SGSF'!$B$8:$H$129,3,0)</f>
        <v>X</v>
      </c>
      <c r="M73" s="16">
        <f>VLOOKUP(Contacts6[[#This Row],[Código Tarea]],'[7]Formato 4 - SGSF'!$B$8:$H$129,4,0)</f>
        <v>0</v>
      </c>
      <c r="N73" s="16">
        <f>VLOOKUP(Contacts6[[#This Row],[Código Tarea]],'[7]Formato 4 - SGSF'!$B$8:$H$129,5,0)</f>
        <v>0</v>
      </c>
      <c r="O73" s="16">
        <f>VLOOKUP(Contacts6[[#This Row],[Código Tarea]],'[7]Formato 4 - SGSF'!$B$8:$H$129,6,0)</f>
        <v>0</v>
      </c>
      <c r="P73" s="16">
        <f>VLOOKUP(Contacts6[[#This Row],[Código Tarea]],'[7]Formato 4 - SGSF'!$B$8:$H$129,7,0)</f>
        <v>0</v>
      </c>
      <c r="Q73" s="16">
        <f>VLOOKUP(Contacts6[[#This Row],[Código Tarea]],'[7]Formato 4 - SGSF'!$B$8:$I$129,8,0)</f>
        <v>0</v>
      </c>
      <c r="R73" s="22" t="str">
        <f>VLOOKUP(Contacts6[[#This Row],[Código Tarea]],'[7]4. Directorio Integrado'!$I$4:$M$245,5,0)</f>
        <v>SARO/SGSF</v>
      </c>
    </row>
    <row r="74" spans="1:18" s="30" customFormat="1" ht="30" customHeight="1" x14ac:dyDescent="0.35">
      <c r="A74" s="34"/>
      <c r="B74" s="6"/>
      <c r="C74" s="42">
        <f>VLOOKUP(Contacts6[[#This Row],[Código Tarea]],'[7]4. Directorio Integrado'!$B$4:$N$245,2,0)</f>
        <v>4</v>
      </c>
      <c r="D74" s="42" t="str">
        <f>VLOOKUP(Contacts6[[#This Row],[Código Tarea]],'[7]4. Directorio Integrado'!$B$4:$N$245,3,0)</f>
        <v>Seguridad Financiera</v>
      </c>
      <c r="E74" s="42" t="str">
        <f>VLOOKUP(Contacts6[[#This Row],[Código Tarea]],'[7]4. Directorio Integrado'!$B$4:$N$245,4,0)</f>
        <v>4.3</v>
      </c>
      <c r="F74" s="42" t="str">
        <f>VLOOKUP(Contacts6[[#This Row],[Código Tarea]],'[7]4. Directorio Integrado'!$B$4:$N$245,5,0)</f>
        <v>Seguridad de la Información Humana</v>
      </c>
      <c r="G74" s="42" t="str">
        <f>VLOOKUP(Contacts6[[#This Row],[Código Tarea]],'[7]4. Directorio Integrado'!$B$4:$N$245,6,0)</f>
        <v>4.3.1</v>
      </c>
      <c r="H74" s="42" t="str">
        <f>VLOOKUP(Contacts6[[#This Row],[Código Tarea]],'[7]4. Directorio Integrado'!$B$4:$N$245,7,0)</f>
        <v>Revisión Guarda de Seguridad de la Información</v>
      </c>
      <c r="I74" s="20" t="str">
        <f>'[7]4. Directorio Integrado'!I188</f>
        <v>4.3.1.007</v>
      </c>
      <c r="J74" s="13" t="str">
        <f>VLOOKUP(Contacts6[[#This Row],[Código Tarea]],'[7]4. Directorio Integrado'!I188:J284,2,0)</f>
        <v>Documentación identificacion personal: cédula, libreta militar, carné empresa, EPS, ARL.</v>
      </c>
      <c r="K74" s="43" t="str">
        <f>VLOOKUP(Contacts6[[#This Row],[Código Tarea]],'[7]4. Directorio Integrado'!$I$4:$M$227,3,0)</f>
        <v>Presencial</v>
      </c>
      <c r="L74" s="16" t="str">
        <f>VLOOKUP(Contacts6[[#This Row],[Código Tarea]],'[7]Formato 4 - SGSF'!$B$8:$H$129,3,0)</f>
        <v>X</v>
      </c>
      <c r="M74" s="16">
        <f>VLOOKUP(Contacts6[[#This Row],[Código Tarea]],'[7]Formato 4 - SGSF'!$B$8:$H$129,4,0)</f>
        <v>0</v>
      </c>
      <c r="N74" s="16">
        <f>VLOOKUP(Contacts6[[#This Row],[Código Tarea]],'[7]Formato 4 - SGSF'!$B$8:$H$129,5,0)</f>
        <v>0</v>
      </c>
      <c r="O74" s="16">
        <f>VLOOKUP(Contacts6[[#This Row],[Código Tarea]],'[7]Formato 4 - SGSF'!$B$8:$H$129,6,0)</f>
        <v>0</v>
      </c>
      <c r="P74" s="16">
        <f>VLOOKUP(Contacts6[[#This Row],[Código Tarea]],'[7]Formato 4 - SGSF'!$B$8:$H$129,7,0)</f>
        <v>0</v>
      </c>
      <c r="Q74" s="16">
        <f>VLOOKUP(Contacts6[[#This Row],[Código Tarea]],'[7]Formato 4 - SGSF'!$B$8:$I$129,8,0)</f>
        <v>0</v>
      </c>
      <c r="R74" s="22" t="str">
        <f>VLOOKUP(Contacts6[[#This Row],[Código Tarea]],'[7]4. Directorio Integrado'!$I$4:$M$245,5,0)</f>
        <v>SARO/SGSF</v>
      </c>
    </row>
    <row r="75" spans="1:18" s="30" customFormat="1" ht="30" customHeight="1" x14ac:dyDescent="0.35">
      <c r="A75" s="34"/>
      <c r="B75" s="6"/>
      <c r="C75" s="42">
        <f>VLOOKUP(Contacts6[[#This Row],[Código Tarea]],'[7]4. Directorio Integrado'!$B$4:$N$245,2,0)</f>
        <v>4</v>
      </c>
      <c r="D75" s="42" t="str">
        <f>VLOOKUP(Contacts6[[#This Row],[Código Tarea]],'[7]4. Directorio Integrado'!$B$4:$N$245,3,0)</f>
        <v>Seguridad Financiera</v>
      </c>
      <c r="E75" s="42" t="str">
        <f>VLOOKUP(Contacts6[[#This Row],[Código Tarea]],'[7]4. Directorio Integrado'!$B$4:$N$245,4,0)</f>
        <v>4.3</v>
      </c>
      <c r="F75" s="42" t="str">
        <f>VLOOKUP(Contacts6[[#This Row],[Código Tarea]],'[7]4. Directorio Integrado'!$B$4:$N$245,5,0)</f>
        <v>Seguridad de la Información Humana</v>
      </c>
      <c r="G75" s="42" t="str">
        <f>VLOOKUP(Contacts6[[#This Row],[Código Tarea]],'[7]4. Directorio Integrado'!$B$4:$N$245,6,0)</f>
        <v>4.3.1</v>
      </c>
      <c r="H75" s="42" t="str">
        <f>VLOOKUP(Contacts6[[#This Row],[Código Tarea]],'[7]4. Directorio Integrado'!$B$4:$N$245,7,0)</f>
        <v>Revisión Guarda de Seguridad de la Información</v>
      </c>
      <c r="I75" s="20" t="str">
        <f>'[7]4. Directorio Integrado'!I189</f>
        <v>4.3.1.008</v>
      </c>
      <c r="J75" s="13" t="str">
        <f>VLOOKUP(Contacts6[[#This Row],[Código Tarea]],'[7]4. Directorio Integrado'!I189:J285,2,0)</f>
        <v>Ubicación vigilante: el guarda se ubica detrás de la puerta que divide el hall bancario, área de cajas o lugar que no sea de fácil acceso por parte de la delincuencia.</v>
      </c>
      <c r="K75" s="43" t="str">
        <f>VLOOKUP(Contacts6[[#This Row],[Código Tarea]],'[7]4. Directorio Integrado'!$I$4:$M$227,3,0)</f>
        <v>Presencial</v>
      </c>
      <c r="L75" s="16" t="str">
        <f>VLOOKUP(Contacts6[[#This Row],[Código Tarea]],'[7]Formato 4 - SGSF'!$B$8:$H$129,3,0)</f>
        <v>X</v>
      </c>
      <c r="M75" s="16">
        <f>VLOOKUP(Contacts6[[#This Row],[Código Tarea]],'[7]Formato 4 - SGSF'!$B$8:$H$129,4,0)</f>
        <v>0</v>
      </c>
      <c r="N75" s="16">
        <f>VLOOKUP(Contacts6[[#This Row],[Código Tarea]],'[7]Formato 4 - SGSF'!$B$8:$H$129,5,0)</f>
        <v>0</v>
      </c>
      <c r="O75" s="16">
        <f>VLOOKUP(Contacts6[[#This Row],[Código Tarea]],'[7]Formato 4 - SGSF'!$B$8:$H$129,6,0)</f>
        <v>0</v>
      </c>
      <c r="P75" s="16">
        <f>VLOOKUP(Contacts6[[#This Row],[Código Tarea]],'[7]Formato 4 - SGSF'!$B$8:$H$129,7,0)</f>
        <v>0</v>
      </c>
      <c r="Q75" s="16">
        <f>VLOOKUP(Contacts6[[#This Row],[Código Tarea]],'[7]Formato 4 - SGSF'!$B$8:$I$129,8,0)</f>
        <v>0</v>
      </c>
      <c r="R75" s="22" t="str">
        <f>VLOOKUP(Contacts6[[#This Row],[Código Tarea]],'[7]4. Directorio Integrado'!$I$4:$M$245,5,0)</f>
        <v>SARO/SGSF</v>
      </c>
    </row>
    <row r="76" spans="1:18" s="30" customFormat="1" ht="30" customHeight="1" x14ac:dyDescent="0.35">
      <c r="A76" s="34"/>
      <c r="B76" s="6"/>
      <c r="C76" s="42">
        <f>VLOOKUP(Contacts6[[#This Row],[Código Tarea]],'[7]4. Directorio Integrado'!$B$4:$N$245,2,0)</f>
        <v>4</v>
      </c>
      <c r="D76" s="42" t="str">
        <f>VLOOKUP(Contacts6[[#This Row],[Código Tarea]],'[7]4. Directorio Integrado'!$B$4:$N$245,3,0)</f>
        <v>Seguridad Financiera</v>
      </c>
      <c r="E76" s="42" t="str">
        <f>VLOOKUP(Contacts6[[#This Row],[Código Tarea]],'[7]4. Directorio Integrado'!$B$4:$N$245,4,0)</f>
        <v>4.3</v>
      </c>
      <c r="F76" s="42" t="str">
        <f>VLOOKUP(Contacts6[[#This Row],[Código Tarea]],'[7]4. Directorio Integrado'!$B$4:$N$245,5,0)</f>
        <v>Seguridad de la Información Humana</v>
      </c>
      <c r="G76" s="42" t="str">
        <f>VLOOKUP(Contacts6[[#This Row],[Código Tarea]],'[7]4. Directorio Integrado'!$B$4:$N$245,6,0)</f>
        <v>4.3.2</v>
      </c>
      <c r="H76" s="42" t="str">
        <f>VLOOKUP(Contacts6[[#This Row],[Código Tarea]],'[7]4. Directorio Integrado'!$B$4:$N$245,7,0)</f>
        <v>Revisión otros elementos de Seguridad de la Información</v>
      </c>
      <c r="I76" s="20" t="str">
        <f>'[7]4. Directorio Integrado'!I190</f>
        <v>4.3.2.001</v>
      </c>
      <c r="J76" s="13" t="str">
        <f>VLOOKUP(Contacts6[[#This Row],[Código Tarea]],'[7]4. Directorio Integrado'!I190:J286,2,0)</f>
        <v>Pánico inalámbrico: el Guarda cuenta con el elemento y  funciona correctamente.</v>
      </c>
      <c r="K76" s="43" t="str">
        <f>VLOOKUP(Contacts6[[#This Row],[Código Tarea]],'[7]4. Directorio Integrado'!$I$4:$M$227,3,0)</f>
        <v>Presencial</v>
      </c>
      <c r="L76" s="16" t="str">
        <f>VLOOKUP(Contacts6[[#This Row],[Código Tarea]],'[7]Formato 4 - SGSF'!$B$8:$H$129,3,0)</f>
        <v>X</v>
      </c>
      <c r="M76" s="16">
        <f>VLOOKUP(Contacts6[[#This Row],[Código Tarea]],'[7]Formato 4 - SGSF'!$B$8:$H$129,4,0)</f>
        <v>0</v>
      </c>
      <c r="N76" s="16">
        <f>VLOOKUP(Contacts6[[#This Row],[Código Tarea]],'[7]Formato 4 - SGSF'!$B$8:$H$129,5,0)</f>
        <v>0</v>
      </c>
      <c r="O76" s="16">
        <f>VLOOKUP(Contacts6[[#This Row],[Código Tarea]],'[7]Formato 4 - SGSF'!$B$8:$H$129,6,0)</f>
        <v>0</v>
      </c>
      <c r="P76" s="16">
        <f>VLOOKUP(Contacts6[[#This Row],[Código Tarea]],'[7]Formato 4 - SGSF'!$B$8:$H$129,7,0)</f>
        <v>0</v>
      </c>
      <c r="Q76" s="16">
        <f>VLOOKUP(Contacts6[[#This Row],[Código Tarea]],'[7]Formato 4 - SGSF'!$B$8:$I$129,8,0)</f>
        <v>0</v>
      </c>
      <c r="R76" s="22" t="str">
        <f>VLOOKUP(Contacts6[[#This Row],[Código Tarea]],'[7]4. Directorio Integrado'!$I$4:$M$245,5,0)</f>
        <v>SARO/SGSF</v>
      </c>
    </row>
    <row r="77" spans="1:18" s="30" customFormat="1" ht="30" customHeight="1" x14ac:dyDescent="0.35">
      <c r="A77" s="34"/>
      <c r="B77" s="6"/>
      <c r="C77" s="42">
        <f>VLOOKUP(Contacts6[[#This Row],[Código Tarea]],'[7]4. Directorio Integrado'!$B$4:$N$245,2,0)</f>
        <v>4</v>
      </c>
      <c r="D77" s="42" t="str">
        <f>VLOOKUP(Contacts6[[#This Row],[Código Tarea]],'[7]4. Directorio Integrado'!$B$4:$N$245,3,0)</f>
        <v>Seguridad Financiera</v>
      </c>
      <c r="E77" s="42" t="str">
        <f>VLOOKUP(Contacts6[[#This Row],[Código Tarea]],'[7]4. Directorio Integrado'!$B$4:$N$245,4,0)</f>
        <v>4.3</v>
      </c>
      <c r="F77" s="42" t="str">
        <f>VLOOKUP(Contacts6[[#This Row],[Código Tarea]],'[7]4. Directorio Integrado'!$B$4:$N$245,5,0)</f>
        <v>Seguridad de la Información Humana</v>
      </c>
      <c r="G77" s="42" t="str">
        <f>VLOOKUP(Contacts6[[#This Row],[Código Tarea]],'[7]4. Directorio Integrado'!$B$4:$N$245,6,0)</f>
        <v>4.3.2</v>
      </c>
      <c r="H77" s="42" t="str">
        <f>VLOOKUP(Contacts6[[#This Row],[Código Tarea]],'[7]4. Directorio Integrado'!$B$4:$N$245,7,0)</f>
        <v>Revisión otros elementos de Seguridad de la Información</v>
      </c>
      <c r="I77" s="20" t="str">
        <f>'[7]4. Directorio Integrado'!I191</f>
        <v>4.3.2.002</v>
      </c>
      <c r="J77" s="13" t="str">
        <f>VLOOKUP(Contacts6[[#This Row],[Código Tarea]],'[7]4. Directorio Integrado'!I191:J287,2,0)</f>
        <v xml:space="preserve">Cajilla de Seguridad de la Información: se encuentra anclada bajo la visual de una camara de CCTV, el guarda tiene clave o llaves del elemento de custodia y  es utilizada de manera correcta. </v>
      </c>
      <c r="K77" s="43" t="str">
        <f>VLOOKUP(Contacts6[[#This Row],[Código Tarea]],'[7]4. Directorio Integrado'!$I$4:$M$227,3,0)</f>
        <v>Actividad a Distancia</v>
      </c>
      <c r="L77" s="16" t="str">
        <f>VLOOKUP(Contacts6[[#This Row],[Código Tarea]],'[7]Formato 4 - SGSF'!$B$8:$H$129,3,0)</f>
        <v>X</v>
      </c>
      <c r="M77" s="16">
        <f>VLOOKUP(Contacts6[[#This Row],[Código Tarea]],'[7]Formato 4 - SGSF'!$B$8:$H$129,4,0)</f>
        <v>0</v>
      </c>
      <c r="N77" s="16">
        <f>VLOOKUP(Contacts6[[#This Row],[Código Tarea]],'[7]Formato 4 - SGSF'!$B$8:$H$129,5,0)</f>
        <v>0</v>
      </c>
      <c r="O77" s="16">
        <f>VLOOKUP(Contacts6[[#This Row],[Código Tarea]],'[7]Formato 4 - SGSF'!$B$8:$H$129,6,0)</f>
        <v>0</v>
      </c>
      <c r="P77" s="16">
        <f>VLOOKUP(Contacts6[[#This Row],[Código Tarea]],'[7]Formato 4 - SGSF'!$B$8:$H$129,7,0)</f>
        <v>0</v>
      </c>
      <c r="Q77" s="16">
        <f>VLOOKUP(Contacts6[[#This Row],[Código Tarea]],'[7]Formato 4 - SGSF'!$B$8:$I$129,8,0)</f>
        <v>0</v>
      </c>
      <c r="R77" s="22" t="str">
        <f>VLOOKUP(Contacts6[[#This Row],[Código Tarea]],'[7]4. Directorio Integrado'!$I$4:$M$245,5,0)</f>
        <v>SARO/SGSF</v>
      </c>
    </row>
    <row r="78" spans="1:18" s="30" customFormat="1" ht="30" customHeight="1" x14ac:dyDescent="0.35">
      <c r="A78" s="34"/>
      <c r="B78" s="6"/>
      <c r="C78" s="42">
        <f>VLOOKUP(Contacts6[[#This Row],[Código Tarea]],'[7]4. Directorio Integrado'!$B$4:$N$245,2,0)</f>
        <v>4</v>
      </c>
      <c r="D78" s="42" t="str">
        <f>VLOOKUP(Contacts6[[#This Row],[Código Tarea]],'[7]4. Directorio Integrado'!$B$4:$N$245,3,0)</f>
        <v>Seguridad Financiera</v>
      </c>
      <c r="E78" s="42" t="str">
        <f>VLOOKUP(Contacts6[[#This Row],[Código Tarea]],'[7]4. Directorio Integrado'!$B$4:$N$245,4,0)</f>
        <v>4.3</v>
      </c>
      <c r="F78" s="42" t="str">
        <f>VLOOKUP(Contacts6[[#This Row],[Código Tarea]],'[7]4. Directorio Integrado'!$B$4:$N$245,5,0)</f>
        <v>Seguridad de la Información Humana</v>
      </c>
      <c r="G78" s="42" t="str">
        <f>VLOOKUP(Contacts6[[#This Row],[Código Tarea]],'[7]4. Directorio Integrado'!$B$4:$N$245,6,0)</f>
        <v>4.3.3</v>
      </c>
      <c r="H78" s="42" t="str">
        <f>VLOOKUP(Contacts6[[#This Row],[Código Tarea]],'[7]4. Directorio Integrado'!$B$4:$N$245,7,0)</f>
        <v>Revisión supervisión presencial</v>
      </c>
      <c r="I78" s="20" t="str">
        <f>'[7]4. Directorio Integrado'!I192</f>
        <v>4.3.3.001</v>
      </c>
      <c r="J78" s="13" t="str">
        <f>VLOOKUP(Contacts6[[#This Row],[Código Tarea]],'[7]4. Directorio Integrado'!I192:J288,2,0)</f>
        <v>Supervisión presencial: el puesto cuenta con supervisión diaria, semanal o mensual según la distancia de la oficina respecto a ciudad principal. tiene revista telefónica.</v>
      </c>
      <c r="K78" s="43" t="str">
        <f>VLOOKUP(Contacts6[[#This Row],[Código Tarea]],'[7]4. Directorio Integrado'!$I$4:$M$227,3,0)</f>
        <v>Presencial</v>
      </c>
      <c r="L78" s="16" t="str">
        <f>VLOOKUP(Contacts6[[#This Row],[Código Tarea]],'[7]Formato 4 - SGSF'!$B$8:$H$129,3,0)</f>
        <v>X</v>
      </c>
      <c r="M78" s="16">
        <f>VLOOKUP(Contacts6[[#This Row],[Código Tarea]],'[7]Formato 4 - SGSF'!$B$8:$H$129,4,0)</f>
        <v>0</v>
      </c>
      <c r="N78" s="16">
        <f>VLOOKUP(Contacts6[[#This Row],[Código Tarea]],'[7]Formato 4 - SGSF'!$B$8:$H$129,5,0)</f>
        <v>0</v>
      </c>
      <c r="O78" s="16">
        <f>VLOOKUP(Contacts6[[#This Row],[Código Tarea]],'[7]Formato 4 - SGSF'!$B$8:$H$129,6,0)</f>
        <v>0</v>
      </c>
      <c r="P78" s="16">
        <f>VLOOKUP(Contacts6[[#This Row],[Código Tarea]],'[7]Formato 4 - SGSF'!$B$8:$H$129,7,0)</f>
        <v>0</v>
      </c>
      <c r="Q78" s="16">
        <f>VLOOKUP(Contacts6[[#This Row],[Código Tarea]],'[7]Formato 4 - SGSF'!$B$8:$I$129,8,0)</f>
        <v>0</v>
      </c>
      <c r="R78" s="22" t="str">
        <f>VLOOKUP(Contacts6[[#This Row],[Código Tarea]],'[7]4. Directorio Integrado'!$I$4:$M$245,5,0)</f>
        <v>SARO/SGSF</v>
      </c>
    </row>
    <row r="79" spans="1:18" s="30" customFormat="1" ht="30" customHeight="1" x14ac:dyDescent="0.35">
      <c r="A79" s="34"/>
      <c r="B79" s="6"/>
      <c r="C79" s="42">
        <f>VLOOKUP(Contacts6[[#This Row],[Código Tarea]],'[7]4. Directorio Integrado'!$B$4:$N$245,2,0)</f>
        <v>4</v>
      </c>
      <c r="D79" s="42" t="str">
        <f>VLOOKUP(Contacts6[[#This Row],[Código Tarea]],'[7]4. Directorio Integrado'!$B$4:$N$245,3,0)</f>
        <v>Seguridad Financiera</v>
      </c>
      <c r="E79" s="42" t="str">
        <f>VLOOKUP(Contacts6[[#This Row],[Código Tarea]],'[7]4. Directorio Integrado'!$B$4:$N$245,4,0)</f>
        <v>4.4</v>
      </c>
      <c r="F79" s="42" t="str">
        <f>VLOOKUP(Contacts6[[#This Row],[Código Tarea]],'[7]4. Directorio Integrado'!$B$4:$N$245,5,0)</f>
        <v>Seguridad de la Información Lógica</v>
      </c>
      <c r="G79" s="42" t="str">
        <f>VLOOKUP(Contacts6[[#This Row],[Código Tarea]],'[7]4. Directorio Integrado'!$B$4:$N$245,6,0)</f>
        <v>4.4.1</v>
      </c>
      <c r="H79" s="42" t="str">
        <f>VLOOKUP(Contacts6[[#This Row],[Código Tarea]],'[7]4. Directorio Integrado'!$B$4:$N$245,7,0)</f>
        <v>Manejo de claves y llaves</v>
      </c>
      <c r="I79" s="20" t="str">
        <f>'[7]4. Directorio Integrado'!I193</f>
        <v>4.4.1.001</v>
      </c>
      <c r="J79" s="13" t="str">
        <f>VLOOKUP(Contacts6[[#This Row],[Código Tarea]],'[7]4. Directorio Integrado'!I193:J289,2,0)</f>
        <v>El gerente de oficina cuenta con clave maestra del sistema de alarma, realiza asignación de claves a los colaboradores de acuerdo al procedimiento AIL 457 y AIL 462.</v>
      </c>
      <c r="K79" s="43" t="str">
        <f>VLOOKUP(Contacts6[[#This Row],[Código Tarea]],'[7]4. Directorio Integrado'!$I$4:$M$227,3,0)</f>
        <v>Presencial</v>
      </c>
      <c r="L79" s="16" t="str">
        <f>VLOOKUP(Contacts6[[#This Row],[Código Tarea]],'[7]Formato 4 - SGSF'!$B$8:$H$129,3,0)</f>
        <v>X</v>
      </c>
      <c r="M79" s="16">
        <f>VLOOKUP(Contacts6[[#This Row],[Código Tarea]],'[7]Formato 4 - SGSF'!$B$8:$H$129,4,0)</f>
        <v>0</v>
      </c>
      <c r="N79" s="16">
        <f>VLOOKUP(Contacts6[[#This Row],[Código Tarea]],'[7]Formato 4 - SGSF'!$B$8:$H$129,5,0)</f>
        <v>0</v>
      </c>
      <c r="O79" s="16">
        <f>VLOOKUP(Contacts6[[#This Row],[Código Tarea]],'[7]Formato 4 - SGSF'!$B$8:$H$129,6,0)</f>
        <v>0</v>
      </c>
      <c r="P79" s="16">
        <f>VLOOKUP(Contacts6[[#This Row],[Código Tarea]],'[7]Formato 4 - SGSF'!$B$8:$H$129,7,0)</f>
        <v>0</v>
      </c>
      <c r="Q79" s="16">
        <f>VLOOKUP(Contacts6[[#This Row],[Código Tarea]],'[7]Formato 4 - SGSF'!$B$8:$I$129,8,0)</f>
        <v>0</v>
      </c>
      <c r="R79" s="22" t="str">
        <f>VLOOKUP(Contacts6[[#This Row],[Código Tarea]],'[7]4. Directorio Integrado'!$I$4:$M$245,5,0)</f>
        <v>SARO/SGSF</v>
      </c>
    </row>
    <row r="80" spans="1:18" s="30" customFormat="1" ht="30" customHeight="1" x14ac:dyDescent="0.35">
      <c r="A80" s="34"/>
      <c r="B80" s="6"/>
      <c r="C80" s="42">
        <f>VLOOKUP(Contacts6[[#This Row],[Código Tarea]],'[7]4. Directorio Integrado'!$B$4:$N$245,2,0)</f>
        <v>4</v>
      </c>
      <c r="D80" s="42" t="str">
        <f>VLOOKUP(Contacts6[[#This Row],[Código Tarea]],'[7]4. Directorio Integrado'!$B$4:$N$245,3,0)</f>
        <v>Seguridad Financiera</v>
      </c>
      <c r="E80" s="42" t="str">
        <f>VLOOKUP(Contacts6[[#This Row],[Código Tarea]],'[7]4. Directorio Integrado'!$B$4:$N$245,4,0)</f>
        <v>4.4</v>
      </c>
      <c r="F80" s="42" t="str">
        <f>VLOOKUP(Contacts6[[#This Row],[Código Tarea]],'[7]4. Directorio Integrado'!$B$4:$N$245,5,0)</f>
        <v>Seguridad de la Información Lógica</v>
      </c>
      <c r="G80" s="42" t="str">
        <f>VLOOKUP(Contacts6[[#This Row],[Código Tarea]],'[7]4. Directorio Integrado'!$B$4:$N$245,6,0)</f>
        <v>4.4.1</v>
      </c>
      <c r="H80" s="42" t="str">
        <f>VLOOKUP(Contacts6[[#This Row],[Código Tarea]],'[7]4. Directorio Integrado'!$B$4:$N$245,7,0)</f>
        <v>Manejo de claves y llaves</v>
      </c>
      <c r="I80" s="20" t="str">
        <f>'[7]4. Directorio Integrado'!I194</f>
        <v>4.4.1.002</v>
      </c>
      <c r="J80" s="13" t="str">
        <f>VLOOKUP(Contacts6[[#This Row],[Código Tarea]],'[7]4. Directorio Integrado'!I194:J290,2,0)</f>
        <v>Los  colaboradores de la oficina conocen el procedimiento AIL 457 y AIL 462 del manejo de llaves y claves de la oficina.</v>
      </c>
      <c r="K80" s="43" t="str">
        <f>VLOOKUP(Contacts6[[#This Row],[Código Tarea]],'[7]4. Directorio Integrado'!$I$4:$M$227,3,0)</f>
        <v>Presencial</v>
      </c>
      <c r="L80" s="16" t="str">
        <f>VLOOKUP(Contacts6[[#This Row],[Código Tarea]],'[7]Formato 4 - SGSF'!$B$8:$H$129,3,0)</f>
        <v>X</v>
      </c>
      <c r="M80" s="16">
        <f>VLOOKUP(Contacts6[[#This Row],[Código Tarea]],'[7]Formato 4 - SGSF'!$B$8:$H$129,4,0)</f>
        <v>0</v>
      </c>
      <c r="N80" s="16">
        <f>VLOOKUP(Contacts6[[#This Row],[Código Tarea]],'[7]Formato 4 - SGSF'!$B$8:$H$129,5,0)</f>
        <v>0</v>
      </c>
      <c r="O80" s="16">
        <f>VLOOKUP(Contacts6[[#This Row],[Código Tarea]],'[7]Formato 4 - SGSF'!$B$8:$H$129,6,0)</f>
        <v>0</v>
      </c>
      <c r="P80" s="16">
        <f>VLOOKUP(Contacts6[[#This Row],[Código Tarea]],'[7]Formato 4 - SGSF'!$B$8:$H$129,7,0)</f>
        <v>0</v>
      </c>
      <c r="Q80" s="16">
        <f>VLOOKUP(Contacts6[[#This Row],[Código Tarea]],'[7]Formato 4 - SGSF'!$B$8:$I$129,8,0)</f>
        <v>0</v>
      </c>
      <c r="R80" s="22" t="str">
        <f>VLOOKUP(Contacts6[[#This Row],[Código Tarea]],'[7]4. Directorio Integrado'!$I$4:$M$245,5,0)</f>
        <v>SARO/SGSF</v>
      </c>
    </row>
    <row r="81" spans="1:18" s="30" customFormat="1" ht="30" customHeight="1" x14ac:dyDescent="0.35">
      <c r="A81" s="34"/>
      <c r="B81" s="6"/>
      <c r="C81" s="42">
        <f>VLOOKUP(Contacts6[[#This Row],[Código Tarea]],'[7]4. Directorio Integrado'!$B$4:$N$245,2,0)</f>
        <v>4</v>
      </c>
      <c r="D81" s="42" t="str">
        <f>VLOOKUP(Contacts6[[#This Row],[Código Tarea]],'[7]4. Directorio Integrado'!$B$4:$N$245,3,0)</f>
        <v>Seguridad Financiera</v>
      </c>
      <c r="E81" s="42" t="str">
        <f>VLOOKUP(Contacts6[[#This Row],[Código Tarea]],'[7]4. Directorio Integrado'!$B$4:$N$245,4,0)</f>
        <v>4.4</v>
      </c>
      <c r="F81" s="42" t="str">
        <f>VLOOKUP(Contacts6[[#This Row],[Código Tarea]],'[7]4. Directorio Integrado'!$B$4:$N$245,5,0)</f>
        <v>Seguridad de la Información Lógica</v>
      </c>
      <c r="G81" s="42" t="str">
        <f>VLOOKUP(Contacts6[[#This Row],[Código Tarea]],'[7]4. Directorio Integrado'!$B$4:$N$245,6,0)</f>
        <v>4.4.1</v>
      </c>
      <c r="H81" s="42" t="str">
        <f>VLOOKUP(Contacts6[[#This Row],[Código Tarea]],'[7]4. Directorio Integrado'!$B$4:$N$245,7,0)</f>
        <v>Manejo de claves y llaves</v>
      </c>
      <c r="I81" s="20" t="str">
        <f>'[7]4. Directorio Integrado'!I195</f>
        <v>4.4.1.003</v>
      </c>
      <c r="J81" s="13" t="str">
        <f>VLOOKUP(Contacts6[[#This Row],[Código Tarea]],'[7]4. Directorio Integrado'!I195:J291,2,0)</f>
        <v>La asignación de claves y llaves entre colaboradores de  la oficina  se encuentra según lo dispuesto en el procedimiento AIL 457 y AIL 462</v>
      </c>
      <c r="K81" s="43" t="str">
        <f>VLOOKUP(Contacts6[[#This Row],[Código Tarea]],'[7]4. Directorio Integrado'!$I$4:$M$227,3,0)</f>
        <v>Presencial</v>
      </c>
      <c r="L81" s="16" t="str">
        <f>VLOOKUP(Contacts6[[#This Row],[Código Tarea]],'[7]Formato 4 - SGSF'!$B$8:$H$129,3,0)</f>
        <v>X</v>
      </c>
      <c r="M81" s="16">
        <f>VLOOKUP(Contacts6[[#This Row],[Código Tarea]],'[7]Formato 4 - SGSF'!$B$8:$H$129,4,0)</f>
        <v>0</v>
      </c>
      <c r="N81" s="16">
        <f>VLOOKUP(Contacts6[[#This Row],[Código Tarea]],'[7]Formato 4 - SGSF'!$B$8:$H$129,5,0)</f>
        <v>0</v>
      </c>
      <c r="O81" s="16">
        <f>VLOOKUP(Contacts6[[#This Row],[Código Tarea]],'[7]Formato 4 - SGSF'!$B$8:$H$129,6,0)</f>
        <v>0</v>
      </c>
      <c r="P81" s="16">
        <f>VLOOKUP(Contacts6[[#This Row],[Código Tarea]],'[7]Formato 4 - SGSF'!$B$8:$H$129,7,0)</f>
        <v>0</v>
      </c>
      <c r="Q81" s="16">
        <f>VLOOKUP(Contacts6[[#This Row],[Código Tarea]],'[7]Formato 4 - SGSF'!$B$8:$I$129,8,0)</f>
        <v>0</v>
      </c>
      <c r="R81" s="22" t="str">
        <f>VLOOKUP(Contacts6[[#This Row],[Código Tarea]],'[7]4. Directorio Integrado'!$I$4:$M$245,5,0)</f>
        <v>SARO/SGSF</v>
      </c>
    </row>
    <row r="82" spans="1:18" s="30" customFormat="1" ht="30" customHeight="1" x14ac:dyDescent="0.35">
      <c r="A82" s="34"/>
      <c r="B82" s="6"/>
      <c r="C82" s="42">
        <f>VLOOKUP(Contacts6[[#This Row],[Código Tarea]],'[7]4. Directorio Integrado'!$B$4:$N$245,2,0)</f>
        <v>4</v>
      </c>
      <c r="D82" s="42" t="str">
        <f>VLOOKUP(Contacts6[[#This Row],[Código Tarea]],'[7]4. Directorio Integrado'!$B$4:$N$245,3,0)</f>
        <v>Seguridad Financiera</v>
      </c>
      <c r="E82" s="42" t="str">
        <f>VLOOKUP(Contacts6[[#This Row],[Código Tarea]],'[7]4. Directorio Integrado'!$B$4:$N$245,4,0)</f>
        <v>4.4</v>
      </c>
      <c r="F82" s="42" t="str">
        <f>VLOOKUP(Contacts6[[#This Row],[Código Tarea]],'[7]4. Directorio Integrado'!$B$4:$N$245,5,0)</f>
        <v>Seguridad de la Información Lógica</v>
      </c>
      <c r="G82" s="42" t="str">
        <f>VLOOKUP(Contacts6[[#This Row],[Código Tarea]],'[7]4. Directorio Integrado'!$B$4:$N$245,6,0)</f>
        <v>4.4.1</v>
      </c>
      <c r="H82" s="42" t="str">
        <f>VLOOKUP(Contacts6[[#This Row],[Código Tarea]],'[7]4. Directorio Integrado'!$B$4:$N$245,7,0)</f>
        <v>Manejo de claves y llaves</v>
      </c>
      <c r="I82" s="20" t="str">
        <f>'[7]4. Directorio Integrado'!I196</f>
        <v>4.4.1.004</v>
      </c>
      <c r="J82" s="13" t="str">
        <f>VLOOKUP(Contacts6[[#This Row],[Código Tarea]],'[7]4. Directorio Integrado'!I196:J292,2,0)</f>
        <v>Que los cambios de claves, llaves y alarma cuentan con el formato "FB-OP04-007 acta de entrega de llaves, claves bóvedas, cajas fuertes, cofres y sistema de alarma" completamente diligenciado y firmado.</v>
      </c>
      <c r="K82" s="43" t="str">
        <f>VLOOKUP(Contacts6[[#This Row],[Código Tarea]],'[7]4. Directorio Integrado'!$I$4:$M$227,3,0)</f>
        <v>Presencial</v>
      </c>
      <c r="L82" s="16" t="str">
        <f>VLOOKUP(Contacts6[[#This Row],[Código Tarea]],'[7]Formato 4 - SGSF'!$B$8:$H$129,3,0)</f>
        <v>X</v>
      </c>
      <c r="M82" s="16">
        <f>VLOOKUP(Contacts6[[#This Row],[Código Tarea]],'[7]Formato 4 - SGSF'!$B$8:$H$129,4,0)</f>
        <v>0</v>
      </c>
      <c r="N82" s="16">
        <f>VLOOKUP(Contacts6[[#This Row],[Código Tarea]],'[7]Formato 4 - SGSF'!$B$8:$H$129,5,0)</f>
        <v>0</v>
      </c>
      <c r="O82" s="16">
        <f>VLOOKUP(Contacts6[[#This Row],[Código Tarea]],'[7]Formato 4 - SGSF'!$B$8:$H$129,6,0)</f>
        <v>0</v>
      </c>
      <c r="P82" s="16">
        <f>VLOOKUP(Contacts6[[#This Row],[Código Tarea]],'[7]Formato 4 - SGSF'!$B$8:$H$129,7,0)</f>
        <v>0</v>
      </c>
      <c r="Q82" s="16">
        <f>VLOOKUP(Contacts6[[#This Row],[Código Tarea]],'[7]Formato 4 - SGSF'!$B$8:$I$129,8,0)</f>
        <v>0</v>
      </c>
      <c r="R82" s="22" t="str">
        <f>VLOOKUP(Contacts6[[#This Row],[Código Tarea]],'[7]4. Directorio Integrado'!$I$4:$M$245,5,0)</f>
        <v>SARO/SGSF</v>
      </c>
    </row>
    <row r="83" spans="1:18" s="30" customFormat="1" ht="30" customHeight="1" x14ac:dyDescent="0.35">
      <c r="A83" s="34"/>
      <c r="B83" s="6"/>
      <c r="C83" s="42">
        <f>VLOOKUP(Contacts6[[#This Row],[Código Tarea]],'[7]4. Directorio Integrado'!$B$4:$N$245,2,0)</f>
        <v>4</v>
      </c>
      <c r="D83" s="42" t="str">
        <f>VLOOKUP(Contacts6[[#This Row],[Código Tarea]],'[7]4. Directorio Integrado'!$B$4:$N$245,3,0)</f>
        <v>Seguridad Financiera</v>
      </c>
      <c r="E83" s="42" t="str">
        <f>VLOOKUP(Contacts6[[#This Row],[Código Tarea]],'[7]4. Directorio Integrado'!$B$4:$N$245,4,0)</f>
        <v>4.4</v>
      </c>
      <c r="F83" s="42" t="str">
        <f>VLOOKUP(Contacts6[[#This Row],[Código Tarea]],'[7]4. Directorio Integrado'!$B$4:$N$245,5,0)</f>
        <v>Seguridad de la Información Lógica</v>
      </c>
      <c r="G83" s="42" t="str">
        <f>VLOOKUP(Contacts6[[#This Row],[Código Tarea]],'[7]4. Directorio Integrado'!$B$4:$N$245,6,0)</f>
        <v>4.4.1</v>
      </c>
      <c r="H83" s="42" t="str">
        <f>VLOOKUP(Contacts6[[#This Row],[Código Tarea]],'[7]4. Directorio Integrado'!$B$4:$N$245,7,0)</f>
        <v>Manejo de claves y llaves</v>
      </c>
      <c r="I83" s="20" t="str">
        <f>'[7]4. Directorio Integrado'!I197</f>
        <v>4.4.1.005</v>
      </c>
      <c r="J83" s="13" t="str">
        <f>VLOOKUP(Contacts6[[#This Row],[Código Tarea]],'[7]4. Directorio Integrado'!I197:J293,2,0)</f>
        <v>Existe plan de contingencia en caso de pérdida y/o olvido de claves y  llaves.</v>
      </c>
      <c r="K83" s="43" t="str">
        <f>VLOOKUP(Contacts6[[#This Row],[Código Tarea]],'[7]4. Directorio Integrado'!$I$4:$M$227,3,0)</f>
        <v>Presencial</v>
      </c>
      <c r="L83" s="16" t="str">
        <f>VLOOKUP(Contacts6[[#This Row],[Código Tarea]],'[7]Formato 4 - SGSF'!$B$8:$H$129,3,0)</f>
        <v>X</v>
      </c>
      <c r="M83" s="16">
        <f>VLOOKUP(Contacts6[[#This Row],[Código Tarea]],'[7]Formato 4 - SGSF'!$B$8:$H$129,4,0)</f>
        <v>0</v>
      </c>
      <c r="N83" s="16">
        <f>VLOOKUP(Contacts6[[#This Row],[Código Tarea]],'[7]Formato 4 - SGSF'!$B$8:$H$129,5,0)</f>
        <v>0</v>
      </c>
      <c r="O83" s="16">
        <f>VLOOKUP(Contacts6[[#This Row],[Código Tarea]],'[7]Formato 4 - SGSF'!$B$8:$H$129,6,0)</f>
        <v>0</v>
      </c>
      <c r="P83" s="16">
        <f>VLOOKUP(Contacts6[[#This Row],[Código Tarea]],'[7]Formato 4 - SGSF'!$B$8:$H$129,7,0)</f>
        <v>0</v>
      </c>
      <c r="Q83" s="16">
        <f>VLOOKUP(Contacts6[[#This Row],[Código Tarea]],'[7]Formato 4 - SGSF'!$B$8:$I$129,8,0)</f>
        <v>0</v>
      </c>
      <c r="R83" s="22" t="str">
        <f>VLOOKUP(Contacts6[[#This Row],[Código Tarea]],'[7]4. Directorio Integrado'!$I$4:$M$245,5,0)</f>
        <v>SARO/SGSF</v>
      </c>
    </row>
    <row r="84" spans="1:18" s="30" customFormat="1" ht="30" customHeight="1" x14ac:dyDescent="0.35">
      <c r="A84" s="34"/>
      <c r="B84" s="6"/>
      <c r="C84" s="42">
        <f>VLOOKUP(Contacts6[[#This Row],[Código Tarea]],'[7]4. Directorio Integrado'!$B$4:$N$245,2,0)</f>
        <v>4</v>
      </c>
      <c r="D84" s="42" t="str">
        <f>VLOOKUP(Contacts6[[#This Row],[Código Tarea]],'[7]4. Directorio Integrado'!$B$4:$N$245,3,0)</f>
        <v>Seguridad Financiera</v>
      </c>
      <c r="E84" s="42" t="str">
        <f>VLOOKUP(Contacts6[[#This Row],[Código Tarea]],'[7]4. Directorio Integrado'!$B$4:$N$245,4,0)</f>
        <v>4.4</v>
      </c>
      <c r="F84" s="42" t="str">
        <f>VLOOKUP(Contacts6[[#This Row],[Código Tarea]],'[7]4. Directorio Integrado'!$B$4:$N$245,5,0)</f>
        <v>Seguridad de la Información Lógica</v>
      </c>
      <c r="G84" s="42" t="str">
        <f>VLOOKUP(Contacts6[[#This Row],[Código Tarea]],'[7]4. Directorio Integrado'!$B$4:$N$245,6,0)</f>
        <v>4.4.1</v>
      </c>
      <c r="H84" s="42" t="str">
        <f>VLOOKUP(Contacts6[[#This Row],[Código Tarea]],'[7]4. Directorio Integrado'!$B$4:$N$245,7,0)</f>
        <v>Manejo de claves y llaves</v>
      </c>
      <c r="I84" s="20" t="str">
        <f>'[7]4. Directorio Integrado'!I198</f>
        <v>4.4.1.006</v>
      </c>
      <c r="J84" s="13" t="str">
        <f>VLOOKUP(Contacts6[[#This Row],[Código Tarea]],'[7]4. Directorio Integrado'!I198:J294,2,0)</f>
        <v>Las llaves de respaldo se encuentran custodiadas en la oficina más cercana y cuenta con actas de entrega.</v>
      </c>
      <c r="K84" s="43" t="str">
        <f>VLOOKUP(Contacts6[[#This Row],[Código Tarea]],'[7]4. Directorio Integrado'!$I$4:$M$227,3,0)</f>
        <v>Presencial</v>
      </c>
      <c r="L84" s="16" t="str">
        <f>VLOOKUP(Contacts6[[#This Row],[Código Tarea]],'[7]Formato 4 - SGSF'!$B$8:$H$129,3,0)</f>
        <v>X</v>
      </c>
      <c r="M84" s="16">
        <f>VLOOKUP(Contacts6[[#This Row],[Código Tarea]],'[7]Formato 4 - SGSF'!$B$8:$H$129,4,0)</f>
        <v>0</v>
      </c>
      <c r="N84" s="16">
        <f>VLOOKUP(Contacts6[[#This Row],[Código Tarea]],'[7]Formato 4 - SGSF'!$B$8:$H$129,5,0)</f>
        <v>0</v>
      </c>
      <c r="O84" s="16">
        <f>VLOOKUP(Contacts6[[#This Row],[Código Tarea]],'[7]Formato 4 - SGSF'!$B$8:$H$129,6,0)</f>
        <v>0</v>
      </c>
      <c r="P84" s="16">
        <f>VLOOKUP(Contacts6[[#This Row],[Código Tarea]],'[7]Formato 4 - SGSF'!$B$8:$H$129,7,0)</f>
        <v>0</v>
      </c>
      <c r="Q84" s="16">
        <f>VLOOKUP(Contacts6[[#This Row],[Código Tarea]],'[7]Formato 4 - SGSF'!$B$8:$I$129,8,0)</f>
        <v>0</v>
      </c>
      <c r="R84" s="22" t="str">
        <f>VLOOKUP(Contacts6[[#This Row],[Código Tarea]],'[7]4. Directorio Integrado'!$I$4:$M$245,5,0)</f>
        <v>SARO/SGSF</v>
      </c>
    </row>
    <row r="85" spans="1:18" s="30" customFormat="1" ht="30" customHeight="1" x14ac:dyDescent="0.35">
      <c r="A85" s="34"/>
      <c r="B85" s="6"/>
      <c r="C85" s="42">
        <f>VLOOKUP(Contacts6[[#This Row],[Código Tarea]],'[7]4. Directorio Integrado'!$B$4:$N$245,2,0)</f>
        <v>4</v>
      </c>
      <c r="D85" s="42" t="str">
        <f>VLOOKUP(Contacts6[[#This Row],[Código Tarea]],'[7]4. Directorio Integrado'!$B$4:$N$245,3,0)</f>
        <v>Seguridad Financiera</v>
      </c>
      <c r="E85" s="42" t="str">
        <f>VLOOKUP(Contacts6[[#This Row],[Código Tarea]],'[7]4. Directorio Integrado'!$B$4:$N$245,4,0)</f>
        <v>4.4</v>
      </c>
      <c r="F85" s="42" t="str">
        <f>VLOOKUP(Contacts6[[#This Row],[Código Tarea]],'[7]4. Directorio Integrado'!$B$4:$N$245,5,0)</f>
        <v>Seguridad de la Información Lógica</v>
      </c>
      <c r="G85" s="42" t="str">
        <f>VLOOKUP(Contacts6[[#This Row],[Código Tarea]],'[7]4. Directorio Integrado'!$B$4:$N$245,6,0)</f>
        <v>4.4.1</v>
      </c>
      <c r="H85" s="42" t="str">
        <f>VLOOKUP(Contacts6[[#This Row],[Código Tarea]],'[7]4. Directorio Integrado'!$B$4:$N$245,7,0)</f>
        <v>Manejo de claves y llaves</v>
      </c>
      <c r="I85" s="20" t="str">
        <f>'[7]4. Directorio Integrado'!I199</f>
        <v>4.4.1.007</v>
      </c>
      <c r="J85" s="13" t="str">
        <f>VLOOKUP(Contacts6[[#This Row],[Código Tarea]],'[7]4. Directorio Integrado'!I199:J295,2,0)</f>
        <v>Las claves de los diales digitales y mecánicos se encuentran custodiadas en el centro administrativo regional (CAR) y se cuentan con las actas o memorando de entrega.</v>
      </c>
      <c r="K85" s="43" t="str">
        <f>VLOOKUP(Contacts6[[#This Row],[Código Tarea]],'[7]4. Directorio Integrado'!$I$4:$M$227,3,0)</f>
        <v>Presencial</v>
      </c>
      <c r="L85" s="16" t="str">
        <f>VLOOKUP(Contacts6[[#This Row],[Código Tarea]],'[7]Formato 4 - SGSF'!$B$8:$H$129,3,0)</f>
        <v>X</v>
      </c>
      <c r="M85" s="16">
        <f>VLOOKUP(Contacts6[[#This Row],[Código Tarea]],'[7]Formato 4 - SGSF'!$B$8:$H$129,4,0)</f>
        <v>0</v>
      </c>
      <c r="N85" s="16">
        <f>VLOOKUP(Contacts6[[#This Row],[Código Tarea]],'[7]Formato 4 - SGSF'!$B$8:$H$129,5,0)</f>
        <v>0</v>
      </c>
      <c r="O85" s="16">
        <f>VLOOKUP(Contacts6[[#This Row],[Código Tarea]],'[7]Formato 4 - SGSF'!$B$8:$H$129,6,0)</f>
        <v>0</v>
      </c>
      <c r="P85" s="16">
        <f>VLOOKUP(Contacts6[[#This Row],[Código Tarea]],'[7]Formato 4 - SGSF'!$B$8:$H$129,7,0)</f>
        <v>0</v>
      </c>
      <c r="Q85" s="16">
        <f>VLOOKUP(Contacts6[[#This Row],[Código Tarea]],'[7]Formato 4 - SGSF'!$B$8:$I$129,8,0)</f>
        <v>0</v>
      </c>
      <c r="R85" s="22" t="str">
        <f>VLOOKUP(Contacts6[[#This Row],[Código Tarea]],'[7]4. Directorio Integrado'!$I$4:$M$245,5,0)</f>
        <v>SARO/SGSF</v>
      </c>
    </row>
    <row r="86" spans="1:18" s="30" customFormat="1" ht="30" customHeight="1" x14ac:dyDescent="0.35">
      <c r="A86" s="34"/>
      <c r="B86" s="6"/>
      <c r="C86" s="42">
        <f>VLOOKUP(Contacts6[[#This Row],[Código Tarea]],'[7]4. Directorio Integrado'!$B$4:$N$245,2,0)</f>
        <v>4</v>
      </c>
      <c r="D86" s="42" t="str">
        <f>VLOOKUP(Contacts6[[#This Row],[Código Tarea]],'[7]4. Directorio Integrado'!$B$4:$N$245,3,0)</f>
        <v>Seguridad Financiera</v>
      </c>
      <c r="E86" s="42" t="str">
        <f>VLOOKUP(Contacts6[[#This Row],[Código Tarea]],'[7]4. Directorio Integrado'!$B$4:$N$245,4,0)</f>
        <v>4.4</v>
      </c>
      <c r="F86" s="42" t="str">
        <f>VLOOKUP(Contacts6[[#This Row],[Código Tarea]],'[7]4. Directorio Integrado'!$B$4:$N$245,5,0)</f>
        <v>Seguridad de la Información Lógica</v>
      </c>
      <c r="G86" s="42" t="str">
        <f>VLOOKUP(Contacts6[[#This Row],[Código Tarea]],'[7]4. Directorio Integrado'!$B$4:$N$245,6,0)</f>
        <v>4.4.1</v>
      </c>
      <c r="H86" s="42" t="str">
        <f>VLOOKUP(Contacts6[[#This Row],[Código Tarea]],'[7]4. Directorio Integrado'!$B$4:$N$245,7,0)</f>
        <v>Manejo de claves y llaves</v>
      </c>
      <c r="I86" s="20" t="str">
        <f>'[7]4. Directorio Integrado'!I200</f>
        <v>4.4.1.008</v>
      </c>
      <c r="J86" s="13" t="str">
        <f>VLOOKUP(Contacts6[[#This Row],[Código Tarea]],'[7]4. Directorio Integrado'!I200:J296,2,0)</f>
        <v>Los colaboradores conocen la clave de coacción de la oficina,  santo y seña en caso de eventos de riesgo.</v>
      </c>
      <c r="K86" s="43" t="str">
        <f>VLOOKUP(Contacts6[[#This Row],[Código Tarea]],'[7]4. Directorio Integrado'!$I$4:$M$227,3,0)</f>
        <v>Presencial</v>
      </c>
      <c r="L86" s="16" t="str">
        <f>VLOOKUP(Contacts6[[#This Row],[Código Tarea]],'[7]Formato 4 - SGSF'!$B$8:$H$129,3,0)</f>
        <v>X</v>
      </c>
      <c r="M86" s="16">
        <f>VLOOKUP(Contacts6[[#This Row],[Código Tarea]],'[7]Formato 4 - SGSF'!$B$8:$H$129,4,0)</f>
        <v>0</v>
      </c>
      <c r="N86" s="16">
        <f>VLOOKUP(Contacts6[[#This Row],[Código Tarea]],'[7]Formato 4 - SGSF'!$B$8:$H$129,5,0)</f>
        <v>0</v>
      </c>
      <c r="O86" s="16">
        <f>VLOOKUP(Contacts6[[#This Row],[Código Tarea]],'[7]Formato 4 - SGSF'!$B$8:$H$129,6,0)</f>
        <v>0</v>
      </c>
      <c r="P86" s="16">
        <f>VLOOKUP(Contacts6[[#This Row],[Código Tarea]],'[7]Formato 4 - SGSF'!$B$8:$H$129,7,0)</f>
        <v>0</v>
      </c>
      <c r="Q86" s="16">
        <f>VLOOKUP(Contacts6[[#This Row],[Código Tarea]],'[7]Formato 4 - SGSF'!$B$8:$I$129,8,0)</f>
        <v>0</v>
      </c>
      <c r="R86" s="22" t="str">
        <f>VLOOKUP(Contacts6[[#This Row],[Código Tarea]],'[7]4. Directorio Integrado'!$I$4:$M$245,5,0)</f>
        <v>SARO/SGSF</v>
      </c>
    </row>
    <row r="87" spans="1:18" s="30" customFormat="1" ht="30" customHeight="1" x14ac:dyDescent="0.35">
      <c r="A87" s="34"/>
      <c r="B87" s="6"/>
      <c r="C87" s="42">
        <f>VLOOKUP(Contacts6[[#This Row],[Código Tarea]],'[7]4. Directorio Integrado'!$B$4:$N$245,2,0)</f>
        <v>4</v>
      </c>
      <c r="D87" s="42" t="str">
        <f>VLOOKUP(Contacts6[[#This Row],[Código Tarea]],'[7]4. Directorio Integrado'!$B$4:$N$245,3,0)</f>
        <v>Seguridad Financiera</v>
      </c>
      <c r="E87" s="42" t="str">
        <f>VLOOKUP(Contacts6[[#This Row],[Código Tarea]],'[7]4. Directorio Integrado'!$B$4:$N$245,4,0)</f>
        <v>4.4</v>
      </c>
      <c r="F87" s="42" t="str">
        <f>VLOOKUP(Contacts6[[#This Row],[Código Tarea]],'[7]4. Directorio Integrado'!$B$4:$N$245,5,0)</f>
        <v>Seguridad de la Información Lógica</v>
      </c>
      <c r="G87" s="42" t="str">
        <f>VLOOKUP(Contacts6[[#This Row],[Código Tarea]],'[7]4. Directorio Integrado'!$B$4:$N$245,6,0)</f>
        <v>4.4.1</v>
      </c>
      <c r="H87" s="42" t="str">
        <f>VLOOKUP(Contacts6[[#This Row],[Código Tarea]],'[7]4. Directorio Integrado'!$B$4:$N$245,7,0)</f>
        <v>Manejo de claves y llaves</v>
      </c>
      <c r="I87" s="20" t="str">
        <f>'[7]4. Directorio Integrado'!I201</f>
        <v>4.4.1.009</v>
      </c>
      <c r="J87" s="13" t="str">
        <f>VLOOKUP(Contacts6[[#This Row],[Código Tarea]],'[7]4. Directorio Integrado'!I201:J297,2,0)</f>
        <v xml:space="preserve">Validar en el último mes que:
cada empleado utiliza la clave de acceso acorde a su perfil funcional y que no presta su clave a otro empleado (vacaciones, baja, etc..), comprobar además que cuando se ausenta de su puesto de trabajo (café, visita cliente, notaría, fin jornada, etc.) bloquea el terminal abierto con su clave. </v>
      </c>
      <c r="K87" s="43" t="str">
        <f>VLOOKUP(Contacts6[[#This Row],[Código Tarea]],'[7]4. Directorio Integrado'!$I$4:$M$227,3,0)</f>
        <v>Presencial</v>
      </c>
      <c r="L87" s="16" t="str">
        <f>VLOOKUP(Contacts6[[#This Row],[Código Tarea]],'[7]Formato 4 - SGSF'!$B$8:$H$129,3,0)</f>
        <v>X</v>
      </c>
      <c r="M87" s="16">
        <f>VLOOKUP(Contacts6[[#This Row],[Código Tarea]],'[7]Formato 4 - SGSF'!$B$8:$H$129,4,0)</f>
        <v>0</v>
      </c>
      <c r="N87" s="16">
        <f>VLOOKUP(Contacts6[[#This Row],[Código Tarea]],'[7]Formato 4 - SGSF'!$B$8:$H$129,5,0)</f>
        <v>0</v>
      </c>
      <c r="O87" s="16">
        <f>VLOOKUP(Contacts6[[#This Row],[Código Tarea]],'[7]Formato 4 - SGSF'!$B$8:$H$129,6,0)</f>
        <v>0</v>
      </c>
      <c r="P87" s="16">
        <f>VLOOKUP(Contacts6[[#This Row],[Código Tarea]],'[7]Formato 4 - SGSF'!$B$8:$H$129,7,0)</f>
        <v>0</v>
      </c>
      <c r="Q87" s="16">
        <f>VLOOKUP(Contacts6[[#This Row],[Código Tarea]],'[7]Formato 4 - SGSF'!$B$8:$I$129,8,0)</f>
        <v>0</v>
      </c>
      <c r="R87" s="22" t="str">
        <f>VLOOKUP(Contacts6[[#This Row],[Código Tarea]],'[7]4. Directorio Integrado'!$I$4:$M$245,5,0)</f>
        <v>SARO/SGSF</v>
      </c>
    </row>
    <row r="88" spans="1:18" s="30" customFormat="1" ht="30" customHeight="1" x14ac:dyDescent="0.35">
      <c r="A88" s="34"/>
      <c r="B88" s="6"/>
      <c r="C88" s="42">
        <f>VLOOKUP(Contacts6[[#This Row],[Código Tarea]],'[7]4. Directorio Integrado'!$B$4:$N$245,2,0)</f>
        <v>4</v>
      </c>
      <c r="D88" s="42" t="str">
        <f>VLOOKUP(Contacts6[[#This Row],[Código Tarea]],'[7]4. Directorio Integrado'!$B$4:$N$245,3,0)</f>
        <v>Seguridad Financiera</v>
      </c>
      <c r="E88" s="42" t="str">
        <f>VLOOKUP(Contacts6[[#This Row],[Código Tarea]],'[7]4. Directorio Integrado'!$B$4:$N$245,4,0)</f>
        <v>4.5</v>
      </c>
      <c r="F88" s="42" t="str">
        <f>VLOOKUP(Contacts6[[#This Row],[Código Tarea]],'[7]4. Directorio Integrado'!$B$4:$N$245,5,0)</f>
        <v>Seguridad de la Información y salud en el trabajo</v>
      </c>
      <c r="G88" s="42" t="str">
        <f>VLOOKUP(Contacts6[[#This Row],[Código Tarea]],'[7]4. Directorio Integrado'!$B$4:$N$245,6,0)</f>
        <v>4.5.1</v>
      </c>
      <c r="H88" s="42" t="str">
        <f>VLOOKUP(Contacts6[[#This Row],[Código Tarea]],'[7]4. Directorio Integrado'!$B$4:$N$245,7,0)</f>
        <v>Revisión área de Ejecutivos</v>
      </c>
      <c r="I88" s="20" t="str">
        <f>'[7]4. Directorio Integrado'!I202</f>
        <v>4.5.1.001</v>
      </c>
      <c r="J88" s="13" t="str">
        <f>VLOOKUP(Contacts6[[#This Row],[Código Tarea]],'[7]4. Directorio Integrado'!I202:J298,2,0)</f>
        <v>Existen riesgos psicosociales, biomecánicos, biológicos, físicos, como temperatura, ilumincación, radición,  vibración, ruido que afecten al colaborador.</v>
      </c>
      <c r="K88" s="43" t="str">
        <f>VLOOKUP(Contacts6[[#This Row],[Código Tarea]],'[7]4. Directorio Integrado'!$I$4:$M$227,3,0)</f>
        <v>Presencial</v>
      </c>
      <c r="L88" s="16" t="str">
        <f>VLOOKUP(Contacts6[[#This Row],[Código Tarea]],'[7]Formato 4 - SGSF'!$B$8:$H$129,3,0)</f>
        <v>X</v>
      </c>
      <c r="M88" s="16">
        <f>VLOOKUP(Contacts6[[#This Row],[Código Tarea]],'[7]Formato 4 - SGSF'!$B$8:$H$129,4,0)</f>
        <v>0</v>
      </c>
      <c r="N88" s="16">
        <f>VLOOKUP(Contacts6[[#This Row],[Código Tarea]],'[7]Formato 4 - SGSF'!$B$8:$H$129,5,0)</f>
        <v>0</v>
      </c>
      <c r="O88" s="16">
        <f>VLOOKUP(Contacts6[[#This Row],[Código Tarea]],'[7]Formato 4 - SGSF'!$B$8:$H$129,6,0)</f>
        <v>0</v>
      </c>
      <c r="P88" s="16">
        <f>VLOOKUP(Contacts6[[#This Row],[Código Tarea]],'[7]Formato 4 - SGSF'!$B$8:$H$129,7,0)</f>
        <v>0</v>
      </c>
      <c r="Q88" s="16">
        <f>VLOOKUP(Contacts6[[#This Row],[Código Tarea]],'[7]Formato 4 - SGSF'!$B$8:$I$129,8,0)</f>
        <v>0</v>
      </c>
      <c r="R88" s="22" t="str">
        <f>VLOOKUP(Contacts6[[#This Row],[Código Tarea]],'[7]4. Directorio Integrado'!$I$4:$M$245,5,0)</f>
        <v>SARO/SGSI/SAC</v>
      </c>
    </row>
    <row r="89" spans="1:18" s="30" customFormat="1" ht="30" customHeight="1" x14ac:dyDescent="0.35">
      <c r="A89" s="34"/>
      <c r="B89" s="6"/>
      <c r="C89" s="42">
        <f>VLOOKUP(Contacts6[[#This Row],[Código Tarea]],'[7]4. Directorio Integrado'!$B$4:$N$245,2,0)</f>
        <v>4</v>
      </c>
      <c r="D89" s="42" t="str">
        <f>VLOOKUP(Contacts6[[#This Row],[Código Tarea]],'[7]4. Directorio Integrado'!$B$4:$N$245,3,0)</f>
        <v>Seguridad Financiera</v>
      </c>
      <c r="E89" s="42" t="str">
        <f>VLOOKUP(Contacts6[[#This Row],[Código Tarea]],'[7]4. Directorio Integrado'!$B$4:$N$245,4,0)</f>
        <v>4.5</v>
      </c>
      <c r="F89" s="42" t="str">
        <f>VLOOKUP(Contacts6[[#This Row],[Código Tarea]],'[7]4. Directorio Integrado'!$B$4:$N$245,5,0)</f>
        <v>Seguridad de la Información y salud en el trabajo</v>
      </c>
      <c r="G89" s="42" t="str">
        <f>VLOOKUP(Contacts6[[#This Row],[Código Tarea]],'[7]4. Directorio Integrado'!$B$4:$N$245,6,0)</f>
        <v>4.5.1</v>
      </c>
      <c r="H89" s="42" t="str">
        <f>VLOOKUP(Contacts6[[#This Row],[Código Tarea]],'[7]4. Directorio Integrado'!$B$4:$N$245,7,0)</f>
        <v>Revisión área de Ejecutivos</v>
      </c>
      <c r="I89" s="20" t="str">
        <f>'[7]4. Directorio Integrado'!I203</f>
        <v>4.5.1.002</v>
      </c>
      <c r="J89" s="13" t="str">
        <f>VLOOKUP(Contacts6[[#This Row],[Código Tarea]],'[7]4. Directorio Integrado'!I203:J299,2,0)</f>
        <v>Existe extintor multipropósito capacidad 10 lbs, recargado, vigente  y  debidamente señalizado.</v>
      </c>
      <c r="K89" s="43" t="str">
        <f>VLOOKUP(Contacts6[[#This Row],[Código Tarea]],'[7]4. Directorio Integrado'!$I$4:$M$227,3,0)</f>
        <v>Actividad a Distancia</v>
      </c>
      <c r="L89" s="16" t="str">
        <f>VLOOKUP(Contacts6[[#This Row],[Código Tarea]],'[7]Formato 4 - SGSF'!$B$8:$H$129,3,0)</f>
        <v>X</v>
      </c>
      <c r="M89" s="16">
        <f>VLOOKUP(Contacts6[[#This Row],[Código Tarea]],'[7]Formato 4 - SGSF'!$B$8:$H$129,4,0)</f>
        <v>0</v>
      </c>
      <c r="N89" s="16">
        <f>VLOOKUP(Contacts6[[#This Row],[Código Tarea]],'[7]Formato 4 - SGSF'!$B$8:$H$129,5,0)</f>
        <v>0</v>
      </c>
      <c r="O89" s="16">
        <f>VLOOKUP(Contacts6[[#This Row],[Código Tarea]],'[7]Formato 4 - SGSF'!$B$8:$H$129,6,0)</f>
        <v>0</v>
      </c>
      <c r="P89" s="16">
        <f>VLOOKUP(Contacts6[[#This Row],[Código Tarea]],'[7]Formato 4 - SGSF'!$B$8:$H$129,7,0)</f>
        <v>0</v>
      </c>
      <c r="Q89" s="16">
        <f>VLOOKUP(Contacts6[[#This Row],[Código Tarea]],'[7]Formato 4 - SGSF'!$B$8:$I$129,8,0)</f>
        <v>0</v>
      </c>
      <c r="R89" s="22" t="str">
        <f>VLOOKUP(Contacts6[[#This Row],[Código Tarea]],'[7]4. Directorio Integrado'!$I$4:$M$245,5,0)</f>
        <v>SARO/SGSI/SGSF</v>
      </c>
    </row>
    <row r="90" spans="1:18" s="30" customFormat="1" ht="30" customHeight="1" x14ac:dyDescent="0.35">
      <c r="A90" s="34"/>
      <c r="B90" s="6"/>
      <c r="C90" s="42">
        <f>VLOOKUP(Contacts6[[#This Row],[Código Tarea]],'[7]4. Directorio Integrado'!$B$4:$N$245,2,0)</f>
        <v>4</v>
      </c>
      <c r="D90" s="42" t="str">
        <f>VLOOKUP(Contacts6[[#This Row],[Código Tarea]],'[7]4. Directorio Integrado'!$B$4:$N$245,3,0)</f>
        <v>Seguridad Financiera</v>
      </c>
      <c r="E90" s="42" t="str">
        <f>VLOOKUP(Contacts6[[#This Row],[Código Tarea]],'[7]4. Directorio Integrado'!$B$4:$N$245,4,0)</f>
        <v>4.5</v>
      </c>
      <c r="F90" s="42" t="str">
        <f>VLOOKUP(Contacts6[[#This Row],[Código Tarea]],'[7]4. Directorio Integrado'!$B$4:$N$245,5,0)</f>
        <v>Seguridad de la Información y salud en el trabajo</v>
      </c>
      <c r="G90" s="42" t="str">
        <f>VLOOKUP(Contacts6[[#This Row],[Código Tarea]],'[7]4. Directorio Integrado'!$B$4:$N$245,6,0)</f>
        <v>4.5.1</v>
      </c>
      <c r="H90" s="42" t="str">
        <f>VLOOKUP(Contacts6[[#This Row],[Código Tarea]],'[7]4. Directorio Integrado'!$B$4:$N$245,7,0)</f>
        <v>Revisión área de Ejecutivos</v>
      </c>
      <c r="I90" s="20" t="str">
        <f>'[7]4. Directorio Integrado'!I204</f>
        <v>4.5.1.003</v>
      </c>
      <c r="J90" s="13" t="str">
        <f>VLOOKUP(Contacts6[[#This Row],[Código Tarea]],'[7]4. Directorio Integrado'!I204:J300,2,0)</f>
        <v>Cuenta con señalización de evacuación de emergencia,  es visible para personal en general.</v>
      </c>
      <c r="K90" s="43" t="str">
        <f>VLOOKUP(Contacts6[[#This Row],[Código Tarea]],'[7]4. Directorio Integrado'!$I$4:$M$227,3,0)</f>
        <v>Actividad a Distancia</v>
      </c>
      <c r="L90" s="16" t="str">
        <f>VLOOKUP(Contacts6[[#This Row],[Código Tarea]],'[7]Formato 4 - SGSF'!$B$8:$H$129,3,0)</f>
        <v>X</v>
      </c>
      <c r="M90" s="16">
        <f>VLOOKUP(Contacts6[[#This Row],[Código Tarea]],'[7]Formato 4 - SGSF'!$B$8:$H$129,4,0)</f>
        <v>0</v>
      </c>
      <c r="N90" s="16">
        <f>VLOOKUP(Contacts6[[#This Row],[Código Tarea]],'[7]Formato 4 - SGSF'!$B$8:$H$129,5,0)</f>
        <v>0</v>
      </c>
      <c r="O90" s="16">
        <f>VLOOKUP(Contacts6[[#This Row],[Código Tarea]],'[7]Formato 4 - SGSF'!$B$8:$H$129,6,0)</f>
        <v>0</v>
      </c>
      <c r="P90" s="16">
        <f>VLOOKUP(Contacts6[[#This Row],[Código Tarea]],'[7]Formato 4 - SGSF'!$B$8:$H$129,7,0)</f>
        <v>0</v>
      </c>
      <c r="Q90" s="16">
        <f>VLOOKUP(Contacts6[[#This Row],[Código Tarea]],'[7]Formato 4 - SGSF'!$B$8:$I$129,8,0)</f>
        <v>0</v>
      </c>
      <c r="R90" s="22" t="str">
        <f>VLOOKUP(Contacts6[[#This Row],[Código Tarea]],'[7]4. Directorio Integrado'!$I$4:$M$245,5,0)</f>
        <v>SARO/SGSI/SGSF</v>
      </c>
    </row>
    <row r="91" spans="1:18" s="30" customFormat="1" ht="30" customHeight="1" x14ac:dyDescent="0.35">
      <c r="A91" s="34"/>
      <c r="B91" s="6"/>
      <c r="C91" s="42">
        <f>VLOOKUP(Contacts6[[#This Row],[Código Tarea]],'[7]4. Directorio Integrado'!$B$4:$N$245,2,0)</f>
        <v>4</v>
      </c>
      <c r="D91" s="42" t="str">
        <f>VLOOKUP(Contacts6[[#This Row],[Código Tarea]],'[7]4. Directorio Integrado'!$B$4:$N$245,3,0)</f>
        <v>Seguridad Financiera</v>
      </c>
      <c r="E91" s="42" t="str">
        <f>VLOOKUP(Contacts6[[#This Row],[Código Tarea]],'[7]4. Directorio Integrado'!$B$4:$N$245,4,0)</f>
        <v>4.5</v>
      </c>
      <c r="F91" s="42" t="str">
        <f>VLOOKUP(Contacts6[[#This Row],[Código Tarea]],'[7]4. Directorio Integrado'!$B$4:$N$245,5,0)</f>
        <v>Seguridad de la Información y salud en el trabajo</v>
      </c>
      <c r="G91" s="42" t="str">
        <f>VLOOKUP(Contacts6[[#This Row],[Código Tarea]],'[7]4. Directorio Integrado'!$B$4:$N$245,6,0)</f>
        <v>4.5.2</v>
      </c>
      <c r="H91" s="42" t="str">
        <f>VLOOKUP(Contacts6[[#This Row],[Código Tarea]],'[7]4. Directorio Integrado'!$B$4:$N$245,7,0)</f>
        <v>Revisión de otros factores</v>
      </c>
      <c r="I91" s="20" t="str">
        <f>'[7]4. Directorio Integrado'!I205</f>
        <v>4.5.2.001</v>
      </c>
      <c r="J91" s="13" t="str">
        <f>VLOOKUP(Contacts6[[#This Row],[Código Tarea]],'[7]4. Directorio Integrado'!I205:J301,2,0)</f>
        <v>Se evidencia almacenamiento de combustibles o líquidos inflamables cerca a la oficina.</v>
      </c>
      <c r="K91" s="43" t="str">
        <f>VLOOKUP(Contacts6[[#This Row],[Código Tarea]],'[7]4. Directorio Integrado'!$I$4:$M$227,3,0)</f>
        <v>Presencial</v>
      </c>
      <c r="L91" s="16">
        <f>VLOOKUP(Contacts6[[#This Row],[Código Tarea]],'[7]Formato 4 - SGSF'!$B$8:$H$129,3,0)</f>
        <v>0</v>
      </c>
      <c r="M91" s="16" t="str">
        <f>VLOOKUP(Contacts6[[#This Row],[Código Tarea]],'[7]Formato 4 - SGSF'!$B$8:$H$129,4,0)</f>
        <v>X</v>
      </c>
      <c r="N91" s="16">
        <f>VLOOKUP(Contacts6[[#This Row],[Código Tarea]],'[7]Formato 4 - SGSF'!$B$8:$H$129,5,0)</f>
        <v>0</v>
      </c>
      <c r="O91" s="16">
        <f>VLOOKUP(Contacts6[[#This Row],[Código Tarea]],'[7]Formato 4 - SGSF'!$B$8:$H$129,6,0)</f>
        <v>0</v>
      </c>
      <c r="P91" s="16">
        <f>VLOOKUP(Contacts6[[#This Row],[Código Tarea]],'[7]Formato 4 - SGSF'!$B$8:$H$129,7,0)</f>
        <v>0</v>
      </c>
      <c r="Q91" s="16">
        <f>VLOOKUP(Contacts6[[#This Row],[Código Tarea]],'[7]Formato 4 - SGSF'!$B$8:$I$129,8,0)</f>
        <v>0</v>
      </c>
      <c r="R91" s="22" t="str">
        <f>VLOOKUP(Contacts6[[#This Row],[Código Tarea]],'[7]4. Directorio Integrado'!$I$4:$M$245,5,0)</f>
        <v>SARO/SGSI/SGSF</v>
      </c>
    </row>
    <row r="92" spans="1:18" s="30" customFormat="1" ht="30" customHeight="1" x14ac:dyDescent="0.35">
      <c r="A92" s="34"/>
      <c r="B92" s="6"/>
      <c r="C92" s="42">
        <f>VLOOKUP(Contacts6[[#This Row],[Código Tarea]],'[7]4. Directorio Integrado'!$B$4:$N$245,2,0)</f>
        <v>4</v>
      </c>
      <c r="D92" s="42" t="str">
        <f>VLOOKUP(Contacts6[[#This Row],[Código Tarea]],'[7]4. Directorio Integrado'!$B$4:$N$245,3,0)</f>
        <v>Seguridad Financiera</v>
      </c>
      <c r="E92" s="42" t="str">
        <f>VLOOKUP(Contacts6[[#This Row],[Código Tarea]],'[7]4. Directorio Integrado'!$B$4:$N$245,4,0)</f>
        <v>4.5</v>
      </c>
      <c r="F92" s="42" t="str">
        <f>VLOOKUP(Contacts6[[#This Row],[Código Tarea]],'[7]4. Directorio Integrado'!$B$4:$N$245,5,0)</f>
        <v>Seguridad de la Información y salud en el trabajo</v>
      </c>
      <c r="G92" s="42" t="str">
        <f>VLOOKUP(Contacts6[[#This Row],[Código Tarea]],'[7]4. Directorio Integrado'!$B$4:$N$245,6,0)</f>
        <v>4.5.2</v>
      </c>
      <c r="H92" s="42" t="str">
        <f>VLOOKUP(Contacts6[[#This Row],[Código Tarea]],'[7]4. Directorio Integrado'!$B$4:$N$245,7,0)</f>
        <v>Revisión de otros factores</v>
      </c>
      <c r="I92" s="20" t="str">
        <f>'[7]4. Directorio Integrado'!I206</f>
        <v>4.5.2.002</v>
      </c>
      <c r="J92" s="13" t="str">
        <f>VLOOKUP(Contacts6[[#This Row],[Código Tarea]],'[7]4. Directorio Integrado'!I206:J302,2,0)</f>
        <v>La oficina cuenta con un botiquín de primeros auxilios, y Camilla, están debidamente señalizados, de fácil ubicación y cuenta con llave custodiada por el brigadista.</v>
      </c>
      <c r="K92" s="43" t="str">
        <f>VLOOKUP(Contacts6[[#This Row],[Código Tarea]],'[7]4. Directorio Integrado'!$I$4:$M$227,3,0)</f>
        <v>Actividad a Distancia</v>
      </c>
      <c r="L92" s="16" t="str">
        <f>VLOOKUP(Contacts6[[#This Row],[Código Tarea]],'[7]Formato 4 - SGSF'!$B$8:$H$129,3,0)</f>
        <v>X</v>
      </c>
      <c r="M92" s="16">
        <f>VLOOKUP(Contacts6[[#This Row],[Código Tarea]],'[7]Formato 4 - SGSF'!$B$8:$H$129,4,0)</f>
        <v>0</v>
      </c>
      <c r="N92" s="16">
        <f>VLOOKUP(Contacts6[[#This Row],[Código Tarea]],'[7]Formato 4 - SGSF'!$B$8:$H$129,5,0)</f>
        <v>0</v>
      </c>
      <c r="O92" s="16">
        <f>VLOOKUP(Contacts6[[#This Row],[Código Tarea]],'[7]Formato 4 - SGSF'!$B$8:$H$129,6,0)</f>
        <v>0</v>
      </c>
      <c r="P92" s="16">
        <f>VLOOKUP(Contacts6[[#This Row],[Código Tarea]],'[7]Formato 4 - SGSF'!$B$8:$H$129,7,0)</f>
        <v>0</v>
      </c>
      <c r="Q92" s="16">
        <f>VLOOKUP(Contacts6[[#This Row],[Código Tarea]],'[7]Formato 4 - SGSF'!$B$8:$I$129,8,0)</f>
        <v>0</v>
      </c>
      <c r="R92" s="22" t="str">
        <f>VLOOKUP(Contacts6[[#This Row],[Código Tarea]],'[7]4. Directorio Integrado'!$I$4:$M$245,5,0)</f>
        <v>SARO/SGSI</v>
      </c>
    </row>
    <row r="93" spans="1:18" s="30" customFormat="1" ht="30" customHeight="1" x14ac:dyDescent="0.35">
      <c r="A93" s="34"/>
      <c r="B93" s="6"/>
      <c r="C93" s="42">
        <f>VLOOKUP(Contacts6[[#This Row],[Código Tarea]],'[7]4. Directorio Integrado'!$B$4:$N$245,2,0)</f>
        <v>4</v>
      </c>
      <c r="D93" s="42" t="str">
        <f>VLOOKUP(Contacts6[[#This Row],[Código Tarea]],'[7]4. Directorio Integrado'!$B$4:$N$245,3,0)</f>
        <v>Seguridad Financiera</v>
      </c>
      <c r="E93" s="42" t="str">
        <f>VLOOKUP(Contacts6[[#This Row],[Código Tarea]],'[7]4. Directorio Integrado'!$B$4:$N$245,4,0)</f>
        <v>4.5</v>
      </c>
      <c r="F93" s="42" t="str">
        <f>VLOOKUP(Contacts6[[#This Row],[Código Tarea]],'[7]4. Directorio Integrado'!$B$4:$N$245,5,0)</f>
        <v>Seguridad de la Información y salud en el trabajo</v>
      </c>
      <c r="G93" s="42" t="str">
        <f>VLOOKUP(Contacts6[[#This Row],[Código Tarea]],'[7]4. Directorio Integrado'!$B$4:$N$245,6,0)</f>
        <v>4.5.2</v>
      </c>
      <c r="H93" s="42" t="str">
        <f>VLOOKUP(Contacts6[[#This Row],[Código Tarea]],'[7]4. Directorio Integrado'!$B$4:$N$245,7,0)</f>
        <v>Revisión de otros factores</v>
      </c>
      <c r="I93" s="20" t="str">
        <f>'[7]4. Directorio Integrado'!I207</f>
        <v>4.5.2.003</v>
      </c>
      <c r="J93" s="13" t="str">
        <f>VLOOKUP(Contacts6[[#This Row],[Código Tarea]],'[7]4. Directorio Integrado'!I207:J303,2,0)</f>
        <v>Los colaboradores conocen el plan de emergencias como rutas y proceso de evacuación,  punto de encuentro en caso de emergencias.</v>
      </c>
      <c r="K93" s="43" t="str">
        <f>VLOOKUP(Contacts6[[#This Row],[Código Tarea]],'[7]4. Directorio Integrado'!$I$4:$M$227,3,0)</f>
        <v>Presencial</v>
      </c>
      <c r="L93" s="16" t="str">
        <f>VLOOKUP(Contacts6[[#This Row],[Código Tarea]],'[7]Formato 4 - SGSF'!$B$8:$H$129,3,0)</f>
        <v>X</v>
      </c>
      <c r="M93" s="16">
        <f>VLOOKUP(Contacts6[[#This Row],[Código Tarea]],'[7]Formato 4 - SGSF'!$B$8:$H$129,4,0)</f>
        <v>0</v>
      </c>
      <c r="N93" s="16">
        <f>VLOOKUP(Contacts6[[#This Row],[Código Tarea]],'[7]Formato 4 - SGSF'!$B$8:$H$129,5,0)</f>
        <v>0</v>
      </c>
      <c r="O93" s="16">
        <f>VLOOKUP(Contacts6[[#This Row],[Código Tarea]],'[7]Formato 4 - SGSF'!$B$8:$H$129,6,0)</f>
        <v>0</v>
      </c>
      <c r="P93" s="16">
        <f>VLOOKUP(Contacts6[[#This Row],[Código Tarea]],'[7]Formato 4 - SGSF'!$B$8:$H$129,7,0)</f>
        <v>0</v>
      </c>
      <c r="Q93" s="16">
        <f>VLOOKUP(Contacts6[[#This Row],[Código Tarea]],'[7]Formato 4 - SGSF'!$B$8:$I$129,8,0)</f>
        <v>0</v>
      </c>
      <c r="R93" s="22" t="str">
        <f>VLOOKUP(Contacts6[[#This Row],[Código Tarea]],'[7]4. Directorio Integrado'!$I$4:$M$245,5,0)</f>
        <v>SARO/SAC/SGSF</v>
      </c>
    </row>
    <row r="94" spans="1:18" s="30" customFormat="1" ht="30" customHeight="1" x14ac:dyDescent="0.35">
      <c r="A94" s="34"/>
      <c r="B94" s="6"/>
      <c r="C94" s="42">
        <f>VLOOKUP(Contacts6[[#This Row],[Código Tarea]],'[7]4. Directorio Integrado'!$B$4:$N$245,2,0)</f>
        <v>4</v>
      </c>
      <c r="D94" s="42" t="str">
        <f>VLOOKUP(Contacts6[[#This Row],[Código Tarea]],'[7]4. Directorio Integrado'!$B$4:$N$245,3,0)</f>
        <v>Seguridad Financiera</v>
      </c>
      <c r="E94" s="42" t="str">
        <f>VLOOKUP(Contacts6[[#This Row],[Código Tarea]],'[7]4. Directorio Integrado'!$B$4:$N$245,4,0)</f>
        <v>4.5</v>
      </c>
      <c r="F94" s="42" t="str">
        <f>VLOOKUP(Contacts6[[#This Row],[Código Tarea]],'[7]4. Directorio Integrado'!$B$4:$N$245,5,0)</f>
        <v>Seguridad de la Información y salud en el trabajo</v>
      </c>
      <c r="G94" s="42" t="str">
        <f>VLOOKUP(Contacts6[[#This Row],[Código Tarea]],'[7]4. Directorio Integrado'!$B$4:$N$245,6,0)</f>
        <v>4.5.2</v>
      </c>
      <c r="H94" s="42" t="str">
        <f>VLOOKUP(Contacts6[[#This Row],[Código Tarea]],'[7]4. Directorio Integrado'!$B$4:$N$245,7,0)</f>
        <v>Revisión de otros factores</v>
      </c>
      <c r="I94" s="20" t="str">
        <f>'[7]4. Directorio Integrado'!I208</f>
        <v>4.5.2.004</v>
      </c>
      <c r="J94" s="13" t="str">
        <f>VLOOKUP(Contacts6[[#This Row],[Código Tarea]],'[7]4. Directorio Integrado'!I208:J304,2,0)</f>
        <v>El plano de evacuación es acorde con la estructura de la oficina.</v>
      </c>
      <c r="K94" s="43" t="str">
        <f>VLOOKUP(Contacts6[[#This Row],[Código Tarea]],'[7]4. Directorio Integrado'!$I$4:$M$227,3,0)</f>
        <v>Presencial</v>
      </c>
      <c r="L94" s="16">
        <f>VLOOKUP(Contacts6[[#This Row],[Código Tarea]],'[7]Formato 4 - SGSF'!$B$8:$H$129,3,0)</f>
        <v>0</v>
      </c>
      <c r="M94" s="16" t="str">
        <f>VLOOKUP(Contacts6[[#This Row],[Código Tarea]],'[7]Formato 4 - SGSF'!$B$8:$H$129,4,0)</f>
        <v>X</v>
      </c>
      <c r="N94" s="16">
        <f>VLOOKUP(Contacts6[[#This Row],[Código Tarea]],'[7]Formato 4 - SGSF'!$B$8:$H$129,5,0)</f>
        <v>0</v>
      </c>
      <c r="O94" s="16">
        <f>VLOOKUP(Contacts6[[#This Row],[Código Tarea]],'[7]Formato 4 - SGSF'!$B$8:$H$129,6,0)</f>
        <v>0</v>
      </c>
      <c r="P94" s="16">
        <f>VLOOKUP(Contacts6[[#This Row],[Código Tarea]],'[7]Formato 4 - SGSF'!$B$8:$H$129,7,0)</f>
        <v>0</v>
      </c>
      <c r="Q94" s="16">
        <f>VLOOKUP(Contacts6[[#This Row],[Código Tarea]],'[7]Formato 4 - SGSF'!$B$8:$I$129,8,0)</f>
        <v>0</v>
      </c>
      <c r="R94" s="22" t="str">
        <f>VLOOKUP(Contacts6[[#This Row],[Código Tarea]],'[7]4. Directorio Integrado'!$I$4:$M$245,5,0)</f>
        <v>SARO/SGSI/SGSF</v>
      </c>
    </row>
    <row r="95" spans="1:18" s="30" customFormat="1" ht="30" customHeight="1" x14ac:dyDescent="0.35">
      <c r="A95" s="34"/>
      <c r="B95" s="6"/>
      <c r="C95" s="42">
        <f>VLOOKUP(Contacts6[[#This Row],[Código Tarea]],'[7]4. Directorio Integrado'!$B$4:$N$245,2,0)</f>
        <v>4</v>
      </c>
      <c r="D95" s="42" t="str">
        <f>VLOOKUP(Contacts6[[#This Row],[Código Tarea]],'[7]4. Directorio Integrado'!$B$4:$N$245,3,0)</f>
        <v>Seguridad Financiera</v>
      </c>
      <c r="E95" s="42" t="str">
        <f>VLOOKUP(Contacts6[[#This Row],[Código Tarea]],'[7]4. Directorio Integrado'!$B$4:$N$245,4,0)</f>
        <v>4.5</v>
      </c>
      <c r="F95" s="42" t="str">
        <f>VLOOKUP(Contacts6[[#This Row],[Código Tarea]],'[7]4. Directorio Integrado'!$B$4:$N$245,5,0)</f>
        <v>Seguridad de la Información y salud en el trabajo</v>
      </c>
      <c r="G95" s="42" t="str">
        <f>VLOOKUP(Contacts6[[#This Row],[Código Tarea]],'[7]4. Directorio Integrado'!$B$4:$N$245,6,0)</f>
        <v>4.5.3</v>
      </c>
      <c r="H95" s="42" t="str">
        <f>VLOOKUP(Contacts6[[#This Row],[Código Tarea]],'[7]4. Directorio Integrado'!$B$4:$N$245,7,0)</f>
        <v>Revisión en caja</v>
      </c>
      <c r="I95" s="20" t="str">
        <f>'[7]4. Directorio Integrado'!I209</f>
        <v>4.5.3.001</v>
      </c>
      <c r="J95" s="13" t="str">
        <f>VLOOKUP(Contacts6[[#This Row],[Código Tarea]],'[7]4. Directorio Integrado'!I209:J305,2,0)</f>
        <v>Existen riesgos psicosociales, biomecánicos, biológicos, físicos, como temperatura, ilumincación, radición,  vibración, ruido que afecten al colaborador.</v>
      </c>
      <c r="K95" s="43" t="str">
        <f>VLOOKUP(Contacts6[[#This Row],[Código Tarea]],'[7]4. Directorio Integrado'!$I$4:$M$227,3,0)</f>
        <v>Presencial</v>
      </c>
      <c r="L95" s="16" t="str">
        <f>VLOOKUP(Contacts6[[#This Row],[Código Tarea]],'[7]Formato 4 - SGSF'!$B$8:$H$129,3,0)</f>
        <v>X</v>
      </c>
      <c r="M95" s="16">
        <f>VLOOKUP(Contacts6[[#This Row],[Código Tarea]],'[7]Formato 4 - SGSF'!$B$8:$H$129,4,0)</f>
        <v>0</v>
      </c>
      <c r="N95" s="16">
        <f>VLOOKUP(Contacts6[[#This Row],[Código Tarea]],'[7]Formato 4 - SGSF'!$B$8:$H$129,5,0)</f>
        <v>0</v>
      </c>
      <c r="O95" s="16">
        <f>VLOOKUP(Contacts6[[#This Row],[Código Tarea]],'[7]Formato 4 - SGSF'!$B$8:$H$129,6,0)</f>
        <v>0</v>
      </c>
      <c r="P95" s="16">
        <f>VLOOKUP(Contacts6[[#This Row],[Código Tarea]],'[7]Formato 4 - SGSF'!$B$8:$H$129,7,0)</f>
        <v>0</v>
      </c>
      <c r="Q95" s="16">
        <f>VLOOKUP(Contacts6[[#This Row],[Código Tarea]],'[7]Formato 4 - SGSF'!$B$8:$I$129,8,0)</f>
        <v>0</v>
      </c>
      <c r="R95" s="22" t="str">
        <f>VLOOKUP(Contacts6[[#This Row],[Código Tarea]],'[7]4. Directorio Integrado'!$I$4:$M$245,5,0)</f>
        <v>SARO/SGSF/SAC/SGSI</v>
      </c>
    </row>
    <row r="96" spans="1:18" s="30" customFormat="1" ht="30" customHeight="1" x14ac:dyDescent="0.35">
      <c r="A96" s="34"/>
      <c r="B96" s="6"/>
      <c r="C96" s="42">
        <f>VLOOKUP(Contacts6[[#This Row],[Código Tarea]],'[7]4. Directorio Integrado'!$B$4:$N$245,2,0)</f>
        <v>4</v>
      </c>
      <c r="D96" s="42" t="str">
        <f>VLOOKUP(Contacts6[[#This Row],[Código Tarea]],'[7]4. Directorio Integrado'!$B$4:$N$245,3,0)</f>
        <v>Seguridad Financiera</v>
      </c>
      <c r="E96" s="42" t="str">
        <f>VLOOKUP(Contacts6[[#This Row],[Código Tarea]],'[7]4. Directorio Integrado'!$B$4:$N$245,4,0)</f>
        <v>4.5</v>
      </c>
      <c r="F96" s="42" t="str">
        <f>VLOOKUP(Contacts6[[#This Row],[Código Tarea]],'[7]4. Directorio Integrado'!$B$4:$N$245,5,0)</f>
        <v>Seguridad de la Información y salud en el trabajo</v>
      </c>
      <c r="G96" s="42" t="str">
        <f>VLOOKUP(Contacts6[[#This Row],[Código Tarea]],'[7]4. Directorio Integrado'!$B$4:$N$245,6,0)</f>
        <v>4.5.3</v>
      </c>
      <c r="H96" s="42" t="str">
        <f>VLOOKUP(Contacts6[[#This Row],[Código Tarea]],'[7]4. Directorio Integrado'!$B$4:$N$245,7,0)</f>
        <v>Revisión en caja</v>
      </c>
      <c r="I96" s="20" t="str">
        <f>'[7]4. Directorio Integrado'!I210</f>
        <v>4.5.3.002</v>
      </c>
      <c r="J96" s="13" t="str">
        <f>VLOOKUP(Contacts6[[#This Row],[Código Tarea]],'[7]4. Directorio Integrado'!I210:J306,2,0)</f>
        <v>Existe extintor solkaflam y/o co2, capacidad 10 lbs, recargado, vigente y debidamente señalizado.</v>
      </c>
      <c r="K96" s="43" t="str">
        <f>VLOOKUP(Contacts6[[#This Row],[Código Tarea]],'[7]4. Directorio Integrado'!$I$4:$M$227,3,0)</f>
        <v>Actividad a Distancia</v>
      </c>
      <c r="L96" s="16" t="str">
        <f>VLOOKUP(Contacts6[[#This Row],[Código Tarea]],'[7]Formato 4 - SGSF'!$B$8:$H$129,3,0)</f>
        <v>X</v>
      </c>
      <c r="M96" s="16">
        <f>VLOOKUP(Contacts6[[#This Row],[Código Tarea]],'[7]Formato 4 - SGSF'!$B$8:$H$129,4,0)</f>
        <v>0</v>
      </c>
      <c r="N96" s="16">
        <f>VLOOKUP(Contacts6[[#This Row],[Código Tarea]],'[7]Formato 4 - SGSF'!$B$8:$H$129,5,0)</f>
        <v>0</v>
      </c>
      <c r="O96" s="16">
        <f>VLOOKUP(Contacts6[[#This Row],[Código Tarea]],'[7]Formato 4 - SGSF'!$B$8:$H$129,6,0)</f>
        <v>0</v>
      </c>
      <c r="P96" s="16">
        <f>VLOOKUP(Contacts6[[#This Row],[Código Tarea]],'[7]Formato 4 - SGSF'!$B$8:$H$129,7,0)</f>
        <v>0</v>
      </c>
      <c r="Q96" s="16">
        <f>VLOOKUP(Contacts6[[#This Row],[Código Tarea]],'[7]Formato 4 - SGSF'!$B$8:$I$129,8,0)</f>
        <v>0</v>
      </c>
      <c r="R96" s="22" t="str">
        <f>VLOOKUP(Contacts6[[#This Row],[Código Tarea]],'[7]4. Directorio Integrado'!$I$4:$M$245,5,0)</f>
        <v>SARO/SGSI/SGSF</v>
      </c>
    </row>
    <row r="97" spans="1:18" s="30" customFormat="1" ht="30" customHeight="1" x14ac:dyDescent="0.35">
      <c r="A97" s="34"/>
      <c r="B97" s="6"/>
      <c r="C97" s="42">
        <f>VLOOKUP(Contacts6[[#This Row],[Código Tarea]],'[7]4. Directorio Integrado'!$B$4:$N$245,2,0)</f>
        <v>4</v>
      </c>
      <c r="D97" s="42" t="str">
        <f>VLOOKUP(Contacts6[[#This Row],[Código Tarea]],'[7]4. Directorio Integrado'!$B$4:$N$245,3,0)</f>
        <v>Seguridad Financiera</v>
      </c>
      <c r="E97" s="42" t="str">
        <f>VLOOKUP(Contacts6[[#This Row],[Código Tarea]],'[7]4. Directorio Integrado'!$B$4:$N$245,4,0)</f>
        <v>4.5</v>
      </c>
      <c r="F97" s="42" t="str">
        <f>VLOOKUP(Contacts6[[#This Row],[Código Tarea]],'[7]4. Directorio Integrado'!$B$4:$N$245,5,0)</f>
        <v>Seguridad de la Información y salud en el trabajo</v>
      </c>
      <c r="G97" s="42" t="str">
        <f>VLOOKUP(Contacts6[[#This Row],[Código Tarea]],'[7]4. Directorio Integrado'!$B$4:$N$245,6,0)</f>
        <v>4.5.3</v>
      </c>
      <c r="H97" s="42" t="str">
        <f>VLOOKUP(Contacts6[[#This Row],[Código Tarea]],'[7]4. Directorio Integrado'!$B$4:$N$245,7,0)</f>
        <v>Revisión en caja</v>
      </c>
      <c r="I97" s="20" t="str">
        <f>'[7]4. Directorio Integrado'!I211</f>
        <v>4.5.3.003</v>
      </c>
      <c r="J97" s="13" t="str">
        <f>VLOOKUP(Contacts6[[#This Row],[Código Tarea]],'[7]4. Directorio Integrado'!I211:J307,2,0)</f>
        <v>Cuenta con señalización de evacuación de emergencia, es visible  para personal en general.</v>
      </c>
      <c r="K97" s="43" t="str">
        <f>VLOOKUP(Contacts6[[#This Row],[Código Tarea]],'[7]4. Directorio Integrado'!$I$4:$M$227,3,0)</f>
        <v>Actividad a Distancia</v>
      </c>
      <c r="L97" s="16" t="str">
        <f>VLOOKUP(Contacts6[[#This Row],[Código Tarea]],'[7]Formato 4 - SGSF'!$B$8:$H$129,3,0)</f>
        <v>X</v>
      </c>
      <c r="M97" s="16">
        <f>VLOOKUP(Contacts6[[#This Row],[Código Tarea]],'[7]Formato 4 - SGSF'!$B$8:$H$129,4,0)</f>
        <v>0</v>
      </c>
      <c r="N97" s="16">
        <f>VLOOKUP(Contacts6[[#This Row],[Código Tarea]],'[7]Formato 4 - SGSF'!$B$8:$H$129,5,0)</f>
        <v>0</v>
      </c>
      <c r="O97" s="16">
        <f>VLOOKUP(Contacts6[[#This Row],[Código Tarea]],'[7]Formato 4 - SGSF'!$B$8:$H$129,6,0)</f>
        <v>0</v>
      </c>
      <c r="P97" s="16">
        <f>VLOOKUP(Contacts6[[#This Row],[Código Tarea]],'[7]Formato 4 - SGSF'!$B$8:$H$129,7,0)</f>
        <v>0</v>
      </c>
      <c r="Q97" s="16">
        <f>VLOOKUP(Contacts6[[#This Row],[Código Tarea]],'[7]Formato 4 - SGSF'!$B$8:$I$129,8,0)</f>
        <v>0</v>
      </c>
      <c r="R97" s="22" t="str">
        <f>VLOOKUP(Contacts6[[#This Row],[Código Tarea]],'[7]4. Directorio Integrado'!$I$4:$M$245,5,0)</f>
        <v>SARO/SGSI/SGSF</v>
      </c>
    </row>
    <row r="98" spans="1:18" s="30" customFormat="1" ht="30" customHeight="1" x14ac:dyDescent="0.35">
      <c r="A98" s="34"/>
      <c r="B98" s="6"/>
      <c r="C98" s="42">
        <f>VLOOKUP(Contacts6[[#This Row],[Código Tarea]],'[7]4. Directorio Integrado'!$B$4:$N$245,2,0)</f>
        <v>4</v>
      </c>
      <c r="D98" s="42" t="str">
        <f>VLOOKUP(Contacts6[[#This Row],[Código Tarea]],'[7]4. Directorio Integrado'!$B$4:$N$245,3,0)</f>
        <v>Seguridad Financiera</v>
      </c>
      <c r="E98" s="42" t="str">
        <f>VLOOKUP(Contacts6[[#This Row],[Código Tarea]],'[7]4. Directorio Integrado'!$B$4:$N$245,4,0)</f>
        <v>4.5</v>
      </c>
      <c r="F98" s="42" t="str">
        <f>VLOOKUP(Contacts6[[#This Row],[Código Tarea]],'[7]4. Directorio Integrado'!$B$4:$N$245,5,0)</f>
        <v>Seguridad de la Información y salud en el trabajo</v>
      </c>
      <c r="G98" s="42" t="str">
        <f>VLOOKUP(Contacts6[[#This Row],[Código Tarea]],'[7]4. Directorio Integrado'!$B$4:$N$245,6,0)</f>
        <v>4.5.4</v>
      </c>
      <c r="H98" s="42" t="str">
        <f>VLOOKUP(Contacts6[[#This Row],[Código Tarea]],'[7]4. Directorio Integrado'!$B$4:$N$245,7,0)</f>
        <v>Revisión hall de servicios</v>
      </c>
      <c r="I98" s="20" t="str">
        <f>'[7]4. Directorio Integrado'!I212</f>
        <v>4.5.4.001</v>
      </c>
      <c r="J98" s="13" t="str">
        <f>VLOOKUP(Contacts6[[#This Row],[Código Tarea]],'[7]4. Directorio Integrado'!I212:J308,2,0)</f>
        <v>Existen riesgos psicosociales, biomecánicos, biológicos, físicos, como temperatura, ilumincación, radición,  vibración, ruido que fecten al colaborador.</v>
      </c>
      <c r="K98" s="43" t="str">
        <f>VLOOKUP(Contacts6[[#This Row],[Código Tarea]],'[7]4. Directorio Integrado'!$I$4:$M$227,3,0)</f>
        <v>Presencial</v>
      </c>
      <c r="L98" s="16" t="str">
        <f>VLOOKUP(Contacts6[[#This Row],[Código Tarea]],'[7]Formato 4 - SGSF'!$B$8:$H$129,3,0)</f>
        <v>X</v>
      </c>
      <c r="M98" s="16">
        <f>VLOOKUP(Contacts6[[#This Row],[Código Tarea]],'[7]Formato 4 - SGSF'!$B$8:$H$129,4,0)</f>
        <v>0</v>
      </c>
      <c r="N98" s="16">
        <f>VLOOKUP(Contacts6[[#This Row],[Código Tarea]],'[7]Formato 4 - SGSF'!$B$8:$H$129,5,0)</f>
        <v>0</v>
      </c>
      <c r="O98" s="16">
        <f>VLOOKUP(Contacts6[[#This Row],[Código Tarea]],'[7]Formato 4 - SGSF'!$B$8:$H$129,6,0)</f>
        <v>0</v>
      </c>
      <c r="P98" s="16">
        <f>VLOOKUP(Contacts6[[#This Row],[Código Tarea]],'[7]Formato 4 - SGSF'!$B$8:$H$129,7,0)</f>
        <v>0</v>
      </c>
      <c r="Q98" s="16">
        <f>VLOOKUP(Contacts6[[#This Row],[Código Tarea]],'[7]Formato 4 - SGSF'!$B$8:$I$129,8,0)</f>
        <v>0</v>
      </c>
      <c r="R98" s="22" t="str">
        <f>VLOOKUP(Contacts6[[#This Row],[Código Tarea]],'[7]4. Directorio Integrado'!$I$4:$M$245,5,0)</f>
        <v>SARO/SAC/SGSF</v>
      </c>
    </row>
    <row r="99" spans="1:18" s="30" customFormat="1" ht="30" customHeight="1" x14ac:dyDescent="0.35">
      <c r="A99" s="34"/>
      <c r="B99" s="6"/>
      <c r="C99" s="42">
        <f>VLOOKUP(Contacts6[[#This Row],[Código Tarea]],'[7]4. Directorio Integrado'!$B$4:$N$245,2,0)</f>
        <v>4</v>
      </c>
      <c r="D99" s="42" t="str">
        <f>VLOOKUP(Contacts6[[#This Row],[Código Tarea]],'[7]4. Directorio Integrado'!$B$4:$N$245,3,0)</f>
        <v>Seguridad Financiera</v>
      </c>
      <c r="E99" s="42" t="str">
        <f>VLOOKUP(Contacts6[[#This Row],[Código Tarea]],'[7]4. Directorio Integrado'!$B$4:$N$245,4,0)</f>
        <v>4.5</v>
      </c>
      <c r="F99" s="42" t="str">
        <f>VLOOKUP(Contacts6[[#This Row],[Código Tarea]],'[7]4. Directorio Integrado'!$B$4:$N$245,5,0)</f>
        <v>Seguridad de la Información y salud en el trabajo</v>
      </c>
      <c r="G99" s="42" t="str">
        <f>VLOOKUP(Contacts6[[#This Row],[Código Tarea]],'[7]4. Directorio Integrado'!$B$4:$N$245,6,0)</f>
        <v>4.5.4</v>
      </c>
      <c r="H99" s="42" t="str">
        <f>VLOOKUP(Contacts6[[#This Row],[Código Tarea]],'[7]4. Directorio Integrado'!$B$4:$N$245,7,0)</f>
        <v>Revisión hall de servicios</v>
      </c>
      <c r="I99" s="20" t="str">
        <f>'[7]4. Directorio Integrado'!I213</f>
        <v>4.5.4.002</v>
      </c>
      <c r="J99" s="13" t="str">
        <f>VLOOKUP(Contacts6[[#This Row],[Código Tarea]],'[7]4. Directorio Integrado'!I213:J309,2,0)</f>
        <v>Existe extintor multipropósito capacidad 10 lbs, recargado, vigente  y  debidamente señalizado.</v>
      </c>
      <c r="K99" s="43" t="str">
        <f>VLOOKUP(Contacts6[[#This Row],[Código Tarea]],'[7]4. Directorio Integrado'!$I$4:$M$227,3,0)</f>
        <v>Actividad a Distancia</v>
      </c>
      <c r="L99" s="16" t="str">
        <f>VLOOKUP(Contacts6[[#This Row],[Código Tarea]],'[7]Formato 4 - SGSF'!$B$8:$H$129,3,0)</f>
        <v>X</v>
      </c>
      <c r="M99" s="16">
        <f>VLOOKUP(Contacts6[[#This Row],[Código Tarea]],'[7]Formato 4 - SGSF'!$B$8:$H$129,4,0)</f>
        <v>0</v>
      </c>
      <c r="N99" s="16">
        <f>VLOOKUP(Contacts6[[#This Row],[Código Tarea]],'[7]Formato 4 - SGSF'!$B$8:$H$129,5,0)</f>
        <v>0</v>
      </c>
      <c r="O99" s="16">
        <f>VLOOKUP(Contacts6[[#This Row],[Código Tarea]],'[7]Formato 4 - SGSF'!$B$8:$H$129,6,0)</f>
        <v>0</v>
      </c>
      <c r="P99" s="16">
        <f>VLOOKUP(Contacts6[[#This Row],[Código Tarea]],'[7]Formato 4 - SGSF'!$B$8:$H$129,7,0)</f>
        <v>0</v>
      </c>
      <c r="Q99" s="16">
        <f>VLOOKUP(Contacts6[[#This Row],[Código Tarea]],'[7]Formato 4 - SGSF'!$B$8:$I$129,8,0)</f>
        <v>0</v>
      </c>
      <c r="R99" s="22" t="str">
        <f>VLOOKUP(Contacts6[[#This Row],[Código Tarea]],'[7]4. Directorio Integrado'!$I$4:$M$245,5,0)</f>
        <v>SARO/SGSI/SGSF</v>
      </c>
    </row>
    <row r="100" spans="1:18" s="30" customFormat="1" ht="30" customHeight="1" x14ac:dyDescent="0.35">
      <c r="A100" s="34"/>
      <c r="B100" s="6"/>
      <c r="C100" s="42">
        <f>VLOOKUP(Contacts6[[#This Row],[Código Tarea]],'[7]4. Directorio Integrado'!$B$4:$N$245,2,0)</f>
        <v>4</v>
      </c>
      <c r="D100" s="42" t="str">
        <f>VLOOKUP(Contacts6[[#This Row],[Código Tarea]],'[7]4. Directorio Integrado'!$B$4:$N$245,3,0)</f>
        <v>Seguridad Financiera</v>
      </c>
      <c r="E100" s="42" t="str">
        <f>VLOOKUP(Contacts6[[#This Row],[Código Tarea]],'[7]4. Directorio Integrado'!$B$4:$N$245,4,0)</f>
        <v>4.5</v>
      </c>
      <c r="F100" s="42" t="str">
        <f>VLOOKUP(Contacts6[[#This Row],[Código Tarea]],'[7]4. Directorio Integrado'!$B$4:$N$245,5,0)</f>
        <v>Seguridad de la Información y salud en el trabajo</v>
      </c>
      <c r="G100" s="42" t="str">
        <f>VLOOKUP(Contacts6[[#This Row],[Código Tarea]],'[7]4. Directorio Integrado'!$B$4:$N$245,6,0)</f>
        <v>4.5.4</v>
      </c>
      <c r="H100" s="42" t="str">
        <f>VLOOKUP(Contacts6[[#This Row],[Código Tarea]],'[7]4. Directorio Integrado'!$B$4:$N$245,7,0)</f>
        <v>Revisión hall de servicios</v>
      </c>
      <c r="I100" s="20" t="str">
        <f>'[7]4. Directorio Integrado'!I214</f>
        <v>4.5.4.003</v>
      </c>
      <c r="J100" s="13" t="str">
        <f>VLOOKUP(Contacts6[[#This Row],[Código Tarea]],'[7]4. Directorio Integrado'!I214:J310,2,0)</f>
        <v>Cuenta con plano y señalización de ruta de Evacuación de emergencia,  es visible para personal en general.</v>
      </c>
      <c r="K100" s="43" t="str">
        <f>VLOOKUP(Contacts6[[#This Row],[Código Tarea]],'[7]4. Directorio Integrado'!$I$4:$M$227,3,0)</f>
        <v>Actividad a Distancia</v>
      </c>
      <c r="L100" s="16" t="str">
        <f>VLOOKUP(Contacts6[[#This Row],[Código Tarea]],'[7]Formato 4 - SGSF'!$B$8:$H$129,3,0)</f>
        <v>X</v>
      </c>
      <c r="M100" s="16">
        <f>VLOOKUP(Contacts6[[#This Row],[Código Tarea]],'[7]Formato 4 - SGSF'!$B$8:$H$129,4,0)</f>
        <v>0</v>
      </c>
      <c r="N100" s="16">
        <f>VLOOKUP(Contacts6[[#This Row],[Código Tarea]],'[7]Formato 4 - SGSF'!$B$8:$H$129,5,0)</f>
        <v>0</v>
      </c>
      <c r="O100" s="16">
        <f>VLOOKUP(Contacts6[[#This Row],[Código Tarea]],'[7]Formato 4 - SGSF'!$B$8:$H$129,6,0)</f>
        <v>0</v>
      </c>
      <c r="P100" s="16">
        <f>VLOOKUP(Contacts6[[#This Row],[Código Tarea]],'[7]Formato 4 - SGSF'!$B$8:$H$129,7,0)</f>
        <v>0</v>
      </c>
      <c r="Q100" s="16">
        <f>VLOOKUP(Contacts6[[#This Row],[Código Tarea]],'[7]Formato 4 - SGSF'!$B$8:$I$129,8,0)</f>
        <v>0</v>
      </c>
      <c r="R100" s="22" t="str">
        <f>VLOOKUP(Contacts6[[#This Row],[Código Tarea]],'[7]4. Directorio Integrado'!$I$4:$M$245,5,0)</f>
        <v>SARO/SGSI/SGSF</v>
      </c>
    </row>
    <row r="101" spans="1:18" s="30" customFormat="1" ht="30" customHeight="1" x14ac:dyDescent="0.35">
      <c r="A101" s="34"/>
      <c r="B101" s="6"/>
      <c r="C101" s="42">
        <f>VLOOKUP(Contacts6[[#This Row],[Código Tarea]],'[7]4. Directorio Integrado'!$B$4:$N$245,2,0)</f>
        <v>4</v>
      </c>
      <c r="D101" s="42" t="str">
        <f>VLOOKUP(Contacts6[[#This Row],[Código Tarea]],'[7]4. Directorio Integrado'!$B$4:$N$245,3,0)</f>
        <v>Seguridad Financiera</v>
      </c>
      <c r="E101" s="42" t="str">
        <f>VLOOKUP(Contacts6[[#This Row],[Código Tarea]],'[7]4. Directorio Integrado'!$B$4:$N$245,4,0)</f>
        <v>4.5</v>
      </c>
      <c r="F101" s="42" t="str">
        <f>VLOOKUP(Contacts6[[#This Row],[Código Tarea]],'[7]4. Directorio Integrado'!$B$4:$N$245,5,0)</f>
        <v>Seguridad de la Información y salud en el trabajo</v>
      </c>
      <c r="G101" s="42" t="str">
        <f>VLOOKUP(Contacts6[[#This Row],[Código Tarea]],'[7]4. Directorio Integrado'!$B$4:$N$245,6,0)</f>
        <v>4.5.4</v>
      </c>
      <c r="H101" s="42" t="str">
        <f>VLOOKUP(Contacts6[[#This Row],[Código Tarea]],'[7]4. Directorio Integrado'!$B$4:$N$245,7,0)</f>
        <v>Revisión hall de servicios</v>
      </c>
      <c r="I101" s="20" t="str">
        <f>'[7]4. Directorio Integrado'!I215</f>
        <v>4.5.4.004</v>
      </c>
      <c r="J101" s="13" t="str">
        <f>VLOOKUP(Contacts6[[#This Row],[Código Tarea]],'[7]4. Directorio Integrado'!I215:J311,2,0)</f>
        <v>Cuenta con brigadista capacitado.</v>
      </c>
      <c r="K101" s="43" t="str">
        <f>VLOOKUP(Contacts6[[#This Row],[Código Tarea]],'[7]4. Directorio Integrado'!$I$4:$M$227,3,0)</f>
        <v>Presencial</v>
      </c>
      <c r="L101" s="16" t="str">
        <f>VLOOKUP(Contacts6[[#This Row],[Código Tarea]],'[7]Formato 4 - SGSF'!$B$8:$H$129,3,0)</f>
        <v>X</v>
      </c>
      <c r="M101" s="16">
        <f>VLOOKUP(Contacts6[[#This Row],[Código Tarea]],'[7]Formato 4 - SGSF'!$B$8:$H$129,4,0)</f>
        <v>0</v>
      </c>
      <c r="N101" s="16">
        <f>VLOOKUP(Contacts6[[#This Row],[Código Tarea]],'[7]Formato 4 - SGSF'!$B$8:$H$129,5,0)</f>
        <v>0</v>
      </c>
      <c r="O101" s="16">
        <f>VLOOKUP(Contacts6[[#This Row],[Código Tarea]],'[7]Formato 4 - SGSF'!$B$8:$H$129,6,0)</f>
        <v>0</v>
      </c>
      <c r="P101" s="16">
        <f>VLOOKUP(Contacts6[[#This Row],[Código Tarea]],'[7]Formato 4 - SGSF'!$B$8:$H$129,7,0)</f>
        <v>0</v>
      </c>
      <c r="Q101" s="16">
        <f>VLOOKUP(Contacts6[[#This Row],[Código Tarea]],'[7]Formato 4 - SGSF'!$B$8:$I$129,8,0)</f>
        <v>0</v>
      </c>
      <c r="R101" s="22" t="str">
        <f>VLOOKUP(Contacts6[[#This Row],[Código Tarea]],'[7]4. Directorio Integrado'!$I$4:$M$245,5,0)</f>
        <v>SARO/SAC/SGSF</v>
      </c>
    </row>
    <row r="102" spans="1:18" s="30" customFormat="1" ht="30" customHeight="1" x14ac:dyDescent="0.35">
      <c r="A102" s="34"/>
      <c r="B102" s="6"/>
      <c r="C102" s="42">
        <f>VLOOKUP(Contacts6[[#This Row],[Código Tarea]],'[7]4. Directorio Integrado'!$B$4:$N$245,2,0)</f>
        <v>4</v>
      </c>
      <c r="D102" s="42" t="str">
        <f>VLOOKUP(Contacts6[[#This Row],[Código Tarea]],'[7]4. Directorio Integrado'!$B$4:$N$245,3,0)</f>
        <v>Seguridad Financiera</v>
      </c>
      <c r="E102" s="42" t="str">
        <f>VLOOKUP(Contacts6[[#This Row],[Código Tarea]],'[7]4. Directorio Integrado'!$B$4:$N$245,4,0)</f>
        <v>4.5</v>
      </c>
      <c r="F102" s="42" t="str">
        <f>VLOOKUP(Contacts6[[#This Row],[Código Tarea]],'[7]4. Directorio Integrado'!$B$4:$N$245,5,0)</f>
        <v>Seguridad de la Información y salud en el trabajo</v>
      </c>
      <c r="G102" s="42" t="str">
        <f>VLOOKUP(Contacts6[[#This Row],[Código Tarea]],'[7]4. Directorio Integrado'!$B$4:$N$245,6,0)</f>
        <v>4.5.4</v>
      </c>
      <c r="H102" s="42" t="str">
        <f>VLOOKUP(Contacts6[[#This Row],[Código Tarea]],'[7]4. Directorio Integrado'!$B$4:$N$245,7,0)</f>
        <v>Revisión hall de servicios</v>
      </c>
      <c r="I102" s="20" t="str">
        <f>'[7]4. Directorio Integrado'!I216</f>
        <v>4.5.4.005</v>
      </c>
      <c r="J102" s="13" t="str">
        <f>VLOOKUP(Contacts6[[#This Row],[Código Tarea]],'[7]4. Directorio Integrado'!I216:J312,2,0)</f>
        <v>La oficina cuenta con plan de emergencia y punto de encuentro.</v>
      </c>
      <c r="K102" s="43" t="str">
        <f>VLOOKUP(Contacts6[[#This Row],[Código Tarea]],'[7]4. Directorio Integrado'!$I$4:$M$227,3,0)</f>
        <v>Actividad a Distancia</v>
      </c>
      <c r="L102" s="16" t="str">
        <f>VLOOKUP(Contacts6[[#This Row],[Código Tarea]],'[7]Formato 4 - SGSF'!$B$8:$H$129,3,0)</f>
        <v>X</v>
      </c>
      <c r="M102" s="16">
        <f>VLOOKUP(Contacts6[[#This Row],[Código Tarea]],'[7]Formato 4 - SGSF'!$B$8:$H$129,4,0)</f>
        <v>0</v>
      </c>
      <c r="N102" s="16">
        <f>VLOOKUP(Contacts6[[#This Row],[Código Tarea]],'[7]Formato 4 - SGSF'!$B$8:$H$129,5,0)</f>
        <v>0</v>
      </c>
      <c r="O102" s="16">
        <f>VLOOKUP(Contacts6[[#This Row],[Código Tarea]],'[7]Formato 4 - SGSF'!$B$8:$H$129,6,0)</f>
        <v>0</v>
      </c>
      <c r="P102" s="16">
        <f>VLOOKUP(Contacts6[[#This Row],[Código Tarea]],'[7]Formato 4 - SGSF'!$B$8:$H$129,7,0)</f>
        <v>0</v>
      </c>
      <c r="Q102" s="16">
        <f>VLOOKUP(Contacts6[[#This Row],[Código Tarea]],'[7]Formato 4 - SGSF'!$B$8:$I$129,8,0)</f>
        <v>0</v>
      </c>
      <c r="R102" s="22" t="str">
        <f>VLOOKUP(Contacts6[[#This Row],[Código Tarea]],'[7]4. Directorio Integrado'!$I$4:$M$245,5,0)</f>
        <v>SARO/SGSI/SGSF</v>
      </c>
    </row>
    <row r="103" spans="1:18" s="30" customFormat="1" ht="30" customHeight="1" x14ac:dyDescent="0.35">
      <c r="A103" s="34"/>
      <c r="B103" s="6"/>
      <c r="C103" s="42">
        <f>VLOOKUP(Contacts6[[#This Row],[Código Tarea]],'[7]4. Directorio Integrado'!$B$4:$N$245,2,0)</f>
        <v>4</v>
      </c>
      <c r="D103" s="42" t="str">
        <f>VLOOKUP(Contacts6[[#This Row],[Código Tarea]],'[7]4. Directorio Integrado'!$B$4:$N$245,3,0)</f>
        <v>Seguridad Financiera</v>
      </c>
      <c r="E103" s="42" t="str">
        <f>VLOOKUP(Contacts6[[#This Row],[Código Tarea]],'[7]4. Directorio Integrado'!$B$4:$N$245,4,0)</f>
        <v>4.5</v>
      </c>
      <c r="F103" s="42" t="str">
        <f>VLOOKUP(Contacts6[[#This Row],[Código Tarea]],'[7]4. Directorio Integrado'!$B$4:$N$245,5,0)</f>
        <v>Seguridad de la Información y salud en el trabajo</v>
      </c>
      <c r="G103" s="42" t="str">
        <f>VLOOKUP(Contacts6[[#This Row],[Código Tarea]],'[7]4. Directorio Integrado'!$B$4:$N$245,6,0)</f>
        <v>4.5.5</v>
      </c>
      <c r="H103" s="42" t="str">
        <f>VLOOKUP(Contacts6[[#This Row],[Código Tarea]],'[7]4. Directorio Integrado'!$B$4:$N$245,7,0)</f>
        <v>Zona de cuarto técnico</v>
      </c>
      <c r="I103" s="20" t="str">
        <f>'[7]4. Directorio Integrado'!I217</f>
        <v>4.5.5.001</v>
      </c>
      <c r="J103" s="13" t="str">
        <f>VLOOKUP(Contacts6[[#This Row],[Código Tarea]],'[7]4. Directorio Integrado'!I217:J313,2,0)</f>
        <v>Existe extintor solkaflam y/o co2, capacidad 10 lbs, recargado, vigente   y  debidamente señalizado.</v>
      </c>
      <c r="K103" s="43" t="str">
        <f>VLOOKUP(Contacts6[[#This Row],[Código Tarea]],'[7]4. Directorio Integrado'!$I$4:$M$227,3,0)</f>
        <v>Actividad a Distancia</v>
      </c>
      <c r="L103" s="16" t="str">
        <f>VLOOKUP(Contacts6[[#This Row],[Código Tarea]],'[7]Formato 4 - SGSF'!$B$8:$H$129,3,0)</f>
        <v>X</v>
      </c>
      <c r="M103" s="16">
        <f>VLOOKUP(Contacts6[[#This Row],[Código Tarea]],'[7]Formato 4 - SGSF'!$B$8:$H$129,4,0)</f>
        <v>0</v>
      </c>
      <c r="N103" s="16">
        <f>VLOOKUP(Contacts6[[#This Row],[Código Tarea]],'[7]Formato 4 - SGSF'!$B$8:$H$129,5,0)</f>
        <v>0</v>
      </c>
      <c r="O103" s="16">
        <f>VLOOKUP(Contacts6[[#This Row],[Código Tarea]],'[7]Formato 4 - SGSF'!$B$8:$H$129,6,0)</f>
        <v>0</v>
      </c>
      <c r="P103" s="16">
        <f>VLOOKUP(Contacts6[[#This Row],[Código Tarea]],'[7]Formato 4 - SGSF'!$B$8:$H$129,7,0)</f>
        <v>0</v>
      </c>
      <c r="Q103" s="16">
        <f>VLOOKUP(Contacts6[[#This Row],[Código Tarea]],'[7]Formato 4 - SGSF'!$B$8:$I$129,8,0)</f>
        <v>0</v>
      </c>
      <c r="R103" s="22" t="str">
        <f>VLOOKUP(Contacts6[[#This Row],[Código Tarea]],'[7]4. Directorio Integrado'!$I$4:$M$245,5,0)</f>
        <v>SARO/SGSI/SGSF</v>
      </c>
    </row>
    <row r="104" spans="1:18" s="30" customFormat="1" ht="30" customHeight="1" x14ac:dyDescent="0.35">
      <c r="A104" s="34"/>
      <c r="B104" s="6"/>
      <c r="C104" s="42">
        <f>VLOOKUP(Contacts6[[#This Row],[Código Tarea]],'[7]4. Directorio Integrado'!$B$4:$N$245,2,0)</f>
        <v>4</v>
      </c>
      <c r="D104" s="42" t="str">
        <f>VLOOKUP(Contacts6[[#This Row],[Código Tarea]],'[7]4. Directorio Integrado'!$B$4:$N$245,3,0)</f>
        <v>Seguridad Financiera</v>
      </c>
      <c r="E104" s="42" t="str">
        <f>VLOOKUP(Contacts6[[#This Row],[Código Tarea]],'[7]4. Directorio Integrado'!$B$4:$N$245,4,0)</f>
        <v>4.5</v>
      </c>
      <c r="F104" s="42" t="str">
        <f>VLOOKUP(Contacts6[[#This Row],[Código Tarea]],'[7]4. Directorio Integrado'!$B$4:$N$245,5,0)</f>
        <v>Seguridad de la Información y salud en el trabajo</v>
      </c>
      <c r="G104" s="42" t="str">
        <f>VLOOKUP(Contacts6[[#This Row],[Código Tarea]],'[7]4. Directorio Integrado'!$B$4:$N$245,6,0)</f>
        <v>4.5.5</v>
      </c>
      <c r="H104" s="42" t="str">
        <f>VLOOKUP(Contacts6[[#This Row],[Código Tarea]],'[7]4. Directorio Integrado'!$B$4:$N$245,7,0)</f>
        <v>Zona de cuarto técnico</v>
      </c>
      <c r="I104" s="20" t="str">
        <f>'[7]4. Directorio Integrado'!I218</f>
        <v>4.5.5.002</v>
      </c>
      <c r="J104" s="13" t="str">
        <f>VLOOKUP(Contacts6[[#This Row],[Código Tarea]],'[7]4. Directorio Integrado'!I218:J314,2,0)</f>
        <v>El área de cuarto técnico permanece cerrado, asegurado y las llaves con custodiadas por el gesto II o coordinador.</v>
      </c>
      <c r="K104" s="43" t="str">
        <f>VLOOKUP(Contacts6[[#This Row],[Código Tarea]],'[7]4. Directorio Integrado'!$I$4:$M$227,3,0)</f>
        <v>Actividad a Distancia</v>
      </c>
      <c r="L104" s="16" t="str">
        <f>VLOOKUP(Contacts6[[#This Row],[Código Tarea]],'[7]Formato 4 - SGSF'!$B$8:$H$129,3,0)</f>
        <v>X</v>
      </c>
      <c r="M104" s="16">
        <f>VLOOKUP(Contacts6[[#This Row],[Código Tarea]],'[7]Formato 4 - SGSF'!$B$8:$H$129,4,0)</f>
        <v>0</v>
      </c>
      <c r="N104" s="16">
        <f>VLOOKUP(Contacts6[[#This Row],[Código Tarea]],'[7]Formato 4 - SGSF'!$B$8:$H$129,5,0)</f>
        <v>0</v>
      </c>
      <c r="O104" s="16">
        <f>VLOOKUP(Contacts6[[#This Row],[Código Tarea]],'[7]Formato 4 - SGSF'!$B$8:$H$129,6,0)</f>
        <v>0</v>
      </c>
      <c r="P104" s="16">
        <f>VLOOKUP(Contacts6[[#This Row],[Código Tarea]],'[7]Formato 4 - SGSF'!$B$8:$H$129,7,0)</f>
        <v>0</v>
      </c>
      <c r="Q104" s="16">
        <f>VLOOKUP(Contacts6[[#This Row],[Código Tarea]],'[7]Formato 4 - SGSF'!$B$8:$I$129,8,0)</f>
        <v>0</v>
      </c>
      <c r="R104" s="22" t="str">
        <f>VLOOKUP(Contacts6[[#This Row],[Código Tarea]],'[7]4. Directorio Integrado'!$I$4:$M$245,5,0)</f>
        <v>SARO/SGSF</v>
      </c>
    </row>
    <row r="105" spans="1:18" s="30" customFormat="1" ht="30" customHeight="1" x14ac:dyDescent="0.35">
      <c r="A105" s="34"/>
      <c r="B105" s="6"/>
      <c r="C105" s="42">
        <f>VLOOKUP(Contacts6[[#This Row],[Código Tarea]],'[7]4. Directorio Integrado'!$B$4:$N$245,2,0)</f>
        <v>4</v>
      </c>
      <c r="D105" s="42" t="str">
        <f>VLOOKUP(Contacts6[[#This Row],[Código Tarea]],'[7]4. Directorio Integrado'!$B$4:$N$245,3,0)</f>
        <v>Seguridad Financiera</v>
      </c>
      <c r="E105" s="42" t="str">
        <f>VLOOKUP(Contacts6[[#This Row],[Código Tarea]],'[7]4. Directorio Integrado'!$B$4:$N$245,4,0)</f>
        <v>4.5</v>
      </c>
      <c r="F105" s="42" t="str">
        <f>VLOOKUP(Contacts6[[#This Row],[Código Tarea]],'[7]4. Directorio Integrado'!$B$4:$N$245,5,0)</f>
        <v>Seguridad de la Información y salud en el trabajo</v>
      </c>
      <c r="G105" s="42" t="str">
        <f>VLOOKUP(Contacts6[[#This Row],[Código Tarea]],'[7]4. Directorio Integrado'!$B$4:$N$245,6,0)</f>
        <v>4.5.5</v>
      </c>
      <c r="H105" s="42" t="str">
        <f>VLOOKUP(Contacts6[[#This Row],[Código Tarea]],'[7]4. Directorio Integrado'!$B$4:$N$245,7,0)</f>
        <v>Zona de cuarto técnico</v>
      </c>
      <c r="I105" s="20" t="str">
        <f>'[7]4. Directorio Integrado'!I219</f>
        <v>4.5.5.003</v>
      </c>
      <c r="J105" s="13" t="str">
        <f>VLOOKUP(Contacts6[[#This Row],[Código Tarea]],'[7]4. Directorio Integrado'!I219:J315,2,0)</f>
        <v>Existe sistema de refrigeración para los elementos custodiados.</v>
      </c>
      <c r="K105" s="43" t="str">
        <f>VLOOKUP(Contacts6[[#This Row],[Código Tarea]],'[7]4. Directorio Integrado'!$I$4:$M$227,3,0)</f>
        <v>Presencial</v>
      </c>
      <c r="L105" s="16" t="str">
        <f>VLOOKUP(Contacts6[[#This Row],[Código Tarea]],'[7]Formato 4 - SGSF'!$B$8:$H$129,3,0)</f>
        <v>X</v>
      </c>
      <c r="M105" s="16">
        <f>VLOOKUP(Contacts6[[#This Row],[Código Tarea]],'[7]Formato 4 - SGSF'!$B$8:$H$129,4,0)</f>
        <v>0</v>
      </c>
      <c r="N105" s="16">
        <f>VLOOKUP(Contacts6[[#This Row],[Código Tarea]],'[7]Formato 4 - SGSF'!$B$8:$H$129,5,0)</f>
        <v>0</v>
      </c>
      <c r="O105" s="16">
        <f>VLOOKUP(Contacts6[[#This Row],[Código Tarea]],'[7]Formato 4 - SGSF'!$B$8:$H$129,6,0)</f>
        <v>0</v>
      </c>
      <c r="P105" s="16">
        <f>VLOOKUP(Contacts6[[#This Row],[Código Tarea]],'[7]Formato 4 - SGSF'!$B$8:$H$129,7,0)</f>
        <v>0</v>
      </c>
      <c r="Q105" s="16">
        <f>VLOOKUP(Contacts6[[#This Row],[Código Tarea]],'[7]Formato 4 - SGSF'!$B$8:$I$129,8,0)</f>
        <v>0</v>
      </c>
      <c r="R105" s="22" t="str">
        <f>VLOOKUP(Contacts6[[#This Row],[Código Tarea]],'[7]4. Directorio Integrado'!$I$4:$M$245,5,0)</f>
        <v>SARO/SGSI/SGSF</v>
      </c>
    </row>
  </sheetData>
  <mergeCells count="1">
    <mergeCell ref="J7:N7"/>
  </mergeCells>
  <conditionalFormatting sqref="L9">
    <cfRule type="containsText" dxfId="121" priority="42" stopIfTrue="1" operator="containsText" text="0">
      <formula>NOT(ISERROR(SEARCH("0",L9)))</formula>
    </cfRule>
  </conditionalFormatting>
  <conditionalFormatting sqref="M9">
    <cfRule type="containsText" dxfId="120" priority="41" stopIfTrue="1" operator="containsText" text="0">
      <formula>NOT(ISERROR(SEARCH("0",M9)))</formula>
    </cfRule>
  </conditionalFormatting>
  <conditionalFormatting sqref="N9">
    <cfRule type="containsText" dxfId="119" priority="40" stopIfTrue="1" operator="containsText" text="0">
      <formula>NOT(ISERROR(SEARCH("0",N9)))</formula>
    </cfRule>
  </conditionalFormatting>
  <conditionalFormatting sqref="O9">
    <cfRule type="containsText" dxfId="118" priority="39" stopIfTrue="1" operator="containsText" text="0">
      <formula>NOT(ISERROR(SEARCH("0",O9)))</formula>
    </cfRule>
  </conditionalFormatting>
  <conditionalFormatting sqref="P9:Q9">
    <cfRule type="containsText" dxfId="117" priority="38" stopIfTrue="1" operator="containsText" text="0">
      <formula>NOT(ISERROR(SEARCH("0",P9)))</formula>
    </cfRule>
  </conditionalFormatting>
  <conditionalFormatting sqref="L9:Q9">
    <cfRule type="containsText" dxfId="116" priority="37" operator="containsText" text="X">
      <formula>NOT(ISERROR(SEARCH("X",L9)))</formula>
    </cfRule>
  </conditionalFormatting>
  <conditionalFormatting sqref="P10:Q10">
    <cfRule type="containsText" dxfId="115" priority="26" stopIfTrue="1" operator="containsText" text="0">
      <formula>NOT(ISERROR(SEARCH("0",P10)))</formula>
    </cfRule>
  </conditionalFormatting>
  <conditionalFormatting sqref="L10">
    <cfRule type="containsText" dxfId="114" priority="36" stopIfTrue="1" operator="containsText" text="0">
      <formula>NOT(ISERROR(SEARCH("0",L10)))</formula>
    </cfRule>
  </conditionalFormatting>
  <conditionalFormatting sqref="M10">
    <cfRule type="containsText" dxfId="113" priority="35" stopIfTrue="1" operator="containsText" text="0">
      <formula>NOT(ISERROR(SEARCH("0",M10)))</formula>
    </cfRule>
  </conditionalFormatting>
  <conditionalFormatting sqref="N10">
    <cfRule type="containsText" dxfId="112" priority="34" stopIfTrue="1" operator="containsText" text="0">
      <formula>NOT(ISERROR(SEARCH("0",N10)))</formula>
    </cfRule>
  </conditionalFormatting>
  <conditionalFormatting sqref="L10:N10">
    <cfRule type="containsText" dxfId="111" priority="33" operator="containsText" text="X">
      <formula>NOT(ISERROR(SEARCH("X",L10)))</formula>
    </cfRule>
  </conditionalFormatting>
  <conditionalFormatting sqref="O11:O101">
    <cfRule type="containsText" dxfId="110" priority="20" stopIfTrue="1" operator="containsText" text="0">
      <formula>NOT(ISERROR(SEARCH("0",O11)))</formula>
    </cfRule>
  </conditionalFormatting>
  <conditionalFormatting sqref="L102">
    <cfRule type="containsText" dxfId="109" priority="32" stopIfTrue="1" operator="containsText" text="0">
      <formula>NOT(ISERROR(SEARCH("0",L102)))</formula>
    </cfRule>
  </conditionalFormatting>
  <conditionalFormatting sqref="M102">
    <cfRule type="containsText" dxfId="108" priority="31" stopIfTrue="1" operator="containsText" text="0">
      <formula>NOT(ISERROR(SEARCH("0",M102)))</formula>
    </cfRule>
  </conditionalFormatting>
  <conditionalFormatting sqref="N102">
    <cfRule type="containsText" dxfId="107" priority="30" stopIfTrue="1" operator="containsText" text="0">
      <formula>NOT(ISERROR(SEARCH("0",N102)))</formula>
    </cfRule>
  </conditionalFormatting>
  <conditionalFormatting sqref="L102:N102">
    <cfRule type="containsText" dxfId="106" priority="29" operator="containsText" text="X">
      <formula>NOT(ISERROR(SEARCH("X",L102)))</formula>
    </cfRule>
  </conditionalFormatting>
  <conditionalFormatting sqref="M9:Q9">
    <cfRule type="containsText" dxfId="105" priority="28" stopIfTrue="1" operator="containsText" text="0">
      <formula>NOT(ISERROR(SEARCH("0",M9)))</formula>
    </cfRule>
  </conditionalFormatting>
  <conditionalFormatting sqref="O10">
    <cfRule type="containsText" dxfId="104" priority="27" stopIfTrue="1" operator="containsText" text="0">
      <formula>NOT(ISERROR(SEARCH("0",O10)))</formula>
    </cfRule>
  </conditionalFormatting>
  <conditionalFormatting sqref="O10:Q10">
    <cfRule type="containsText" dxfId="103" priority="25" operator="containsText" text="X">
      <formula>NOT(ISERROR(SEARCH("X",O10)))</formula>
    </cfRule>
  </conditionalFormatting>
  <conditionalFormatting sqref="L11:L101">
    <cfRule type="containsText" dxfId="102" priority="24" stopIfTrue="1" operator="containsText" text="0">
      <formula>NOT(ISERROR(SEARCH("0",L11)))</formula>
    </cfRule>
  </conditionalFormatting>
  <conditionalFormatting sqref="M11:M101">
    <cfRule type="containsText" dxfId="101" priority="23" stopIfTrue="1" operator="containsText" text="0">
      <formula>NOT(ISERROR(SEARCH("0",M11)))</formula>
    </cfRule>
  </conditionalFormatting>
  <conditionalFormatting sqref="N11:N101">
    <cfRule type="containsText" dxfId="100" priority="22" stopIfTrue="1" operator="containsText" text="0">
      <formula>NOT(ISERROR(SEARCH("0",N11)))</formula>
    </cfRule>
  </conditionalFormatting>
  <conditionalFormatting sqref="L11:N101">
    <cfRule type="containsText" dxfId="99" priority="21" operator="containsText" text="X">
      <formula>NOT(ISERROR(SEARCH("X",L11)))</formula>
    </cfRule>
  </conditionalFormatting>
  <conditionalFormatting sqref="P11:Q101">
    <cfRule type="containsText" dxfId="98" priority="19" stopIfTrue="1" operator="containsText" text="0">
      <formula>NOT(ISERROR(SEARCH("0",P11)))</formula>
    </cfRule>
  </conditionalFormatting>
  <conditionalFormatting sqref="O11:Q101">
    <cfRule type="containsText" dxfId="97" priority="18" operator="containsText" text="X">
      <formula>NOT(ISERROR(SEARCH("X",O11)))</formula>
    </cfRule>
  </conditionalFormatting>
  <conditionalFormatting sqref="O102">
    <cfRule type="containsText" dxfId="96" priority="17" stopIfTrue="1" operator="containsText" text="0">
      <formula>NOT(ISERROR(SEARCH("0",O102)))</formula>
    </cfRule>
  </conditionalFormatting>
  <conditionalFormatting sqref="P102:Q102">
    <cfRule type="containsText" dxfId="95" priority="16" stopIfTrue="1" operator="containsText" text="0">
      <formula>NOT(ISERROR(SEARCH("0",P102)))</formula>
    </cfRule>
  </conditionalFormatting>
  <conditionalFormatting sqref="O102:Q102">
    <cfRule type="containsText" dxfId="94" priority="15" operator="containsText" text="X">
      <formula>NOT(ISERROR(SEARCH("X",O102)))</formula>
    </cfRule>
  </conditionalFormatting>
  <conditionalFormatting sqref="O103:O104">
    <cfRule type="containsText" dxfId="93" priority="6" stopIfTrue="1" operator="containsText" text="0">
      <formula>NOT(ISERROR(SEARCH("0",O103)))</formula>
    </cfRule>
  </conditionalFormatting>
  <conditionalFormatting sqref="L105">
    <cfRule type="containsText" dxfId="92" priority="14" stopIfTrue="1" operator="containsText" text="0">
      <formula>NOT(ISERROR(SEARCH("0",L105)))</formula>
    </cfRule>
  </conditionalFormatting>
  <conditionalFormatting sqref="M105">
    <cfRule type="containsText" dxfId="91" priority="13" stopIfTrue="1" operator="containsText" text="0">
      <formula>NOT(ISERROR(SEARCH("0",M105)))</formula>
    </cfRule>
  </conditionalFormatting>
  <conditionalFormatting sqref="N105">
    <cfRule type="containsText" dxfId="90" priority="12" stopIfTrue="1" operator="containsText" text="0">
      <formula>NOT(ISERROR(SEARCH("0",N105)))</formula>
    </cfRule>
  </conditionalFormatting>
  <conditionalFormatting sqref="L105:N105">
    <cfRule type="containsText" dxfId="89" priority="11" operator="containsText" text="X">
      <formula>NOT(ISERROR(SEARCH("X",L105)))</formula>
    </cfRule>
  </conditionalFormatting>
  <conditionalFormatting sqref="L103:L104">
    <cfRule type="containsText" dxfId="88" priority="10" stopIfTrue="1" operator="containsText" text="0">
      <formula>NOT(ISERROR(SEARCH("0",L103)))</formula>
    </cfRule>
  </conditionalFormatting>
  <conditionalFormatting sqref="M103:M104">
    <cfRule type="containsText" dxfId="87" priority="9" stopIfTrue="1" operator="containsText" text="0">
      <formula>NOT(ISERROR(SEARCH("0",M103)))</formula>
    </cfRule>
  </conditionalFormatting>
  <conditionalFormatting sqref="N103:N104">
    <cfRule type="containsText" dxfId="86" priority="8" stopIfTrue="1" operator="containsText" text="0">
      <formula>NOT(ISERROR(SEARCH("0",N103)))</formula>
    </cfRule>
  </conditionalFormatting>
  <conditionalFormatting sqref="L103:N104">
    <cfRule type="containsText" dxfId="85" priority="7" operator="containsText" text="X">
      <formula>NOT(ISERROR(SEARCH("X",L103)))</formula>
    </cfRule>
  </conditionalFormatting>
  <conditionalFormatting sqref="P103:Q104">
    <cfRule type="containsText" dxfId="84" priority="5" stopIfTrue="1" operator="containsText" text="0">
      <formula>NOT(ISERROR(SEARCH("0",P103)))</formula>
    </cfRule>
  </conditionalFormatting>
  <conditionalFormatting sqref="O103:Q104">
    <cfRule type="containsText" dxfId="83" priority="4" operator="containsText" text="X">
      <formula>NOT(ISERROR(SEARCH("X",O103)))</formula>
    </cfRule>
  </conditionalFormatting>
  <conditionalFormatting sqref="O105">
    <cfRule type="containsText" dxfId="82" priority="3" stopIfTrue="1" operator="containsText" text="0">
      <formula>NOT(ISERROR(SEARCH("0",O105)))</formula>
    </cfRule>
  </conditionalFormatting>
  <conditionalFormatting sqref="P105:Q105">
    <cfRule type="containsText" dxfId="81" priority="2" stopIfTrue="1" operator="containsText" text="0">
      <formula>NOT(ISERROR(SEARCH("0",P105)))</formula>
    </cfRule>
  </conditionalFormatting>
  <conditionalFormatting sqref="O105:Q105">
    <cfRule type="containsText" dxfId="80" priority="1" operator="containsText" text="X">
      <formula>NOT(ISERROR(SEARCH("X",O105)))</formula>
    </cfRule>
  </conditionalFormatting>
  <dataValidations count="1">
    <dataValidation allowBlank="1" showInputMessage="1" promptTitle="Email Address" prompt="xxx@xxx.xxx" sqref="K10:K105 R9:R105" xr:uid="{8C831A50-1FF7-4224-A528-4595D2B9D3FC}"/>
  </dataValidations>
  <printOptions horizontalCentered="1"/>
  <pageMargins left="0.7" right="0.7" top="0.75" bottom="0.75" header="0.3" footer="0.3"/>
  <pageSetup fitToHeight="0"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254FC-DF06-4B90-AECD-D2409C236C37}">
  <sheetPr>
    <tabColor theme="8" tint="0.39997558519241921"/>
    <pageSetUpPr autoPageBreaks="0" fitToPage="1"/>
  </sheetPr>
  <dimension ref="A1:R50"/>
  <sheetViews>
    <sheetView showGridLines="0" zoomScaleNormal="100" workbookViewId="0">
      <selection activeCell="A2" sqref="A2"/>
    </sheetView>
  </sheetViews>
  <sheetFormatPr baseColWidth="10" defaultColWidth="9.1796875" defaultRowHeight="21" customHeight="1" x14ac:dyDescent="0.35"/>
  <cols>
    <col min="1" max="1" width="7.7265625" style="1" customWidth="1"/>
    <col min="2" max="2" width="31.7265625" style="19" customWidth="1"/>
    <col min="3" max="3" width="46.81640625" style="1" hidden="1" customWidth="1"/>
    <col min="4" max="7" width="9.1796875" style="1" hidden="1" customWidth="1"/>
    <col min="8" max="8" width="36.1796875" style="1" hidden="1" customWidth="1"/>
    <col min="9" max="9" width="9.7265625" style="1" customWidth="1"/>
    <col min="10" max="10" width="60" style="1" customWidth="1"/>
    <col min="11" max="11" width="16.7265625" style="1" customWidth="1"/>
    <col min="12" max="16" width="12.7265625" style="1" customWidth="1"/>
    <col min="17" max="17" width="19.81640625" style="1" customWidth="1"/>
    <col min="18" max="26" width="14.7265625" style="1" customWidth="1"/>
    <col min="27" max="16384" width="9.1796875" style="1"/>
  </cols>
  <sheetData>
    <row r="1" spans="1:18" ht="13" x14ac:dyDescent="0.35">
      <c r="B1" s="1"/>
      <c r="P1" s="2"/>
      <c r="Q1" s="2"/>
    </row>
    <row r="2" spans="1:18" ht="36" x14ac:dyDescent="0.35">
      <c r="B2" s="4" t="s">
        <v>0</v>
      </c>
    </row>
    <row r="3" spans="1:18" ht="17.25" customHeight="1" x14ac:dyDescent="0.35">
      <c r="B3" s="1"/>
    </row>
    <row r="4" spans="1:18" ht="15.75" customHeight="1" x14ac:dyDescent="0.35">
      <c r="B4" s="1"/>
    </row>
    <row r="5" spans="1:18" ht="17.25" customHeight="1" x14ac:dyDescent="0.35">
      <c r="B5" s="1"/>
    </row>
    <row r="6" spans="1:18" ht="12.75" customHeight="1" x14ac:dyDescent="0.35"/>
    <row r="7" spans="1:18" ht="31.5" customHeight="1" x14ac:dyDescent="0.35">
      <c r="B7" s="1"/>
      <c r="J7" s="52" t="s">
        <v>2</v>
      </c>
      <c r="K7" s="52"/>
      <c r="L7" s="52"/>
      <c r="M7" s="52"/>
      <c r="N7" s="52"/>
      <c r="O7" s="1" t="s">
        <v>1</v>
      </c>
    </row>
    <row r="8" spans="1:18" s="30" customFormat="1" ht="39" customHeight="1" x14ac:dyDescent="0.35">
      <c r="A8" s="6"/>
      <c r="B8" s="6"/>
      <c r="C8" s="7" t="s">
        <v>3</v>
      </c>
      <c r="D8" s="7" t="s">
        <v>19</v>
      </c>
      <c r="E8" s="7" t="s">
        <v>5</v>
      </c>
      <c r="F8" s="7" t="s">
        <v>8</v>
      </c>
      <c r="G8" s="8" t="s">
        <v>7</v>
      </c>
      <c r="H8" s="9" t="s">
        <v>20</v>
      </c>
      <c r="I8" s="10" t="s">
        <v>9</v>
      </c>
      <c r="J8" s="10" t="s">
        <v>10</v>
      </c>
      <c r="K8" s="10" t="s">
        <v>11</v>
      </c>
      <c r="L8" s="10" t="s">
        <v>12</v>
      </c>
      <c r="M8" s="10" t="s">
        <v>13</v>
      </c>
      <c r="N8" s="10" t="s">
        <v>14</v>
      </c>
      <c r="O8" s="10" t="s">
        <v>15</v>
      </c>
      <c r="P8" s="10" t="s">
        <v>16</v>
      </c>
      <c r="Q8" s="10" t="s">
        <v>23</v>
      </c>
      <c r="R8" s="11" t="s">
        <v>18</v>
      </c>
    </row>
    <row r="9" spans="1:18" s="30" customFormat="1" ht="45" customHeight="1" x14ac:dyDescent="0.35">
      <c r="A9" s="6"/>
      <c r="B9" s="6"/>
      <c r="C9" s="12">
        <f>VLOOKUP(Contacts67[[#This Row],[Código Tarea]],'[7]4. Directorio Integrado'!$B$4:$N$245,2,0)</f>
        <v>5</v>
      </c>
      <c r="D9" s="12" t="str">
        <f>VLOOKUP(Contacts67[[#This Row],[Código Tarea]],'[7]4. Directorio Integrado'!$B$4:$N$245,3,0)</f>
        <v>SARLAFT</v>
      </c>
      <c r="E9" s="12" t="str">
        <f>VLOOKUP(Contacts67[[#This Row],[Código Tarea]],'[7]4. Directorio Integrado'!$B$4:$N$245,4,0)</f>
        <v>5.1</v>
      </c>
      <c r="F9" s="12" t="str">
        <f>VLOOKUP(Contacts67[[#This Row],[Código Tarea]],'[7]4. Directorio Integrado'!$B$4:$N$245,5,0)</f>
        <v>Control conocimiento del cliente</v>
      </c>
      <c r="G9" s="12" t="str">
        <f>VLOOKUP(Contacts67[[#This Row],[Código Tarea]],'[7]4. Directorio Integrado'!$B$4:$N$245,6,0)</f>
        <v>5.1.1</v>
      </c>
      <c r="H9" s="12" t="str">
        <f>VLOOKUP(Contacts67[[#This Row],[Código Tarea]],'[7]4. Directorio Integrado'!$B$4:$N$245,7,0)</f>
        <v>Conocimiento del cliente</v>
      </c>
      <c r="I9" s="44" t="str">
        <f>'[7]4. Directorio Integrado'!I220</f>
        <v>5.1.1.001</v>
      </c>
      <c r="J9" s="45" t="str">
        <f>VLOOKUP(Contacts67[[#This Row],[Código Tarea]],'[7]4. Directorio Integrado'!$I$4:$M$227,2,0)</f>
        <v>El personal realiza validación de las referencias y deja evidencia de los hallazgos (Dejan soportes).</v>
      </c>
      <c r="K9" s="46" t="str">
        <f>VLOOKUP(Contacts67[[#This Row],[Código Tarea]],'[7]4. Directorio Integrado'!$I$4:$M$227,3,0)</f>
        <v>Presencial</v>
      </c>
      <c r="L9" s="14" t="str">
        <f>VLOOKUP(Contacts67[[#This Row],[Código Tarea]],'[7]Formato 5 - SARLAFT'!$B$8:$I$21,3,0)</f>
        <v>X</v>
      </c>
      <c r="M9" s="14">
        <f>VLOOKUP(Contacts67[[#This Row],[Código Tarea]],'[7]Formato 5 - SARLAFT'!$B$8:$I$21,4,0)</f>
        <v>0</v>
      </c>
      <c r="N9" s="14">
        <f>VLOOKUP(Contacts67[[#This Row],[Código Tarea]],'[7]Formato 5 - SARLAFT'!$B$8:$I$21,5,0)</f>
        <v>0</v>
      </c>
      <c r="O9" s="14">
        <f>VLOOKUP(Contacts67[[#This Row],[Código Tarea]],'[7]Formato 5 - SARLAFT'!$B$8:$I$21,6,0)</f>
        <v>0</v>
      </c>
      <c r="P9" s="14">
        <f>VLOOKUP(Contacts67[[#This Row],[Código Tarea]],'[7]Formato 5 - SARLAFT'!$B$8:$I$21,7,0)</f>
        <v>0</v>
      </c>
      <c r="Q9" s="14">
        <f>VLOOKUP(Contacts67[[#This Row],[Código Tarea]],'[7]Formato 5 - SARLAFT'!$B$8:$I$21,8,0)</f>
        <v>0</v>
      </c>
      <c r="R9" s="46" t="str">
        <f>VLOOKUP(Contacts67[[#This Row],[Código Tarea]],'[7]4. Directorio Integrado'!$I$4:$M$245,5,0)</f>
        <v>SARO/SARLAFT</v>
      </c>
    </row>
    <row r="10" spans="1:18" s="30" customFormat="1" ht="45" customHeight="1" x14ac:dyDescent="0.35">
      <c r="A10" s="6"/>
      <c r="B10" s="6"/>
      <c r="C10" s="12">
        <f>VLOOKUP(Contacts67[[#This Row],[Código Tarea]],'[7]4. Directorio Integrado'!$B$4:$N$245,2,0)</f>
        <v>5</v>
      </c>
      <c r="D10" s="12" t="str">
        <f>VLOOKUP(Contacts67[[#This Row],[Código Tarea]],'[7]4. Directorio Integrado'!$B$4:$N$245,3,0)</f>
        <v>SARLAFT</v>
      </c>
      <c r="E10" s="12" t="str">
        <f>VLOOKUP(Contacts67[[#This Row],[Código Tarea]],'[7]4. Directorio Integrado'!$B$4:$N$245,4,0)</f>
        <v>5.1</v>
      </c>
      <c r="F10" s="12" t="str">
        <f>VLOOKUP(Contacts67[[#This Row],[Código Tarea]],'[7]4. Directorio Integrado'!$B$4:$N$245,5,0)</f>
        <v>Control conocimiento del cliente</v>
      </c>
      <c r="G10" s="12" t="str">
        <f>VLOOKUP(Contacts67[[#This Row],[Código Tarea]],'[7]4. Directorio Integrado'!$B$4:$N$245,6,0)</f>
        <v>5.1.1</v>
      </c>
      <c r="H10" s="12" t="str">
        <f>VLOOKUP(Contacts67[[#This Row],[Código Tarea]],'[7]4. Directorio Integrado'!$B$4:$N$245,7,0)</f>
        <v>Conocimiento del cliente</v>
      </c>
      <c r="I10" s="12" t="str">
        <f>'[7]4. Directorio Integrado'!I221</f>
        <v>5.1.1.002</v>
      </c>
      <c r="J10" s="13" t="str">
        <f>VLOOKUP(Contacts67[[#This Row],[Código Tarea]],'[7]4. Directorio Integrado'!$I$4:$M$227,2,0)</f>
        <v>Revisión del diligenciamiento del formato de actualización de información del cliente con su firma y la respectiva actualización en el core bancario.</v>
      </c>
      <c r="K10" s="22" t="str">
        <f>VLOOKUP(Contacts67[[#This Row],[Código Tarea]],'[7]4. Directorio Integrado'!$I$4:$M$227,3,0)</f>
        <v>Presencial</v>
      </c>
      <c r="L10" s="16" t="str">
        <f>VLOOKUP(Contacts67[[#This Row],[Código Tarea]],'[7]Formato 5 - SARLAFT'!$B$8:$I$21,3,0)</f>
        <v>X</v>
      </c>
      <c r="M10" s="16">
        <f>VLOOKUP(Contacts67[[#This Row],[Código Tarea]],'[7]Formato 5 - SARLAFT'!$B$8:$I$21,4,0)</f>
        <v>0</v>
      </c>
      <c r="N10" s="16">
        <f>VLOOKUP(Contacts67[[#This Row],[Código Tarea]],'[7]Formato 5 - SARLAFT'!$B$8:$I$21,5,0)</f>
        <v>0</v>
      </c>
      <c r="O10" s="16">
        <f>VLOOKUP(Contacts67[[#This Row],[Código Tarea]],'[7]Formato 5 - SARLAFT'!$B$8:$I$21,6,0)</f>
        <v>0</v>
      </c>
      <c r="P10" s="16">
        <f>VLOOKUP(Contacts67[[#This Row],[Código Tarea]],'[7]Formato 5 - SARLAFT'!$B$8:$I$21,7,0)</f>
        <v>0</v>
      </c>
      <c r="Q10" s="16">
        <f>VLOOKUP(Contacts67[[#This Row],[Código Tarea]],'[7]Formato 5 - SARLAFT'!$B$8:$I$21,8,0)</f>
        <v>0</v>
      </c>
      <c r="R10" s="46" t="s">
        <v>24</v>
      </c>
    </row>
    <row r="11" spans="1:18" s="30" customFormat="1" ht="45" customHeight="1" x14ac:dyDescent="0.35">
      <c r="A11" s="6"/>
      <c r="B11" s="6"/>
      <c r="C11" s="12">
        <f>VLOOKUP(Contacts67[[#This Row],[Código Tarea]],'[7]4. Directorio Integrado'!$B$4:$N$245,2,0)</f>
        <v>5</v>
      </c>
      <c r="D11" s="12" t="str">
        <f>VLOOKUP(Contacts67[[#This Row],[Código Tarea]],'[7]4. Directorio Integrado'!$B$4:$N$245,3,0)</f>
        <v>SARLAFT</v>
      </c>
      <c r="E11" s="12" t="str">
        <f>VLOOKUP(Contacts67[[#This Row],[Código Tarea]],'[7]4. Directorio Integrado'!$B$4:$N$245,4,0)</f>
        <v>5.1</v>
      </c>
      <c r="F11" s="12" t="str">
        <f>VLOOKUP(Contacts67[[#This Row],[Código Tarea]],'[7]4. Directorio Integrado'!$B$4:$N$245,5,0)</f>
        <v>Control conocimiento del cliente</v>
      </c>
      <c r="G11" s="12" t="str">
        <f>VLOOKUP(Contacts67[[#This Row],[Código Tarea]],'[7]4. Directorio Integrado'!$B$4:$N$245,6,0)</f>
        <v>5.1.1</v>
      </c>
      <c r="H11" s="12" t="str">
        <f>VLOOKUP(Contacts67[[#This Row],[Código Tarea]],'[7]4. Directorio Integrado'!$B$4:$N$245,7,0)</f>
        <v>Conocimiento del cliente</v>
      </c>
      <c r="I11" s="12" t="str">
        <f>'[7]4. Directorio Integrado'!I222</f>
        <v>5.1.1.003</v>
      </c>
      <c r="J11" s="13" t="str">
        <f>VLOOKUP(Contacts67[[#This Row],[Código Tarea]],'[7]4. Directorio Integrado'!$I$4:$M$227,2,0)</f>
        <v>Validar que  la información registrada en el core bancario este acorde a la registrada en los formatos de vinculación de .</v>
      </c>
      <c r="K11" s="22" t="str">
        <f>VLOOKUP(Contacts67[[#This Row],[Código Tarea]],'[7]4. Directorio Integrado'!$I$4:$M$227,3,0)</f>
        <v>Presencial</v>
      </c>
      <c r="L11" s="16" t="str">
        <f>VLOOKUP(Contacts67[[#This Row],[Código Tarea]],'[7]Formato 5 - SARLAFT'!$B$8:$I$21,3,0)</f>
        <v>X</v>
      </c>
      <c r="M11" s="16">
        <f>VLOOKUP(Contacts67[[#This Row],[Código Tarea]],'[7]Formato 5 - SARLAFT'!$B$8:$I$21,4,0)</f>
        <v>0</v>
      </c>
      <c r="N11" s="16">
        <f>VLOOKUP(Contacts67[[#This Row],[Código Tarea]],'[7]Formato 5 - SARLAFT'!$B$8:$I$21,5,0)</f>
        <v>0</v>
      </c>
      <c r="O11" s="16">
        <f>VLOOKUP(Contacts67[[#This Row],[Código Tarea]],'[7]Formato 5 - SARLAFT'!$B$8:$I$21,6,0)</f>
        <v>0</v>
      </c>
      <c r="P11" s="16">
        <f>VLOOKUP(Contacts67[[#This Row],[Código Tarea]],'[7]Formato 5 - SARLAFT'!$B$8:$I$21,7,0)</f>
        <v>0</v>
      </c>
      <c r="Q11" s="16">
        <f>VLOOKUP(Contacts67[[#This Row],[Código Tarea]],'[7]Formato 5 - SARLAFT'!$B$8:$I$21,8,0)</f>
        <v>0</v>
      </c>
      <c r="R11" s="46" t="s">
        <v>24</v>
      </c>
    </row>
    <row r="12" spans="1:18" s="30" customFormat="1" ht="45" customHeight="1" x14ac:dyDescent="0.35">
      <c r="A12" s="6"/>
      <c r="B12" s="6"/>
      <c r="C12" s="12">
        <f>VLOOKUP(Contacts67[[#This Row],[Código Tarea]],'[7]4. Directorio Integrado'!$B$4:$N$245,2,0)</f>
        <v>5</v>
      </c>
      <c r="D12" s="12" t="str">
        <f>VLOOKUP(Contacts67[[#This Row],[Código Tarea]],'[7]4. Directorio Integrado'!$B$4:$N$245,3,0)</f>
        <v>SARLAFT</v>
      </c>
      <c r="E12" s="12" t="str">
        <f>VLOOKUP(Contacts67[[#This Row],[Código Tarea]],'[7]4. Directorio Integrado'!$B$4:$N$245,4,0)</f>
        <v>5.1</v>
      </c>
      <c r="F12" s="12" t="str">
        <f>VLOOKUP(Contacts67[[#This Row],[Código Tarea]],'[7]4. Directorio Integrado'!$B$4:$N$245,5,0)</f>
        <v>Control conocimiento del cliente</v>
      </c>
      <c r="G12" s="12" t="str">
        <f>VLOOKUP(Contacts67[[#This Row],[Código Tarea]],'[7]4. Directorio Integrado'!$B$4:$N$245,6,0)</f>
        <v>5.1.1</v>
      </c>
      <c r="H12" s="12" t="str">
        <f>VLOOKUP(Contacts67[[#This Row],[Código Tarea]],'[7]4. Directorio Integrado'!$B$4:$N$245,7,0)</f>
        <v>Conocimiento del cliente</v>
      </c>
      <c r="I12" s="12" t="str">
        <f>'[7]4. Directorio Integrado'!I223</f>
        <v>5.1.1.004</v>
      </c>
      <c r="J12" s="13" t="str">
        <f>VLOOKUP(Contacts67[[#This Row],[Código Tarea]],'[7]4. Directorio Integrado'!$I$4:$M$227,2,0)</f>
        <v>Se realiza visita a las instalaciones de la unidad productiva del cliente previo al otorgamiento del producto dejando evidencia del concepto en el formato de visita.</v>
      </c>
      <c r="K12" s="22" t="str">
        <f>VLOOKUP(Contacts67[[#This Row],[Código Tarea]],'[7]4. Directorio Integrado'!$I$4:$M$227,3,0)</f>
        <v>Presencial</v>
      </c>
      <c r="L12" s="16" t="str">
        <f>VLOOKUP(Contacts67[[#This Row],[Código Tarea]],'[7]Formato 5 - SARLAFT'!$B$8:$I$21,3,0)</f>
        <v>X</v>
      </c>
      <c r="M12" s="16">
        <f>VLOOKUP(Contacts67[[#This Row],[Código Tarea]],'[7]Formato 5 - SARLAFT'!$B$8:$I$21,4,0)</f>
        <v>0</v>
      </c>
      <c r="N12" s="16">
        <f>VLOOKUP(Contacts67[[#This Row],[Código Tarea]],'[7]Formato 5 - SARLAFT'!$B$8:$I$21,5,0)</f>
        <v>0</v>
      </c>
      <c r="O12" s="16">
        <f>VLOOKUP(Contacts67[[#This Row],[Código Tarea]],'[7]Formato 5 - SARLAFT'!$B$8:$I$21,6,0)</f>
        <v>0</v>
      </c>
      <c r="P12" s="16">
        <f>VLOOKUP(Contacts67[[#This Row],[Código Tarea]],'[7]Formato 5 - SARLAFT'!$B$8:$I$21,7,0)</f>
        <v>0</v>
      </c>
      <c r="Q12" s="16">
        <f>VLOOKUP(Contacts67[[#This Row],[Código Tarea]],'[7]Formato 5 - SARLAFT'!$B$8:$I$21,8,0)</f>
        <v>0</v>
      </c>
      <c r="R12" s="46" t="s">
        <v>24</v>
      </c>
    </row>
    <row r="13" spans="1:18" s="30" customFormat="1" ht="45" customHeight="1" x14ac:dyDescent="0.35">
      <c r="A13" s="6"/>
      <c r="B13" s="6"/>
      <c r="C13" s="12">
        <f>VLOOKUP(Contacts67[[#This Row],[Código Tarea]],'[7]4. Directorio Integrado'!$B$4:$N$245,2,0)</f>
        <v>5</v>
      </c>
      <c r="D13" s="12" t="str">
        <f>VLOOKUP(Contacts67[[#This Row],[Código Tarea]],'[7]4. Directorio Integrado'!$B$4:$N$245,3,0)</f>
        <v>SARLAFT</v>
      </c>
      <c r="E13" s="12" t="str">
        <f>VLOOKUP(Contacts67[[#This Row],[Código Tarea]],'[7]4. Directorio Integrado'!$B$4:$N$245,4,0)</f>
        <v>5.1</v>
      </c>
      <c r="F13" s="12" t="str">
        <f>VLOOKUP(Contacts67[[#This Row],[Código Tarea]],'[7]4. Directorio Integrado'!$B$4:$N$245,5,0)</f>
        <v>Control conocimiento del cliente</v>
      </c>
      <c r="G13" s="12" t="str">
        <f>VLOOKUP(Contacts67[[#This Row],[Código Tarea]],'[7]4. Directorio Integrado'!$B$4:$N$245,6,0)</f>
        <v>5.1.2</v>
      </c>
      <c r="H13" s="12" t="str">
        <f>VLOOKUP(Contacts67[[#This Row],[Código Tarea]],'[7]4. Directorio Integrado'!$B$4:$N$245,7,0)</f>
        <v>Monitoreo transaccional de los clientes.</v>
      </c>
      <c r="I13" s="12" t="str">
        <f>'[7]4. Directorio Integrado'!I224</f>
        <v>5.1.2.001</v>
      </c>
      <c r="J13" s="13" t="str">
        <f>VLOOKUP(Contacts67[[#This Row],[Código Tarea]],'[7]4. Directorio Integrado'!$I$4:$M$227,2,0)</f>
        <v>Se encuentra diligenciada la declaración de operaciones en efectivo superiores o iguales a $10 MM con huella y firma del cliente.</v>
      </c>
      <c r="K13" s="22" t="str">
        <f>VLOOKUP(Contacts67[[#This Row],[Código Tarea]],'[7]4. Directorio Integrado'!$I$4:$M$227,3,0)</f>
        <v>Presencial</v>
      </c>
      <c r="L13" s="16">
        <f>VLOOKUP(Contacts67[[#This Row],[Código Tarea]],'[7]Formato 5 - SARLAFT'!$B$8:$I$21,3,0)</f>
        <v>0</v>
      </c>
      <c r="M13" s="16" t="str">
        <f>VLOOKUP(Contacts67[[#This Row],[Código Tarea]],'[7]Formato 5 - SARLAFT'!$B$8:$I$21,4,0)</f>
        <v>X</v>
      </c>
      <c r="N13" s="16">
        <f>VLOOKUP(Contacts67[[#This Row],[Código Tarea]],'[7]Formato 5 - SARLAFT'!$B$8:$I$21,5,0)</f>
        <v>0</v>
      </c>
      <c r="O13" s="16">
        <f>VLOOKUP(Contacts67[[#This Row],[Código Tarea]],'[7]Formato 5 - SARLAFT'!$B$8:$I$21,6,0)</f>
        <v>0</v>
      </c>
      <c r="P13" s="16">
        <f>VLOOKUP(Contacts67[[#This Row],[Código Tarea]],'[7]Formato 5 - SARLAFT'!$B$8:$I$21,7,0)</f>
        <v>0</v>
      </c>
      <c r="Q13" s="16">
        <f>VLOOKUP(Contacts67[[#This Row],[Código Tarea]],'[7]Formato 5 - SARLAFT'!$B$8:$I$21,8,0)</f>
        <v>0</v>
      </c>
      <c r="R13" s="46" t="s">
        <v>24</v>
      </c>
    </row>
    <row r="14" spans="1:18" s="30" customFormat="1" ht="45" customHeight="1" x14ac:dyDescent="0.35">
      <c r="A14" s="6"/>
      <c r="B14" s="6"/>
      <c r="C14" s="12">
        <f>VLOOKUP(Contacts67[[#This Row],[Código Tarea]],'[7]4. Directorio Integrado'!$B$4:$N$245,2,0)</f>
        <v>5</v>
      </c>
      <c r="D14" s="12" t="str">
        <f>VLOOKUP(Contacts67[[#This Row],[Código Tarea]],'[7]4. Directorio Integrado'!$B$4:$N$245,3,0)</f>
        <v>SARLAFT</v>
      </c>
      <c r="E14" s="12" t="str">
        <f>VLOOKUP(Contacts67[[#This Row],[Código Tarea]],'[7]4. Directorio Integrado'!$B$4:$N$245,4,0)</f>
        <v>5.1</v>
      </c>
      <c r="F14" s="12" t="str">
        <f>VLOOKUP(Contacts67[[#This Row],[Código Tarea]],'[7]4. Directorio Integrado'!$B$4:$N$245,5,0)</f>
        <v>Control conocimiento del cliente</v>
      </c>
      <c r="G14" s="12" t="str">
        <f>VLOOKUP(Contacts67[[#This Row],[Código Tarea]],'[7]4. Directorio Integrado'!$B$4:$N$245,6,0)</f>
        <v>5.1.2</v>
      </c>
      <c r="H14" s="12" t="str">
        <f>VLOOKUP(Contacts67[[#This Row],[Código Tarea]],'[7]4. Directorio Integrado'!$B$4:$N$245,7,0)</f>
        <v>Revisión del control de vinculación de Clientes</v>
      </c>
      <c r="I14" s="12" t="str">
        <f>'[7]4. Directorio Integrado'!I225</f>
        <v>5.1.3.001</v>
      </c>
      <c r="J14" s="13" t="str">
        <f>VLOOKUP(Contacts67[[#This Row],[Código Tarea]],'[7]4. Directorio Integrado'!$I$4:$M$227,2,0)</f>
        <v>Revisión de la completitud del diligenciamiento del  formato de vinculación de clientes.</v>
      </c>
      <c r="K14" s="22" t="str">
        <f>VLOOKUP(Contacts67[[#This Row],[Código Tarea]],'[7]4. Directorio Integrado'!$I$4:$M$227,3,0)</f>
        <v>Presencial</v>
      </c>
      <c r="L14" s="16">
        <f>VLOOKUP(Contacts67[[#This Row],[Código Tarea]],'[7]Formato 5 - SARLAFT'!$B$8:$I$21,3,0)</f>
        <v>0</v>
      </c>
      <c r="M14" s="16" t="str">
        <f>VLOOKUP(Contacts67[[#This Row],[Código Tarea]],'[7]Formato 5 - SARLAFT'!$B$8:$I$21,4,0)</f>
        <v>X</v>
      </c>
      <c r="N14" s="16">
        <f>VLOOKUP(Contacts67[[#This Row],[Código Tarea]],'[7]Formato 5 - SARLAFT'!$B$8:$I$21,5,0)</f>
        <v>0</v>
      </c>
      <c r="O14" s="16">
        <f>VLOOKUP(Contacts67[[#This Row],[Código Tarea]],'[7]Formato 5 - SARLAFT'!$B$8:$I$21,6,0)</f>
        <v>0</v>
      </c>
      <c r="P14" s="16">
        <f>VLOOKUP(Contacts67[[#This Row],[Código Tarea]],'[7]Formato 5 - SARLAFT'!$B$8:$I$21,7,0)</f>
        <v>0</v>
      </c>
      <c r="Q14" s="16">
        <f>VLOOKUP(Contacts67[[#This Row],[Código Tarea]],'[7]Formato 5 - SARLAFT'!$B$8:$I$21,8,0)</f>
        <v>0</v>
      </c>
      <c r="R14" s="46" t="s">
        <v>24</v>
      </c>
    </row>
    <row r="15" spans="1:18" s="30" customFormat="1" ht="45" customHeight="1" x14ac:dyDescent="0.35">
      <c r="A15" s="6"/>
      <c r="B15" s="6"/>
      <c r="C15" s="12">
        <f>VLOOKUP(Contacts67[[#This Row],[Código Tarea]],'[7]4. Directorio Integrado'!$B$4:$N$245,2,0)</f>
        <v>5</v>
      </c>
      <c r="D15" s="12" t="str">
        <f>VLOOKUP(Contacts67[[#This Row],[Código Tarea]],'[7]4. Directorio Integrado'!$B$4:$N$245,3,0)</f>
        <v>SARLAFT</v>
      </c>
      <c r="E15" s="12" t="str">
        <f>VLOOKUP(Contacts67[[#This Row],[Código Tarea]],'[7]4. Directorio Integrado'!$B$4:$N$245,4,0)</f>
        <v>5.2</v>
      </c>
      <c r="F15" s="12" t="str">
        <f>VLOOKUP(Contacts67[[#This Row],[Código Tarea]],'[7]4. Directorio Integrado'!$B$4:$N$245,5,0)</f>
        <v>Control de soportes y autorizaciones</v>
      </c>
      <c r="G15" s="12" t="str">
        <f>VLOOKUP(Contacts67[[#This Row],[Código Tarea]],'[7]4. Directorio Integrado'!$B$4:$N$245,6,0)</f>
        <v>5.2.1</v>
      </c>
      <c r="H15" s="12" t="str">
        <f>VLOOKUP(Contacts67[[#This Row],[Código Tarea]],'[7]4. Directorio Integrado'!$B$4:$N$245,7,0)</f>
        <v>Revisión del control de vinculación de Clientes</v>
      </c>
      <c r="I15" s="12" t="str">
        <f>'[7]4. Directorio Integrado'!I226</f>
        <v>5.2.1.001</v>
      </c>
      <c r="J15" s="13" t="str">
        <f>VLOOKUP(Contacts67[[#This Row],[Código Tarea]],'[7]4. Directorio Integrado'!$I$4:$M$227,2,0)</f>
        <v>Revisión sobre la completitud  de los documentos que soportan la apertura del producto del cliente.</v>
      </c>
      <c r="K15" s="22" t="str">
        <f>VLOOKUP(Contacts67[[#This Row],[Código Tarea]],'[7]4. Directorio Integrado'!$I$4:$M$227,3,0)</f>
        <v>Presencial</v>
      </c>
      <c r="L15" s="16" t="str">
        <f>VLOOKUP(Contacts67[[#This Row],[Código Tarea]],'[7]Formato 5 - SARLAFT'!$B$8:$I$21,3,0)</f>
        <v>X</v>
      </c>
      <c r="M15" s="16">
        <f>VLOOKUP(Contacts67[[#This Row],[Código Tarea]],'[7]Formato 5 - SARLAFT'!$B$8:$I$21,4,0)</f>
        <v>0</v>
      </c>
      <c r="N15" s="16">
        <f>VLOOKUP(Contacts67[[#This Row],[Código Tarea]],'[7]Formato 5 - SARLAFT'!$B$8:$I$21,5,0)</f>
        <v>0</v>
      </c>
      <c r="O15" s="16">
        <f>VLOOKUP(Contacts67[[#This Row],[Código Tarea]],'[7]Formato 5 - SARLAFT'!$B$8:$I$21,6,0)</f>
        <v>0</v>
      </c>
      <c r="P15" s="16">
        <f>VLOOKUP(Contacts67[[#This Row],[Código Tarea]],'[7]Formato 5 - SARLAFT'!$B$8:$I$21,7,0)</f>
        <v>0</v>
      </c>
      <c r="Q15" s="16">
        <f>VLOOKUP(Contacts67[[#This Row],[Código Tarea]],'[7]Formato 5 - SARLAFT'!$B$8:$I$21,8,0)</f>
        <v>0</v>
      </c>
      <c r="R15" s="46" t="s">
        <v>24</v>
      </c>
    </row>
    <row r="16" spans="1:18" s="30" customFormat="1" ht="45" customHeight="1" x14ac:dyDescent="0.35">
      <c r="A16" s="6"/>
      <c r="B16" s="6"/>
      <c r="C16" s="12">
        <f>VLOOKUP(Contacts67[[#This Row],[Código Tarea]],'[7]4. Directorio Integrado'!$B$4:$N$245,2,0)</f>
        <v>5</v>
      </c>
      <c r="D16" s="12" t="str">
        <f>VLOOKUP(Contacts67[[#This Row],[Código Tarea]],'[7]4. Directorio Integrado'!$B$4:$N$245,3,0)</f>
        <v>SARLAFT</v>
      </c>
      <c r="E16" s="12" t="str">
        <f>VLOOKUP(Contacts67[[#This Row],[Código Tarea]],'[7]4. Directorio Integrado'!$B$4:$N$245,4,0)</f>
        <v>5.2</v>
      </c>
      <c r="F16" s="12" t="str">
        <f>VLOOKUP(Contacts67[[#This Row],[Código Tarea]],'[7]4. Directorio Integrado'!$B$4:$N$245,5,0)</f>
        <v>Control de soportes y autorizaciones</v>
      </c>
      <c r="G16" s="12" t="str">
        <f>VLOOKUP(Contacts67[[#This Row],[Código Tarea]],'[7]4. Directorio Integrado'!$B$4:$N$245,6,0)</f>
        <v>5.2.1</v>
      </c>
      <c r="H16" s="12" t="str">
        <f>VLOOKUP(Contacts67[[#This Row],[Código Tarea]],'[7]4. Directorio Integrado'!$B$4:$N$245,7,0)</f>
        <v>Revisión del control de vinculación de Clientes</v>
      </c>
      <c r="I16" s="12" t="str">
        <f>'[7]4. Directorio Integrado'!I227</f>
        <v>5.2.1.002</v>
      </c>
      <c r="J16" s="13" t="str">
        <f>VLOOKUP(Contacts67[[#This Row],[Código Tarea]],'[7]4. Directorio Integrado'!$I$4:$M$227,2,0)</f>
        <v>Se valida que la aprobación de los PEP fue realizada en el core bancario por parte del Gerente Zonal.</v>
      </c>
      <c r="K16" s="22" t="str">
        <f>VLOOKUP(Contacts67[[#This Row],[Código Tarea]],'[7]4. Directorio Integrado'!$I$4:$M$227,3,0)</f>
        <v>Actividad a Distancia</v>
      </c>
      <c r="L16" s="16" t="str">
        <f>VLOOKUP(Contacts67[[#This Row],[Código Tarea]],'[7]Formato 5 - SARLAFT'!$B$8:$I$21,3,0)</f>
        <v>X</v>
      </c>
      <c r="M16" s="16">
        <f>VLOOKUP(Contacts67[[#This Row],[Código Tarea]],'[7]Formato 5 - SARLAFT'!$B$8:$I$21,4,0)</f>
        <v>0</v>
      </c>
      <c r="N16" s="16">
        <f>VLOOKUP(Contacts67[[#This Row],[Código Tarea]],'[7]Formato 5 - SARLAFT'!$B$8:$I$21,5,0)</f>
        <v>0</v>
      </c>
      <c r="O16" s="16">
        <f>VLOOKUP(Contacts67[[#This Row],[Código Tarea]],'[7]Formato 5 - SARLAFT'!$B$8:$I$21,6,0)</f>
        <v>0</v>
      </c>
      <c r="P16" s="16">
        <f>VLOOKUP(Contacts67[[#This Row],[Código Tarea]],'[7]Formato 5 - SARLAFT'!$B$8:$I$21,7,0)</f>
        <v>0</v>
      </c>
      <c r="Q16" s="16">
        <f>VLOOKUP(Contacts67[[#This Row],[Código Tarea]],'[7]Formato 5 - SARLAFT'!$B$8:$I$21,8,0)</f>
        <v>0</v>
      </c>
      <c r="R16" s="46" t="s">
        <v>24</v>
      </c>
    </row>
    <row r="17" spans="2:2" s="1" customFormat="1" ht="45" customHeight="1" x14ac:dyDescent="0.35"/>
    <row r="18" spans="2:2" s="1" customFormat="1" ht="45" customHeight="1" x14ac:dyDescent="0.35"/>
    <row r="19" spans="2:2" s="1" customFormat="1" ht="45" customHeight="1" x14ac:dyDescent="0.35"/>
    <row r="20" spans="2:2" s="1" customFormat="1" ht="45" customHeight="1" x14ac:dyDescent="0.35"/>
    <row r="21" spans="2:2" s="1" customFormat="1" ht="45" customHeight="1" x14ac:dyDescent="0.35"/>
    <row r="22" spans="2:2" s="1" customFormat="1" ht="45" customHeight="1" x14ac:dyDescent="0.35"/>
    <row r="23" spans="2:2" s="1" customFormat="1" ht="45" customHeight="1" x14ac:dyDescent="0.35"/>
    <row r="24" spans="2:2" s="1" customFormat="1" ht="45" customHeight="1" x14ac:dyDescent="0.35"/>
    <row r="25" spans="2:2" s="1" customFormat="1" ht="45" customHeight="1" x14ac:dyDescent="0.35"/>
    <row r="26" spans="2:2" s="1" customFormat="1" ht="45" customHeight="1" x14ac:dyDescent="0.35"/>
    <row r="27" spans="2:2" s="1" customFormat="1" ht="45" customHeight="1" x14ac:dyDescent="0.35"/>
    <row r="28" spans="2:2" ht="45" customHeight="1" x14ac:dyDescent="0.35">
      <c r="B28" s="1"/>
    </row>
    <row r="29" spans="2:2" ht="45" customHeight="1" x14ac:dyDescent="0.35">
      <c r="B29" s="1"/>
    </row>
    <row r="30" spans="2:2" ht="45" customHeight="1" x14ac:dyDescent="0.35">
      <c r="B30" s="1"/>
    </row>
    <row r="31" spans="2:2" ht="45" customHeight="1" x14ac:dyDescent="0.35">
      <c r="B31" s="1"/>
    </row>
    <row r="32" spans="2:2" ht="45" customHeight="1" x14ac:dyDescent="0.35">
      <c r="B32" s="1"/>
    </row>
    <row r="33" spans="2:2" ht="45" customHeight="1" x14ac:dyDescent="0.35">
      <c r="B33" s="1"/>
    </row>
    <row r="34" spans="2:2" ht="45" customHeight="1" x14ac:dyDescent="0.35">
      <c r="B34" s="1"/>
    </row>
    <row r="35" spans="2:2" ht="45" customHeight="1" x14ac:dyDescent="0.35">
      <c r="B35" s="1"/>
    </row>
    <row r="36" spans="2:2" ht="45" customHeight="1" x14ac:dyDescent="0.35">
      <c r="B36" s="1"/>
    </row>
    <row r="37" spans="2:2" ht="45" customHeight="1" x14ac:dyDescent="0.35">
      <c r="B37" s="1"/>
    </row>
    <row r="38" spans="2:2" ht="45" customHeight="1" x14ac:dyDescent="0.35">
      <c r="B38" s="1"/>
    </row>
    <row r="39" spans="2:2" ht="45" customHeight="1" x14ac:dyDescent="0.35">
      <c r="B39" s="1"/>
    </row>
    <row r="40" spans="2:2" ht="45" customHeight="1" x14ac:dyDescent="0.35">
      <c r="B40" s="1"/>
    </row>
    <row r="41" spans="2:2" ht="45" customHeight="1" x14ac:dyDescent="0.35">
      <c r="B41" s="1"/>
    </row>
    <row r="42" spans="2:2" ht="45" customHeight="1" x14ac:dyDescent="0.35">
      <c r="B42" s="1"/>
    </row>
    <row r="43" spans="2:2" ht="45" customHeight="1" x14ac:dyDescent="0.35">
      <c r="B43" s="1"/>
    </row>
    <row r="44" spans="2:2" ht="45" customHeight="1" x14ac:dyDescent="0.35">
      <c r="B44" s="1"/>
    </row>
    <row r="45" spans="2:2" ht="45" customHeight="1" x14ac:dyDescent="0.35">
      <c r="B45" s="1"/>
    </row>
    <row r="46" spans="2:2" ht="45" customHeight="1" x14ac:dyDescent="0.35">
      <c r="B46" s="1"/>
    </row>
    <row r="47" spans="2:2" ht="45" customHeight="1" x14ac:dyDescent="0.35">
      <c r="B47" s="1"/>
    </row>
    <row r="48" spans="2:2" ht="45" customHeight="1" x14ac:dyDescent="0.35">
      <c r="B48" s="1"/>
    </row>
    <row r="49" spans="2:2" ht="45" customHeight="1" x14ac:dyDescent="0.35">
      <c r="B49" s="1"/>
    </row>
    <row r="50" spans="2:2" ht="45" customHeight="1" x14ac:dyDescent="0.35">
      <c r="B50" s="1"/>
    </row>
  </sheetData>
  <mergeCells count="1">
    <mergeCell ref="J7:N7"/>
  </mergeCells>
  <conditionalFormatting sqref="L9:L16 Q9:Q16 M9:P9">
    <cfRule type="containsText" dxfId="60" priority="9" stopIfTrue="1" operator="containsText" text="0">
      <formula>NOT(ISERROR(SEARCH("0",L9)))</formula>
    </cfRule>
  </conditionalFormatting>
  <conditionalFormatting sqref="M9:M16">
    <cfRule type="containsText" dxfId="59" priority="8" stopIfTrue="1" operator="containsText" text="0">
      <formula>NOT(ISERROR(SEARCH("0",M9)))</formula>
    </cfRule>
  </conditionalFormatting>
  <conditionalFormatting sqref="N9:N16">
    <cfRule type="containsText" dxfId="58" priority="7" stopIfTrue="1" operator="containsText" text="0">
      <formula>NOT(ISERROR(SEARCH("0",N9)))</formula>
    </cfRule>
  </conditionalFormatting>
  <conditionalFormatting sqref="O9:O16">
    <cfRule type="containsText" dxfId="57" priority="6" stopIfTrue="1" operator="containsText" text="0">
      <formula>NOT(ISERROR(SEARCH("0",O9)))</formula>
    </cfRule>
  </conditionalFormatting>
  <conditionalFormatting sqref="P9:P16">
    <cfRule type="containsText" dxfId="56" priority="5" stopIfTrue="1" operator="containsText" text="0">
      <formula>NOT(ISERROR(SEARCH("0",P9)))</formula>
    </cfRule>
  </conditionalFormatting>
  <conditionalFormatting sqref="L9:Q16">
    <cfRule type="containsText" dxfId="55" priority="4" operator="containsText" text="X">
      <formula>NOT(ISERROR(SEARCH("X",L9)))</formula>
    </cfRule>
  </conditionalFormatting>
  <conditionalFormatting sqref="M9:P9">
    <cfRule type="containsText" dxfId="54" priority="3" stopIfTrue="1" operator="containsText" text="0">
      <formula>NOT(ISERROR(SEARCH("0",M9)))</formula>
    </cfRule>
  </conditionalFormatting>
  <conditionalFormatting sqref="Q9">
    <cfRule type="containsText" dxfId="53" priority="2" stopIfTrue="1" operator="containsText" text="0">
      <formula>NOT(ISERROR(SEARCH("0",Q9)))</formula>
    </cfRule>
  </conditionalFormatting>
  <conditionalFormatting sqref="Q9">
    <cfRule type="containsText" dxfId="52" priority="1" stopIfTrue="1" operator="containsText" text="0">
      <formula>NOT(ISERROR(SEARCH("0",Q9)))</formula>
    </cfRule>
  </conditionalFormatting>
  <dataValidations count="1">
    <dataValidation allowBlank="1" showInputMessage="1" promptTitle="Email Address" prompt="xxx@xxx.xxx" sqref="R10:R16" xr:uid="{5D362C3F-521B-4024-BF14-B74957D96E5B}"/>
  </dataValidations>
  <printOptions horizontalCentered="1"/>
  <pageMargins left="0.7" right="0.7" top="0.75" bottom="0.75" header="0.3" footer="0.3"/>
  <pageSetup fitToHeight="0"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B8E9-4F4A-41B4-9764-51B986F5DA55}">
  <sheetPr>
    <tabColor rgb="FF0070C0"/>
    <pageSetUpPr autoPageBreaks="0" fitToPage="1"/>
  </sheetPr>
  <dimension ref="A1:R26"/>
  <sheetViews>
    <sheetView showGridLines="0" zoomScaleNormal="100" workbookViewId="0"/>
  </sheetViews>
  <sheetFormatPr baseColWidth="10" defaultColWidth="9.1796875" defaultRowHeight="13" x14ac:dyDescent="0.35"/>
  <cols>
    <col min="1" max="1" width="7.7265625" style="3" customWidth="1"/>
    <col min="2" max="2" width="31.7265625" style="3" customWidth="1"/>
    <col min="3" max="3" width="14.7265625" style="3" hidden="1" customWidth="1"/>
    <col min="4" max="4" width="23" style="3" hidden="1" customWidth="1"/>
    <col min="5" max="5" width="10.81640625" style="3" hidden="1" customWidth="1"/>
    <col min="6" max="6" width="25.81640625" style="3" hidden="1" customWidth="1"/>
    <col min="7" max="7" width="9" style="3" hidden="1" customWidth="1"/>
    <col min="8" max="8" width="36.1796875" style="3" hidden="1" customWidth="1"/>
    <col min="9" max="9" width="9.7265625" style="3" customWidth="1"/>
    <col min="10" max="10" width="43.453125" style="3" customWidth="1"/>
    <col min="11" max="11" width="16.7265625" style="3" customWidth="1"/>
    <col min="12" max="16" width="12.7265625" style="3" customWidth="1"/>
    <col min="17" max="17" width="36" style="3" customWidth="1"/>
    <col min="18" max="18" width="13.453125" style="3" customWidth="1"/>
    <col min="19" max="26" width="14.7265625" style="3" customWidth="1"/>
    <col min="27" max="16384" width="9.1796875" style="3"/>
  </cols>
  <sheetData>
    <row r="1" spans="1:18" x14ac:dyDescent="0.35">
      <c r="A1" s="1"/>
      <c r="B1" s="1"/>
      <c r="C1" s="1"/>
      <c r="D1" s="1"/>
      <c r="E1" s="1"/>
      <c r="F1" s="1"/>
      <c r="G1" s="1"/>
      <c r="H1" s="1"/>
      <c r="I1" s="1"/>
      <c r="J1" s="1"/>
      <c r="K1" s="1"/>
      <c r="L1" s="1"/>
      <c r="M1" s="1"/>
      <c r="N1" s="1"/>
      <c r="O1" s="1"/>
      <c r="P1" s="2"/>
      <c r="Q1" s="2"/>
      <c r="R1" s="2"/>
    </row>
    <row r="2" spans="1:18" ht="36" x14ac:dyDescent="0.35">
      <c r="A2" s="1"/>
      <c r="B2" s="4" t="s">
        <v>0</v>
      </c>
      <c r="C2" s="1"/>
      <c r="D2" s="1"/>
      <c r="E2" s="1"/>
      <c r="F2" s="1"/>
      <c r="G2" s="1"/>
      <c r="H2" s="1"/>
      <c r="I2" s="1"/>
      <c r="J2" s="1"/>
      <c r="K2" s="1"/>
      <c r="L2" s="1"/>
      <c r="M2" s="1"/>
      <c r="N2" s="1"/>
      <c r="O2" s="1"/>
      <c r="P2" s="1"/>
      <c r="Q2" s="1"/>
      <c r="R2" s="2"/>
    </row>
    <row r="3" spans="1:18" ht="36" x14ac:dyDescent="0.35">
      <c r="A3" s="1"/>
      <c r="B3" s="5"/>
      <c r="C3" s="1"/>
      <c r="D3" s="1"/>
      <c r="E3" s="1"/>
      <c r="F3" s="1"/>
      <c r="G3" s="1"/>
      <c r="H3" s="1"/>
      <c r="I3" s="1"/>
      <c r="J3" s="1"/>
      <c r="K3" s="1"/>
      <c r="L3" s="1"/>
      <c r="M3" s="1"/>
      <c r="N3" s="1"/>
      <c r="O3" s="1"/>
      <c r="P3" s="1"/>
      <c r="Q3" s="1"/>
      <c r="R3" s="1"/>
    </row>
    <row r="4" spans="1:18" x14ac:dyDescent="0.35">
      <c r="A4" s="1"/>
      <c r="B4" s="1"/>
      <c r="C4" s="1"/>
      <c r="D4" s="1"/>
      <c r="E4" s="1"/>
      <c r="F4" s="1"/>
      <c r="G4" s="1"/>
      <c r="H4" s="1"/>
      <c r="I4" s="1"/>
      <c r="J4" s="1"/>
      <c r="K4" s="1"/>
      <c r="L4" s="1"/>
      <c r="M4" s="1"/>
      <c r="N4" s="1"/>
      <c r="O4" s="1"/>
      <c r="P4" s="1"/>
      <c r="Q4" s="1"/>
      <c r="R4" s="1"/>
    </row>
    <row r="5" spans="1:18" x14ac:dyDescent="0.35">
      <c r="A5" s="1"/>
      <c r="B5" s="1"/>
      <c r="C5" s="1"/>
      <c r="D5" s="1"/>
      <c r="E5" s="1"/>
      <c r="F5" s="1"/>
      <c r="G5" s="1"/>
      <c r="H5" s="1"/>
      <c r="I5" s="1"/>
      <c r="J5" s="1"/>
      <c r="K5" s="1"/>
      <c r="L5" s="1"/>
      <c r="M5" s="1"/>
      <c r="N5" s="1"/>
      <c r="O5" s="1"/>
      <c r="P5" s="1"/>
      <c r="Q5" s="1"/>
      <c r="R5" s="1"/>
    </row>
    <row r="6" spans="1:18" x14ac:dyDescent="0.35">
      <c r="A6" s="1"/>
      <c r="B6" s="1"/>
      <c r="C6" s="1"/>
      <c r="D6" s="1"/>
      <c r="E6" s="1"/>
      <c r="F6" s="1"/>
      <c r="G6" s="1"/>
      <c r="H6" s="1"/>
      <c r="I6" s="1"/>
      <c r="J6" s="1"/>
      <c r="K6" s="1"/>
      <c r="L6" s="1"/>
      <c r="M6" s="1"/>
      <c r="N6" s="1"/>
      <c r="O6" s="1" t="s">
        <v>1</v>
      </c>
      <c r="P6" s="1"/>
      <c r="Q6" s="1"/>
      <c r="R6" s="1"/>
    </row>
    <row r="7" spans="1:18" ht="18.5" x14ac:dyDescent="0.35">
      <c r="A7" s="1"/>
      <c r="B7" s="1"/>
      <c r="C7" s="1"/>
      <c r="D7" s="1"/>
      <c r="E7" s="1"/>
      <c r="F7" s="1"/>
      <c r="G7" s="1"/>
      <c r="H7" s="1"/>
      <c r="I7" s="1"/>
      <c r="J7" s="47" t="s">
        <v>2</v>
      </c>
      <c r="K7" s="47"/>
      <c r="L7" s="47"/>
      <c r="M7" s="47"/>
      <c r="N7" s="47"/>
      <c r="O7" s="1" t="s">
        <v>1</v>
      </c>
      <c r="P7" s="1"/>
      <c r="Q7" s="1"/>
      <c r="R7" s="1"/>
    </row>
    <row r="8" spans="1:18" s="6" customFormat="1" ht="46.5" x14ac:dyDescent="0.35">
      <c r="C8" s="7" t="s">
        <v>3</v>
      </c>
      <c r="D8" s="7" t="s">
        <v>19</v>
      </c>
      <c r="E8" s="7" t="s">
        <v>5</v>
      </c>
      <c r="F8" s="7" t="s">
        <v>8</v>
      </c>
      <c r="G8" s="8" t="s">
        <v>7</v>
      </c>
      <c r="H8" s="9" t="s">
        <v>20</v>
      </c>
      <c r="I8" s="10" t="s">
        <v>9</v>
      </c>
      <c r="J8" s="10" t="s">
        <v>10</v>
      </c>
      <c r="K8" s="10" t="s">
        <v>11</v>
      </c>
      <c r="L8" s="10" t="s">
        <v>12</v>
      </c>
      <c r="M8" s="10" t="s">
        <v>13</v>
      </c>
      <c r="N8" s="10" t="s">
        <v>14</v>
      </c>
      <c r="O8" s="10" t="s">
        <v>15</v>
      </c>
      <c r="P8" s="10" t="s">
        <v>16</v>
      </c>
      <c r="Q8" s="10" t="s">
        <v>17</v>
      </c>
      <c r="R8" s="11" t="s">
        <v>18</v>
      </c>
    </row>
    <row r="9" spans="1:18" s="6" customFormat="1" ht="29" hidden="1" x14ac:dyDescent="0.35">
      <c r="C9" s="12">
        <f>VLOOKUP(Contacts8[[#This Row],[Código Tarea]],'[7]4. Directorio Integrado'!$B$4:$N$245,2,0)</f>
        <v>6</v>
      </c>
      <c r="D9" s="12" t="str">
        <f>VLOOKUP(Contacts8[[#This Row],[Código Tarea]],'[7]4. Directorio Integrado'!$B$4:$N$245,3,0)</f>
        <v>Continuidad de Negocio</v>
      </c>
      <c r="E9" s="12" t="str">
        <f>VLOOKUP(Contacts8[[#This Row],[Código Tarea]],'[7]4. Directorio Integrado'!$B$4:$N$245,4,0)</f>
        <v>6.1</v>
      </c>
      <c r="F9" s="12" t="str">
        <f>VLOOKUP(Contacts8[[#This Row],[Código Tarea]],'[7]4. Directorio Integrado'!$B$4:$N$245,5,0)</f>
        <v>Continuidad de Negocio</v>
      </c>
      <c r="G9" s="12" t="str">
        <f>VLOOKUP(Contacts8[[#This Row],[Código Tarea]],'[7]4. Directorio Integrado'!$B$4:$N$245,6,0)</f>
        <v>6.1.1</v>
      </c>
      <c r="H9" s="12" t="str">
        <f>VLOOKUP(Contacts8[[#This Row],[Código Tarea]],'[7]4. Directorio Integrado'!$B$4:$N$245,7,0)</f>
        <v>Testing Controles</v>
      </c>
      <c r="I9" s="16" t="s">
        <v>25</v>
      </c>
      <c r="J9" s="13" t="str">
        <f>IFERROR((VLOOKUP(Contacts8[[#This Row],[Código Tarea]],'[7]4. Directorio Integrado'!I$4:J$1048576,2,0)),"")</f>
        <v>La oficina tiene impreso y disponible para su uso la Planilla De Operaciones Por Contingencia</v>
      </c>
      <c r="K9" s="14" t="str">
        <f>IFERROR((VLOOKUP(Contacts8[[#This Row],[Código Tarea]],'[7]4. Directorio Integrado'!I$4:K$1048576,3,0)),"")</f>
        <v>Presencial</v>
      </c>
      <c r="L9" s="14" t="e">
        <f>VLOOKUP(Contacts8[[#This Row],[Código Tarea]],'[7]Formato 6 - Continuidad Negocio'!$B$8:$I$29,3,0)</f>
        <v>#N/A</v>
      </c>
      <c r="M9" s="14" t="e">
        <f>VLOOKUP(Contacts8[[#This Row],[Código Tarea]],'[7]Formato 6 - Continuidad Negocio'!$B$8:$I$29,4,0)</f>
        <v>#N/A</v>
      </c>
      <c r="N9" s="14" t="e">
        <f>VLOOKUP(Contacts8[[#This Row],[Código Tarea]],'[7]Formato 6 - Continuidad Negocio'!$B$8:$I$29,5,0)</f>
        <v>#N/A</v>
      </c>
      <c r="O9" s="14" t="e">
        <f>VLOOKUP(Contacts8[[#This Row],[Código Tarea]],'[7]Formato 6 - Continuidad Negocio'!$B$8:$I$29,6,0)</f>
        <v>#N/A</v>
      </c>
      <c r="P9" s="14" t="e">
        <f>VLOOKUP(Contacts8[[#This Row],[Código Tarea]],'[7]Formato 6 - Continuidad Negocio'!$B$8:$I$29,7,0)</f>
        <v>#N/A</v>
      </c>
      <c r="Q9" s="14" t="e">
        <f>VLOOKUP(Contacts8[[#This Row],[Código Tarea]],'[7]Formato 6 - Continuidad Negocio'!$B$8:$I$29,8,0)</f>
        <v>#N/A</v>
      </c>
      <c r="R9" s="46" t="str">
        <f>VLOOKUP(Contacts8[[#This Row],[Código Tarea]],'[7]4. Directorio Integrado'!$I$4:$M$245,5,0)</f>
        <v>SARO/PCN</v>
      </c>
    </row>
    <row r="10" spans="1:18" s="6" customFormat="1" ht="29" hidden="1" x14ac:dyDescent="0.35">
      <c r="C10" s="12">
        <f>VLOOKUP(Contacts8[[#This Row],[Código Tarea]],'[7]4. Directorio Integrado'!$B$4:$N$245,2,0)</f>
        <v>6</v>
      </c>
      <c r="D10" s="12" t="str">
        <f>VLOOKUP(Contacts8[[#This Row],[Código Tarea]],'[7]4. Directorio Integrado'!$B$4:$N$245,3,0)</f>
        <v>Continuidad de Negocio</v>
      </c>
      <c r="E10" s="12" t="str">
        <f>VLOOKUP(Contacts8[[#This Row],[Código Tarea]],'[7]4. Directorio Integrado'!$B$4:$N$245,4,0)</f>
        <v>6.1</v>
      </c>
      <c r="F10" s="12" t="str">
        <f>VLOOKUP(Contacts8[[#This Row],[Código Tarea]],'[7]4. Directorio Integrado'!$B$4:$N$245,5,0)</f>
        <v>Continuidad de Negocio</v>
      </c>
      <c r="G10" s="12" t="str">
        <f>VLOOKUP(Contacts8[[#This Row],[Código Tarea]],'[7]4. Directorio Integrado'!$B$4:$N$245,6,0)</f>
        <v>6.1.1</v>
      </c>
      <c r="H10" s="12" t="str">
        <f>VLOOKUP(Contacts8[[#This Row],[Código Tarea]],'[7]4. Directorio Integrado'!$B$4:$N$245,7,0)</f>
        <v>Testing Controles</v>
      </c>
      <c r="I10" s="16" t="s">
        <v>26</v>
      </c>
      <c r="J10" s="13" t="str">
        <f>IFERROR((VLOOKUP(Contacts8[[#This Row],[Código Tarea]],'[7]4. Directorio Integrado'!I$4:J$1048576,2,0)),"")</f>
        <v>La oficina tiene impreso y disponible para su uso la planilla arqueo de caja</v>
      </c>
      <c r="K10" s="14" t="str">
        <f>IFERROR((VLOOKUP(Contacts8[[#This Row],[Código Tarea]],'[7]4. Directorio Integrado'!I$4:K$1048576,3,0)),"")</f>
        <v>Presencial</v>
      </c>
      <c r="L10" s="16" t="e">
        <f>VLOOKUP(Contacts8[[#This Row],[Código Tarea]],'[7]Formato 6 - Continuidad Negocio'!$B$8:$I$29,3,0)</f>
        <v>#N/A</v>
      </c>
      <c r="M10" s="16" t="e">
        <f>VLOOKUP(Contacts8[[#This Row],[Código Tarea]],'[7]Formato 6 - Continuidad Negocio'!$B$8:$I$29,4,0)</f>
        <v>#N/A</v>
      </c>
      <c r="N10" s="16" t="e">
        <f>VLOOKUP(Contacts8[[#This Row],[Código Tarea]],'[7]Formato 6 - Continuidad Negocio'!$B$8:$I$29,5,0)</f>
        <v>#N/A</v>
      </c>
      <c r="O10" s="16" t="e">
        <f>VLOOKUP(Contacts8[[#This Row],[Código Tarea]],'[7]Formato 6 - Continuidad Negocio'!$B$8:$I$29,6,0)</f>
        <v>#N/A</v>
      </c>
      <c r="P10" s="16" t="e">
        <f>VLOOKUP(Contacts8[[#This Row],[Código Tarea]],'[7]Formato 6 - Continuidad Negocio'!$B$8:$I$29,7,0)</f>
        <v>#N/A</v>
      </c>
      <c r="Q10" s="16" t="e">
        <f>VLOOKUP(Contacts8[[#This Row],[Código Tarea]],'[7]Formato 6 - Continuidad Negocio'!$B$8:$I$29,8,0)</f>
        <v>#N/A</v>
      </c>
      <c r="R10" s="46" t="str">
        <f>VLOOKUP(Contacts8[[#This Row],[Código Tarea]],'[7]4. Directorio Integrado'!$I$4:$M$245,5,0)</f>
        <v>SARO/PCN</v>
      </c>
    </row>
    <row r="11" spans="1:18" s="6" customFormat="1" ht="29" hidden="1" x14ac:dyDescent="0.35">
      <c r="C11" s="12">
        <f>VLOOKUP(Contacts8[[#This Row],[Código Tarea]],'[7]4. Directorio Integrado'!$B$4:$N$245,2,0)</f>
        <v>6</v>
      </c>
      <c r="D11" s="12" t="str">
        <f>VLOOKUP(Contacts8[[#This Row],[Código Tarea]],'[7]4. Directorio Integrado'!$B$4:$N$245,3,0)</f>
        <v>Continuidad de Negocio</v>
      </c>
      <c r="E11" s="12" t="str">
        <f>VLOOKUP(Contacts8[[#This Row],[Código Tarea]],'[7]4. Directorio Integrado'!$B$4:$N$245,4,0)</f>
        <v>6.1</v>
      </c>
      <c r="F11" s="12" t="str">
        <f>VLOOKUP(Contacts8[[#This Row],[Código Tarea]],'[7]4. Directorio Integrado'!$B$4:$N$245,5,0)</f>
        <v>Continuidad de Negocio</v>
      </c>
      <c r="G11" s="12" t="str">
        <f>VLOOKUP(Contacts8[[#This Row],[Código Tarea]],'[7]4. Directorio Integrado'!$B$4:$N$245,6,0)</f>
        <v>6.1.1</v>
      </c>
      <c r="H11" s="12" t="str">
        <f>VLOOKUP(Contacts8[[#This Row],[Código Tarea]],'[7]4. Directorio Integrado'!$B$4:$N$245,7,0)</f>
        <v>Testing Controles</v>
      </c>
      <c r="I11" s="16" t="s">
        <v>27</v>
      </c>
      <c r="J11" s="13" t="str">
        <f>IFERROR((VLOOKUP(Contacts8[[#This Row],[Código Tarea]],'[7]4. Directorio Integrado'!I$4:J$1048576,2,0)),"")</f>
        <v>La oficina tiene impreso y disponible para su uso la Cuadre de Caja</v>
      </c>
      <c r="K11" s="14" t="str">
        <f>IFERROR((VLOOKUP(Contacts8[[#This Row],[Código Tarea]],'[7]4. Directorio Integrado'!I$4:K$1048576,3,0)),"")</f>
        <v>Presencial</v>
      </c>
      <c r="L11" s="16" t="e">
        <f>VLOOKUP(Contacts8[[#This Row],[Código Tarea]],'[7]Formato 6 - Continuidad Negocio'!$B$8:$I$29,3,0)</f>
        <v>#N/A</v>
      </c>
      <c r="M11" s="16" t="e">
        <f>VLOOKUP(Contacts8[[#This Row],[Código Tarea]],'[7]Formato 6 - Continuidad Negocio'!$B$8:$I$29,4,0)</f>
        <v>#N/A</v>
      </c>
      <c r="N11" s="16" t="e">
        <f>VLOOKUP(Contacts8[[#This Row],[Código Tarea]],'[7]Formato 6 - Continuidad Negocio'!$B$8:$I$29,5,0)</f>
        <v>#N/A</v>
      </c>
      <c r="O11" s="16" t="e">
        <f>VLOOKUP(Contacts8[[#This Row],[Código Tarea]],'[7]Formato 6 - Continuidad Negocio'!$B$8:$I$29,6,0)</f>
        <v>#N/A</v>
      </c>
      <c r="P11" s="16" t="e">
        <f>VLOOKUP(Contacts8[[#This Row],[Código Tarea]],'[7]Formato 6 - Continuidad Negocio'!$B$8:$I$29,7,0)</f>
        <v>#N/A</v>
      </c>
      <c r="Q11" s="16" t="e">
        <f>VLOOKUP(Contacts8[[#This Row],[Código Tarea]],'[7]Formato 6 - Continuidad Negocio'!$B$8:$I$29,8,0)</f>
        <v>#N/A</v>
      </c>
      <c r="R11" s="46" t="str">
        <f>VLOOKUP(Contacts8[[#This Row],[Código Tarea]],'[7]4. Directorio Integrado'!$I$4:$M$245,5,0)</f>
        <v>SARO/PCN</v>
      </c>
    </row>
    <row r="12" spans="1:18" s="6" customFormat="1" ht="29" hidden="1" x14ac:dyDescent="0.35">
      <c r="C12" s="12">
        <f>VLOOKUP(Contacts8[[#This Row],[Código Tarea]],'[7]4. Directorio Integrado'!$B$4:$N$245,2,0)</f>
        <v>6</v>
      </c>
      <c r="D12" s="12" t="str">
        <f>VLOOKUP(Contacts8[[#This Row],[Código Tarea]],'[7]4. Directorio Integrado'!$B$4:$N$245,3,0)</f>
        <v>Continuidad de Negocio</v>
      </c>
      <c r="E12" s="12" t="str">
        <f>VLOOKUP(Contacts8[[#This Row],[Código Tarea]],'[7]4. Directorio Integrado'!$B$4:$N$245,4,0)</f>
        <v>6.1</v>
      </c>
      <c r="F12" s="12" t="str">
        <f>VLOOKUP(Contacts8[[#This Row],[Código Tarea]],'[7]4. Directorio Integrado'!$B$4:$N$245,5,0)</f>
        <v>Continuidad de Negocio</v>
      </c>
      <c r="G12" s="12" t="str">
        <f>VLOOKUP(Contacts8[[#This Row],[Código Tarea]],'[7]4. Directorio Integrado'!$B$4:$N$245,6,0)</f>
        <v>6.1.1</v>
      </c>
      <c r="H12" s="12" t="str">
        <f>VLOOKUP(Contacts8[[#This Row],[Código Tarea]],'[7]4. Directorio Integrado'!$B$4:$N$245,7,0)</f>
        <v>Testing Controles</v>
      </c>
      <c r="I12" s="16" t="s">
        <v>28</v>
      </c>
      <c r="J12" s="13" t="str">
        <f>IFERROR((VLOOKUP(Contacts8[[#This Row],[Código Tarea]],'[7]4. Directorio Integrado'!I$4:J$1048576,2,0)),"")</f>
        <v>La oficina tiene impreso y disponible para su uso el Material Practico Para El Uso De Bantotal</v>
      </c>
      <c r="K12" s="14" t="str">
        <f>IFERROR((VLOOKUP(Contacts8[[#This Row],[Código Tarea]],'[7]4. Directorio Integrado'!I$4:K$1048576,3,0)),"")</f>
        <v>Presencial</v>
      </c>
      <c r="L12" s="16" t="e">
        <f>VLOOKUP(Contacts8[[#This Row],[Código Tarea]],'[7]Formato 6 - Continuidad Negocio'!$B$8:$I$29,3,0)</f>
        <v>#N/A</v>
      </c>
      <c r="M12" s="16" t="e">
        <f>VLOOKUP(Contacts8[[#This Row],[Código Tarea]],'[7]Formato 6 - Continuidad Negocio'!$B$8:$I$29,4,0)</f>
        <v>#N/A</v>
      </c>
      <c r="N12" s="16" t="e">
        <f>VLOOKUP(Contacts8[[#This Row],[Código Tarea]],'[7]Formato 6 - Continuidad Negocio'!$B$8:$I$29,5,0)</f>
        <v>#N/A</v>
      </c>
      <c r="O12" s="16" t="e">
        <f>VLOOKUP(Contacts8[[#This Row],[Código Tarea]],'[7]Formato 6 - Continuidad Negocio'!$B$8:$I$29,6,0)</f>
        <v>#N/A</v>
      </c>
      <c r="P12" s="16" t="e">
        <f>VLOOKUP(Contacts8[[#This Row],[Código Tarea]],'[7]Formato 6 - Continuidad Negocio'!$B$8:$I$29,7,0)</f>
        <v>#N/A</v>
      </c>
      <c r="Q12" s="16" t="e">
        <f>VLOOKUP(Contacts8[[#This Row],[Código Tarea]],'[7]Formato 6 - Continuidad Negocio'!$B$8:$I$29,8,0)</f>
        <v>#N/A</v>
      </c>
      <c r="R12" s="46" t="str">
        <f>VLOOKUP(Contacts8[[#This Row],[Código Tarea]],'[7]4. Directorio Integrado'!$I$4:$M$245,5,0)</f>
        <v>SARO/PCN</v>
      </c>
    </row>
    <row r="13" spans="1:18" s="6" customFormat="1" ht="58" hidden="1" x14ac:dyDescent="0.35">
      <c r="C13" s="12">
        <f>VLOOKUP(Contacts8[[#This Row],[Código Tarea]],'[7]4. Directorio Integrado'!$B$4:$N$245,2,0)</f>
        <v>6</v>
      </c>
      <c r="D13" s="12" t="str">
        <f>VLOOKUP(Contacts8[[#This Row],[Código Tarea]],'[7]4. Directorio Integrado'!$B$4:$N$245,3,0)</f>
        <v>Continuidad de Negocio</v>
      </c>
      <c r="E13" s="12" t="str">
        <f>VLOOKUP(Contacts8[[#This Row],[Código Tarea]],'[7]4. Directorio Integrado'!$B$4:$N$245,4,0)</f>
        <v>6.1</v>
      </c>
      <c r="F13" s="12" t="str">
        <f>VLOOKUP(Contacts8[[#This Row],[Código Tarea]],'[7]4. Directorio Integrado'!$B$4:$N$245,5,0)</f>
        <v>Continuidad de Negocio</v>
      </c>
      <c r="G13" s="12" t="str">
        <f>VLOOKUP(Contacts8[[#This Row],[Código Tarea]],'[7]4. Directorio Integrado'!$B$4:$N$245,6,0)</f>
        <v>6.1.1</v>
      </c>
      <c r="H13" s="12" t="str">
        <f>VLOOKUP(Contacts8[[#This Row],[Código Tarea]],'[7]4. Directorio Integrado'!$B$4:$N$245,7,0)</f>
        <v>Testing Controles</v>
      </c>
      <c r="I13" s="16" t="s">
        <v>29</v>
      </c>
      <c r="J13" s="13" t="str">
        <f>IFERROR((VLOOKUP(Contacts8[[#This Row],[Código Tarea]],'[7]4. Directorio Integrado'!I$4:J$1048576,2,0)),"")</f>
        <v>La oficina ha tenido que operar de forma manual cuando se han presentado situaciones tales como: Caída del fluido, Indisponibilidad de los canales de comunicación, Fallas en Bantotal etc.?</v>
      </c>
      <c r="K13" s="14" t="str">
        <f>IFERROR((VLOOKUP(Contacts8[[#This Row],[Código Tarea]],'[7]4. Directorio Integrado'!I$4:K$1048576,3,0)),"")</f>
        <v>Presencial</v>
      </c>
      <c r="L13" s="16" t="e">
        <f>VLOOKUP(Contacts8[[#This Row],[Código Tarea]],'[7]Formato 6 - Continuidad Negocio'!$B$8:$I$29,3,0)</f>
        <v>#N/A</v>
      </c>
      <c r="M13" s="16" t="e">
        <f>VLOOKUP(Contacts8[[#This Row],[Código Tarea]],'[7]Formato 6 - Continuidad Negocio'!$B$8:$I$29,4,0)</f>
        <v>#N/A</v>
      </c>
      <c r="N13" s="16" t="e">
        <f>VLOOKUP(Contacts8[[#This Row],[Código Tarea]],'[7]Formato 6 - Continuidad Negocio'!$B$8:$I$29,5,0)</f>
        <v>#N/A</v>
      </c>
      <c r="O13" s="16" t="e">
        <f>VLOOKUP(Contacts8[[#This Row],[Código Tarea]],'[7]Formato 6 - Continuidad Negocio'!$B$8:$I$29,6,0)</f>
        <v>#N/A</v>
      </c>
      <c r="P13" s="16" t="e">
        <f>VLOOKUP(Contacts8[[#This Row],[Código Tarea]],'[7]Formato 6 - Continuidad Negocio'!$B$8:$I$29,7,0)</f>
        <v>#N/A</v>
      </c>
      <c r="Q13" s="16" t="e">
        <f>VLOOKUP(Contacts8[[#This Row],[Código Tarea]],'[7]Formato 6 - Continuidad Negocio'!$B$8:$I$29,8,0)</f>
        <v>#N/A</v>
      </c>
      <c r="R13" s="46" t="str">
        <f>VLOOKUP(Contacts8[[#This Row],[Código Tarea]],'[7]4. Directorio Integrado'!$I$4:$M$245,5,0)</f>
        <v>SARO/PCN</v>
      </c>
    </row>
    <row r="14" spans="1:18" s="6" customFormat="1" ht="58" hidden="1" x14ac:dyDescent="0.35">
      <c r="C14" s="12">
        <f>VLOOKUP(Contacts8[[#This Row],[Código Tarea]],'[7]4. Directorio Integrado'!$B$4:$N$245,2,0)</f>
        <v>6</v>
      </c>
      <c r="D14" s="12" t="str">
        <f>VLOOKUP(Contacts8[[#This Row],[Código Tarea]],'[7]4. Directorio Integrado'!$B$4:$N$245,3,0)</f>
        <v>Continuidad de Negocio</v>
      </c>
      <c r="E14" s="12" t="str">
        <f>VLOOKUP(Contacts8[[#This Row],[Código Tarea]],'[7]4. Directorio Integrado'!$B$4:$N$245,4,0)</f>
        <v>6.1</v>
      </c>
      <c r="F14" s="12" t="str">
        <f>VLOOKUP(Contacts8[[#This Row],[Código Tarea]],'[7]4. Directorio Integrado'!$B$4:$N$245,5,0)</f>
        <v>Continuidad de Negocio</v>
      </c>
      <c r="G14" s="12" t="str">
        <f>VLOOKUP(Contacts8[[#This Row],[Código Tarea]],'[7]4. Directorio Integrado'!$B$4:$N$245,6,0)</f>
        <v>6.1.1</v>
      </c>
      <c r="H14" s="12" t="str">
        <f>VLOOKUP(Contacts8[[#This Row],[Código Tarea]],'[7]4. Directorio Integrado'!$B$4:$N$245,7,0)</f>
        <v>Testing Controles</v>
      </c>
      <c r="I14" s="16" t="s">
        <v>30</v>
      </c>
      <c r="J14" s="13" t="str">
        <f>IFERROR((VLOOKUP(Contacts8[[#This Row],[Código Tarea]],'[7]4. Directorio Integrado'!I$4:J$1048576,2,0)),"")</f>
        <v xml:space="preserve"> La oficina cuenta con los soportes (Correo electrónico y/o número de Tikect) en donde se haya  dado la autorización de la operación manual.</v>
      </c>
      <c r="K14" s="14" t="str">
        <f>IFERROR((VLOOKUP(Contacts8[[#This Row],[Código Tarea]],'[7]4. Directorio Integrado'!I$4:K$1048576,3,0)),"")</f>
        <v>Presencial</v>
      </c>
      <c r="L14" s="16" t="e">
        <f>VLOOKUP(Contacts8[[#This Row],[Código Tarea]],'[7]Formato 6 - Continuidad Negocio'!$B$8:$I$29,3,0)</f>
        <v>#N/A</v>
      </c>
      <c r="M14" s="16" t="e">
        <f>VLOOKUP(Contacts8[[#This Row],[Código Tarea]],'[7]Formato 6 - Continuidad Negocio'!$B$8:$I$29,4,0)</f>
        <v>#N/A</v>
      </c>
      <c r="N14" s="16" t="e">
        <f>VLOOKUP(Contacts8[[#This Row],[Código Tarea]],'[7]Formato 6 - Continuidad Negocio'!$B$8:$I$29,5,0)</f>
        <v>#N/A</v>
      </c>
      <c r="O14" s="16" t="e">
        <f>VLOOKUP(Contacts8[[#This Row],[Código Tarea]],'[7]Formato 6 - Continuidad Negocio'!$B$8:$I$29,6,0)</f>
        <v>#N/A</v>
      </c>
      <c r="P14" s="16" t="e">
        <f>VLOOKUP(Contacts8[[#This Row],[Código Tarea]],'[7]Formato 6 - Continuidad Negocio'!$B$8:$I$29,7,0)</f>
        <v>#N/A</v>
      </c>
      <c r="Q14" s="16" t="e">
        <f>VLOOKUP(Contacts8[[#This Row],[Código Tarea]],'[7]Formato 6 - Continuidad Negocio'!$B$8:$I$29,8,0)</f>
        <v>#N/A</v>
      </c>
      <c r="R14" s="46" t="str">
        <f>VLOOKUP(Contacts8[[#This Row],[Código Tarea]],'[7]4. Directorio Integrado'!$I$4:$M$245,5,0)</f>
        <v>SARO/PCN</v>
      </c>
    </row>
    <row r="15" spans="1:18" s="6" customFormat="1" ht="58" hidden="1" x14ac:dyDescent="0.35">
      <c r="C15" s="12">
        <f>VLOOKUP(Contacts8[[#This Row],[Código Tarea]],'[7]4. Directorio Integrado'!$B$4:$N$245,2,0)</f>
        <v>6</v>
      </c>
      <c r="D15" s="12" t="str">
        <f>VLOOKUP(Contacts8[[#This Row],[Código Tarea]],'[7]4. Directorio Integrado'!$B$4:$N$245,3,0)</f>
        <v>Continuidad de Negocio</v>
      </c>
      <c r="E15" s="12" t="str">
        <f>VLOOKUP(Contacts8[[#This Row],[Código Tarea]],'[7]4. Directorio Integrado'!$B$4:$N$245,4,0)</f>
        <v>6.1</v>
      </c>
      <c r="F15" s="12" t="str">
        <f>VLOOKUP(Contacts8[[#This Row],[Código Tarea]],'[7]4. Directorio Integrado'!$B$4:$N$245,5,0)</f>
        <v>Continuidad de Negocio</v>
      </c>
      <c r="G15" s="12" t="str">
        <f>VLOOKUP(Contacts8[[#This Row],[Código Tarea]],'[7]4. Directorio Integrado'!$B$4:$N$245,6,0)</f>
        <v>6.1.1</v>
      </c>
      <c r="H15" s="12" t="str">
        <f>VLOOKUP(Contacts8[[#This Row],[Código Tarea]],'[7]4. Directorio Integrado'!$B$4:$N$245,7,0)</f>
        <v>Testing Controles</v>
      </c>
      <c r="I15" s="16" t="s">
        <v>31</v>
      </c>
      <c r="J15" s="13" t="str">
        <f>IFERROR((VLOOKUP(Contacts8[[#This Row],[Código Tarea]],'[7]4. Directorio Integrado'!I$4:J$1048576,2,0)),"")</f>
        <v xml:space="preserve"> En caso de que la oficina haya realizado cierre en contingencia, esta tiene los soportes del envío al Centro de Efectivos de los formatos Arqueo de Caja y Cuadre de Caja.</v>
      </c>
      <c r="K15" s="14" t="str">
        <f>IFERROR((VLOOKUP(Contacts8[[#This Row],[Código Tarea]],'[7]4. Directorio Integrado'!I$4:K$1048576,3,0)),"")</f>
        <v>Presencial</v>
      </c>
      <c r="L15" s="16" t="e">
        <f>VLOOKUP(Contacts8[[#This Row],[Código Tarea]],'[7]Formato 6 - Continuidad Negocio'!$B$8:$I$29,3,0)</f>
        <v>#N/A</v>
      </c>
      <c r="M15" s="16" t="e">
        <f>VLOOKUP(Contacts8[[#This Row],[Código Tarea]],'[7]Formato 6 - Continuidad Negocio'!$B$8:$I$29,4,0)</f>
        <v>#N/A</v>
      </c>
      <c r="N15" s="16" t="e">
        <f>VLOOKUP(Contacts8[[#This Row],[Código Tarea]],'[7]Formato 6 - Continuidad Negocio'!$B$8:$I$29,5,0)</f>
        <v>#N/A</v>
      </c>
      <c r="O15" s="16" t="e">
        <f>VLOOKUP(Contacts8[[#This Row],[Código Tarea]],'[7]Formato 6 - Continuidad Negocio'!$B$8:$I$29,6,0)</f>
        <v>#N/A</v>
      </c>
      <c r="P15" s="16" t="e">
        <f>VLOOKUP(Contacts8[[#This Row],[Código Tarea]],'[7]Formato 6 - Continuidad Negocio'!$B$8:$I$29,7,0)</f>
        <v>#N/A</v>
      </c>
      <c r="Q15" s="16" t="e">
        <f>VLOOKUP(Contacts8[[#This Row],[Código Tarea]],'[7]Formato 6 - Continuidad Negocio'!$B$8:$I$29,8,0)</f>
        <v>#N/A</v>
      </c>
      <c r="R15" s="46" t="str">
        <f>VLOOKUP(Contacts8[[#This Row],[Código Tarea]],'[7]4. Directorio Integrado'!$I$4:$M$245,5,0)</f>
        <v>SARO/PCN</v>
      </c>
    </row>
    <row r="16" spans="1:18" s="6" customFormat="1" ht="29" x14ac:dyDescent="0.35">
      <c r="C16" s="12">
        <f>VLOOKUP(Contacts8[[#This Row],[Código Tarea]],'[7]4. Directorio Integrado'!$B$4:$N$245,2,0)</f>
        <v>6</v>
      </c>
      <c r="D16" s="12" t="str">
        <f>VLOOKUP(Contacts8[[#This Row],[Código Tarea]],'[7]4. Directorio Integrado'!$B$4:$N$245,3,0)</f>
        <v>Continuidad de Negocio</v>
      </c>
      <c r="E16" s="12" t="str">
        <f>VLOOKUP(Contacts8[[#This Row],[Código Tarea]],'[7]4. Directorio Integrado'!$B$4:$N$245,4,0)</f>
        <v>6.2</v>
      </c>
      <c r="F16" s="12" t="str">
        <f>VLOOKUP(Contacts8[[#This Row],[Código Tarea]],'[7]4. Directorio Integrado'!$B$4:$N$245,5,0)</f>
        <v>Riesgo Operacional</v>
      </c>
      <c r="G16" s="12" t="str">
        <f>VLOOKUP(Contacts8[[#This Row],[Código Tarea]],'[7]4. Directorio Integrado'!$B$4:$N$245,6,0)</f>
        <v>6.2.1</v>
      </c>
      <c r="H16" s="12" t="str">
        <f>VLOOKUP(Contacts8[[#This Row],[Código Tarea]],'[7]4. Directorio Integrado'!$B$4:$N$245,7,0)</f>
        <v>Testing Controles</v>
      </c>
      <c r="I16" s="16" t="s">
        <v>32</v>
      </c>
      <c r="J16" s="13" t="str">
        <f>IFERROR((VLOOKUP(Contacts8[[#This Row],[Código Tarea]],'[7]4. Directorio Integrado'!I$4:J$1048576,2,0)),"")</f>
        <v>Testeo Control: C1310
Proceso: Creación Persona Natural</v>
      </c>
      <c r="K16" s="14" t="str">
        <f>IFERROR((VLOOKUP(Contacts8[[#This Row],[Código Tarea]],'[7]4. Directorio Integrado'!I$4:K$1048576,3,0)),"")</f>
        <v>Presencial</v>
      </c>
      <c r="L16" s="16" t="e">
        <f>VLOOKUP(Contacts8[[#This Row],[Código Tarea]],'[7]Formato 6 - Continuidad Negocio'!$B$8:$I$29,3,0)</f>
        <v>#N/A</v>
      </c>
      <c r="M16" s="16" t="e">
        <f>VLOOKUP(Contacts8[[#This Row],[Código Tarea]],'[7]Formato 6 - Continuidad Negocio'!$B$8:$I$29,4,0)</f>
        <v>#N/A</v>
      </c>
      <c r="N16" s="16" t="e">
        <f>VLOOKUP(Contacts8[[#This Row],[Código Tarea]],'[7]Formato 6 - Continuidad Negocio'!$B$8:$I$29,5,0)</f>
        <v>#N/A</v>
      </c>
      <c r="O16" s="16" t="e">
        <f>VLOOKUP(Contacts8[[#This Row],[Código Tarea]],'[7]Formato 6 - Continuidad Negocio'!$B$8:$I$29,6,0)</f>
        <v>#N/A</v>
      </c>
      <c r="P16" s="16" t="e">
        <f>VLOOKUP(Contacts8[[#This Row],[Código Tarea]],'[7]Formato 6 - Continuidad Negocio'!$B$8:$I$29,7,0)</f>
        <v>#N/A</v>
      </c>
      <c r="Q16" s="16" t="e">
        <f>VLOOKUP(Contacts8[[#This Row],[Código Tarea]],'[7]Formato 6 - Continuidad Negocio'!$B$8:$I$29,8,0)</f>
        <v>#N/A</v>
      </c>
      <c r="R16" s="46" t="str">
        <f>VLOOKUP(Contacts8[[#This Row],[Código Tarea]],'[7]4. Directorio Integrado'!$I$4:$M$245,5,0)</f>
        <v>SARO</v>
      </c>
    </row>
    <row r="17" spans="3:18" ht="43.5" x14ac:dyDescent="0.35">
      <c r="C17" s="12">
        <f>VLOOKUP(Contacts8[[#This Row],[Código Tarea]],'[7]4. Directorio Integrado'!$B$4:$N$245,2,0)</f>
        <v>6</v>
      </c>
      <c r="D17" s="12" t="str">
        <f>VLOOKUP(Contacts8[[#This Row],[Código Tarea]],'[7]4. Directorio Integrado'!$B$4:$N$245,3,0)</f>
        <v>Continuidad de Negocio</v>
      </c>
      <c r="E17" s="12" t="str">
        <f>VLOOKUP(Contacts8[[#This Row],[Código Tarea]],'[7]4. Directorio Integrado'!$B$4:$N$245,4,0)</f>
        <v>6.2</v>
      </c>
      <c r="F17" s="12" t="str">
        <f>VLOOKUP(Contacts8[[#This Row],[Código Tarea]],'[7]4. Directorio Integrado'!$B$4:$N$245,5,0)</f>
        <v>Riesgo Operacional</v>
      </c>
      <c r="G17" s="12" t="str">
        <f>VLOOKUP(Contacts8[[#This Row],[Código Tarea]],'[7]4. Directorio Integrado'!$B$4:$N$245,6,0)</f>
        <v>6.2.1</v>
      </c>
      <c r="H17" s="12" t="str">
        <f>VLOOKUP(Contacts8[[#This Row],[Código Tarea]],'[7]4. Directorio Integrado'!$B$4:$N$245,7,0)</f>
        <v>Testing Controles</v>
      </c>
      <c r="I17" s="16" t="s">
        <v>33</v>
      </c>
      <c r="J17" s="13" t="str">
        <f>IFERROR((VLOOKUP(Contacts8[[#This Row],[Código Tarea]],'[7]4. Directorio Integrado'!I$4:J$1048576,2,0)),"")</f>
        <v>Testeo Control: C1559
Proceso: Depósitos en Cuentas de Ahorros en Oficina</v>
      </c>
      <c r="K17" s="14" t="str">
        <f>IFERROR((VLOOKUP(Contacts8[[#This Row],[Código Tarea]],'[7]4. Directorio Integrado'!I$4:K$1048576,3,0)),"")</f>
        <v>Presencial</v>
      </c>
      <c r="L17" s="16" t="e">
        <f>VLOOKUP(Contacts8[[#This Row],[Código Tarea]],'[7]Formato 6 - Continuidad Negocio'!$B$8:$I$29,3,0)</f>
        <v>#N/A</v>
      </c>
      <c r="M17" s="16" t="e">
        <f>VLOOKUP(Contacts8[[#This Row],[Código Tarea]],'[7]Formato 6 - Continuidad Negocio'!$B$8:$I$29,4,0)</f>
        <v>#N/A</v>
      </c>
      <c r="N17" s="16" t="e">
        <f>VLOOKUP(Contacts8[[#This Row],[Código Tarea]],'[7]Formato 6 - Continuidad Negocio'!$B$8:$I$29,5,0)</f>
        <v>#N/A</v>
      </c>
      <c r="O17" s="16" t="e">
        <f>VLOOKUP(Contacts8[[#This Row],[Código Tarea]],'[7]Formato 6 - Continuidad Negocio'!$B$8:$I$29,6,0)</f>
        <v>#N/A</v>
      </c>
      <c r="P17" s="16" t="e">
        <f>VLOOKUP(Contacts8[[#This Row],[Código Tarea]],'[7]Formato 6 - Continuidad Negocio'!$B$8:$I$29,7,0)</f>
        <v>#N/A</v>
      </c>
      <c r="Q17" s="16" t="e">
        <f>VLOOKUP(Contacts8[[#This Row],[Código Tarea]],'[7]Formato 6 - Continuidad Negocio'!$B$8:$I$29,8,0)</f>
        <v>#N/A</v>
      </c>
      <c r="R17" s="46" t="str">
        <f>VLOOKUP(Contacts8[[#This Row],[Código Tarea]],'[7]4. Directorio Integrado'!$I$4:$M$245,5,0)</f>
        <v>SARO</v>
      </c>
    </row>
    <row r="18" spans="3:18" ht="29" x14ac:dyDescent="0.35">
      <c r="C18" s="12">
        <f>VLOOKUP(Contacts8[[#This Row],[Código Tarea]],'[7]4. Directorio Integrado'!$B$4:$N$245,2,0)</f>
        <v>6</v>
      </c>
      <c r="D18" s="12" t="str">
        <f>VLOOKUP(Contacts8[[#This Row],[Código Tarea]],'[7]4. Directorio Integrado'!$B$4:$N$245,3,0)</f>
        <v>Continuidad de Negocio</v>
      </c>
      <c r="E18" s="12" t="str">
        <f>VLOOKUP(Contacts8[[#This Row],[Código Tarea]],'[7]4. Directorio Integrado'!$B$4:$N$245,4,0)</f>
        <v>6.2</v>
      </c>
      <c r="F18" s="12" t="str">
        <f>VLOOKUP(Contacts8[[#This Row],[Código Tarea]],'[7]4. Directorio Integrado'!$B$4:$N$245,5,0)</f>
        <v>Riesgo Operacional</v>
      </c>
      <c r="G18" s="12" t="str">
        <f>VLOOKUP(Contacts8[[#This Row],[Código Tarea]],'[7]4. Directorio Integrado'!$B$4:$N$245,6,0)</f>
        <v>6.2.1</v>
      </c>
      <c r="H18" s="12" t="str">
        <f>VLOOKUP(Contacts8[[#This Row],[Código Tarea]],'[7]4. Directorio Integrado'!$B$4:$N$245,7,0)</f>
        <v>Testing Controles</v>
      </c>
      <c r="I18" s="16" t="s">
        <v>34</v>
      </c>
      <c r="J18" s="13" t="str">
        <f>IFERROR((VLOOKUP(Contacts8[[#This Row],[Código Tarea]],'[7]4. Directorio Integrado'!I$4:J$1048576,2,0)),"")</f>
        <v>Testeo Control: C1559
Proceso: Recaudo Cuota de Crédito en Oficina</v>
      </c>
      <c r="K18" s="14" t="str">
        <f>IFERROR((VLOOKUP(Contacts8[[#This Row],[Código Tarea]],'[7]4. Directorio Integrado'!I$4:K$1048576,3,0)),"")</f>
        <v>Presencial</v>
      </c>
      <c r="L18" s="16" t="e">
        <f>VLOOKUP(Contacts8[[#This Row],[Código Tarea]],'[7]Formato 6 - Continuidad Negocio'!$B$8:$I$29,3,0)</f>
        <v>#N/A</v>
      </c>
      <c r="M18" s="16" t="e">
        <f>VLOOKUP(Contacts8[[#This Row],[Código Tarea]],'[7]Formato 6 - Continuidad Negocio'!$B$8:$I$29,4,0)</f>
        <v>#N/A</v>
      </c>
      <c r="N18" s="16" t="e">
        <f>VLOOKUP(Contacts8[[#This Row],[Código Tarea]],'[7]Formato 6 - Continuidad Negocio'!$B$8:$I$29,5,0)</f>
        <v>#N/A</v>
      </c>
      <c r="O18" s="16" t="e">
        <f>VLOOKUP(Contacts8[[#This Row],[Código Tarea]],'[7]Formato 6 - Continuidad Negocio'!$B$8:$I$29,6,0)</f>
        <v>#N/A</v>
      </c>
      <c r="P18" s="16" t="e">
        <f>VLOOKUP(Contacts8[[#This Row],[Código Tarea]],'[7]Formato 6 - Continuidad Negocio'!$B$8:$I$29,7,0)</f>
        <v>#N/A</v>
      </c>
      <c r="Q18" s="16" t="e">
        <f>VLOOKUP(Contacts8[[#This Row],[Código Tarea]],'[7]Formato 6 - Continuidad Negocio'!$B$8:$I$29,8,0)</f>
        <v>#N/A</v>
      </c>
      <c r="R18" s="46" t="str">
        <f>VLOOKUP(Contacts8[[#This Row],[Código Tarea]],'[7]4. Directorio Integrado'!$I$4:$M$245,5,0)</f>
        <v>SARO</v>
      </c>
    </row>
    <row r="19" spans="3:18" ht="43.5" x14ac:dyDescent="0.35">
      <c r="C19" s="12">
        <f>VLOOKUP(Contacts8[[#This Row],[Código Tarea]],'[7]4. Directorio Integrado'!$B$4:$N$245,2,0)</f>
        <v>6</v>
      </c>
      <c r="D19" s="12" t="str">
        <f>VLOOKUP(Contacts8[[#This Row],[Código Tarea]],'[7]4. Directorio Integrado'!$B$4:$N$245,3,0)</f>
        <v>Continuidad de Negocio</v>
      </c>
      <c r="E19" s="12" t="str">
        <f>VLOOKUP(Contacts8[[#This Row],[Código Tarea]],'[7]4. Directorio Integrado'!$B$4:$N$245,4,0)</f>
        <v>6.2</v>
      </c>
      <c r="F19" s="12" t="str">
        <f>VLOOKUP(Contacts8[[#This Row],[Código Tarea]],'[7]4. Directorio Integrado'!$B$4:$N$245,5,0)</f>
        <v>Riesgo Operacional</v>
      </c>
      <c r="G19" s="12" t="str">
        <f>VLOOKUP(Contacts8[[#This Row],[Código Tarea]],'[7]4. Directorio Integrado'!$B$4:$N$245,6,0)</f>
        <v>6.2.1</v>
      </c>
      <c r="H19" s="12" t="str">
        <f>VLOOKUP(Contacts8[[#This Row],[Código Tarea]],'[7]4. Directorio Integrado'!$B$4:$N$245,7,0)</f>
        <v>Testing Controles</v>
      </c>
      <c r="I19" s="16" t="s">
        <v>35</v>
      </c>
      <c r="J19" s="13" t="str">
        <f>IFERROR((VLOOKUP(Contacts8[[#This Row],[Código Tarea]],'[7]4. Directorio Integrado'!I$4:J$1048576,2,0)),"")</f>
        <v>Testeo Control: C488
Proceso: Administración de Cupos de Efectivo en Oficina</v>
      </c>
      <c r="K19" s="14" t="str">
        <f>IFERROR((VLOOKUP(Contacts8[[#This Row],[Código Tarea]],'[7]4. Directorio Integrado'!I$4:K$1048576,3,0)),"")</f>
        <v>Presencial</v>
      </c>
      <c r="L19" s="16" t="e">
        <f>VLOOKUP(Contacts8[[#This Row],[Código Tarea]],'[7]Formato 6 - Continuidad Negocio'!$B$8:$I$29,3,0)</f>
        <v>#N/A</v>
      </c>
      <c r="M19" s="16" t="e">
        <f>VLOOKUP(Contacts8[[#This Row],[Código Tarea]],'[7]Formato 6 - Continuidad Negocio'!$B$8:$I$29,4,0)</f>
        <v>#N/A</v>
      </c>
      <c r="N19" s="16" t="e">
        <f>VLOOKUP(Contacts8[[#This Row],[Código Tarea]],'[7]Formato 6 - Continuidad Negocio'!$B$8:$I$29,5,0)</f>
        <v>#N/A</v>
      </c>
      <c r="O19" s="16" t="e">
        <f>VLOOKUP(Contacts8[[#This Row],[Código Tarea]],'[7]Formato 6 - Continuidad Negocio'!$B$8:$I$29,6,0)</f>
        <v>#N/A</v>
      </c>
      <c r="P19" s="16" t="e">
        <f>VLOOKUP(Contacts8[[#This Row],[Código Tarea]],'[7]Formato 6 - Continuidad Negocio'!$B$8:$I$29,7,0)</f>
        <v>#N/A</v>
      </c>
      <c r="Q19" s="16" t="e">
        <f>VLOOKUP(Contacts8[[#This Row],[Código Tarea]],'[7]Formato 6 - Continuidad Negocio'!$B$8:$I$29,8,0)</f>
        <v>#N/A</v>
      </c>
      <c r="R19" s="46" t="str">
        <f>VLOOKUP(Contacts8[[#This Row],[Código Tarea]],'[7]4. Directorio Integrado'!$I$4:$M$245,5,0)</f>
        <v>SARO</v>
      </c>
    </row>
    <row r="20" spans="3:18" ht="43.5" x14ac:dyDescent="0.35">
      <c r="C20" s="12">
        <f>VLOOKUP(Contacts8[[#This Row],[Código Tarea]],'[7]4. Directorio Integrado'!$B$4:$N$245,2,0)</f>
        <v>6</v>
      </c>
      <c r="D20" s="12" t="str">
        <f>VLOOKUP(Contacts8[[#This Row],[Código Tarea]],'[7]4. Directorio Integrado'!$B$4:$N$245,3,0)</f>
        <v>Continuidad de Negocio</v>
      </c>
      <c r="E20" s="12" t="str">
        <f>VLOOKUP(Contacts8[[#This Row],[Código Tarea]],'[7]4. Directorio Integrado'!$B$4:$N$245,4,0)</f>
        <v>6.2</v>
      </c>
      <c r="F20" s="12" t="str">
        <f>VLOOKUP(Contacts8[[#This Row],[Código Tarea]],'[7]4. Directorio Integrado'!$B$4:$N$245,5,0)</f>
        <v>Riesgo Operacional</v>
      </c>
      <c r="G20" s="12" t="str">
        <f>VLOOKUP(Contacts8[[#This Row],[Código Tarea]],'[7]4. Directorio Integrado'!$B$4:$N$245,6,0)</f>
        <v>6.2.1</v>
      </c>
      <c r="H20" s="12" t="str">
        <f>VLOOKUP(Contacts8[[#This Row],[Código Tarea]],'[7]4. Directorio Integrado'!$B$4:$N$245,7,0)</f>
        <v>Testing Controles</v>
      </c>
      <c r="I20" s="16" t="s">
        <v>36</v>
      </c>
      <c r="J20" s="13" t="str">
        <f>IFERROR((VLOOKUP(Contacts8[[#This Row],[Código Tarea]],'[7]4. Directorio Integrado'!I$4:J$1048576,2,0)),"")</f>
        <v>Testeo Control: C490
Proceso: Administración de Cupos de Efectivo en Oficina</v>
      </c>
      <c r="K20" s="14" t="str">
        <f>IFERROR((VLOOKUP(Contacts8[[#This Row],[Código Tarea]],'[7]4. Directorio Integrado'!I$4:K$1048576,3,0)),"")</f>
        <v>Presencial</v>
      </c>
      <c r="L20" s="16" t="e">
        <f>VLOOKUP(Contacts8[[#This Row],[Código Tarea]],'[7]Formato 6 - Continuidad Negocio'!$B$8:$I$29,3,0)</f>
        <v>#N/A</v>
      </c>
      <c r="M20" s="16" t="e">
        <f>VLOOKUP(Contacts8[[#This Row],[Código Tarea]],'[7]Formato 6 - Continuidad Negocio'!$B$8:$I$29,4,0)</f>
        <v>#N/A</v>
      </c>
      <c r="N20" s="16" t="e">
        <f>VLOOKUP(Contacts8[[#This Row],[Código Tarea]],'[7]Formato 6 - Continuidad Negocio'!$B$8:$I$29,5,0)</f>
        <v>#N/A</v>
      </c>
      <c r="O20" s="16" t="e">
        <f>VLOOKUP(Contacts8[[#This Row],[Código Tarea]],'[7]Formato 6 - Continuidad Negocio'!$B$8:$I$29,6,0)</f>
        <v>#N/A</v>
      </c>
      <c r="P20" s="16" t="e">
        <f>VLOOKUP(Contacts8[[#This Row],[Código Tarea]],'[7]Formato 6 - Continuidad Negocio'!$B$8:$I$29,7,0)</f>
        <v>#N/A</v>
      </c>
      <c r="Q20" s="16" t="e">
        <f>VLOOKUP(Contacts8[[#This Row],[Código Tarea]],'[7]Formato 6 - Continuidad Negocio'!$B$8:$I$29,8,0)</f>
        <v>#N/A</v>
      </c>
      <c r="R20" s="46" t="str">
        <f>VLOOKUP(Contacts8[[#This Row],[Código Tarea]],'[7]4. Directorio Integrado'!$I$4:$M$245,5,0)</f>
        <v>SARO</v>
      </c>
    </row>
    <row r="21" spans="3:18" ht="29" x14ac:dyDescent="0.35">
      <c r="C21" s="12">
        <f>VLOOKUP(Contacts8[[#This Row],[Código Tarea]],'[7]4. Directorio Integrado'!$B$4:$N$245,2,0)</f>
        <v>6</v>
      </c>
      <c r="D21" s="12" t="str">
        <f>VLOOKUP(Contacts8[[#This Row],[Código Tarea]],'[7]4. Directorio Integrado'!$B$4:$N$245,3,0)</f>
        <v>Continuidad de Negocio</v>
      </c>
      <c r="E21" s="12" t="str">
        <f>VLOOKUP(Contacts8[[#This Row],[Código Tarea]],'[7]4. Directorio Integrado'!$B$4:$N$245,4,0)</f>
        <v>6.2</v>
      </c>
      <c r="F21" s="12" t="str">
        <f>VLOOKUP(Contacts8[[#This Row],[Código Tarea]],'[7]4. Directorio Integrado'!$B$4:$N$245,5,0)</f>
        <v>Riesgo Operacional</v>
      </c>
      <c r="G21" s="12" t="str">
        <f>VLOOKUP(Contacts8[[#This Row],[Código Tarea]],'[7]4. Directorio Integrado'!$B$4:$N$245,6,0)</f>
        <v>6.2.1</v>
      </c>
      <c r="H21" s="12" t="str">
        <f>VLOOKUP(Contacts8[[#This Row],[Código Tarea]],'[7]4. Directorio Integrado'!$B$4:$N$245,7,0)</f>
        <v>Testing Controles</v>
      </c>
      <c r="I21" s="16" t="s">
        <v>37</v>
      </c>
      <c r="J21" s="13" t="str">
        <f>IFERROR((VLOOKUP(Contacts8[[#This Row],[Código Tarea]],'[7]4. Directorio Integrado'!I$4:J$1048576,2,0)),"")</f>
        <v>Testeo Control: C1104
Proceso: Administración Documental</v>
      </c>
      <c r="K21" s="14" t="str">
        <f>IFERROR((VLOOKUP(Contacts8[[#This Row],[Código Tarea]],'[7]4. Directorio Integrado'!I$4:K$1048576,3,0)),"")</f>
        <v>Presencial</v>
      </c>
      <c r="L21" s="16" t="e">
        <f>VLOOKUP(Contacts8[[#This Row],[Código Tarea]],'[7]Formato 6 - Continuidad Negocio'!$B$8:$I$29,3,0)</f>
        <v>#N/A</v>
      </c>
      <c r="M21" s="16" t="e">
        <f>VLOOKUP(Contacts8[[#This Row],[Código Tarea]],'[7]Formato 6 - Continuidad Negocio'!$B$8:$I$29,4,0)</f>
        <v>#N/A</v>
      </c>
      <c r="N21" s="16" t="e">
        <f>VLOOKUP(Contacts8[[#This Row],[Código Tarea]],'[7]Formato 6 - Continuidad Negocio'!$B$8:$I$29,5,0)</f>
        <v>#N/A</v>
      </c>
      <c r="O21" s="16" t="e">
        <f>VLOOKUP(Contacts8[[#This Row],[Código Tarea]],'[7]Formato 6 - Continuidad Negocio'!$B$8:$I$29,6,0)</f>
        <v>#N/A</v>
      </c>
      <c r="P21" s="16" t="e">
        <f>VLOOKUP(Contacts8[[#This Row],[Código Tarea]],'[7]Formato 6 - Continuidad Negocio'!$B$8:$I$29,7,0)</f>
        <v>#N/A</v>
      </c>
      <c r="Q21" s="16" t="e">
        <f>VLOOKUP(Contacts8[[#This Row],[Código Tarea]],'[7]Formato 6 - Continuidad Negocio'!$B$8:$I$29,8,0)</f>
        <v>#N/A</v>
      </c>
      <c r="R21" s="46" t="str">
        <f>VLOOKUP(Contacts8[[#This Row],[Código Tarea]],'[7]4. Directorio Integrado'!$I$4:$M$245,5,0)</f>
        <v>SARO</v>
      </c>
    </row>
    <row r="22" spans="3:18" ht="29" x14ac:dyDescent="0.35">
      <c r="C22" s="12">
        <f>VLOOKUP(Contacts8[[#This Row],[Código Tarea]],'[7]4. Directorio Integrado'!$B$4:$N$245,2,0)</f>
        <v>6</v>
      </c>
      <c r="D22" s="12" t="str">
        <f>VLOOKUP(Contacts8[[#This Row],[Código Tarea]],'[7]4. Directorio Integrado'!$B$4:$N$245,3,0)</f>
        <v>Continuidad de Negocio</v>
      </c>
      <c r="E22" s="12" t="str">
        <f>VLOOKUP(Contacts8[[#This Row],[Código Tarea]],'[7]4. Directorio Integrado'!$B$4:$N$245,4,0)</f>
        <v>6.2</v>
      </c>
      <c r="F22" s="12" t="str">
        <f>VLOOKUP(Contacts8[[#This Row],[Código Tarea]],'[7]4. Directorio Integrado'!$B$4:$N$245,5,0)</f>
        <v>Riesgo Operacional</v>
      </c>
      <c r="G22" s="12" t="str">
        <f>VLOOKUP(Contacts8[[#This Row],[Código Tarea]],'[7]4. Directorio Integrado'!$B$4:$N$245,6,0)</f>
        <v>6.2.1</v>
      </c>
      <c r="H22" s="12" t="str">
        <f>VLOOKUP(Contacts8[[#This Row],[Código Tarea]],'[7]4. Directorio Integrado'!$B$4:$N$245,7,0)</f>
        <v>Testing Controles</v>
      </c>
      <c r="I22" s="16" t="s">
        <v>38</v>
      </c>
      <c r="J22" s="13" t="str">
        <f>IFERROR((VLOOKUP(Contacts8[[#This Row],[Código Tarea]],'[7]4. Directorio Integrado'!I$4:J$1048576,2,0)),"")</f>
        <v>Testeo Control: C1102
Proceso: Administración Documental</v>
      </c>
      <c r="K22" s="14" t="str">
        <f>IFERROR((VLOOKUP(Contacts8[[#This Row],[Código Tarea]],'[7]4. Directorio Integrado'!I$4:K$1048576,3,0)),"")</f>
        <v>Presencial</v>
      </c>
      <c r="L22" s="16" t="e">
        <f>VLOOKUP(Contacts8[[#This Row],[Código Tarea]],'[7]Formato 6 - Continuidad Negocio'!$B$8:$I$29,3,0)</f>
        <v>#N/A</v>
      </c>
      <c r="M22" s="16" t="e">
        <f>VLOOKUP(Contacts8[[#This Row],[Código Tarea]],'[7]Formato 6 - Continuidad Negocio'!$B$8:$I$29,4,0)</f>
        <v>#N/A</v>
      </c>
      <c r="N22" s="16" t="e">
        <f>VLOOKUP(Contacts8[[#This Row],[Código Tarea]],'[7]Formato 6 - Continuidad Negocio'!$B$8:$I$29,5,0)</f>
        <v>#N/A</v>
      </c>
      <c r="O22" s="16" t="e">
        <f>VLOOKUP(Contacts8[[#This Row],[Código Tarea]],'[7]Formato 6 - Continuidad Negocio'!$B$8:$I$29,6,0)</f>
        <v>#N/A</v>
      </c>
      <c r="P22" s="16" t="e">
        <f>VLOOKUP(Contacts8[[#This Row],[Código Tarea]],'[7]Formato 6 - Continuidad Negocio'!$B$8:$I$29,7,0)</f>
        <v>#N/A</v>
      </c>
      <c r="Q22" s="16" t="e">
        <f>VLOOKUP(Contacts8[[#This Row],[Código Tarea]],'[7]Formato 6 - Continuidad Negocio'!$B$8:$I$29,8,0)</f>
        <v>#N/A</v>
      </c>
      <c r="R22" s="46" t="str">
        <f>VLOOKUP(Contacts8[[#This Row],[Código Tarea]],'[7]4. Directorio Integrado'!$I$4:$M$245,5,0)</f>
        <v>SARO</v>
      </c>
    </row>
    <row r="23" spans="3:18" ht="29" x14ac:dyDescent="0.35">
      <c r="C23" s="12">
        <f>VLOOKUP(Contacts8[[#This Row],[Código Tarea]],'[7]4. Directorio Integrado'!$B$4:$N$245,2,0)</f>
        <v>6</v>
      </c>
      <c r="D23" s="12" t="str">
        <f>VLOOKUP(Contacts8[[#This Row],[Código Tarea]],'[7]4. Directorio Integrado'!$B$4:$N$245,3,0)</f>
        <v>Continuidad de Negocio</v>
      </c>
      <c r="E23" s="12" t="str">
        <f>VLOOKUP(Contacts8[[#This Row],[Código Tarea]],'[7]4. Directorio Integrado'!$B$4:$N$245,4,0)</f>
        <v>6.2</v>
      </c>
      <c r="F23" s="12" t="str">
        <f>VLOOKUP(Contacts8[[#This Row],[Código Tarea]],'[7]4. Directorio Integrado'!$B$4:$N$245,5,0)</f>
        <v>Riesgo Operacional</v>
      </c>
      <c r="G23" s="12" t="str">
        <f>VLOOKUP(Contacts8[[#This Row],[Código Tarea]],'[7]4. Directorio Integrado'!$B$4:$N$245,6,0)</f>
        <v>6.2.1</v>
      </c>
      <c r="H23" s="12" t="str">
        <f>VLOOKUP(Contacts8[[#This Row],[Código Tarea]],'[7]4. Directorio Integrado'!$B$4:$N$245,7,0)</f>
        <v>Testing Controles</v>
      </c>
      <c r="I23" s="16" t="s">
        <v>39</v>
      </c>
      <c r="J23" s="13" t="str">
        <f>IFERROR((VLOOKUP(Contacts8[[#This Row],[Código Tarea]],'[7]4. Directorio Integrado'!I$4:J$1048576,2,0)),"")</f>
        <v>Testeo Control: C1116
Proceso: Evaluación de Solicitudes de Microcrédito</v>
      </c>
      <c r="K23" s="14" t="str">
        <f>IFERROR((VLOOKUP(Contacts8[[#This Row],[Código Tarea]],'[7]4. Directorio Integrado'!I$4:K$1048576,3,0)),"")</f>
        <v>Presencial</v>
      </c>
      <c r="L23" s="16" t="e">
        <f>VLOOKUP(Contacts8[[#This Row],[Código Tarea]],'[7]Formato 6 - Continuidad Negocio'!$B$8:$I$29,3,0)</f>
        <v>#N/A</v>
      </c>
      <c r="M23" s="16" t="e">
        <f>VLOOKUP(Contacts8[[#This Row],[Código Tarea]],'[7]Formato 6 - Continuidad Negocio'!$B$8:$I$29,4,0)</f>
        <v>#N/A</v>
      </c>
      <c r="N23" s="16" t="e">
        <f>VLOOKUP(Contacts8[[#This Row],[Código Tarea]],'[7]Formato 6 - Continuidad Negocio'!$B$8:$I$29,5,0)</f>
        <v>#N/A</v>
      </c>
      <c r="O23" s="16" t="e">
        <f>VLOOKUP(Contacts8[[#This Row],[Código Tarea]],'[7]Formato 6 - Continuidad Negocio'!$B$8:$I$29,6,0)</f>
        <v>#N/A</v>
      </c>
      <c r="P23" s="16" t="e">
        <f>VLOOKUP(Contacts8[[#This Row],[Código Tarea]],'[7]Formato 6 - Continuidad Negocio'!$B$8:$I$29,7,0)</f>
        <v>#N/A</v>
      </c>
      <c r="Q23" s="16" t="e">
        <f>VLOOKUP(Contacts8[[#This Row],[Código Tarea]],'[7]Formato 6 - Continuidad Negocio'!$B$8:$I$29,8,0)</f>
        <v>#N/A</v>
      </c>
      <c r="R23" s="46" t="str">
        <f>VLOOKUP(Contacts8[[#This Row],[Código Tarea]],'[7]4. Directorio Integrado'!$I$4:$M$245,5,0)</f>
        <v>SARO</v>
      </c>
    </row>
    <row r="24" spans="3:18" ht="29" x14ac:dyDescent="0.35">
      <c r="C24" s="12">
        <f>VLOOKUP(Contacts8[[#This Row],[Código Tarea]],'[7]4. Directorio Integrado'!$B$4:$N$245,2,0)</f>
        <v>6</v>
      </c>
      <c r="D24" s="12" t="str">
        <f>VLOOKUP(Contacts8[[#This Row],[Código Tarea]],'[7]4. Directorio Integrado'!$B$4:$N$245,3,0)</f>
        <v>Continuidad de Negocio</v>
      </c>
      <c r="E24" s="12" t="str">
        <f>VLOOKUP(Contacts8[[#This Row],[Código Tarea]],'[7]4. Directorio Integrado'!$B$4:$N$245,4,0)</f>
        <v>6.2</v>
      </c>
      <c r="F24" s="12" t="str">
        <f>VLOOKUP(Contacts8[[#This Row],[Código Tarea]],'[7]4. Directorio Integrado'!$B$4:$N$245,5,0)</f>
        <v>Riesgo Operacional</v>
      </c>
      <c r="G24" s="12" t="str">
        <f>VLOOKUP(Contacts8[[#This Row],[Código Tarea]],'[7]4. Directorio Integrado'!$B$4:$N$245,6,0)</f>
        <v>6.2.1</v>
      </c>
      <c r="H24" s="12" t="str">
        <f>VLOOKUP(Contacts8[[#This Row],[Código Tarea]],'[7]4. Directorio Integrado'!$B$4:$N$245,7,0)</f>
        <v>Testing Controles</v>
      </c>
      <c r="I24" s="16" t="s">
        <v>40</v>
      </c>
      <c r="J24" s="13" t="str">
        <f>IFERROR((VLOOKUP(Contacts8[[#This Row],[Código Tarea]],'[7]4. Directorio Integrado'!I$4:J$1048576,2,0)),"")</f>
        <v>Testeo Control: C172
Proceso: Desembolso de Microcréditos</v>
      </c>
      <c r="K24" s="14" t="str">
        <f>IFERROR((VLOOKUP(Contacts8[[#This Row],[Código Tarea]],'[7]4. Directorio Integrado'!I$4:K$1048576,3,0)),"")</f>
        <v>Presencial</v>
      </c>
      <c r="L24" s="16" t="e">
        <f>VLOOKUP(Contacts8[[#This Row],[Código Tarea]],'[7]Formato 6 - Continuidad Negocio'!$B$8:$I$29,3,0)</f>
        <v>#N/A</v>
      </c>
      <c r="M24" s="16" t="e">
        <f>VLOOKUP(Contacts8[[#This Row],[Código Tarea]],'[7]Formato 6 - Continuidad Negocio'!$B$8:$I$29,4,0)</f>
        <v>#N/A</v>
      </c>
      <c r="N24" s="16" t="e">
        <f>VLOOKUP(Contacts8[[#This Row],[Código Tarea]],'[7]Formato 6 - Continuidad Negocio'!$B$8:$I$29,5,0)</f>
        <v>#N/A</v>
      </c>
      <c r="O24" s="16" t="e">
        <f>VLOOKUP(Contacts8[[#This Row],[Código Tarea]],'[7]Formato 6 - Continuidad Negocio'!$B$8:$I$29,6,0)</f>
        <v>#N/A</v>
      </c>
      <c r="P24" s="16" t="e">
        <f>VLOOKUP(Contacts8[[#This Row],[Código Tarea]],'[7]Formato 6 - Continuidad Negocio'!$B$8:$I$29,7,0)</f>
        <v>#N/A</v>
      </c>
      <c r="Q24" s="16" t="e">
        <f>VLOOKUP(Contacts8[[#This Row],[Código Tarea]],'[7]Formato 6 - Continuidad Negocio'!$B$8:$I$29,8,0)</f>
        <v>#N/A</v>
      </c>
      <c r="R24" s="46" t="str">
        <f>VLOOKUP(Contacts8[[#This Row],[Código Tarea]],'[7]4. Directorio Integrado'!$I$4:$M$245,5,0)</f>
        <v>SARO</v>
      </c>
    </row>
    <row r="25" spans="3:18" ht="29" x14ac:dyDescent="0.35">
      <c r="C25" s="12">
        <f>VLOOKUP(Contacts8[[#This Row],[Código Tarea]],'[7]4. Directorio Integrado'!$B$4:$N$245,2,0)</f>
        <v>6</v>
      </c>
      <c r="D25" s="12" t="str">
        <f>VLOOKUP(Contacts8[[#This Row],[Código Tarea]],'[7]4. Directorio Integrado'!$B$4:$N$245,3,0)</f>
        <v>Continuidad de Negocio</v>
      </c>
      <c r="E25" s="12" t="str">
        <f>VLOOKUP(Contacts8[[#This Row],[Código Tarea]],'[7]4. Directorio Integrado'!$B$4:$N$245,4,0)</f>
        <v>6.2</v>
      </c>
      <c r="F25" s="12" t="str">
        <f>VLOOKUP(Contacts8[[#This Row],[Código Tarea]],'[7]4. Directorio Integrado'!$B$4:$N$245,5,0)</f>
        <v>Riesgo Operacional</v>
      </c>
      <c r="G25" s="12" t="str">
        <f>VLOOKUP(Contacts8[[#This Row],[Código Tarea]],'[7]4. Directorio Integrado'!$B$4:$N$245,6,0)</f>
        <v>6.2.1</v>
      </c>
      <c r="H25" s="12" t="str">
        <f>VLOOKUP(Contacts8[[#This Row],[Código Tarea]],'[7]4. Directorio Integrado'!$B$4:$N$245,7,0)</f>
        <v>Testing Controles</v>
      </c>
      <c r="I25" s="16" t="s">
        <v>41</v>
      </c>
      <c r="J25" s="13" t="str">
        <f>IFERROR((VLOOKUP(Contacts8[[#This Row],[Código Tarea]],'[7]4. Directorio Integrado'!I$4:J$1048576,2,0)),"")</f>
        <v>Testeo Control: C484
Proceso: Cuadre de Caja</v>
      </c>
      <c r="K25" s="14" t="str">
        <f>IFERROR((VLOOKUP(Contacts8[[#This Row],[Código Tarea]],'[7]4. Directorio Integrado'!I$4:K$1048576,3,0)),"")</f>
        <v>Presencial</v>
      </c>
      <c r="L25" s="16" t="e">
        <f>VLOOKUP(Contacts8[[#This Row],[Código Tarea]],'[7]Formato 6 - Continuidad Negocio'!$B$8:$I$29,3,0)</f>
        <v>#N/A</v>
      </c>
      <c r="M25" s="16" t="e">
        <f>VLOOKUP(Contacts8[[#This Row],[Código Tarea]],'[7]Formato 6 - Continuidad Negocio'!$B$8:$I$29,4,0)</f>
        <v>#N/A</v>
      </c>
      <c r="N25" s="16" t="e">
        <f>VLOOKUP(Contacts8[[#This Row],[Código Tarea]],'[7]Formato 6 - Continuidad Negocio'!$B$8:$I$29,5,0)</f>
        <v>#N/A</v>
      </c>
      <c r="O25" s="16" t="e">
        <f>VLOOKUP(Contacts8[[#This Row],[Código Tarea]],'[7]Formato 6 - Continuidad Negocio'!$B$8:$I$29,6,0)</f>
        <v>#N/A</v>
      </c>
      <c r="P25" s="16" t="e">
        <f>VLOOKUP(Contacts8[[#This Row],[Código Tarea]],'[7]Formato 6 - Continuidad Negocio'!$B$8:$I$29,7,0)</f>
        <v>#N/A</v>
      </c>
      <c r="Q25" s="16" t="e">
        <f>VLOOKUP(Contacts8[[#This Row],[Código Tarea]],'[7]Formato 6 - Continuidad Negocio'!$B$8:$I$29,8,0)</f>
        <v>#N/A</v>
      </c>
      <c r="R25" s="46" t="str">
        <f>VLOOKUP(Contacts8[[#This Row],[Código Tarea]],'[7]4. Directorio Integrado'!$I$4:$M$245,5,0)</f>
        <v>SARO</v>
      </c>
    </row>
    <row r="26" spans="3:18" ht="43.5" x14ac:dyDescent="0.35">
      <c r="C26" s="12">
        <f>VLOOKUP(Contacts8[[#This Row],[Código Tarea]],'[7]4. Directorio Integrado'!$B$4:$N$245,2,0)</f>
        <v>6</v>
      </c>
      <c r="D26" s="12" t="str">
        <f>VLOOKUP(Contacts8[[#This Row],[Código Tarea]],'[7]4. Directorio Integrado'!$B$4:$N$245,3,0)</f>
        <v>Continuidad de Negocio</v>
      </c>
      <c r="E26" s="12" t="str">
        <f>VLOOKUP(Contacts8[[#This Row],[Código Tarea]],'[7]4. Directorio Integrado'!$B$4:$N$245,4,0)</f>
        <v>6.2</v>
      </c>
      <c r="F26" s="12" t="str">
        <f>VLOOKUP(Contacts8[[#This Row],[Código Tarea]],'[7]4. Directorio Integrado'!$B$4:$N$245,5,0)</f>
        <v>Riesgo Operacional</v>
      </c>
      <c r="G26" s="12" t="str">
        <f>VLOOKUP(Contacts8[[#This Row],[Código Tarea]],'[7]4. Directorio Integrado'!$B$4:$N$245,6,0)</f>
        <v>6.2.1</v>
      </c>
      <c r="H26" s="12" t="str">
        <f>VLOOKUP(Contacts8[[#This Row],[Código Tarea]],'[7]4. Directorio Integrado'!$B$4:$N$245,7,0)</f>
        <v>Testing Controles</v>
      </c>
      <c r="I26" s="16" t="s">
        <v>42</v>
      </c>
      <c r="J26" s="13" t="str">
        <f>IFERROR((VLOOKUP(Contacts8[[#This Row],[Código Tarea]],'[7]4. Directorio Integrado'!I$4:J$1048576,2,0)),"")</f>
        <v>Testeo Control: CN1643
Proceso: Retiros de Cuentas de Ahorros en Oficinas</v>
      </c>
      <c r="K26" s="14" t="str">
        <f>IFERROR((VLOOKUP(Contacts8[[#This Row],[Código Tarea]],'[7]4. Directorio Integrado'!I$4:K$1048576,3,0)),"")</f>
        <v>Presencial</v>
      </c>
      <c r="L26" s="16" t="e">
        <f>VLOOKUP(Contacts8[[#This Row],[Código Tarea]],'[7]Formato 6 - Continuidad Negocio'!$B$8:$I$29,3,0)</f>
        <v>#N/A</v>
      </c>
      <c r="M26" s="16" t="e">
        <f>VLOOKUP(Contacts8[[#This Row],[Código Tarea]],'[7]Formato 6 - Continuidad Negocio'!$B$8:$I$29,4,0)</f>
        <v>#N/A</v>
      </c>
      <c r="N26" s="16" t="e">
        <f>VLOOKUP(Contacts8[[#This Row],[Código Tarea]],'[7]Formato 6 - Continuidad Negocio'!$B$8:$I$29,5,0)</f>
        <v>#N/A</v>
      </c>
      <c r="O26" s="16" t="e">
        <f>VLOOKUP(Contacts8[[#This Row],[Código Tarea]],'[7]Formato 6 - Continuidad Negocio'!$B$8:$I$29,6,0)</f>
        <v>#N/A</v>
      </c>
      <c r="P26" s="16" t="e">
        <f>VLOOKUP(Contacts8[[#This Row],[Código Tarea]],'[7]Formato 6 - Continuidad Negocio'!$B$8:$I$29,7,0)</f>
        <v>#N/A</v>
      </c>
      <c r="Q26" s="16" t="e">
        <f>VLOOKUP(Contacts8[[#This Row],[Código Tarea]],'[7]Formato 6 - Continuidad Negocio'!$B$8:$I$29,8,0)</f>
        <v>#N/A</v>
      </c>
      <c r="R26" s="46" t="str">
        <f>VLOOKUP(Contacts8[[#This Row],[Código Tarea]],'[7]4. Directorio Integrado'!$I$4:$M$245,5,0)</f>
        <v>SARO</v>
      </c>
    </row>
  </sheetData>
  <autoFilter ref="A1:B2" xr:uid="{00000000-0009-0000-0000-00000B000000}"/>
  <mergeCells count="1">
    <mergeCell ref="J7:N7"/>
  </mergeCells>
  <conditionalFormatting sqref="L9:Q26">
    <cfRule type="containsText" dxfId="30" priority="10" stopIfTrue="1" operator="containsText" text="0">
      <formula>NOT(ISERROR(SEARCH("0",L9)))</formula>
    </cfRule>
  </conditionalFormatting>
  <conditionalFormatting sqref="L9:Q26">
    <cfRule type="containsText" dxfId="29" priority="9" operator="containsText" text="X">
      <formula>NOT(ISERROR(SEARCH("X",L9)))</formula>
    </cfRule>
  </conditionalFormatting>
  <conditionalFormatting sqref="Q10">
    <cfRule type="containsText" dxfId="28" priority="8" stopIfTrue="1" operator="containsText" text="0">
      <formula>NOT(ISERROR(SEARCH("0",Q10)))</formula>
    </cfRule>
  </conditionalFormatting>
  <conditionalFormatting sqref="L9">
    <cfRule type="containsText" dxfId="27" priority="7" stopIfTrue="1" operator="containsText" text="0">
      <formula>NOT(ISERROR(SEARCH("0",L9)))</formula>
    </cfRule>
  </conditionalFormatting>
  <conditionalFormatting sqref="Q9">
    <cfRule type="containsText" dxfId="26" priority="6" stopIfTrue="1" operator="containsText" text="0">
      <formula>NOT(ISERROR(SEARCH("0",Q9)))</formula>
    </cfRule>
  </conditionalFormatting>
  <conditionalFormatting sqref="M9">
    <cfRule type="containsText" dxfId="25" priority="5" stopIfTrue="1" operator="containsText" text="0">
      <formula>NOT(ISERROR(SEARCH("0",M9)))</formula>
    </cfRule>
  </conditionalFormatting>
  <conditionalFormatting sqref="N9">
    <cfRule type="containsText" dxfId="24" priority="4" stopIfTrue="1" operator="containsText" text="0">
      <formula>NOT(ISERROR(SEARCH("0",N9)))</formula>
    </cfRule>
  </conditionalFormatting>
  <conditionalFormatting sqref="O9">
    <cfRule type="containsText" dxfId="23" priority="3" stopIfTrue="1" operator="containsText" text="0">
      <formula>NOT(ISERROR(SEARCH("0",O9)))</formula>
    </cfRule>
  </conditionalFormatting>
  <conditionalFormatting sqref="P9">
    <cfRule type="containsText" dxfId="22" priority="2" stopIfTrue="1" operator="containsText" text="0">
      <formula>NOT(ISERROR(SEARCH("0",P9)))</formula>
    </cfRule>
  </conditionalFormatting>
  <conditionalFormatting sqref="Q9">
    <cfRule type="containsText" dxfId="21" priority="1" stopIfTrue="1" operator="containsText" text="0">
      <formula>NOT(ISERROR(SEARCH("0",Q9)))</formula>
    </cfRule>
  </conditionalFormatting>
  <dataValidations count="1">
    <dataValidation allowBlank="1" showInputMessage="1" promptTitle="Email Address" prompt="xxx@xxx.xxx" sqref="R9:R26" xr:uid="{A013FC54-8EC1-4219-A59D-705BCB35B523}"/>
  </dataValidations>
  <printOptions horizontalCentered="1"/>
  <pageMargins left="0.25" right="0.25" top="0.75" bottom="0.75" header="0.3" footer="0.3"/>
  <pageSetup scale="86" fitToHeight="0"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8</vt:i4>
      </vt:variant>
    </vt:vector>
  </HeadingPairs>
  <TitlesOfParts>
    <vt:vector size="14" baseType="lpstr">
      <vt:lpstr>SARO</vt:lpstr>
      <vt:lpstr>SGSI</vt:lpstr>
      <vt:lpstr>SAC</vt:lpstr>
      <vt:lpstr>SGSF</vt:lpstr>
      <vt:lpstr>SARLAFT</vt:lpstr>
      <vt:lpstr>PCN</vt:lpstr>
      <vt:lpstr>PCN!Área_de_impresión</vt:lpstr>
      <vt:lpstr>SAC!Área_de_impresión</vt:lpstr>
      <vt:lpstr>SARLAFT!Área_de_impresión</vt:lpstr>
      <vt:lpstr>SARO!Área_de_impresión</vt:lpstr>
      <vt:lpstr>SGSF!Área_de_impresión</vt:lpstr>
      <vt:lpstr>SGSI!Área_de_impresión</vt:lpstr>
      <vt:lpstr>PCN!Títulos_a_imprimir</vt:lpstr>
      <vt:lpstr>SARO!Títulos_a_imprimir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GUTIERREZ CRUZ</dc:creator>
  <cp:lastModifiedBy>GUILLERMO GUTIERREZ CRUZ</cp:lastModifiedBy>
  <dcterms:created xsi:type="dcterms:W3CDTF">2021-03-03T19:56:44Z</dcterms:created>
  <dcterms:modified xsi:type="dcterms:W3CDTF">2021-04-06T21:05:03Z</dcterms:modified>
</cp:coreProperties>
</file>