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xr:revisionPtr revIDLastSave="0" documentId="8_{A6D423F7-529A-45D8-AD52-BB2E52321FA4}" xr6:coauthVersionLast="47" xr6:coauthVersionMax="47" xr10:uidLastSave="{00000000-0000-0000-0000-000000000000}"/>
  <bookViews>
    <workbookView xWindow="-120" yWindow="-120" windowWidth="20730" windowHeight="11040" firstSheet="3" activeTab="3" xr2:uid="{E8692396-652E-4BE3-B003-7C694F68E45C}"/>
  </bookViews>
  <sheets>
    <sheet name="Simulador práctica 1" sheetId="1" r:id="rId1"/>
    <sheet name="Resultados 1" sheetId="2" r:id="rId2"/>
    <sheet name="Hoja1" sheetId="3" r:id="rId3"/>
    <sheet name="30-05-2024" sheetId="4" r:id="rId4"/>
    <sheet name="Final balance" sheetId="7" r:id="rId5"/>
    <sheet name="Final balance (día)" sheetId="9" r:id="rId6"/>
    <sheet name="Análisis economico" sheetId="6" r:id="rId7"/>
    <sheet name="Balance" sheetId="8" r:id="rId8"/>
    <sheet name="LAB" sheetId="5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E7" i="7"/>
  <c r="J27" i="7"/>
  <c r="J30" i="7"/>
  <c r="J29" i="7"/>
  <c r="J28" i="7"/>
  <c r="J26" i="7"/>
  <c r="J25" i="7"/>
  <c r="J24" i="7"/>
  <c r="I24" i="7"/>
  <c r="C28" i="6"/>
  <c r="AS16" i="6"/>
  <c r="AT16" i="6" s="1"/>
  <c r="AT17" i="6" s="1"/>
  <c r="AS17" i="6"/>
  <c r="AI5" i="6"/>
  <c r="AJ5" i="6"/>
  <c r="AL9" i="6"/>
  <c r="J5" i="4"/>
  <c r="J7" i="4"/>
  <c r="J15" i="4"/>
  <c r="J14" i="4"/>
  <c r="J19" i="7"/>
  <c r="J18" i="7"/>
  <c r="J2" i="7"/>
  <c r="J2" i="4"/>
  <c r="F21" i="4"/>
  <c r="B22" i="4"/>
  <c r="B21" i="4"/>
  <c r="B23" i="4"/>
  <c r="B12" i="4"/>
  <c r="B13" i="4"/>
  <c r="C5" i="4"/>
  <c r="C4" i="4"/>
  <c r="B16" i="4"/>
  <c r="B18" i="4" s="1"/>
  <c r="B13" i="8"/>
  <c r="B11" i="8"/>
  <c r="B12" i="8" s="1"/>
  <c r="L4" i="8"/>
  <c r="M7" i="8"/>
  <c r="L8" i="8"/>
  <c r="L7" i="8"/>
  <c r="L6" i="8"/>
  <c r="K5" i="8"/>
  <c r="K4" i="8"/>
  <c r="K6" i="8" s="1"/>
  <c r="J5" i="8"/>
  <c r="J9" i="7"/>
  <c r="J10" i="7" s="1"/>
  <c r="J7" i="7"/>
  <c r="L5" i="7"/>
  <c r="H6" i="8"/>
  <c r="M6" i="8" s="1"/>
  <c r="Q5" i="6"/>
  <c r="J5" i="9"/>
  <c r="J2" i="9"/>
  <c r="C3" i="9"/>
  <c r="F38" i="9"/>
  <c r="F39" i="9" s="1"/>
  <c r="F40" i="9" s="1"/>
  <c r="F41" i="9" s="1"/>
  <c r="F42" i="9" s="1"/>
  <c r="F43" i="9" s="1"/>
  <c r="F44" i="9" s="1"/>
  <c r="F45" i="9" s="1"/>
  <c r="F46" i="9" s="1"/>
  <c r="F37" i="9"/>
  <c r="E37" i="9"/>
  <c r="E38" i="9" s="1"/>
  <c r="F34" i="9"/>
  <c r="F30" i="9"/>
  <c r="B28" i="9"/>
  <c r="B29" i="9" s="1"/>
  <c r="B30" i="9" s="1"/>
  <c r="B31" i="9" s="1"/>
  <c r="B32" i="9" s="1"/>
  <c r="B33" i="9" s="1"/>
  <c r="B34" i="9" s="1"/>
  <c r="B35" i="9" s="1"/>
  <c r="B36" i="9" s="1"/>
  <c r="B37" i="9" s="1"/>
  <c r="B27" i="9"/>
  <c r="B25" i="9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F24" i="9"/>
  <c r="B16" i="9"/>
  <c r="B18" i="9" s="1"/>
  <c r="A8" i="9"/>
  <c r="J7" i="9"/>
  <c r="B3" i="9"/>
  <c r="D4" i="8"/>
  <c r="F4" i="8" s="1"/>
  <c r="H4" i="8" s="1"/>
  <c r="D3" i="8"/>
  <c r="G18" i="7"/>
  <c r="B4" i="8"/>
  <c r="F5" i="8" s="1"/>
  <c r="H5" i="8" s="1"/>
  <c r="B3" i="8"/>
  <c r="B9" i="7"/>
  <c r="B10" i="7"/>
  <c r="F3" i="8" l="1"/>
  <c r="M5" i="8"/>
  <c r="H3" i="8"/>
  <c r="F7" i="8"/>
  <c r="B5" i="9"/>
  <c r="C5" i="9" s="1"/>
  <c r="B4" i="9"/>
  <c r="C4" i="9" s="1"/>
  <c r="J9" i="9"/>
  <c r="J10" i="9" s="1"/>
  <c r="E39" i="9"/>
  <c r="E40" i="9" s="1"/>
  <c r="E41" i="9" s="1"/>
  <c r="E42" i="9" s="1"/>
  <c r="E43" i="9" s="1"/>
  <c r="E44" i="9" s="1"/>
  <c r="E45" i="9" s="1"/>
  <c r="E46" i="9" s="1"/>
  <c r="B20" i="9"/>
  <c r="D3" i="9"/>
  <c r="D5" i="8"/>
  <c r="B5" i="8"/>
  <c r="H8" i="8" l="1"/>
  <c r="M4" i="8"/>
  <c r="M8" i="8" s="1"/>
  <c r="J11" i="9"/>
  <c r="K12" i="9" s="1"/>
  <c r="D4" i="9"/>
  <c r="G16" i="9"/>
  <c r="D5" i="9"/>
  <c r="B8" i="9"/>
  <c r="B12" i="9" l="1"/>
  <c r="B9" i="9"/>
  <c r="B10" i="9" s="1"/>
  <c r="B13" i="9" s="1"/>
  <c r="G17" i="9"/>
  <c r="G18" i="9" s="1"/>
  <c r="F21" i="9" s="1"/>
  <c r="F22" i="9" s="1"/>
  <c r="F25" i="9" s="1"/>
  <c r="J12" i="9"/>
  <c r="F27" i="9" l="1"/>
  <c r="F28" i="9"/>
  <c r="C13" i="9"/>
  <c r="D13" i="9" s="1"/>
  <c r="B21" i="9"/>
  <c r="B22" i="9"/>
  <c r="C12" i="9"/>
  <c r="D12" i="9" s="1"/>
  <c r="B14" i="9"/>
  <c r="C14" i="9" s="1"/>
  <c r="D14" i="9" s="1"/>
  <c r="B23" i="9" l="1"/>
  <c r="D21" i="9" s="1"/>
  <c r="F31" i="9"/>
  <c r="F32" i="9" s="1"/>
  <c r="F29" i="9"/>
  <c r="D22" i="9" l="1"/>
  <c r="D25" i="9" s="1"/>
  <c r="D27" i="9" l="1"/>
  <c r="D28" i="9"/>
  <c r="D29" i="9" l="1"/>
  <c r="D31" i="9"/>
  <c r="D32" i="9" s="1"/>
  <c r="C3" i="7" l="1"/>
  <c r="AD4" i="6"/>
  <c r="AA4" i="6"/>
  <c r="AA5" i="6" s="1"/>
  <c r="AA6" i="6" s="1"/>
  <c r="AA7" i="6" s="1"/>
  <c r="AA8" i="6" s="1"/>
  <c r="AA9" i="6" s="1"/>
  <c r="AA10" i="6" s="1"/>
  <c r="AA11" i="6" s="1"/>
  <c r="AA12" i="6" s="1"/>
  <c r="AA13" i="6" s="1"/>
  <c r="AA14" i="6" s="1"/>
  <c r="AA15" i="6" s="1"/>
  <c r="C31" i="6"/>
  <c r="Q6" i="6"/>
  <c r="AR5" i="6"/>
  <c r="AZ4" i="6"/>
  <c r="K5" i="6"/>
  <c r="K6" i="6" s="1"/>
  <c r="K7" i="6" s="1"/>
  <c r="K8" i="6" s="1"/>
  <c r="K9" i="6" s="1"/>
  <c r="K10" i="6" s="1"/>
  <c r="K11" i="6" s="1"/>
  <c r="K12" i="6" s="1"/>
  <c r="K13" i="6" s="1"/>
  <c r="K14" i="6" s="1"/>
  <c r="K15" i="6" s="1"/>
  <c r="I5" i="6"/>
  <c r="N5" i="6" s="1"/>
  <c r="B13" i="7"/>
  <c r="B12" i="7"/>
  <c r="F4" i="6"/>
  <c r="F5" i="6" s="1"/>
  <c r="C29" i="6" l="1"/>
  <c r="C30" i="6" s="1"/>
  <c r="Q7" i="6"/>
  <c r="C32" i="6" l="1"/>
  <c r="BA4" i="6" s="1"/>
  <c r="Q8" i="6"/>
  <c r="Q9" i="6" l="1"/>
  <c r="Q10" i="6" l="1"/>
  <c r="Q11" i="6" l="1"/>
  <c r="Q12" i="6" l="1"/>
  <c r="Q13" i="6" l="1"/>
  <c r="Q14" i="6" l="1"/>
  <c r="Q15" i="6" l="1"/>
  <c r="C5" i="7" l="1"/>
  <c r="C4" i="7"/>
  <c r="C12" i="7"/>
  <c r="F30" i="7"/>
  <c r="F24" i="7"/>
  <c r="B16" i="7"/>
  <c r="B20" i="7"/>
  <c r="B18" i="7"/>
  <c r="B3" i="7"/>
  <c r="F39" i="7"/>
  <c r="F40" i="7" s="1"/>
  <c r="F41" i="7" s="1"/>
  <c r="F42" i="7" s="1"/>
  <c r="F43" i="7" s="1"/>
  <c r="F44" i="7" s="1"/>
  <c r="F45" i="7" s="1"/>
  <c r="F46" i="7" s="1"/>
  <c r="F38" i="7"/>
  <c r="F37" i="7"/>
  <c r="F34" i="7"/>
  <c r="E37" i="7" s="1"/>
  <c r="E38" i="7" s="1"/>
  <c r="E39" i="7" s="1"/>
  <c r="E40" i="7" s="1"/>
  <c r="E41" i="7" s="1"/>
  <c r="E42" i="7" s="1"/>
  <c r="E43" i="7" s="1"/>
  <c r="E44" i="7" s="1"/>
  <c r="E45" i="7" s="1"/>
  <c r="E46" i="7" s="1"/>
  <c r="B27" i="7"/>
  <c r="B28" i="7" s="1"/>
  <c r="B25" i="7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G16" i="7"/>
  <c r="B8" i="7"/>
  <c r="A8" i="7"/>
  <c r="B39" i="6"/>
  <c r="B38" i="6"/>
  <c r="B37" i="6"/>
  <c r="B36" i="6"/>
  <c r="B35" i="6"/>
  <c r="B28" i="6"/>
  <c r="B19" i="6"/>
  <c r="B10" i="6"/>
  <c r="B9" i="6"/>
  <c r="Y5" i="6" s="1"/>
  <c r="Z5" i="6" s="1"/>
  <c r="AR6" i="6"/>
  <c r="AR7" i="6" s="1"/>
  <c r="AR8" i="6" s="1"/>
  <c r="AR9" i="6" s="1"/>
  <c r="AR10" i="6" s="1"/>
  <c r="AR11" i="6" s="1"/>
  <c r="AR12" i="6" s="1"/>
  <c r="AR13" i="6" s="1"/>
  <c r="AR14" i="6" s="1"/>
  <c r="AR15" i="6" s="1"/>
  <c r="D5" i="6"/>
  <c r="AZ5" i="6" s="1"/>
  <c r="W6" i="6"/>
  <c r="W7" i="6" s="1"/>
  <c r="W8" i="6" s="1"/>
  <c r="W9" i="6" s="1"/>
  <c r="W10" i="6" s="1"/>
  <c r="W11" i="6" s="1"/>
  <c r="W12" i="6" s="1"/>
  <c r="W13" i="6" s="1"/>
  <c r="W14" i="6" s="1"/>
  <c r="W15" i="6" s="1"/>
  <c r="T5" i="6"/>
  <c r="T6" i="6" s="1"/>
  <c r="T7" i="6" s="1"/>
  <c r="T8" i="6" s="1"/>
  <c r="T9" i="6" s="1"/>
  <c r="T10" i="6" s="1"/>
  <c r="T11" i="6" s="1"/>
  <c r="T12" i="6" s="1"/>
  <c r="T13" i="6" s="1"/>
  <c r="T14" i="6" s="1"/>
  <c r="T15" i="6" s="1"/>
  <c r="O5" i="6"/>
  <c r="J5" i="6"/>
  <c r="F38" i="5"/>
  <c r="F39" i="5" s="1"/>
  <c r="F40" i="5" s="1"/>
  <c r="F41" i="5" s="1"/>
  <c r="F42" i="5" s="1"/>
  <c r="F43" i="5" s="1"/>
  <c r="F44" i="5" s="1"/>
  <c r="F45" i="5" s="1"/>
  <c r="F46" i="5" s="1"/>
  <c r="F37" i="5"/>
  <c r="F34" i="5"/>
  <c r="E37" i="5" s="1"/>
  <c r="B28" i="5"/>
  <c r="B29" i="5" s="1"/>
  <c r="B30" i="5" s="1"/>
  <c r="B31" i="5" s="1"/>
  <c r="B32" i="5" s="1"/>
  <c r="B33" i="5" s="1"/>
  <c r="B34" i="5" s="1"/>
  <c r="B35" i="5" s="1"/>
  <c r="B36" i="5" s="1"/>
  <c r="B37" i="5" s="1"/>
  <c r="A28" i="5"/>
  <c r="A29" i="5" s="1"/>
  <c r="A30" i="5" s="1"/>
  <c r="A31" i="5" s="1"/>
  <c r="A32" i="5" s="1"/>
  <c r="A33" i="5" s="1"/>
  <c r="A34" i="5" s="1"/>
  <c r="A35" i="5" s="1"/>
  <c r="A36" i="5" s="1"/>
  <c r="A37" i="5" s="1"/>
  <c r="B27" i="5"/>
  <c r="B25" i="5"/>
  <c r="B18" i="5"/>
  <c r="B20" i="5" s="1"/>
  <c r="G16" i="5"/>
  <c r="G17" i="5" s="1"/>
  <c r="G18" i="5" s="1"/>
  <c r="F21" i="5" s="1"/>
  <c r="F22" i="5" s="1"/>
  <c r="F25" i="5" s="1"/>
  <c r="B16" i="5"/>
  <c r="C14" i="5"/>
  <c r="D12" i="5"/>
  <c r="B12" i="5"/>
  <c r="B9" i="5"/>
  <c r="B10" i="5" s="1"/>
  <c r="B13" i="5" s="1"/>
  <c r="B8" i="5"/>
  <c r="A8" i="5"/>
  <c r="J7" i="5"/>
  <c r="J6" i="5"/>
  <c r="C3" i="5"/>
  <c r="F37" i="4"/>
  <c r="F38" i="4" s="1"/>
  <c r="F39" i="4" s="1"/>
  <c r="F40" i="4" s="1"/>
  <c r="F41" i="4" s="1"/>
  <c r="F42" i="4" s="1"/>
  <c r="F43" i="4" s="1"/>
  <c r="F44" i="4" s="1"/>
  <c r="F45" i="4" s="1"/>
  <c r="F46" i="4" s="1"/>
  <c r="F34" i="4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B27" i="4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25" i="4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B20" i="4"/>
  <c r="C14" i="4"/>
  <c r="B8" i="4"/>
  <c r="B9" i="4" s="1"/>
  <c r="B10" i="4" s="1"/>
  <c r="A8" i="4"/>
  <c r="J9" i="4"/>
  <c r="B8" i="3"/>
  <c r="B9" i="3" s="1"/>
  <c r="G16" i="3"/>
  <c r="G17" i="3" s="1"/>
  <c r="B20" i="3"/>
  <c r="B16" i="3"/>
  <c r="M5" i="6" l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J6" i="6"/>
  <c r="J7" i="6" s="1"/>
  <c r="J8" i="6" s="1"/>
  <c r="J9" i="6" s="1"/>
  <c r="J10" i="6" s="1"/>
  <c r="J11" i="6" s="1"/>
  <c r="J12" i="6" s="1"/>
  <c r="J13" i="6" s="1"/>
  <c r="J14" i="6" s="1"/>
  <c r="J15" i="6" s="1"/>
  <c r="O6" i="6"/>
  <c r="O7" i="6" s="1"/>
  <c r="O8" i="6" s="1"/>
  <c r="O9" i="6" s="1"/>
  <c r="O10" i="6" s="1"/>
  <c r="O11" i="6" s="1"/>
  <c r="O12" i="6" s="1"/>
  <c r="O13" i="6" s="1"/>
  <c r="O14" i="6" s="1"/>
  <c r="O15" i="6" s="1"/>
  <c r="P5" i="6"/>
  <c r="G17" i="7"/>
  <c r="F21" i="7" s="1"/>
  <c r="B29" i="7"/>
  <c r="B30" i="7" s="1"/>
  <c r="B31" i="7" s="1"/>
  <c r="B32" i="7" s="1"/>
  <c r="B33" i="7" s="1"/>
  <c r="B34" i="7" s="1"/>
  <c r="B35" i="7" s="1"/>
  <c r="B36" i="7" s="1"/>
  <c r="B37" i="7" s="1"/>
  <c r="D12" i="7"/>
  <c r="B4" i="7"/>
  <c r="D4" i="7" s="1"/>
  <c r="D3" i="7"/>
  <c r="B5" i="7"/>
  <c r="D5" i="7" s="1"/>
  <c r="Y6" i="6"/>
  <c r="Z6" i="6" s="1"/>
  <c r="F6" i="6"/>
  <c r="D6" i="6"/>
  <c r="B14" i="5"/>
  <c r="D14" i="5" s="1"/>
  <c r="B21" i="5"/>
  <c r="D13" i="5"/>
  <c r="E38" i="5"/>
  <c r="E39" i="5" s="1"/>
  <c r="E40" i="5" s="1"/>
  <c r="E41" i="5" s="1"/>
  <c r="E42" i="5" s="1"/>
  <c r="E43" i="5" s="1"/>
  <c r="E44" i="5" s="1"/>
  <c r="E45" i="5" s="1"/>
  <c r="E46" i="5" s="1"/>
  <c r="F27" i="5"/>
  <c r="F28" i="5"/>
  <c r="B3" i="5"/>
  <c r="D12" i="4"/>
  <c r="C3" i="3"/>
  <c r="F37" i="3"/>
  <c r="F38" i="3" s="1"/>
  <c r="F39" i="3" s="1"/>
  <c r="F40" i="3" s="1"/>
  <c r="F41" i="3" s="1"/>
  <c r="F42" i="3" s="1"/>
  <c r="F43" i="3" s="1"/>
  <c r="F44" i="3" s="1"/>
  <c r="F45" i="3" s="1"/>
  <c r="F46" i="3" s="1"/>
  <c r="F34" i="3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B27" i="3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25" i="3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B18" i="3"/>
  <c r="C14" i="3"/>
  <c r="B10" i="3"/>
  <c r="A8" i="3"/>
  <c r="J7" i="3"/>
  <c r="J6" i="3"/>
  <c r="G17" i="2"/>
  <c r="J10" i="2"/>
  <c r="J9" i="2"/>
  <c r="F38" i="2"/>
  <c r="F39" i="2" s="1"/>
  <c r="F40" i="2" s="1"/>
  <c r="F41" i="2" s="1"/>
  <c r="F42" i="2" s="1"/>
  <c r="F43" i="2" s="1"/>
  <c r="F44" i="2" s="1"/>
  <c r="F45" i="2" s="1"/>
  <c r="F46" i="2" s="1"/>
  <c r="F37" i="2"/>
  <c r="B20" i="2"/>
  <c r="J7" i="2"/>
  <c r="E38" i="2"/>
  <c r="E39" i="2" s="1"/>
  <c r="E40" i="2" s="1"/>
  <c r="E41" i="2" s="1"/>
  <c r="E42" i="2" s="1"/>
  <c r="E43" i="2" s="1"/>
  <c r="E44" i="2" s="1"/>
  <c r="E45" i="2" s="1"/>
  <c r="E46" i="2" s="1"/>
  <c r="E37" i="2"/>
  <c r="F34" i="2"/>
  <c r="J6" i="2"/>
  <c r="B29" i="2"/>
  <c r="B30" i="2" s="1"/>
  <c r="B31" i="2" s="1"/>
  <c r="B32" i="2" s="1"/>
  <c r="B33" i="2" s="1"/>
  <c r="B34" i="2" s="1"/>
  <c r="B35" i="2" s="1"/>
  <c r="B36" i="2" s="1"/>
  <c r="B37" i="2" s="1"/>
  <c r="B28" i="2"/>
  <c r="B25" i="2"/>
  <c r="G16" i="2"/>
  <c r="D14" i="2"/>
  <c r="B13" i="2"/>
  <c r="B12" i="2"/>
  <c r="C14" i="2"/>
  <c r="B14" i="2"/>
  <c r="B3" i="2"/>
  <c r="D3" i="2" s="1"/>
  <c r="B27" i="2"/>
  <c r="A28" i="2"/>
  <c r="A29" i="2" s="1"/>
  <c r="A30" i="2" s="1"/>
  <c r="A31" i="2" s="1"/>
  <c r="A32" i="2" s="1"/>
  <c r="A33" i="2" s="1"/>
  <c r="A34" i="2" s="1"/>
  <c r="A35" i="2" s="1"/>
  <c r="A36" i="2" s="1"/>
  <c r="A37" i="2" s="1"/>
  <c r="B16" i="2"/>
  <c r="B18" i="2" s="1"/>
  <c r="B8" i="2"/>
  <c r="A8" i="2"/>
  <c r="J4" i="1"/>
  <c r="J3" i="1"/>
  <c r="J7" i="1" s="1"/>
  <c r="D20" i="1"/>
  <c r="D21" i="1"/>
  <c r="D24" i="1" s="1"/>
  <c r="G5" i="1"/>
  <c r="B10" i="1"/>
  <c r="G4" i="1"/>
  <c r="G3" i="1"/>
  <c r="B5" i="1"/>
  <c r="D13" i="1"/>
  <c r="D12" i="1"/>
  <c r="B15" i="1"/>
  <c r="B17" i="1" s="1"/>
  <c r="B13" i="1"/>
  <c r="B12" i="1"/>
  <c r="B8" i="1"/>
  <c r="B3" i="1"/>
  <c r="D3" i="1" s="1"/>
  <c r="B27" i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26" i="1"/>
  <c r="B24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8" i="1"/>
  <c r="B14" i="4" l="1"/>
  <c r="D14" i="4" s="1"/>
  <c r="R5" i="6"/>
  <c r="D7" i="6"/>
  <c r="AZ6" i="6"/>
  <c r="AI6" i="6"/>
  <c r="AI7" i="6" s="1"/>
  <c r="AI8" i="6" s="1"/>
  <c r="AI9" i="6" s="1"/>
  <c r="AI10" i="6" s="1"/>
  <c r="AI11" i="6" s="1"/>
  <c r="AI12" i="6" s="1"/>
  <c r="AI13" i="6" s="1"/>
  <c r="AI14" i="6" s="1"/>
  <c r="AI15" i="6" s="1"/>
  <c r="Y7" i="6"/>
  <c r="Z7" i="6" s="1"/>
  <c r="F22" i="7"/>
  <c r="F25" i="7" s="1"/>
  <c r="F27" i="7"/>
  <c r="F28" i="7"/>
  <c r="F29" i="7" s="1"/>
  <c r="B3" i="3"/>
  <c r="B4" i="3" s="1"/>
  <c r="D4" i="3" s="1"/>
  <c r="F7" i="6"/>
  <c r="B5" i="5"/>
  <c r="D5" i="5" s="1"/>
  <c r="B4" i="5"/>
  <c r="D4" i="5" s="1"/>
  <c r="D3" i="5"/>
  <c r="J9" i="5"/>
  <c r="J10" i="5" s="1"/>
  <c r="F29" i="5"/>
  <c r="F31" i="5"/>
  <c r="F32" i="5" s="1"/>
  <c r="B22" i="5"/>
  <c r="B23" i="5" s="1"/>
  <c r="D21" i="5" s="1"/>
  <c r="D22" i="5" s="1"/>
  <c r="D25" i="5" s="1"/>
  <c r="D21" i="4"/>
  <c r="D22" i="4" s="1"/>
  <c r="D25" i="4" s="1"/>
  <c r="D13" i="4"/>
  <c r="J10" i="4"/>
  <c r="B12" i="3"/>
  <c r="D12" i="3" s="1"/>
  <c r="J10" i="3"/>
  <c r="J11" i="3" s="1"/>
  <c r="D3" i="3"/>
  <c r="J11" i="2"/>
  <c r="B4" i="2"/>
  <c r="G18" i="2" s="1"/>
  <c r="B5" i="2"/>
  <c r="D5" i="2" s="1"/>
  <c r="D4" i="2"/>
  <c r="D12" i="2"/>
  <c r="B9" i="2"/>
  <c r="B10" i="2" s="1"/>
  <c r="J10" i="1"/>
  <c r="J9" i="1"/>
  <c r="D27" i="1"/>
  <c r="D26" i="1"/>
  <c r="B9" i="1"/>
  <c r="B4" i="1"/>
  <c r="D4" i="1"/>
  <c r="D5" i="1"/>
  <c r="B19" i="1"/>
  <c r="AJ6" i="6" l="1"/>
  <c r="AJ7" i="6" s="1"/>
  <c r="D8" i="6"/>
  <c r="AZ7" i="6"/>
  <c r="Y8" i="6"/>
  <c r="Z8" i="6" s="1"/>
  <c r="B21" i="7"/>
  <c r="B22" i="7"/>
  <c r="C13" i="7"/>
  <c r="F31" i="7"/>
  <c r="B14" i="7"/>
  <c r="D13" i="7"/>
  <c r="B5" i="3"/>
  <c r="D5" i="3" s="1"/>
  <c r="F8" i="6"/>
  <c r="D27" i="5"/>
  <c r="D28" i="5"/>
  <c r="J11" i="5"/>
  <c r="J12" i="5" s="1"/>
  <c r="D27" i="4"/>
  <c r="D28" i="4"/>
  <c r="J11" i="4"/>
  <c r="J12" i="4" s="1"/>
  <c r="B13" i="3"/>
  <c r="B14" i="3" s="1"/>
  <c r="D14" i="3" s="1"/>
  <c r="J12" i="3"/>
  <c r="G18" i="3"/>
  <c r="F21" i="3" s="1"/>
  <c r="F22" i="3" s="1"/>
  <c r="F25" i="3" s="1"/>
  <c r="J12" i="2"/>
  <c r="F21" i="2"/>
  <c r="F22" i="2" s="1"/>
  <c r="F25" i="2" s="1"/>
  <c r="B21" i="2"/>
  <c r="D13" i="2"/>
  <c r="J13" i="1"/>
  <c r="J14" i="1" s="1"/>
  <c r="J11" i="1"/>
  <c r="D28" i="1"/>
  <c r="D30" i="1"/>
  <c r="D31" i="1" s="1"/>
  <c r="B20" i="1"/>
  <c r="B21" i="1" s="1"/>
  <c r="B22" i="1" s="1"/>
  <c r="D9" i="6" l="1"/>
  <c r="AZ8" i="6"/>
  <c r="Y9" i="6"/>
  <c r="Y10" i="6" s="1"/>
  <c r="C14" i="7"/>
  <c r="D14" i="7" s="1"/>
  <c r="B23" i="7"/>
  <c r="D21" i="7" s="1"/>
  <c r="F32" i="7"/>
  <c r="D22" i="7"/>
  <c r="D25" i="7" s="1"/>
  <c r="F9" i="6"/>
  <c r="AJ8" i="6"/>
  <c r="D29" i="5"/>
  <c r="D31" i="5"/>
  <c r="D32" i="5" s="1"/>
  <c r="D29" i="4"/>
  <c r="D31" i="4"/>
  <c r="D32" i="4" s="1"/>
  <c r="B21" i="3"/>
  <c r="B22" i="3" s="1"/>
  <c r="B23" i="3" s="1"/>
  <c r="D21" i="3" s="1"/>
  <c r="D22" i="3" s="1"/>
  <c r="D25" i="3" s="1"/>
  <c r="D13" i="3"/>
  <c r="F27" i="3"/>
  <c r="F28" i="3"/>
  <c r="F27" i="2"/>
  <c r="F28" i="2"/>
  <c r="F31" i="2"/>
  <c r="F32" i="2" s="1"/>
  <c r="F29" i="2"/>
  <c r="B22" i="2"/>
  <c r="B23" i="2" s="1"/>
  <c r="D21" i="2" s="1"/>
  <c r="D22" i="2" s="1"/>
  <c r="D25" i="2" s="1"/>
  <c r="D10" i="6" l="1"/>
  <c r="AZ9" i="6"/>
  <c r="Z9" i="6"/>
  <c r="D28" i="7"/>
  <c r="D27" i="7"/>
  <c r="D29" i="7"/>
  <c r="D31" i="7"/>
  <c r="D28" i="3"/>
  <c r="D27" i="3"/>
  <c r="AJ9" i="6"/>
  <c r="Z10" i="6"/>
  <c r="Y11" i="6"/>
  <c r="F10" i="6"/>
  <c r="F29" i="3"/>
  <c r="F31" i="3"/>
  <c r="F32" i="3" s="1"/>
  <c r="D28" i="2"/>
  <c r="D27" i="2"/>
  <c r="D11" i="6" l="1"/>
  <c r="AZ10" i="6"/>
  <c r="D32" i="7"/>
  <c r="D29" i="3"/>
  <c r="D31" i="3"/>
  <c r="AJ10" i="6"/>
  <c r="F11" i="6"/>
  <c r="Z11" i="6"/>
  <c r="Y12" i="6"/>
  <c r="D32" i="3"/>
  <c r="D31" i="2"/>
  <c r="D32" i="2" s="1"/>
  <c r="D29" i="2"/>
  <c r="D12" i="6" l="1"/>
  <c r="AZ11" i="6"/>
  <c r="J11" i="7"/>
  <c r="AJ11" i="6"/>
  <c r="AK11" i="6" s="1"/>
  <c r="Y13" i="6"/>
  <c r="Z12" i="6"/>
  <c r="F12" i="6"/>
  <c r="K12" i="7" l="1"/>
  <c r="E5" i="6" s="1"/>
  <c r="B12" i="6" s="1"/>
  <c r="J12" i="7"/>
  <c r="D13" i="6"/>
  <c r="AZ12" i="6"/>
  <c r="F13" i="6"/>
  <c r="Z13" i="6"/>
  <c r="Y14" i="6"/>
  <c r="AJ12" i="6"/>
  <c r="AK12" i="6" s="1"/>
  <c r="D14" i="6" l="1"/>
  <c r="AZ13" i="6"/>
  <c r="F14" i="6"/>
  <c r="AJ13" i="6"/>
  <c r="AK13" i="6" s="1"/>
  <c r="Z14" i="6"/>
  <c r="Y15" i="6"/>
  <c r="D15" i="6" l="1"/>
  <c r="AZ14" i="6"/>
  <c r="F15" i="6"/>
  <c r="Z15" i="6"/>
  <c r="AJ14" i="6"/>
  <c r="AK14" i="6" s="1"/>
  <c r="AE5" i="6" l="1"/>
  <c r="AE6" i="6" s="1"/>
  <c r="AE7" i="6" s="1"/>
  <c r="AE8" i="6" s="1"/>
  <c r="AE9" i="6" s="1"/>
  <c r="AE10" i="6" s="1"/>
  <c r="AE11" i="6" s="1"/>
  <c r="AE12" i="6" s="1"/>
  <c r="AE13" i="6" s="1"/>
  <c r="AE14" i="6" s="1"/>
  <c r="AE15" i="6" s="1"/>
  <c r="AZ15" i="6"/>
  <c r="B31" i="6"/>
  <c r="AJ15" i="6"/>
  <c r="AK15" i="6" s="1"/>
  <c r="AZ16" i="6" l="1"/>
  <c r="AL4" i="6"/>
  <c r="AL5" i="6" s="1"/>
  <c r="AL6" i="6" s="1"/>
  <c r="AL7" i="6" s="1"/>
  <c r="AL8" i="6" s="1"/>
  <c r="AL10" i="6" s="1"/>
  <c r="AL11" i="6" s="1"/>
  <c r="AL12" i="6" s="1"/>
  <c r="AL13" i="6" s="1"/>
  <c r="AL14" i="6" s="1"/>
  <c r="AL15" i="6" s="1"/>
  <c r="AD5" i="6"/>
  <c r="AF5" i="6" s="1"/>
  <c r="AK9" i="6"/>
  <c r="AK10" i="6"/>
  <c r="AM14" i="6" l="1"/>
  <c r="AU14" i="6" s="1"/>
  <c r="AV14" i="6" s="1"/>
  <c r="AM10" i="6"/>
  <c r="AP10" i="6" s="1"/>
  <c r="AM15" i="6"/>
  <c r="AM11" i="6"/>
  <c r="AU11" i="6" s="1"/>
  <c r="AV11" i="6" s="1"/>
  <c r="AM9" i="6"/>
  <c r="AP9" i="6" s="1"/>
  <c r="AK5" i="6"/>
  <c r="AM5" i="6" s="1"/>
  <c r="AU5" i="6" s="1"/>
  <c r="AV5" i="6" s="1"/>
  <c r="AK8" i="6"/>
  <c r="AM8" i="6" s="1"/>
  <c r="AP8" i="6" s="1"/>
  <c r="AK6" i="6"/>
  <c r="AM6" i="6" s="1"/>
  <c r="AU6" i="6" s="1"/>
  <c r="AV6" i="6" s="1"/>
  <c r="AK7" i="6"/>
  <c r="AM7" i="6" s="1"/>
  <c r="AU7" i="6" s="1"/>
  <c r="AV7" i="6" s="1"/>
  <c r="B30" i="6"/>
  <c r="AM13" i="6"/>
  <c r="AP13" i="6" s="1"/>
  <c r="B29" i="6"/>
  <c r="AZ17" i="6"/>
  <c r="AM12" i="6"/>
  <c r="AP12" i="6" s="1"/>
  <c r="AD6" i="6"/>
  <c r="AD7" i="6" s="1"/>
  <c r="AP15" i="6" l="1"/>
  <c r="AU15" i="6"/>
  <c r="AU10" i="6"/>
  <c r="AV10" i="6" s="1"/>
  <c r="AV15" i="6"/>
  <c r="AF6" i="6"/>
  <c r="AU12" i="6"/>
  <c r="AV12" i="6" s="1"/>
  <c r="AP7" i="6"/>
  <c r="AU13" i="6"/>
  <c r="AV13" i="6" s="1"/>
  <c r="AP14" i="6"/>
  <c r="AU9" i="6"/>
  <c r="AV9" i="6" s="1"/>
  <c r="AP11" i="6"/>
  <c r="B32" i="6"/>
  <c r="AP5" i="6"/>
  <c r="AZ19" i="6"/>
  <c r="AZ18" i="6"/>
  <c r="AU8" i="6"/>
  <c r="AV8" i="6" s="1"/>
  <c r="AP6" i="6"/>
  <c r="AF7" i="6"/>
  <c r="AD8" i="6"/>
  <c r="AD9" i="6" l="1"/>
  <c r="AF8" i="6"/>
  <c r="AF9" i="6" l="1"/>
  <c r="AD10" i="6"/>
  <c r="AD11" i="6" l="1"/>
  <c r="AF10" i="6"/>
  <c r="AF11" i="6" l="1"/>
  <c r="AD12" i="6"/>
  <c r="AD13" i="6" l="1"/>
  <c r="AF12" i="6"/>
  <c r="AD14" i="6" l="1"/>
  <c r="AF13" i="6"/>
  <c r="AD15" i="6" l="1"/>
  <c r="AF14" i="6"/>
  <c r="AF15" i="6" l="1"/>
  <c r="I6" i="6" l="1"/>
  <c r="I7" i="6" l="1"/>
  <c r="M6" i="6"/>
  <c r="I8" i="6" l="1"/>
  <c r="M7" i="6"/>
  <c r="I9" i="6" l="1"/>
  <c r="M8" i="6"/>
  <c r="I10" i="6" l="1"/>
  <c r="M9" i="6"/>
  <c r="S5" i="6"/>
  <c r="G5" i="6"/>
  <c r="H5" i="6" s="1"/>
  <c r="E6" i="6"/>
  <c r="N6" i="6"/>
  <c r="S6" i="6" l="1"/>
  <c r="U5" i="6"/>
  <c r="N7" i="6"/>
  <c r="P6" i="6"/>
  <c r="R6" i="6" s="1"/>
  <c r="E7" i="6"/>
  <c r="G6" i="6"/>
  <c r="H6" i="6" s="1"/>
  <c r="I11" i="6"/>
  <c r="M10" i="6"/>
  <c r="E8" i="6" l="1"/>
  <c r="G7" i="6"/>
  <c r="H7" i="6" s="1"/>
  <c r="P7" i="6"/>
  <c r="R7" i="6" s="1"/>
  <c r="N8" i="6"/>
  <c r="M11" i="6"/>
  <c r="I12" i="6"/>
  <c r="U6" i="6"/>
  <c r="S7" i="6"/>
  <c r="I13" i="6" l="1"/>
  <c r="M12" i="6"/>
  <c r="P8" i="6"/>
  <c r="R8" i="6" s="1"/>
  <c r="N9" i="6"/>
  <c r="S8" i="6"/>
  <c r="U7" i="6"/>
  <c r="E9" i="6"/>
  <c r="G8" i="6"/>
  <c r="H8" i="6" s="1"/>
  <c r="N10" i="6" l="1"/>
  <c r="P9" i="6"/>
  <c r="R9" i="6" s="1"/>
  <c r="E10" i="6"/>
  <c r="G9" i="6"/>
  <c r="H9" i="6" s="1"/>
  <c r="S9" i="6"/>
  <c r="U8" i="6"/>
  <c r="M13" i="6"/>
  <c r="I14" i="6"/>
  <c r="U9" i="6" l="1"/>
  <c r="S10" i="6"/>
  <c r="I15" i="6"/>
  <c r="M14" i="6"/>
  <c r="E11" i="6"/>
  <c r="G10" i="6"/>
  <c r="H10" i="6" s="1"/>
  <c r="N11" i="6"/>
  <c r="P10" i="6"/>
  <c r="R10" i="6" s="1"/>
  <c r="M15" i="6" l="1"/>
  <c r="N12" i="6"/>
  <c r="P11" i="6"/>
  <c r="R11" i="6" s="1"/>
  <c r="S11" i="6"/>
  <c r="U10" i="6"/>
  <c r="X5" i="6"/>
  <c r="V6" i="6"/>
  <c r="E12" i="6"/>
  <c r="G11" i="6"/>
  <c r="H11" i="6" s="1"/>
  <c r="AB5" i="6" l="1"/>
  <c r="AC5" i="6" s="1"/>
  <c r="AG5" i="6" s="1"/>
  <c r="AH5" i="6" s="1"/>
  <c r="U11" i="6"/>
  <c r="S12" i="6"/>
  <c r="E13" i="6"/>
  <c r="G12" i="6"/>
  <c r="H12" i="6" s="1"/>
  <c r="V7" i="6"/>
  <c r="X6" i="6"/>
  <c r="AB6" i="6" s="1"/>
  <c r="P12" i="6"/>
  <c r="R12" i="6" s="1"/>
  <c r="N13" i="6"/>
  <c r="AN5" i="6" l="1"/>
  <c r="AO5" i="6" s="1"/>
  <c r="AQ5" i="6" s="1"/>
  <c r="BA5" i="6" s="1"/>
  <c r="AC6" i="6"/>
  <c r="AG6" i="6" s="1"/>
  <c r="AH6" i="6" s="1"/>
  <c r="AN6" i="6" s="1"/>
  <c r="AO6" i="6" s="1"/>
  <c r="AQ6" i="6" s="1"/>
  <c r="BA6" i="6" s="1"/>
  <c r="P13" i="6"/>
  <c r="R13" i="6" s="1"/>
  <c r="N14" i="6"/>
  <c r="S13" i="6"/>
  <c r="U12" i="6"/>
  <c r="V8" i="6"/>
  <c r="X7" i="6"/>
  <c r="AB7" i="6" s="1"/>
  <c r="E14" i="6"/>
  <c r="G13" i="6"/>
  <c r="H13" i="6" s="1"/>
  <c r="AS6" i="6" l="1"/>
  <c r="AS5" i="6"/>
  <c r="AT5" i="6" s="1"/>
  <c r="AC7" i="6"/>
  <c r="AG7" i="6" s="1"/>
  <c r="AH7" i="6" s="1"/>
  <c r="AN7" i="6" s="1"/>
  <c r="AO7" i="6" s="1"/>
  <c r="AQ7" i="6" s="1"/>
  <c r="BA7" i="6" s="1"/>
  <c r="U13" i="6"/>
  <c r="S14" i="6"/>
  <c r="E15" i="6"/>
  <c r="G14" i="6"/>
  <c r="H14" i="6" s="1"/>
  <c r="N15" i="6"/>
  <c r="P14" i="6"/>
  <c r="R14" i="6" s="1"/>
  <c r="V9" i="6"/>
  <c r="X8" i="6"/>
  <c r="AB8" i="6" s="1"/>
  <c r="AW5" i="6" l="1"/>
  <c r="AX5" i="6" s="1"/>
  <c r="AT6" i="6"/>
  <c r="AS7" i="6"/>
  <c r="AC8" i="6"/>
  <c r="AG8" i="6" s="1"/>
  <c r="AH8" i="6" s="1"/>
  <c r="AN8" i="6" s="1"/>
  <c r="AO8" i="6" s="1"/>
  <c r="AQ8" i="6" s="1"/>
  <c r="BA8" i="6" s="1"/>
  <c r="AW6" i="6"/>
  <c r="G15" i="6"/>
  <c r="H15" i="6" s="1"/>
  <c r="P15" i="6"/>
  <c r="R15" i="6" s="1"/>
  <c r="U14" i="6"/>
  <c r="S15" i="6"/>
  <c r="X9" i="6"/>
  <c r="AB9" i="6" s="1"/>
  <c r="V10" i="6"/>
  <c r="AS8" i="6" l="1"/>
  <c r="AC9" i="6"/>
  <c r="AG9" i="6" s="1"/>
  <c r="AH9" i="6" s="1"/>
  <c r="AN9" i="6" s="1"/>
  <c r="AO9" i="6" s="1"/>
  <c r="AQ9" i="6" s="1"/>
  <c r="BA9" i="6" s="1"/>
  <c r="AX6" i="6"/>
  <c r="AT7" i="6"/>
  <c r="AW7" i="6" s="1"/>
  <c r="X10" i="6"/>
  <c r="AB10" i="6" s="1"/>
  <c r="V11" i="6"/>
  <c r="U15" i="6"/>
  <c r="AX7" i="6" l="1"/>
  <c r="AS9" i="6"/>
  <c r="AC10" i="6"/>
  <c r="AG10" i="6" s="1"/>
  <c r="AH10" i="6" s="1"/>
  <c r="AN10" i="6" s="1"/>
  <c r="AO10" i="6" s="1"/>
  <c r="AQ10" i="6" s="1"/>
  <c r="BA10" i="6" s="1"/>
  <c r="AT8" i="6"/>
  <c r="AW8" i="6" s="1"/>
  <c r="X11" i="6"/>
  <c r="AB11" i="6" s="1"/>
  <c r="V12" i="6"/>
  <c r="AS10" i="6" l="1"/>
  <c r="AX8" i="6"/>
  <c r="AT9" i="6"/>
  <c r="AW9" i="6" s="1"/>
  <c r="AC11" i="6"/>
  <c r="AG11" i="6" s="1"/>
  <c r="AH11" i="6" s="1"/>
  <c r="AN11" i="6" s="1"/>
  <c r="AO11" i="6" s="1"/>
  <c r="AQ11" i="6" s="1"/>
  <c r="BA11" i="6" s="1"/>
  <c r="V13" i="6"/>
  <c r="X12" i="6"/>
  <c r="AB12" i="6" s="1"/>
  <c r="AX9" i="6" l="1"/>
  <c r="AS11" i="6"/>
  <c r="AC12" i="6"/>
  <c r="AG12" i="6" s="1"/>
  <c r="AH12" i="6" s="1"/>
  <c r="AN12" i="6" s="1"/>
  <c r="AO12" i="6" s="1"/>
  <c r="AQ12" i="6" s="1"/>
  <c r="BA12" i="6" s="1"/>
  <c r="AT10" i="6"/>
  <c r="V14" i="6"/>
  <c r="X13" i="6"/>
  <c r="AB13" i="6" s="1"/>
  <c r="AS12" i="6" l="1"/>
  <c r="AC13" i="6"/>
  <c r="AG13" i="6" s="1"/>
  <c r="AH13" i="6" s="1"/>
  <c r="AN13" i="6" s="1"/>
  <c r="AO13" i="6" s="1"/>
  <c r="AQ13" i="6" s="1"/>
  <c r="BA13" i="6" s="1"/>
  <c r="AT11" i="6"/>
  <c r="AW11" i="6" s="1"/>
  <c r="AW10" i="6"/>
  <c r="AX10" i="6" s="1"/>
  <c r="V15" i="6"/>
  <c r="X14" i="6"/>
  <c r="AB14" i="6" s="1"/>
  <c r="AX11" i="6" l="1"/>
  <c r="AS13" i="6"/>
  <c r="AC14" i="6"/>
  <c r="AG14" i="6" s="1"/>
  <c r="AH14" i="6" s="1"/>
  <c r="AN14" i="6" s="1"/>
  <c r="AO14" i="6" s="1"/>
  <c r="AQ14" i="6" s="1"/>
  <c r="BA14" i="6" s="1"/>
  <c r="AT12" i="6"/>
  <c r="AW12" i="6" s="1"/>
  <c r="X15" i="6"/>
  <c r="AB15" i="6" s="1"/>
  <c r="AX12" i="6" l="1"/>
  <c r="AS14" i="6"/>
  <c r="AC15" i="6"/>
  <c r="AG15" i="6" s="1"/>
  <c r="AH15" i="6" s="1"/>
  <c r="AN15" i="6" s="1"/>
  <c r="AO15" i="6" s="1"/>
  <c r="AQ15" i="6" s="1"/>
  <c r="BA15" i="6" s="1"/>
  <c r="BC7" i="6" s="1"/>
  <c r="AT13" i="6"/>
  <c r="AS15" i="6" l="1"/>
  <c r="AW13" i="6"/>
  <c r="AX13" i="6" s="1"/>
  <c r="AT14" i="6"/>
  <c r="BA16" i="6"/>
  <c r="AW14" i="6" l="1"/>
  <c r="AT15" i="6"/>
  <c r="AW15" i="6" s="1"/>
  <c r="AX14" i="6"/>
  <c r="BA17" i="6"/>
  <c r="AX15" i="6" l="1"/>
  <c r="BA19" i="6"/>
  <c r="BA18" i="6"/>
  <c r="B23" i="6" l="1"/>
  <c r="G16" i="4"/>
  <c r="B3" i="4"/>
  <c r="B4" i="4" s="1"/>
  <c r="D4" i="4" l="1"/>
  <c r="B5" i="4"/>
  <c r="D5" i="4" s="1"/>
  <c r="D3" i="4"/>
  <c r="G17" i="4"/>
  <c r="G18" i="4" s="1"/>
  <c r="F22" i="4" s="1"/>
  <c r="F25" i="4" s="1"/>
  <c r="F28" i="4" l="1"/>
  <c r="F27" i="4"/>
  <c r="F29" i="4" l="1"/>
  <c r="F31" i="4"/>
  <c r="F32" i="4" s="1"/>
</calcChain>
</file>

<file path=xl/sharedStrings.xml><?xml version="1.0" encoding="utf-8"?>
<sst xmlns="http://schemas.openxmlformats.org/spreadsheetml/2006/main" count="682" uniqueCount="192">
  <si>
    <t>Variables iniciales</t>
  </si>
  <si>
    <t>Densidad agua (g/ml)</t>
  </si>
  <si>
    <t>Cascara</t>
  </si>
  <si>
    <t>Estimación (teorica)</t>
  </si>
  <si>
    <t xml:space="preserve">Valores teoricos </t>
  </si>
  <si>
    <t>Valores reales</t>
  </si>
  <si>
    <t>Porcentaje diferencia</t>
  </si>
  <si>
    <t>Grados brix</t>
  </si>
  <si>
    <t>Cantidad de café en grano (g)</t>
  </si>
  <si>
    <t>Cascara (g)</t>
  </si>
  <si>
    <t>Masa mezcla (g)</t>
  </si>
  <si>
    <t>Agua adicional (ml)</t>
  </si>
  <si>
    <t>Cantidad de azucares fermentables (g)</t>
  </si>
  <si>
    <t>Grano con mucilago (g)</t>
  </si>
  <si>
    <t>Total (g)</t>
  </si>
  <si>
    <t xml:space="preserve">Porcentaje de fermentación </t>
  </si>
  <si>
    <t>Peso molecular glucosa (g/mol)</t>
  </si>
  <si>
    <t>Lavado de grano</t>
  </si>
  <si>
    <t>Moles azucares</t>
  </si>
  <si>
    <t xml:space="preserve">Tras reacción </t>
  </si>
  <si>
    <t>Agua utlizada (ml)</t>
  </si>
  <si>
    <t>Moles azucar</t>
  </si>
  <si>
    <t>Moles etanol</t>
  </si>
  <si>
    <t>Separación</t>
  </si>
  <si>
    <t>Reales</t>
  </si>
  <si>
    <t>Moles CO2</t>
  </si>
  <si>
    <t>Masa grano (g)</t>
  </si>
  <si>
    <t>Peso molecular etanol (g/mol)</t>
  </si>
  <si>
    <t>Masa líquido (g)</t>
  </si>
  <si>
    <t>Cantidad de etanol puro (g)</t>
  </si>
  <si>
    <t>Densidad mezcla líquida</t>
  </si>
  <si>
    <t>Cantidad etanol 70% (g)</t>
  </si>
  <si>
    <t>Masa muestra picnometro (g)</t>
  </si>
  <si>
    <t>Volumen picnometro (ml)</t>
  </si>
  <si>
    <t>Densidad líquido (g/ml)</t>
  </si>
  <si>
    <t>Composición del líquido (teorica)</t>
  </si>
  <si>
    <t>Porcentaje Mucilago (%m)</t>
  </si>
  <si>
    <t>Masa mucilago (g)</t>
  </si>
  <si>
    <t>Masa agua (g)</t>
  </si>
  <si>
    <t>Paso</t>
  </si>
  <si>
    <t>% mucilago</t>
  </si>
  <si>
    <t>Destilación</t>
  </si>
  <si>
    <t>Masa inicial (g)</t>
  </si>
  <si>
    <t>Rango de temperatura (°C)</t>
  </si>
  <si>
    <t>75-85</t>
  </si>
  <si>
    <t>Tiempo (h)</t>
  </si>
  <si>
    <t>Volumen destilado (ml)</t>
  </si>
  <si>
    <t>Densidad destilado (g/ml)</t>
  </si>
  <si>
    <t>Masa destilado (g)</t>
  </si>
  <si>
    <t>Porcentaje Agua (%m)</t>
  </si>
  <si>
    <t>Masa alcohol (g)</t>
  </si>
  <si>
    <t>Masa grano lavado (g)</t>
  </si>
  <si>
    <t>Estimación (teorica) a partir del lavado</t>
  </si>
  <si>
    <t>Estimación (teorica) a partir de la cascara</t>
  </si>
  <si>
    <t>Cantidad etanol 70% pureza (g)</t>
  </si>
  <si>
    <t>Densidad del destilado (g/ml)</t>
  </si>
  <si>
    <t>% etanol</t>
  </si>
  <si>
    <t>Porcentaje etanol (%m)</t>
  </si>
  <si>
    <t>@</t>
  </si>
  <si>
    <t>Masa inicial (kg)</t>
  </si>
  <si>
    <t>Cantidad de café en grano (kg)</t>
  </si>
  <si>
    <t>Cascara (kg)</t>
  </si>
  <si>
    <t>Grano con mucilago (kg)</t>
  </si>
  <si>
    <t>Volumen destilado (l)</t>
  </si>
  <si>
    <t>Densidad destilado (kg/l)</t>
  </si>
  <si>
    <t>Masa destilado (kg)</t>
  </si>
  <si>
    <t>Agua utlizada (l)</t>
  </si>
  <si>
    <t>Masa mezcla (kg)</t>
  </si>
  <si>
    <t>Masa alcohol (kg)</t>
  </si>
  <si>
    <t>Masa agua (kg)</t>
  </si>
  <si>
    <t>Masa grano lavado (kg)</t>
  </si>
  <si>
    <t>Total (kg)</t>
  </si>
  <si>
    <t>(L/AÑO)</t>
  </si>
  <si>
    <t>Masa líquido (kg)</t>
  </si>
  <si>
    <t>Etanol 70%</t>
  </si>
  <si>
    <t>Masa muestra picnometro (kg)</t>
  </si>
  <si>
    <t>Volumen picnometro (l)</t>
  </si>
  <si>
    <t>Agua adicional (l)</t>
  </si>
  <si>
    <t>Densidad líquido (kg/l)</t>
  </si>
  <si>
    <t>Masa mucilago (kg)</t>
  </si>
  <si>
    <t>Cantidad de azucares fermentables (kg)</t>
  </si>
  <si>
    <t>kg</t>
  </si>
  <si>
    <t>kg/kg</t>
  </si>
  <si>
    <t>l</t>
  </si>
  <si>
    <t>l/kg</t>
  </si>
  <si>
    <t>Cantidad de etanol puro (kg)</t>
  </si>
  <si>
    <t>Cantidad etanol 70% pureza (kg)</t>
  </si>
  <si>
    <t>(L/Día)</t>
  </si>
  <si>
    <t>Datos 2023</t>
  </si>
  <si>
    <t>Precio del dólar en COP</t>
  </si>
  <si>
    <t>e</t>
  </si>
  <si>
    <t>Inflación</t>
  </si>
  <si>
    <t>Año</t>
  </si>
  <si>
    <t>Producción alcohol (L/año)</t>
  </si>
  <si>
    <t>Precio litro de alcohol 95% (COP)</t>
  </si>
  <si>
    <t>Ingresos alcohol (COP/año)</t>
  </si>
  <si>
    <t>Total Ingresos (COP/año)</t>
  </si>
  <si>
    <t>Cantidad de mucilago (kg/año)</t>
  </si>
  <si>
    <t>Precio del mucilago de café (COP/kg)</t>
  </si>
  <si>
    <t>Cascara de café (kg/año)</t>
  </si>
  <si>
    <t>Precio de la cascara de café (COP/kg)</t>
  </si>
  <si>
    <t>Costos Mucilago (COP/año)</t>
  </si>
  <si>
    <t>Cantidad de Levadura (kg/año)</t>
  </si>
  <si>
    <t>Precio de levadura (COP/kg)</t>
  </si>
  <si>
    <t>Costos levadura (COP/año)</t>
  </si>
  <si>
    <t>Costos NAOH</t>
  </si>
  <si>
    <t>Total costos materia prima (COP/año)</t>
  </si>
  <si>
    <t xml:space="preserve">Cantidad de empaques al año </t>
  </si>
  <si>
    <t>Precio del empaque (COP/uni)</t>
  </si>
  <si>
    <t>Costos empaques (COP/año)</t>
  </si>
  <si>
    <t>Consumo de energia (kWh/año)</t>
  </si>
  <si>
    <t>Precio energía (COP/kWh)</t>
  </si>
  <si>
    <t>Costos electricidad (COP/año)</t>
  </si>
  <si>
    <t>Precio base del agua (COP/mes)</t>
  </si>
  <si>
    <t>Costos agua (COP/año)</t>
  </si>
  <si>
    <t>Precio anual arriendo (COP)</t>
  </si>
  <si>
    <t>Total costos servicios (COP/año)</t>
  </si>
  <si>
    <t>Total costos unitarios (COP/año)</t>
  </si>
  <si>
    <t>Mantenimiento (COP/año)</t>
  </si>
  <si>
    <t>Mano de obra (COP/año)</t>
  </si>
  <si>
    <t>Total costos fijos (COP/año)</t>
  </si>
  <si>
    <t>Total costos (COP/año)</t>
  </si>
  <si>
    <t>Utilidades reales antes de impuestos (COP/año)</t>
  </si>
  <si>
    <t>Depreciación (COP/año)</t>
  </si>
  <si>
    <t>Depreciación Acumulada (COP/año)</t>
  </si>
  <si>
    <t>VLIf (COP/año)</t>
  </si>
  <si>
    <t>VLIw (COP/año)</t>
  </si>
  <si>
    <t>Valor en libros patrimonio (COP/año)</t>
  </si>
  <si>
    <t>Utilidades legales antes de impuestos (COP/año)</t>
  </si>
  <si>
    <t>Impuesto a utilidades (COP/año)</t>
  </si>
  <si>
    <t>Impuesto al patrimonio (COP/año)</t>
  </si>
  <si>
    <t>Utilidades reales despues de impuestos (COP/año)</t>
  </si>
  <si>
    <t>P/F</t>
  </si>
  <si>
    <t>Valor presente utilidades despues de impuestos (COP/año)</t>
  </si>
  <si>
    <t>Sumatoria VPURDI (COP/año)</t>
  </si>
  <si>
    <t>Valor de salvamento (COP/año)</t>
  </si>
  <si>
    <t>Valor presente de salvamento (COP/año)</t>
  </si>
  <si>
    <t>Valor presente neto (COP/año)</t>
  </si>
  <si>
    <t>VPN Acumulado</t>
  </si>
  <si>
    <t xml:space="preserve">Precio galón de alcohol 70% (COP) </t>
  </si>
  <si>
    <t>Precio bioabono 20 kg (COP)</t>
  </si>
  <si>
    <t>Precio del mucilago de café (COP/L)</t>
  </si>
  <si>
    <t>Precio levadura (COP/kg)</t>
  </si>
  <si>
    <t>Precio kWh (COP)</t>
  </si>
  <si>
    <t>Precio de carbón (COP/kg)</t>
  </si>
  <si>
    <t>Precio empaque (COP)</t>
  </si>
  <si>
    <t>Total empaques de alcohol 1000ml</t>
  </si>
  <si>
    <t>Total lonas para bioabono 40kg</t>
  </si>
  <si>
    <t>Potencia del biodigestor (kW)</t>
  </si>
  <si>
    <t>Potencia reactor (kW)</t>
  </si>
  <si>
    <t>Potencia Columna (kW)</t>
  </si>
  <si>
    <t>Potencia Evaporador (kW)</t>
  </si>
  <si>
    <t>Potencia Caldera (kW)</t>
  </si>
  <si>
    <t>Potencia Total (kW)</t>
  </si>
  <si>
    <t>Horas de uso</t>
  </si>
  <si>
    <t>Energia (kWh/dia)</t>
  </si>
  <si>
    <t>TAM</t>
  </si>
  <si>
    <t>TIR</t>
  </si>
  <si>
    <t>Tiempo de recuperación Inversión</t>
  </si>
  <si>
    <t>Dolares</t>
  </si>
  <si>
    <t>COP</t>
  </si>
  <si>
    <t>Inversión Directa</t>
  </si>
  <si>
    <t xml:space="preserve">Inversión Indirecta </t>
  </si>
  <si>
    <t>Inversión fija</t>
  </si>
  <si>
    <t>Inversión de trabajo</t>
  </si>
  <si>
    <t>Inversión Total</t>
  </si>
  <si>
    <t xml:space="preserve">Consumo energetico </t>
  </si>
  <si>
    <t>kWh/año</t>
  </si>
  <si>
    <t>Biodigestor</t>
  </si>
  <si>
    <t>Reactor</t>
  </si>
  <si>
    <t>Columna</t>
  </si>
  <si>
    <t>Evaporador</t>
  </si>
  <si>
    <t>Caldera</t>
  </si>
  <si>
    <t>Mezcla Mucílago-Agua (Anual)</t>
  </si>
  <si>
    <t>Mezcla Cáscara molida-Agua (Anual)</t>
  </si>
  <si>
    <t>Reactor de hidrólisis (Anual)</t>
  </si>
  <si>
    <t>Reactor de fermentación (Anual)</t>
  </si>
  <si>
    <t>Componentes</t>
  </si>
  <si>
    <t>Cantidad</t>
  </si>
  <si>
    <t>Destilado</t>
  </si>
  <si>
    <t>Fondos</t>
  </si>
  <si>
    <t>Agua (kg)</t>
  </si>
  <si>
    <t>Mucílago puro (kg)</t>
  </si>
  <si>
    <t>Cáscara (kg)</t>
  </si>
  <si>
    <t>Alcohol (kg)</t>
  </si>
  <si>
    <t>Orgánicos (kg)</t>
  </si>
  <si>
    <t>NaOH (kg)</t>
  </si>
  <si>
    <t>Levadura (kg)</t>
  </si>
  <si>
    <t>Finca de 4 Hectareas</t>
  </si>
  <si>
    <t>Producción de café seco (@/año)</t>
  </si>
  <si>
    <t>Producción de café seco (kg/año)</t>
  </si>
  <si>
    <t>Fruto de café (kg/año)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</si>
</sst>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164" formatCode="0.0"/>
    <numFmt numFmtId="165" formatCode="0.0000"/>
    <numFmt numFmtId="166" formatCode="_-&quot;$&quot;\ * #,##0_-;\-&quot;$&quot;\ * #,##0_-;_-&quot;$&quot;\ * &quot;-&quot;??_-;_-@_-"/>
    <numFmt numFmtId="167" formatCode="_-&quot;$&quot;\ * #,##0.0_-;\-&quot;$&quot;\ * #,##0.0_-;_-&quot;$&quot;\ * &quot;-&quot;??_-;_-@_-"/>
    <numFmt numFmtId="168" formatCode="_-&quot;$&quot;\ * #,##0.0_-;\-&quot;$&quot;\ * #,##0.0_-;_-&quot;$&quot;\ * &quot;-&quot;?_-;_-@_-"/>
    <numFmt numFmtId="169" formatCode="_-&quot;$&quot;\ * #,##0_-;\-&quot;$&quot;\ * #,##0_-;_-&quot;$&quot;\ * &quot;-&quot;?_-;_-@_-"/>
    <numFmt numFmtId="170" formatCode="0.000"/>
    <numFmt numFmtId="171" formatCode="_-&quot;$&quot;\ * #,##0_-;\-&quot;$&quot;\ * #,##0_-;_-&quot;$&quot;\ * &quot;-&quot;?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1">
    <xf numFmtId="0" fontId="0" fillId="0" borderId="0" xfId="0"/>
    <xf numFmtId="9" fontId="0" fillId="0" borderId="0" xfId="1" applyFont="1"/>
    <xf numFmtId="0" fontId="0" fillId="2" borderId="6" xfId="0" applyFill="1" applyBorder="1"/>
    <xf numFmtId="0" fontId="0" fillId="2" borderId="7" xfId="0" applyFill="1" applyBorder="1"/>
    <xf numFmtId="2" fontId="0" fillId="2" borderId="7" xfId="0" applyNumberFormat="1" applyFill="1" applyBorder="1"/>
    <xf numFmtId="9" fontId="0" fillId="2" borderId="7" xfId="0" applyNumberFormat="1" applyFill="1" applyBorder="1"/>
    <xf numFmtId="165" fontId="0" fillId="2" borderId="7" xfId="0" applyNumberForma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3" xfId="0" applyBorder="1"/>
    <xf numFmtId="9" fontId="0" fillId="0" borderId="3" xfId="1" applyFont="1" applyBorder="1"/>
    <xf numFmtId="9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9" fontId="0" fillId="0" borderId="7" xfId="0" applyNumberFormat="1" applyBorder="1"/>
    <xf numFmtId="0" fontId="0" fillId="0" borderId="8" xfId="0" applyBorder="1"/>
    <xf numFmtId="9" fontId="0" fillId="0" borderId="9" xfId="0" applyNumberFormat="1" applyBorder="1"/>
    <xf numFmtId="0" fontId="2" fillId="0" borderId="7" xfId="0" applyFont="1" applyBorder="1"/>
    <xf numFmtId="0" fontId="0" fillId="0" borderId="6" xfId="0" applyBorder="1" applyAlignment="1">
      <alignment horizontal="center"/>
    </xf>
    <xf numFmtId="10" fontId="0" fillId="0" borderId="7" xfId="1" applyNumberFormat="1" applyFont="1" applyBorder="1"/>
    <xf numFmtId="2" fontId="0" fillId="0" borderId="7" xfId="0" applyNumberFormat="1" applyBorder="1"/>
    <xf numFmtId="2" fontId="0" fillId="0" borderId="9" xfId="0" applyNumberFormat="1" applyBorder="1"/>
    <xf numFmtId="0" fontId="0" fillId="0" borderId="12" xfId="0" applyBorder="1"/>
    <xf numFmtId="0" fontId="2" fillId="0" borderId="13" xfId="0" applyFont="1" applyBorder="1"/>
    <xf numFmtId="0" fontId="2" fillId="0" borderId="14" xfId="0" applyFont="1" applyBorder="1"/>
    <xf numFmtId="165" fontId="2" fillId="0" borderId="15" xfId="0" applyNumberFormat="1" applyFont="1" applyBorder="1"/>
    <xf numFmtId="0" fontId="0" fillId="0" borderId="2" xfId="0" applyBorder="1"/>
    <xf numFmtId="0" fontId="0" fillId="0" borderId="7" xfId="0" applyBorder="1"/>
    <xf numFmtId="0" fontId="0" fillId="0" borderId="16" xfId="0" applyBorder="1"/>
    <xf numFmtId="0" fontId="3" fillId="0" borderId="16" xfId="0" applyFont="1" applyBorder="1"/>
    <xf numFmtId="0" fontId="3" fillId="0" borderId="17" xfId="0" applyFont="1" applyBorder="1"/>
    <xf numFmtId="0" fontId="0" fillId="0" borderId="1" xfId="0" applyBorder="1"/>
    <xf numFmtId="9" fontId="0" fillId="0" borderId="10" xfId="1" applyFont="1" applyBorder="1"/>
    <xf numFmtId="0" fontId="0" fillId="0" borderId="18" xfId="0" applyBorder="1"/>
    <xf numFmtId="0" fontId="2" fillId="0" borderId="13" xfId="1" applyNumberFormat="1" applyFont="1" applyBorder="1"/>
    <xf numFmtId="0" fontId="2" fillId="0" borderId="15" xfId="1" applyNumberFormat="1" applyFont="1" applyBorder="1"/>
    <xf numFmtId="0" fontId="0" fillId="0" borderId="19" xfId="0" applyBorder="1"/>
    <xf numFmtId="164" fontId="0" fillId="0" borderId="20" xfId="0" applyNumberFormat="1" applyBorder="1"/>
    <xf numFmtId="164" fontId="0" fillId="0" borderId="17" xfId="0" applyNumberFormat="1" applyBorder="1"/>
    <xf numFmtId="9" fontId="0" fillId="0" borderId="24" xfId="1" applyFont="1" applyBorder="1"/>
    <xf numFmtId="9" fontId="0" fillId="0" borderId="25" xfId="1" applyFont="1" applyBorder="1"/>
    <xf numFmtId="0" fontId="0" fillId="0" borderId="26" xfId="0" applyBorder="1"/>
    <xf numFmtId="0" fontId="2" fillId="0" borderId="15" xfId="0" applyFont="1" applyBorder="1"/>
    <xf numFmtId="164" fontId="0" fillId="0" borderId="7" xfId="0" applyNumberFormat="1" applyBorder="1"/>
    <xf numFmtId="0" fontId="0" fillId="0" borderId="27" xfId="0" applyBorder="1" applyAlignment="1">
      <alignment horizontal="center"/>
    </xf>
    <xf numFmtId="10" fontId="0" fillId="0" borderId="16" xfId="1" applyNumberFormat="1" applyFont="1" applyBorder="1"/>
    <xf numFmtId="2" fontId="0" fillId="0" borderId="16" xfId="0" applyNumberFormat="1" applyBorder="1"/>
    <xf numFmtId="2" fontId="0" fillId="0" borderId="17" xfId="0" applyNumberFormat="1" applyBorder="1"/>
    <xf numFmtId="0" fontId="0" fillId="0" borderId="23" xfId="0" applyBorder="1"/>
    <xf numFmtId="9" fontId="0" fillId="0" borderId="16" xfId="1" applyFont="1" applyBorder="1"/>
    <xf numFmtId="9" fontId="0" fillId="0" borderId="16" xfId="0" applyNumberFormat="1" applyBorder="1"/>
    <xf numFmtId="0" fontId="3" fillId="0" borderId="6" xfId="0" applyFont="1" applyBorder="1"/>
    <xf numFmtId="1" fontId="0" fillId="0" borderId="9" xfId="0" applyNumberFormat="1" applyBorder="1"/>
    <xf numFmtId="0" fontId="2" fillId="0" borderId="18" xfId="0" applyFont="1" applyBorder="1"/>
    <xf numFmtId="0" fontId="0" fillId="0" borderId="28" xfId="0" applyBorder="1"/>
    <xf numFmtId="0" fontId="2" fillId="0" borderId="29" xfId="0" applyFont="1" applyBorder="1"/>
    <xf numFmtId="0" fontId="0" fillId="0" borderId="30" xfId="0" applyBorder="1"/>
    <xf numFmtId="164" fontId="0" fillId="0" borderId="16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165" fontId="0" fillId="0" borderId="7" xfId="0" applyNumberFormat="1" applyBorder="1"/>
    <xf numFmtId="1" fontId="0" fillId="0" borderId="7" xfId="0" applyNumberFormat="1" applyBorder="1"/>
    <xf numFmtId="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right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166" fontId="0" fillId="0" borderId="7" xfId="2" applyNumberFormat="1" applyFont="1" applyBorder="1" applyAlignment="1">
      <alignment vertical="center"/>
    </xf>
    <xf numFmtId="10" fontId="0" fillId="0" borderId="7" xfId="0" applyNumberFormat="1" applyBorder="1" applyAlignment="1">
      <alignment vertical="center"/>
    </xf>
    <xf numFmtId="0" fontId="0" fillId="0" borderId="3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36" xfId="0" applyBorder="1" applyAlignment="1">
      <alignment vertical="center" wrapText="1"/>
    </xf>
    <xf numFmtId="0" fontId="0" fillId="0" borderId="35" xfId="0" applyBorder="1" applyAlignment="1">
      <alignment vertical="center"/>
    </xf>
    <xf numFmtId="0" fontId="4" fillId="0" borderId="13" xfId="0" applyFon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7" fontId="0" fillId="0" borderId="3" xfId="2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166" fontId="0" fillId="0" borderId="3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6" fontId="0" fillId="0" borderId="3" xfId="2" applyNumberFormat="1" applyFont="1" applyBorder="1" applyAlignment="1">
      <alignment vertical="center"/>
    </xf>
    <xf numFmtId="166" fontId="0" fillId="0" borderId="16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166" fontId="0" fillId="0" borderId="0" xfId="0" applyNumberFormat="1" applyAlignment="1">
      <alignment vertical="center"/>
    </xf>
    <xf numFmtId="168" fontId="0" fillId="0" borderId="3" xfId="0" applyNumberFormat="1" applyBorder="1" applyAlignment="1">
      <alignment vertical="center"/>
    </xf>
    <xf numFmtId="169" fontId="0" fillId="0" borderId="3" xfId="0" applyNumberFormat="1" applyBorder="1" applyAlignment="1">
      <alignment vertical="center"/>
    </xf>
    <xf numFmtId="169" fontId="0" fillId="0" borderId="16" xfId="0" applyNumberFormat="1" applyBorder="1" applyAlignment="1">
      <alignment vertical="center"/>
    </xf>
    <xf numFmtId="169" fontId="4" fillId="0" borderId="14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169" fontId="4" fillId="0" borderId="12" xfId="0" applyNumberFormat="1" applyFont="1" applyBorder="1" applyAlignment="1">
      <alignment vertical="center"/>
    </xf>
    <xf numFmtId="166" fontId="4" fillId="0" borderId="14" xfId="0" applyNumberFormat="1" applyFont="1" applyBorder="1" applyAlignment="1">
      <alignment vertical="center"/>
    </xf>
    <xf numFmtId="169" fontId="0" fillId="0" borderId="10" xfId="0" applyNumberFormat="1" applyBorder="1" applyAlignment="1">
      <alignment vertical="center"/>
    </xf>
    <xf numFmtId="170" fontId="0" fillId="0" borderId="12" xfId="0" applyNumberFormat="1" applyBorder="1" applyAlignment="1">
      <alignment vertical="center"/>
    </xf>
    <xf numFmtId="171" fontId="4" fillId="0" borderId="14" xfId="0" applyNumberFormat="1" applyFont="1" applyBorder="1" applyAlignment="1">
      <alignment vertical="center"/>
    </xf>
    <xf numFmtId="171" fontId="0" fillId="0" borderId="6" xfId="0" applyNumberFormat="1" applyBorder="1" applyAlignment="1">
      <alignment vertical="center"/>
    </xf>
    <xf numFmtId="171" fontId="0" fillId="0" borderId="16" xfId="0" applyNumberFormat="1" applyBorder="1" applyAlignment="1">
      <alignment vertical="center"/>
    </xf>
    <xf numFmtId="171" fontId="4" fillId="0" borderId="12" xfId="0" applyNumberFormat="1" applyFont="1" applyBorder="1" applyAlignment="1">
      <alignment vertical="center"/>
    </xf>
    <xf numFmtId="9" fontId="0" fillId="0" borderId="0" xfId="0" applyNumberFormat="1" applyAlignment="1">
      <alignment vertical="center"/>
    </xf>
    <xf numFmtId="166" fontId="0" fillId="0" borderId="7" xfId="2" applyNumberFormat="1" applyFont="1" applyFill="1" applyBorder="1" applyAlignment="1">
      <alignment vertical="center"/>
    </xf>
    <xf numFmtId="169" fontId="0" fillId="0" borderId="0" xfId="0" applyNumberFormat="1" applyAlignment="1">
      <alignment vertical="center"/>
    </xf>
    <xf numFmtId="16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171" fontId="5" fillId="0" borderId="14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164" fontId="0" fillId="0" borderId="37" xfId="0" applyNumberFormat="1" applyBorder="1" applyAlignment="1">
      <alignment vertical="center"/>
    </xf>
    <xf numFmtId="168" fontId="0" fillId="0" borderId="37" xfId="0" applyNumberFormat="1" applyBorder="1" applyAlignment="1">
      <alignment vertical="center"/>
    </xf>
    <xf numFmtId="169" fontId="0" fillId="0" borderId="37" xfId="0" applyNumberFormat="1" applyBorder="1" applyAlignment="1">
      <alignment vertical="center"/>
    </xf>
    <xf numFmtId="166" fontId="0" fillId="0" borderId="37" xfId="0" applyNumberFormat="1" applyBorder="1" applyAlignment="1">
      <alignment vertical="center"/>
    </xf>
    <xf numFmtId="169" fontId="0" fillId="0" borderId="17" xfId="0" applyNumberFormat="1" applyBorder="1" applyAlignment="1">
      <alignment vertical="center"/>
    </xf>
    <xf numFmtId="169" fontId="4" fillId="0" borderId="15" xfId="0" applyNumberFormat="1" applyFont="1" applyBorder="1" applyAlignment="1">
      <alignment vertical="center"/>
    </xf>
    <xf numFmtId="164" fontId="0" fillId="0" borderId="8" xfId="0" applyNumberFormat="1" applyBorder="1" applyAlignment="1">
      <alignment vertical="center"/>
    </xf>
    <xf numFmtId="2" fontId="0" fillId="0" borderId="37" xfId="0" applyNumberFormat="1" applyBorder="1" applyAlignment="1">
      <alignment vertical="center"/>
    </xf>
    <xf numFmtId="169" fontId="4" fillId="0" borderId="38" xfId="0" applyNumberFormat="1" applyFon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4" fillId="0" borderId="15" xfId="0" applyNumberFormat="1" applyFont="1" applyBorder="1" applyAlignment="1">
      <alignment vertical="center"/>
    </xf>
    <xf numFmtId="169" fontId="0" fillId="0" borderId="11" xfId="0" applyNumberFormat="1" applyBorder="1" applyAlignment="1">
      <alignment vertical="center"/>
    </xf>
    <xf numFmtId="170" fontId="0" fillId="0" borderId="38" xfId="0" applyNumberFormat="1" applyBorder="1" applyAlignment="1">
      <alignment vertical="center"/>
    </xf>
    <xf numFmtId="171" fontId="4" fillId="0" borderId="15" xfId="0" applyNumberFormat="1" applyFont="1" applyBorder="1" applyAlignment="1">
      <alignment vertical="center"/>
    </xf>
    <xf numFmtId="171" fontId="0" fillId="0" borderId="8" xfId="0" applyNumberFormat="1" applyBorder="1" applyAlignment="1">
      <alignment vertical="center"/>
    </xf>
    <xf numFmtId="171" fontId="0" fillId="0" borderId="17" xfId="0" applyNumberFormat="1" applyBorder="1" applyAlignment="1">
      <alignment vertical="center"/>
    </xf>
    <xf numFmtId="171" fontId="4" fillId="0" borderId="38" xfId="0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9" fontId="0" fillId="0" borderId="7" xfId="1" applyFont="1" applyBorder="1" applyAlignment="1">
      <alignment vertical="center"/>
    </xf>
    <xf numFmtId="9" fontId="0" fillId="0" borderId="7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166" fontId="0" fillId="0" borderId="7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164" fontId="2" fillId="0" borderId="15" xfId="0" applyNumberFormat="1" applyFont="1" applyBorder="1"/>
    <xf numFmtId="164" fontId="2" fillId="0" borderId="14" xfId="0" applyNumberFormat="1" applyFont="1" applyBorder="1"/>
    <xf numFmtId="2" fontId="2" fillId="0" borderId="13" xfId="1" applyNumberFormat="1" applyFont="1" applyBorder="1"/>
    <xf numFmtId="2" fontId="2" fillId="0" borderId="15" xfId="1" applyNumberFormat="1" applyFont="1" applyBorder="1"/>
    <xf numFmtId="0" fontId="0" fillId="0" borderId="37" xfId="0" applyBorder="1" applyAlignment="1">
      <alignment vertical="center"/>
    </xf>
    <xf numFmtId="1" fontId="0" fillId="0" borderId="0" xfId="0" applyNumberFormat="1"/>
    <xf numFmtId="10" fontId="0" fillId="0" borderId="0" xfId="1" applyNumberFormat="1" applyFont="1"/>
    <xf numFmtId="2" fontId="0" fillId="0" borderId="3" xfId="0" applyNumberFormat="1" applyBorder="1"/>
    <xf numFmtId="10" fontId="0" fillId="0" borderId="7" xfId="0" applyNumberFormat="1" applyBorder="1"/>
    <xf numFmtId="0" fontId="0" fillId="0" borderId="9" xfId="0" applyBorder="1"/>
    <xf numFmtId="1" fontId="0" fillId="0" borderId="16" xfId="0" applyNumberFormat="1" applyBorder="1"/>
    <xf numFmtId="1" fontId="0" fillId="0" borderId="17" xfId="0" applyNumberFormat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</cellXfs>
  <cellStyles count="3">
    <cellStyle name="Moneda" xfId="2" builtinId="4"/>
    <cellStyle name="Normal" xfId="0" builtinId="0"/>
    <cellStyle name="Porcentaje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'Análisis economico'!$D$4:$D$19</c:f>
              <c:numCache>
                <c:formatCode>General</c:formatCode>
                <c:ptCount val="1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</c:numCache>
            </c:numRef>
          </c:xVal>
          <c:yVal>
            <c:numRef>
              <c:f>'Análisis economico'!$AX$5:$AX$19</c:f>
              <c:numCache>
                <c:formatCode>_-"$"\ * #,##0_-;\-"$"\ * #,##0_-;_-"$"\ * "-"???_-;_-@_-</c:formatCode>
                <c:ptCount val="15"/>
                <c:pt idx="0">
                  <c:v>-14980376.822333574</c:v>
                </c:pt>
                <c:pt idx="1">
                  <c:v>-34161762.983669758</c:v>
                </c:pt>
                <c:pt idx="2">
                  <c:v>-48324326.681464851</c:v>
                </c:pt>
                <c:pt idx="3">
                  <c:v>-49620495.691957176</c:v>
                </c:pt>
                <c:pt idx="4">
                  <c:v>-31408655.799776614</c:v>
                </c:pt>
                <c:pt idx="5">
                  <c:v>11894437.195107043</c:v>
                </c:pt>
                <c:pt idx="6">
                  <c:v>84944555.234386504</c:v>
                </c:pt>
                <c:pt idx="7">
                  <c:v>191586015.76417917</c:v>
                </c:pt>
                <c:pt idx="8">
                  <c:v>334954438.66620678</c:v>
                </c:pt>
                <c:pt idx="9">
                  <c:v>517567690.21876937</c:v>
                </c:pt>
                <c:pt idx="10">
                  <c:v>741406308.40875196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50-44B1-BD06-669594B2B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59536"/>
        <c:axId val="386560016"/>
      </c:scatterChart>
      <c:valAx>
        <c:axId val="38655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6560016"/>
        <c:crosses val="autoZero"/>
        <c:crossBetween val="midCat"/>
      </c:valAx>
      <c:valAx>
        <c:axId val="38656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?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6559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851296</xdr:colOff>
      <xdr:row>21</xdr:row>
      <xdr:rowOff>104775</xdr:rowOff>
    </xdr:from>
    <xdr:to>
      <xdr:col>8</xdr:col>
      <xdr:colOff>827483</xdr:colOff>
      <xdr:row>35</xdr:row>
      <xdr:rowOff>145257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9251F9-018B-2B5F-9CC4-4E95A2C1D6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0AEA-7F67-4746-93BE-8C73DC32D826}">
  <dimension ref="A1:J126"/>
  <sheetViews>
    <sheetView zoomScale="80" zoomScaleNormal="80" workbookViewId="0">
      <selection activeCell="F19" sqref="F19"/>
    </sheetView>
  </sheetViews>
  <sheetFormatPr baseColWidth="10" defaultColWidth="11.42578125" defaultRowHeight="15" x14ac:dyDescent="0.25"/>
  <cols>
    <col min="1" max="1" width="31" bestFit="1" customWidth="1"/>
    <col min="2" max="2" width="15.7109375" bestFit="1" customWidth="1"/>
    <col min="3" max="3" width="35.42578125" bestFit="1" customWidth="1"/>
    <col min="4" max="4" width="19.85546875" bestFit="1" customWidth="1"/>
    <col min="5" max="5" width="16.85546875" bestFit="1" customWidth="1"/>
    <col min="6" max="6" width="18.5703125" bestFit="1" customWidth="1"/>
    <col min="9" max="9" width="35.42578125" bestFit="1" customWidth="1"/>
  </cols>
  <sheetData>
    <row r="1" spans="1:10" x14ac:dyDescent="0.25">
      <c r="A1" s="163" t="s">
        <v>0</v>
      </c>
      <c r="B1" s="164"/>
      <c r="C1" s="32" t="s">
        <v>1</v>
      </c>
      <c r="D1" s="27">
        <v>0.998</v>
      </c>
      <c r="F1" s="163" t="s">
        <v>2</v>
      </c>
      <c r="G1" s="164"/>
      <c r="I1" s="159" t="s">
        <v>3</v>
      </c>
      <c r="J1" s="160"/>
    </row>
    <row r="2" spans="1:10" x14ac:dyDescent="0.25">
      <c r="A2" s="14"/>
      <c r="B2" s="29" t="s">
        <v>4</v>
      </c>
      <c r="C2" s="9" t="s">
        <v>5</v>
      </c>
      <c r="D2" s="9" t="s">
        <v>6</v>
      </c>
      <c r="F2" s="52" t="s">
        <v>7</v>
      </c>
      <c r="G2" s="18">
        <v>7</v>
      </c>
      <c r="I2" s="2" t="s">
        <v>7</v>
      </c>
      <c r="J2" s="3">
        <v>7</v>
      </c>
    </row>
    <row r="3" spans="1:10" ht="15.75" thickBot="1" x14ac:dyDescent="0.3">
      <c r="A3" s="14" t="s">
        <v>8</v>
      </c>
      <c r="B3" s="29">
        <f>C3</f>
        <v>1000</v>
      </c>
      <c r="C3" s="34">
        <v>1000</v>
      </c>
      <c r="D3" s="10">
        <f>(C3-B3)/C3</f>
        <v>0</v>
      </c>
      <c r="F3" s="14" t="s">
        <v>9</v>
      </c>
      <c r="G3" s="28">
        <f>B4</f>
        <v>470</v>
      </c>
      <c r="I3" s="2" t="s">
        <v>10</v>
      </c>
      <c r="J3" s="4">
        <f>G5</f>
        <v>705</v>
      </c>
    </row>
    <row r="4" spans="1:10" x14ac:dyDescent="0.25">
      <c r="A4" s="14" t="s">
        <v>9</v>
      </c>
      <c r="B4" s="30">
        <f>B3*0.47</f>
        <v>470</v>
      </c>
      <c r="C4" s="35">
        <v>470</v>
      </c>
      <c r="D4" s="33">
        <f t="shared" ref="D4" si="0">(C4-B4)/C4</f>
        <v>0</v>
      </c>
      <c r="F4" s="14" t="s">
        <v>11</v>
      </c>
      <c r="G4" s="44">
        <f>(G3*0.5)/D1</f>
        <v>235.47094188376752</v>
      </c>
      <c r="I4" s="2" t="s">
        <v>12</v>
      </c>
      <c r="J4" s="4">
        <f>J3*(J2/100)</f>
        <v>49.35</v>
      </c>
    </row>
    <row r="5" spans="1:10" ht="15.75" thickBot="1" x14ac:dyDescent="0.3">
      <c r="A5" s="16" t="s">
        <v>13</v>
      </c>
      <c r="B5" s="31">
        <f>B3*0.53</f>
        <v>530</v>
      </c>
      <c r="C5" s="36">
        <v>530</v>
      </c>
      <c r="D5" s="33">
        <f>(C5-B5)/C5</f>
        <v>0</v>
      </c>
      <c r="F5" s="16" t="s">
        <v>14</v>
      </c>
      <c r="G5" s="53">
        <f>G3+(G4*D1)</f>
        <v>705</v>
      </c>
      <c r="I5" s="2" t="s">
        <v>15</v>
      </c>
      <c r="J5" s="5">
        <v>0.7</v>
      </c>
    </row>
    <row r="6" spans="1:10" ht="15.75" thickBot="1" x14ac:dyDescent="0.3">
      <c r="I6" s="2" t="s">
        <v>16</v>
      </c>
      <c r="J6" s="3">
        <v>180.15</v>
      </c>
    </row>
    <row r="7" spans="1:10" x14ac:dyDescent="0.25">
      <c r="A7" s="163" t="s">
        <v>17</v>
      </c>
      <c r="B7" s="164"/>
      <c r="I7" s="2" t="s">
        <v>18</v>
      </c>
      <c r="J7" s="6">
        <f>J4/J6</f>
        <v>0.27393838467943382</v>
      </c>
    </row>
    <row r="8" spans="1:10" x14ac:dyDescent="0.25">
      <c r="A8" s="14" t="str">
        <f>A5</f>
        <v>Grano con mucilago (g)</v>
      </c>
      <c r="B8" s="28">
        <f>C5</f>
        <v>530</v>
      </c>
      <c r="I8" s="161" t="s">
        <v>19</v>
      </c>
      <c r="J8" s="162"/>
    </row>
    <row r="9" spans="1:10" x14ac:dyDescent="0.25">
      <c r="A9" s="14" t="s">
        <v>20</v>
      </c>
      <c r="B9" s="44">
        <f>(B8*0.5)/D1</f>
        <v>265.53106212424848</v>
      </c>
      <c r="I9" s="2" t="s">
        <v>21</v>
      </c>
      <c r="J9" s="3">
        <f>J7-(J7*J5)</f>
        <v>8.2181515403830147E-2</v>
      </c>
    </row>
    <row r="10" spans="1:10" ht="15.75" thickBot="1" x14ac:dyDescent="0.3">
      <c r="A10" s="37" t="s">
        <v>10</v>
      </c>
      <c r="B10" s="38">
        <f>B8+(B9*D1)</f>
        <v>795</v>
      </c>
      <c r="I10" s="2" t="s">
        <v>22</v>
      </c>
      <c r="J10" s="3">
        <f>J7*2*J5</f>
        <v>0.38351373855120735</v>
      </c>
    </row>
    <row r="11" spans="1:10" ht="15.75" thickBot="1" x14ac:dyDescent="0.3">
      <c r="A11" s="163" t="s">
        <v>23</v>
      </c>
      <c r="B11" s="165"/>
      <c r="C11" s="42" t="s">
        <v>24</v>
      </c>
      <c r="D11" s="13" t="s">
        <v>6</v>
      </c>
      <c r="I11" s="2" t="s">
        <v>25</v>
      </c>
      <c r="J11" s="3">
        <f>J10</f>
        <v>0.38351373855120735</v>
      </c>
    </row>
    <row r="12" spans="1:10" x14ac:dyDescent="0.25">
      <c r="A12" s="14" t="s">
        <v>26</v>
      </c>
      <c r="B12" s="29">
        <f>B8*0.97</f>
        <v>514.1</v>
      </c>
      <c r="C12" s="24">
        <v>514.1</v>
      </c>
      <c r="D12" s="40">
        <f>(C12-B12)/C12</f>
        <v>0</v>
      </c>
      <c r="I12" s="2" t="s">
        <v>27</v>
      </c>
      <c r="J12" s="3">
        <v>46</v>
      </c>
    </row>
    <row r="13" spans="1:10" ht="15.75" thickBot="1" x14ac:dyDescent="0.3">
      <c r="A13" s="16" t="s">
        <v>28</v>
      </c>
      <c r="B13" s="39">
        <f>B10-B12</f>
        <v>280.89999999999998</v>
      </c>
      <c r="C13" s="43">
        <v>280.89999999999998</v>
      </c>
      <c r="D13" s="41">
        <f>(C13-B13)/C13</f>
        <v>0</v>
      </c>
      <c r="I13" s="2" t="s">
        <v>29</v>
      </c>
      <c r="J13" s="3">
        <f>J10*J12</f>
        <v>17.641631973355537</v>
      </c>
    </row>
    <row r="14" spans="1:10" ht="15.75" thickBot="1" x14ac:dyDescent="0.3">
      <c r="A14" s="166" t="s">
        <v>30</v>
      </c>
      <c r="B14" s="167"/>
      <c r="D14" s="1"/>
      <c r="I14" s="7" t="s">
        <v>31</v>
      </c>
      <c r="J14" s="8">
        <f>J13/J5</f>
        <v>25.202331390507911</v>
      </c>
    </row>
    <row r="15" spans="1:10" x14ac:dyDescent="0.25">
      <c r="A15" s="23" t="s">
        <v>32</v>
      </c>
      <c r="B15" s="24">
        <f>5.054</f>
        <v>5.0540000000000003</v>
      </c>
    </row>
    <row r="16" spans="1:10" x14ac:dyDescent="0.25">
      <c r="A16" s="23" t="s">
        <v>33</v>
      </c>
      <c r="B16" s="25">
        <v>4.931</v>
      </c>
    </row>
    <row r="17" spans="1:4" ht="15.75" thickBot="1" x14ac:dyDescent="0.3">
      <c r="A17" s="23" t="s">
        <v>34</v>
      </c>
      <c r="B17" s="26">
        <f>B15/B16</f>
        <v>1.0249442303792335</v>
      </c>
    </row>
    <row r="18" spans="1:4" x14ac:dyDescent="0.25">
      <c r="A18" s="19" t="s">
        <v>35</v>
      </c>
      <c r="B18" s="45"/>
      <c r="C18" s="159" t="s">
        <v>3</v>
      </c>
      <c r="D18" s="160"/>
    </row>
    <row r="19" spans="1:4" x14ac:dyDescent="0.25">
      <c r="A19" s="14" t="s">
        <v>36</v>
      </c>
      <c r="B19" s="46">
        <f>_xlfn.FORECAST.LINEAR(B17,B26:B126,A26:A126)</f>
        <v>0.26415912136504893</v>
      </c>
      <c r="C19" s="2" t="s">
        <v>7</v>
      </c>
      <c r="D19" s="3">
        <v>7</v>
      </c>
    </row>
    <row r="20" spans="1:4" x14ac:dyDescent="0.25">
      <c r="A20" s="14" t="s">
        <v>37</v>
      </c>
      <c r="B20" s="47">
        <f>B13*B19</f>
        <v>74.202297191442241</v>
      </c>
      <c r="C20" s="2" t="s">
        <v>10</v>
      </c>
      <c r="D20" s="4">
        <f>B22</f>
        <v>280.89999999999998</v>
      </c>
    </row>
    <row r="21" spans="1:4" x14ac:dyDescent="0.25">
      <c r="A21" s="14" t="s">
        <v>38</v>
      </c>
      <c r="B21" s="47">
        <f>B13-B20</f>
        <v>206.69770280855772</v>
      </c>
      <c r="C21" s="2" t="s">
        <v>12</v>
      </c>
      <c r="D21" s="4">
        <f>D20*(D19/100)</f>
        <v>19.663</v>
      </c>
    </row>
    <row r="22" spans="1:4" ht="15.75" thickBot="1" x14ac:dyDescent="0.3">
      <c r="A22" s="16" t="s">
        <v>14</v>
      </c>
      <c r="B22" s="48">
        <f>B20+B21</f>
        <v>280.89999999999998</v>
      </c>
      <c r="C22" s="2" t="s">
        <v>15</v>
      </c>
      <c r="D22" s="5">
        <v>0.7</v>
      </c>
    </row>
    <row r="23" spans="1:4" x14ac:dyDescent="0.25">
      <c r="C23" s="2" t="s">
        <v>16</v>
      </c>
      <c r="D23" s="3">
        <v>180.15</v>
      </c>
    </row>
    <row r="24" spans="1:4" ht="15.75" thickBot="1" x14ac:dyDescent="0.3">
      <c r="A24" t="s">
        <v>39</v>
      </c>
      <c r="B24">
        <f>(1.1-0.998)/100</f>
        <v>1.0200000000000009E-3</v>
      </c>
      <c r="C24" s="2" t="s">
        <v>18</v>
      </c>
      <c r="D24" s="6">
        <f>D21/D23</f>
        <v>0.10914793227865667</v>
      </c>
    </row>
    <row r="25" spans="1:4" x14ac:dyDescent="0.25">
      <c r="A25" s="12"/>
      <c r="B25" s="49" t="s">
        <v>40</v>
      </c>
      <c r="C25" s="161" t="s">
        <v>19</v>
      </c>
      <c r="D25" s="162"/>
    </row>
    <row r="26" spans="1:4" x14ac:dyDescent="0.25">
      <c r="A26" s="14">
        <v>1.1000000000000001</v>
      </c>
      <c r="B26" s="50">
        <f>1</f>
        <v>1</v>
      </c>
      <c r="C26" s="2" t="s">
        <v>21</v>
      </c>
      <c r="D26" s="3">
        <f>D24-(D24*D22)</f>
        <v>3.2744379683597002E-2</v>
      </c>
    </row>
    <row r="27" spans="1:4" x14ac:dyDescent="0.25">
      <c r="A27" s="14">
        <f t="shared" ref="A27:A58" si="1">A26-$B$24</f>
        <v>1.0989800000000001</v>
      </c>
      <c r="B27" s="51">
        <f>B26-0.01</f>
        <v>0.99</v>
      </c>
      <c r="C27" s="2" t="s">
        <v>22</v>
      </c>
      <c r="D27" s="3">
        <f>D24*2*D22</f>
        <v>0.15280710519011934</v>
      </c>
    </row>
    <row r="28" spans="1:4" x14ac:dyDescent="0.25">
      <c r="A28" s="14">
        <f t="shared" si="1"/>
        <v>1.09796</v>
      </c>
      <c r="B28" s="51">
        <f>B27-0.01</f>
        <v>0.98</v>
      </c>
      <c r="C28" s="2" t="s">
        <v>25</v>
      </c>
      <c r="D28" s="3">
        <f>D27</f>
        <v>0.15280710519011934</v>
      </c>
    </row>
    <row r="29" spans="1:4" x14ac:dyDescent="0.25">
      <c r="A29" s="14">
        <f t="shared" si="1"/>
        <v>1.09694</v>
      </c>
      <c r="B29" s="51">
        <f t="shared" ref="B29:B92" si="2">B28-0.01</f>
        <v>0.97</v>
      </c>
      <c r="C29" s="2" t="s">
        <v>27</v>
      </c>
      <c r="D29" s="3">
        <v>46</v>
      </c>
    </row>
    <row r="30" spans="1:4" x14ac:dyDescent="0.25">
      <c r="A30" s="14">
        <f t="shared" si="1"/>
        <v>1.09592</v>
      </c>
      <c r="B30" s="51">
        <f t="shared" si="2"/>
        <v>0.96</v>
      </c>
      <c r="C30" s="2" t="s">
        <v>29</v>
      </c>
      <c r="D30" s="3">
        <f>D27*D29</f>
        <v>7.0291268387454897</v>
      </c>
    </row>
    <row r="31" spans="1:4" ht="15.75" thickBot="1" x14ac:dyDescent="0.3">
      <c r="A31" s="14">
        <f t="shared" si="1"/>
        <v>1.0949</v>
      </c>
      <c r="B31" s="51">
        <f t="shared" si="2"/>
        <v>0.95</v>
      </c>
      <c r="C31" s="7" t="s">
        <v>31</v>
      </c>
      <c r="D31" s="8">
        <f>D30/D22</f>
        <v>10.041609769636414</v>
      </c>
    </row>
    <row r="32" spans="1:4" x14ac:dyDescent="0.25">
      <c r="A32" s="14">
        <f t="shared" si="1"/>
        <v>1.09388</v>
      </c>
      <c r="B32" s="15">
        <f t="shared" si="2"/>
        <v>0.94</v>
      </c>
    </row>
    <row r="33" spans="1:2" x14ac:dyDescent="0.25">
      <c r="A33" s="14">
        <f t="shared" si="1"/>
        <v>1.0928599999999999</v>
      </c>
      <c r="B33" s="15">
        <f t="shared" si="2"/>
        <v>0.92999999999999994</v>
      </c>
    </row>
    <row r="34" spans="1:2" x14ac:dyDescent="0.25">
      <c r="A34" s="14">
        <f t="shared" si="1"/>
        <v>1.0918399999999999</v>
      </c>
      <c r="B34" s="15">
        <f t="shared" si="2"/>
        <v>0.91999999999999993</v>
      </c>
    </row>
    <row r="35" spans="1:2" x14ac:dyDescent="0.25">
      <c r="A35" s="14">
        <f t="shared" si="1"/>
        <v>1.0908199999999999</v>
      </c>
      <c r="B35" s="15">
        <f t="shared" si="2"/>
        <v>0.90999999999999992</v>
      </c>
    </row>
    <row r="36" spans="1:2" x14ac:dyDescent="0.25">
      <c r="A36" s="14">
        <f t="shared" si="1"/>
        <v>1.0897999999999999</v>
      </c>
      <c r="B36" s="15">
        <f t="shared" si="2"/>
        <v>0.89999999999999991</v>
      </c>
    </row>
    <row r="37" spans="1:2" x14ac:dyDescent="0.25">
      <c r="A37" s="14">
        <f t="shared" si="1"/>
        <v>1.0887799999999999</v>
      </c>
      <c r="B37" s="15">
        <f t="shared" si="2"/>
        <v>0.8899999999999999</v>
      </c>
    </row>
    <row r="38" spans="1:2" x14ac:dyDescent="0.25">
      <c r="A38" s="14">
        <f t="shared" si="1"/>
        <v>1.0877599999999998</v>
      </c>
      <c r="B38" s="15">
        <f t="shared" si="2"/>
        <v>0.87999999999999989</v>
      </c>
    </row>
    <row r="39" spans="1:2" x14ac:dyDescent="0.25">
      <c r="A39" s="14">
        <f t="shared" si="1"/>
        <v>1.0867399999999998</v>
      </c>
      <c r="B39" s="15">
        <f t="shared" si="2"/>
        <v>0.86999999999999988</v>
      </c>
    </row>
    <row r="40" spans="1:2" x14ac:dyDescent="0.25">
      <c r="A40" s="14">
        <f t="shared" si="1"/>
        <v>1.0857199999999998</v>
      </c>
      <c r="B40" s="15">
        <f t="shared" si="2"/>
        <v>0.85999999999999988</v>
      </c>
    </row>
    <row r="41" spans="1:2" x14ac:dyDescent="0.25">
      <c r="A41" s="14">
        <f t="shared" si="1"/>
        <v>1.0846999999999998</v>
      </c>
      <c r="B41" s="15">
        <f t="shared" si="2"/>
        <v>0.84999999999999987</v>
      </c>
    </row>
    <row r="42" spans="1:2" x14ac:dyDescent="0.25">
      <c r="A42" s="14">
        <f t="shared" si="1"/>
        <v>1.0836799999999998</v>
      </c>
      <c r="B42" s="15">
        <f t="shared" si="2"/>
        <v>0.83999999999999986</v>
      </c>
    </row>
    <row r="43" spans="1:2" x14ac:dyDescent="0.25">
      <c r="A43" s="14">
        <f t="shared" si="1"/>
        <v>1.0826599999999997</v>
      </c>
      <c r="B43" s="15">
        <f t="shared" si="2"/>
        <v>0.82999999999999985</v>
      </c>
    </row>
    <row r="44" spans="1:2" x14ac:dyDescent="0.25">
      <c r="A44" s="14">
        <f t="shared" si="1"/>
        <v>1.0816399999999997</v>
      </c>
      <c r="B44" s="15">
        <f t="shared" si="2"/>
        <v>0.81999999999999984</v>
      </c>
    </row>
    <row r="45" spans="1:2" x14ac:dyDescent="0.25">
      <c r="A45" s="14">
        <f t="shared" si="1"/>
        <v>1.0806199999999997</v>
      </c>
      <c r="B45" s="15">
        <f t="shared" si="2"/>
        <v>0.80999999999999983</v>
      </c>
    </row>
    <row r="46" spans="1:2" x14ac:dyDescent="0.25">
      <c r="A46" s="14">
        <f t="shared" si="1"/>
        <v>1.0795999999999997</v>
      </c>
      <c r="B46" s="15">
        <f t="shared" si="2"/>
        <v>0.79999999999999982</v>
      </c>
    </row>
    <row r="47" spans="1:2" x14ac:dyDescent="0.25">
      <c r="A47" s="14">
        <f t="shared" si="1"/>
        <v>1.0785799999999997</v>
      </c>
      <c r="B47" s="15">
        <f t="shared" si="2"/>
        <v>0.78999999999999981</v>
      </c>
    </row>
    <row r="48" spans="1:2" x14ac:dyDescent="0.25">
      <c r="A48" s="14">
        <f t="shared" si="1"/>
        <v>1.0775599999999996</v>
      </c>
      <c r="B48" s="15">
        <f t="shared" si="2"/>
        <v>0.7799999999999998</v>
      </c>
    </row>
    <row r="49" spans="1:2" x14ac:dyDescent="0.25">
      <c r="A49" s="14">
        <f t="shared" si="1"/>
        <v>1.0765399999999996</v>
      </c>
      <c r="B49" s="15">
        <f t="shared" si="2"/>
        <v>0.7699999999999998</v>
      </c>
    </row>
    <row r="50" spans="1:2" x14ac:dyDescent="0.25">
      <c r="A50" s="14">
        <f t="shared" si="1"/>
        <v>1.0755199999999996</v>
      </c>
      <c r="B50" s="15">
        <f t="shared" si="2"/>
        <v>0.75999999999999979</v>
      </c>
    </row>
    <row r="51" spans="1:2" x14ac:dyDescent="0.25">
      <c r="A51" s="14">
        <f t="shared" si="1"/>
        <v>1.0744999999999996</v>
      </c>
      <c r="B51" s="15">
        <f t="shared" si="2"/>
        <v>0.74999999999999978</v>
      </c>
    </row>
    <row r="52" spans="1:2" x14ac:dyDescent="0.25">
      <c r="A52" s="14">
        <f t="shared" si="1"/>
        <v>1.0734799999999995</v>
      </c>
      <c r="B52" s="15">
        <f t="shared" si="2"/>
        <v>0.73999999999999977</v>
      </c>
    </row>
    <row r="53" spans="1:2" x14ac:dyDescent="0.25">
      <c r="A53" s="14">
        <f t="shared" si="1"/>
        <v>1.0724599999999995</v>
      </c>
      <c r="B53" s="15">
        <f t="shared" si="2"/>
        <v>0.72999999999999976</v>
      </c>
    </row>
    <row r="54" spans="1:2" x14ac:dyDescent="0.25">
      <c r="A54" s="14">
        <f t="shared" si="1"/>
        <v>1.0714399999999995</v>
      </c>
      <c r="B54" s="15">
        <f t="shared" si="2"/>
        <v>0.71999999999999975</v>
      </c>
    </row>
    <row r="55" spans="1:2" x14ac:dyDescent="0.25">
      <c r="A55" s="14">
        <f t="shared" si="1"/>
        <v>1.0704199999999995</v>
      </c>
      <c r="B55" s="15">
        <f t="shared" si="2"/>
        <v>0.70999999999999974</v>
      </c>
    </row>
    <row r="56" spans="1:2" x14ac:dyDescent="0.25">
      <c r="A56" s="14">
        <f t="shared" si="1"/>
        <v>1.0693999999999995</v>
      </c>
      <c r="B56" s="15">
        <f t="shared" si="2"/>
        <v>0.69999999999999973</v>
      </c>
    </row>
    <row r="57" spans="1:2" x14ac:dyDescent="0.25">
      <c r="A57" s="14">
        <f t="shared" si="1"/>
        <v>1.0683799999999994</v>
      </c>
      <c r="B57" s="15">
        <f t="shared" si="2"/>
        <v>0.68999999999999972</v>
      </c>
    </row>
    <row r="58" spans="1:2" x14ac:dyDescent="0.25">
      <c r="A58" s="14">
        <f t="shared" si="1"/>
        <v>1.0673599999999994</v>
      </c>
      <c r="B58" s="15">
        <f t="shared" si="2"/>
        <v>0.67999999999999972</v>
      </c>
    </row>
    <row r="59" spans="1:2" x14ac:dyDescent="0.25">
      <c r="A59" s="14">
        <f t="shared" ref="A59:A90" si="3">A58-$B$24</f>
        <v>1.0663399999999994</v>
      </c>
      <c r="B59" s="15">
        <f t="shared" si="2"/>
        <v>0.66999999999999971</v>
      </c>
    </row>
    <row r="60" spans="1:2" x14ac:dyDescent="0.25">
      <c r="A60" s="14">
        <f t="shared" si="3"/>
        <v>1.0653199999999994</v>
      </c>
      <c r="B60" s="15">
        <f t="shared" si="2"/>
        <v>0.6599999999999997</v>
      </c>
    </row>
    <row r="61" spans="1:2" x14ac:dyDescent="0.25">
      <c r="A61" s="14">
        <f t="shared" si="3"/>
        <v>1.0642999999999994</v>
      </c>
      <c r="B61" s="15">
        <f t="shared" si="2"/>
        <v>0.64999999999999969</v>
      </c>
    </row>
    <row r="62" spans="1:2" x14ac:dyDescent="0.25">
      <c r="A62" s="14">
        <f t="shared" si="3"/>
        <v>1.0632799999999993</v>
      </c>
      <c r="B62" s="15">
        <f t="shared" si="2"/>
        <v>0.63999999999999968</v>
      </c>
    </row>
    <row r="63" spans="1:2" x14ac:dyDescent="0.25">
      <c r="A63" s="14">
        <f t="shared" si="3"/>
        <v>1.0622599999999993</v>
      </c>
      <c r="B63" s="15">
        <f t="shared" si="2"/>
        <v>0.62999999999999967</v>
      </c>
    </row>
    <row r="64" spans="1:2" x14ac:dyDescent="0.25">
      <c r="A64" s="14">
        <f t="shared" si="3"/>
        <v>1.0612399999999993</v>
      </c>
      <c r="B64" s="15">
        <f t="shared" si="2"/>
        <v>0.61999999999999966</v>
      </c>
    </row>
    <row r="65" spans="1:2" x14ac:dyDescent="0.25">
      <c r="A65" s="14">
        <f t="shared" si="3"/>
        <v>1.0602199999999993</v>
      </c>
      <c r="B65" s="15">
        <f t="shared" si="2"/>
        <v>0.60999999999999965</v>
      </c>
    </row>
    <row r="66" spans="1:2" x14ac:dyDescent="0.25">
      <c r="A66" s="14">
        <f t="shared" si="3"/>
        <v>1.0591999999999993</v>
      </c>
      <c r="B66" s="15">
        <f t="shared" si="2"/>
        <v>0.59999999999999964</v>
      </c>
    </row>
    <row r="67" spans="1:2" x14ac:dyDescent="0.25">
      <c r="A67" s="14">
        <f t="shared" si="3"/>
        <v>1.0581799999999992</v>
      </c>
      <c r="B67" s="15">
        <f t="shared" si="2"/>
        <v>0.58999999999999964</v>
      </c>
    </row>
    <row r="68" spans="1:2" x14ac:dyDescent="0.25">
      <c r="A68" s="14">
        <f t="shared" si="3"/>
        <v>1.0571599999999992</v>
      </c>
      <c r="B68" s="15">
        <f t="shared" si="2"/>
        <v>0.57999999999999963</v>
      </c>
    </row>
    <row r="69" spans="1:2" x14ac:dyDescent="0.25">
      <c r="A69" s="14">
        <f t="shared" si="3"/>
        <v>1.0561399999999992</v>
      </c>
      <c r="B69" s="15">
        <f t="shared" si="2"/>
        <v>0.56999999999999962</v>
      </c>
    </row>
    <row r="70" spans="1:2" x14ac:dyDescent="0.25">
      <c r="A70" s="14">
        <f t="shared" si="3"/>
        <v>1.0551199999999992</v>
      </c>
      <c r="B70" s="15">
        <f t="shared" si="2"/>
        <v>0.55999999999999961</v>
      </c>
    </row>
    <row r="71" spans="1:2" x14ac:dyDescent="0.25">
      <c r="A71" s="14">
        <f t="shared" si="3"/>
        <v>1.0540999999999991</v>
      </c>
      <c r="B71" s="15">
        <f t="shared" si="2"/>
        <v>0.5499999999999996</v>
      </c>
    </row>
    <row r="72" spans="1:2" x14ac:dyDescent="0.25">
      <c r="A72" s="14">
        <f t="shared" si="3"/>
        <v>1.0530799999999991</v>
      </c>
      <c r="B72" s="15">
        <f t="shared" si="2"/>
        <v>0.53999999999999959</v>
      </c>
    </row>
    <row r="73" spans="1:2" x14ac:dyDescent="0.25">
      <c r="A73" s="14">
        <f t="shared" si="3"/>
        <v>1.0520599999999991</v>
      </c>
      <c r="B73" s="15">
        <f t="shared" si="2"/>
        <v>0.52999999999999958</v>
      </c>
    </row>
    <row r="74" spans="1:2" x14ac:dyDescent="0.25">
      <c r="A74" s="14">
        <f t="shared" si="3"/>
        <v>1.0510399999999991</v>
      </c>
      <c r="B74" s="15">
        <f t="shared" si="2"/>
        <v>0.51999999999999957</v>
      </c>
    </row>
    <row r="75" spans="1:2" x14ac:dyDescent="0.25">
      <c r="A75" s="14">
        <f t="shared" si="3"/>
        <v>1.0500199999999991</v>
      </c>
      <c r="B75" s="15">
        <f t="shared" si="2"/>
        <v>0.50999999999999956</v>
      </c>
    </row>
    <row r="76" spans="1:2" x14ac:dyDescent="0.25">
      <c r="A76" s="14">
        <f t="shared" si="3"/>
        <v>1.048999999999999</v>
      </c>
      <c r="B76" s="15">
        <f t="shared" si="2"/>
        <v>0.49999999999999956</v>
      </c>
    </row>
    <row r="77" spans="1:2" x14ac:dyDescent="0.25">
      <c r="A77" s="14">
        <f t="shared" si="3"/>
        <v>1.047979999999999</v>
      </c>
      <c r="B77" s="15">
        <f t="shared" si="2"/>
        <v>0.48999999999999955</v>
      </c>
    </row>
    <row r="78" spans="1:2" x14ac:dyDescent="0.25">
      <c r="A78" s="14">
        <f t="shared" si="3"/>
        <v>1.046959999999999</v>
      </c>
      <c r="B78" s="15">
        <f t="shared" si="2"/>
        <v>0.47999999999999954</v>
      </c>
    </row>
    <row r="79" spans="1:2" x14ac:dyDescent="0.25">
      <c r="A79" s="14">
        <f t="shared" si="3"/>
        <v>1.045939999999999</v>
      </c>
      <c r="B79" s="15">
        <f t="shared" si="2"/>
        <v>0.46999999999999953</v>
      </c>
    </row>
    <row r="80" spans="1:2" x14ac:dyDescent="0.25">
      <c r="A80" s="14">
        <f t="shared" si="3"/>
        <v>1.044919999999999</v>
      </c>
      <c r="B80" s="15">
        <f t="shared" si="2"/>
        <v>0.45999999999999952</v>
      </c>
    </row>
    <row r="81" spans="1:2" x14ac:dyDescent="0.25">
      <c r="A81" s="14">
        <f t="shared" si="3"/>
        <v>1.0438999999999989</v>
      </c>
      <c r="B81" s="15">
        <f t="shared" si="2"/>
        <v>0.44999999999999951</v>
      </c>
    </row>
    <row r="82" spans="1:2" x14ac:dyDescent="0.25">
      <c r="A82" s="14">
        <f t="shared" si="3"/>
        <v>1.0428799999999989</v>
      </c>
      <c r="B82" s="15">
        <f t="shared" si="2"/>
        <v>0.4399999999999995</v>
      </c>
    </row>
    <row r="83" spans="1:2" x14ac:dyDescent="0.25">
      <c r="A83" s="14">
        <f t="shared" si="3"/>
        <v>1.0418599999999989</v>
      </c>
      <c r="B83" s="15">
        <f t="shared" si="2"/>
        <v>0.42999999999999949</v>
      </c>
    </row>
    <row r="84" spans="1:2" x14ac:dyDescent="0.25">
      <c r="A84" s="14">
        <f t="shared" si="3"/>
        <v>1.0408399999999989</v>
      </c>
      <c r="B84" s="15">
        <f t="shared" si="2"/>
        <v>0.41999999999999948</v>
      </c>
    </row>
    <row r="85" spans="1:2" x14ac:dyDescent="0.25">
      <c r="A85" s="14">
        <f t="shared" si="3"/>
        <v>1.0398199999999989</v>
      </c>
      <c r="B85" s="15">
        <f t="shared" si="2"/>
        <v>0.40999999999999948</v>
      </c>
    </row>
    <row r="86" spans="1:2" x14ac:dyDescent="0.25">
      <c r="A86" s="14">
        <f t="shared" si="3"/>
        <v>1.0387999999999988</v>
      </c>
      <c r="B86" s="15">
        <f t="shared" si="2"/>
        <v>0.39999999999999947</v>
      </c>
    </row>
    <row r="87" spans="1:2" x14ac:dyDescent="0.25">
      <c r="A87" s="14">
        <f t="shared" si="3"/>
        <v>1.0377799999999988</v>
      </c>
      <c r="B87" s="15">
        <f t="shared" si="2"/>
        <v>0.38999999999999946</v>
      </c>
    </row>
    <row r="88" spans="1:2" x14ac:dyDescent="0.25">
      <c r="A88" s="14">
        <f t="shared" si="3"/>
        <v>1.0367599999999988</v>
      </c>
      <c r="B88" s="15">
        <f t="shared" si="2"/>
        <v>0.37999999999999945</v>
      </c>
    </row>
    <row r="89" spans="1:2" x14ac:dyDescent="0.25">
      <c r="A89" s="14">
        <f t="shared" si="3"/>
        <v>1.0357399999999988</v>
      </c>
      <c r="B89" s="15">
        <f t="shared" si="2"/>
        <v>0.36999999999999944</v>
      </c>
    </row>
    <row r="90" spans="1:2" x14ac:dyDescent="0.25">
      <c r="A90" s="14">
        <f t="shared" si="3"/>
        <v>1.0347199999999988</v>
      </c>
      <c r="B90" s="15">
        <f t="shared" si="2"/>
        <v>0.35999999999999943</v>
      </c>
    </row>
    <row r="91" spans="1:2" x14ac:dyDescent="0.25">
      <c r="A91" s="14">
        <f t="shared" ref="A91:A126" si="4">A90-$B$24</f>
        <v>1.0336999999999987</v>
      </c>
      <c r="B91" s="15">
        <f t="shared" si="2"/>
        <v>0.34999999999999942</v>
      </c>
    </row>
    <row r="92" spans="1:2" x14ac:dyDescent="0.25">
      <c r="A92" s="14">
        <f t="shared" si="4"/>
        <v>1.0326799999999987</v>
      </c>
      <c r="B92" s="15">
        <f t="shared" si="2"/>
        <v>0.33999999999999941</v>
      </c>
    </row>
    <row r="93" spans="1:2" x14ac:dyDescent="0.25">
      <c r="A93" s="14">
        <f t="shared" si="4"/>
        <v>1.0316599999999987</v>
      </c>
      <c r="B93" s="15">
        <f t="shared" ref="B93:B126" si="5">B92-0.01</f>
        <v>0.3299999999999994</v>
      </c>
    </row>
    <row r="94" spans="1:2" x14ac:dyDescent="0.25">
      <c r="A94" s="14">
        <f t="shared" si="4"/>
        <v>1.0306399999999987</v>
      </c>
      <c r="B94" s="15">
        <f t="shared" si="5"/>
        <v>0.3199999999999994</v>
      </c>
    </row>
    <row r="95" spans="1:2" x14ac:dyDescent="0.25">
      <c r="A95" s="14">
        <f t="shared" si="4"/>
        <v>1.0296199999999986</v>
      </c>
      <c r="B95" s="15">
        <f t="shared" si="5"/>
        <v>0.30999999999999939</v>
      </c>
    </row>
    <row r="96" spans="1:2" x14ac:dyDescent="0.25">
      <c r="A96" s="14">
        <f t="shared" si="4"/>
        <v>1.0285999999999986</v>
      </c>
      <c r="B96" s="15">
        <f t="shared" si="5"/>
        <v>0.29999999999999938</v>
      </c>
    </row>
    <row r="97" spans="1:2" x14ac:dyDescent="0.25">
      <c r="A97" s="14">
        <f t="shared" si="4"/>
        <v>1.0275799999999986</v>
      </c>
      <c r="B97" s="15">
        <f t="shared" si="5"/>
        <v>0.28999999999999937</v>
      </c>
    </row>
    <row r="98" spans="1:2" x14ac:dyDescent="0.25">
      <c r="A98" s="14">
        <f t="shared" si="4"/>
        <v>1.0265599999999986</v>
      </c>
      <c r="B98" s="15">
        <f t="shared" si="5"/>
        <v>0.27999999999999936</v>
      </c>
    </row>
    <row r="99" spans="1:2" x14ac:dyDescent="0.25">
      <c r="A99" s="14">
        <f t="shared" si="4"/>
        <v>1.0255399999999986</v>
      </c>
      <c r="B99" s="15">
        <f t="shared" si="5"/>
        <v>0.26999999999999935</v>
      </c>
    </row>
    <row r="100" spans="1:2" x14ac:dyDescent="0.25">
      <c r="A100" s="14">
        <f t="shared" si="4"/>
        <v>1.0245199999999985</v>
      </c>
      <c r="B100" s="15">
        <f t="shared" si="5"/>
        <v>0.25999999999999934</v>
      </c>
    </row>
    <row r="101" spans="1:2" x14ac:dyDescent="0.25">
      <c r="A101" s="14">
        <f t="shared" si="4"/>
        <v>1.0234999999999985</v>
      </c>
      <c r="B101" s="15">
        <f t="shared" si="5"/>
        <v>0.24999999999999933</v>
      </c>
    </row>
    <row r="102" spans="1:2" x14ac:dyDescent="0.25">
      <c r="A102" s="14">
        <f t="shared" si="4"/>
        <v>1.0224799999999985</v>
      </c>
      <c r="B102" s="15">
        <f t="shared" si="5"/>
        <v>0.23999999999999932</v>
      </c>
    </row>
    <row r="103" spans="1:2" x14ac:dyDescent="0.25">
      <c r="A103" s="14">
        <f t="shared" si="4"/>
        <v>1.0214599999999985</v>
      </c>
      <c r="B103" s="15">
        <f t="shared" si="5"/>
        <v>0.22999999999999932</v>
      </c>
    </row>
    <row r="104" spans="1:2" x14ac:dyDescent="0.25">
      <c r="A104" s="14">
        <f t="shared" si="4"/>
        <v>1.0204399999999985</v>
      </c>
      <c r="B104" s="15">
        <f t="shared" si="5"/>
        <v>0.21999999999999931</v>
      </c>
    </row>
    <row r="105" spans="1:2" x14ac:dyDescent="0.25">
      <c r="A105" s="14">
        <f t="shared" si="4"/>
        <v>1.0194199999999984</v>
      </c>
      <c r="B105" s="15">
        <f t="shared" si="5"/>
        <v>0.2099999999999993</v>
      </c>
    </row>
    <row r="106" spans="1:2" x14ac:dyDescent="0.25">
      <c r="A106" s="14">
        <f t="shared" si="4"/>
        <v>1.0183999999999984</v>
      </c>
      <c r="B106" s="15">
        <f t="shared" si="5"/>
        <v>0.19999999999999929</v>
      </c>
    </row>
    <row r="107" spans="1:2" x14ac:dyDescent="0.25">
      <c r="A107" s="14">
        <f t="shared" si="4"/>
        <v>1.0173799999999984</v>
      </c>
      <c r="B107" s="15">
        <f t="shared" si="5"/>
        <v>0.18999999999999928</v>
      </c>
    </row>
    <row r="108" spans="1:2" x14ac:dyDescent="0.25">
      <c r="A108" s="14">
        <f t="shared" si="4"/>
        <v>1.0163599999999984</v>
      </c>
      <c r="B108" s="15">
        <f t="shared" si="5"/>
        <v>0.17999999999999927</v>
      </c>
    </row>
    <row r="109" spans="1:2" x14ac:dyDescent="0.25">
      <c r="A109" s="14">
        <f t="shared" si="4"/>
        <v>1.0153399999999984</v>
      </c>
      <c r="B109" s="15">
        <f t="shared" si="5"/>
        <v>0.16999999999999926</v>
      </c>
    </row>
    <row r="110" spans="1:2" x14ac:dyDescent="0.25">
      <c r="A110" s="14">
        <f t="shared" si="4"/>
        <v>1.0143199999999983</v>
      </c>
      <c r="B110" s="15">
        <f t="shared" si="5"/>
        <v>0.15999999999999925</v>
      </c>
    </row>
    <row r="111" spans="1:2" x14ac:dyDescent="0.25">
      <c r="A111" s="14">
        <f t="shared" si="4"/>
        <v>1.0132999999999983</v>
      </c>
      <c r="B111" s="15">
        <f t="shared" si="5"/>
        <v>0.14999999999999925</v>
      </c>
    </row>
    <row r="112" spans="1:2" x14ac:dyDescent="0.25">
      <c r="A112" s="14">
        <f t="shared" si="4"/>
        <v>1.0122799999999983</v>
      </c>
      <c r="B112" s="15">
        <f t="shared" si="5"/>
        <v>0.13999999999999924</v>
      </c>
    </row>
    <row r="113" spans="1:2" x14ac:dyDescent="0.25">
      <c r="A113" s="14">
        <f t="shared" si="4"/>
        <v>1.0112599999999983</v>
      </c>
      <c r="B113" s="15">
        <f t="shared" si="5"/>
        <v>0.12999999999999923</v>
      </c>
    </row>
    <row r="114" spans="1:2" x14ac:dyDescent="0.25">
      <c r="A114" s="14">
        <f t="shared" si="4"/>
        <v>1.0102399999999983</v>
      </c>
      <c r="B114" s="15">
        <f t="shared" si="5"/>
        <v>0.11999999999999923</v>
      </c>
    </row>
    <row r="115" spans="1:2" x14ac:dyDescent="0.25">
      <c r="A115" s="14">
        <f t="shared" si="4"/>
        <v>1.0092199999999982</v>
      </c>
      <c r="B115" s="15">
        <f t="shared" si="5"/>
        <v>0.10999999999999924</v>
      </c>
    </row>
    <row r="116" spans="1:2" x14ac:dyDescent="0.25">
      <c r="A116" s="14">
        <f t="shared" si="4"/>
        <v>1.0081999999999982</v>
      </c>
      <c r="B116" s="15">
        <f t="shared" si="5"/>
        <v>9.9999999999999242E-2</v>
      </c>
    </row>
    <row r="117" spans="1:2" x14ac:dyDescent="0.25">
      <c r="A117" s="14">
        <f t="shared" si="4"/>
        <v>1.0071799999999982</v>
      </c>
      <c r="B117" s="15">
        <f t="shared" si="5"/>
        <v>8.9999999999999247E-2</v>
      </c>
    </row>
    <row r="118" spans="1:2" x14ac:dyDescent="0.25">
      <c r="A118" s="14">
        <f t="shared" si="4"/>
        <v>1.0061599999999982</v>
      </c>
      <c r="B118" s="15">
        <f t="shared" si="5"/>
        <v>7.9999999999999252E-2</v>
      </c>
    </row>
    <row r="119" spans="1:2" x14ac:dyDescent="0.25">
      <c r="A119" s="14">
        <f t="shared" si="4"/>
        <v>1.0051399999999981</v>
      </c>
      <c r="B119" s="15">
        <f t="shared" si="5"/>
        <v>6.9999999999999257E-2</v>
      </c>
    </row>
    <row r="120" spans="1:2" x14ac:dyDescent="0.25">
      <c r="A120" s="14">
        <f t="shared" si="4"/>
        <v>1.0041199999999981</v>
      </c>
      <c r="B120" s="15">
        <f t="shared" si="5"/>
        <v>5.9999999999999255E-2</v>
      </c>
    </row>
    <row r="121" spans="1:2" x14ac:dyDescent="0.25">
      <c r="A121" s="14">
        <f t="shared" si="4"/>
        <v>1.0030999999999981</v>
      </c>
      <c r="B121" s="15">
        <f t="shared" si="5"/>
        <v>4.9999999999999253E-2</v>
      </c>
    </row>
    <row r="122" spans="1:2" x14ac:dyDescent="0.25">
      <c r="A122" s="14">
        <f t="shared" si="4"/>
        <v>1.0020799999999981</v>
      </c>
      <c r="B122" s="15">
        <f t="shared" si="5"/>
        <v>3.9999999999999251E-2</v>
      </c>
    </row>
    <row r="123" spans="1:2" x14ac:dyDescent="0.25">
      <c r="A123" s="14">
        <f t="shared" si="4"/>
        <v>1.0010599999999981</v>
      </c>
      <c r="B123" s="15">
        <f t="shared" si="5"/>
        <v>2.9999999999999249E-2</v>
      </c>
    </row>
    <row r="124" spans="1:2" x14ac:dyDescent="0.25">
      <c r="A124" s="14">
        <f t="shared" si="4"/>
        <v>1.000039999999998</v>
      </c>
      <c r="B124" s="15">
        <f t="shared" si="5"/>
        <v>1.9999999999999248E-2</v>
      </c>
    </row>
    <row r="125" spans="1:2" x14ac:dyDescent="0.25">
      <c r="A125" s="14">
        <f t="shared" si="4"/>
        <v>0.99901999999999802</v>
      </c>
      <c r="B125" s="15">
        <f t="shared" si="5"/>
        <v>9.9999999999992473E-3</v>
      </c>
    </row>
    <row r="126" spans="1:2" ht="15.75" thickBot="1" x14ac:dyDescent="0.3">
      <c r="A126" s="16">
        <f t="shared" si="4"/>
        <v>0.997999999999998</v>
      </c>
      <c r="B126" s="17">
        <f t="shared" si="5"/>
        <v>-7.5286998857393428E-16</v>
      </c>
    </row>
  </sheetData>
  <mergeCells count="9">
    <mergeCell ref="C18:D18"/>
    <mergeCell ref="C25:D25"/>
    <mergeCell ref="A1:B1"/>
    <mergeCell ref="F1:G1"/>
    <mergeCell ref="I8:J8"/>
    <mergeCell ref="I1:J1"/>
    <mergeCell ref="A7:B7"/>
    <mergeCell ref="A11:B11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FF07-4B94-49B0-BB9D-73874A51B41C}">
  <dimension ref="A1:J127"/>
  <sheetViews>
    <sheetView zoomScale="80" zoomScaleNormal="80" workbookViewId="0">
      <selection sqref="A1:XFD1048576"/>
    </sheetView>
  </sheetViews>
  <sheetFormatPr baseColWidth="10" defaultColWidth="11.42578125" defaultRowHeight="15" x14ac:dyDescent="0.25"/>
  <cols>
    <col min="1" max="1" width="31" bestFit="1" customWidth="1"/>
    <col min="2" max="2" width="15.7109375" bestFit="1" customWidth="1"/>
    <col min="3" max="3" width="35.42578125" bestFit="1" customWidth="1"/>
    <col min="4" max="4" width="19.85546875" bestFit="1" customWidth="1"/>
    <col min="5" max="5" width="35.42578125" bestFit="1" customWidth="1"/>
    <col min="6" max="6" width="18.5703125" bestFit="1" customWidth="1"/>
    <col min="9" max="9" width="35.42578125" bestFit="1" customWidth="1"/>
  </cols>
  <sheetData>
    <row r="1" spans="1:10" x14ac:dyDescent="0.25">
      <c r="A1" s="163" t="s">
        <v>0</v>
      </c>
      <c r="B1" s="164"/>
      <c r="C1" s="32" t="s">
        <v>1</v>
      </c>
      <c r="D1" s="27">
        <v>0.998</v>
      </c>
      <c r="I1" s="163" t="s">
        <v>41</v>
      </c>
      <c r="J1" s="164"/>
    </row>
    <row r="2" spans="1:10" x14ac:dyDescent="0.25">
      <c r="A2" s="14"/>
      <c r="B2" s="29" t="s">
        <v>4</v>
      </c>
      <c r="C2" s="9" t="s">
        <v>5</v>
      </c>
      <c r="D2" s="9" t="s">
        <v>6</v>
      </c>
      <c r="I2" s="14" t="s">
        <v>42</v>
      </c>
      <c r="J2" s="28">
        <v>400</v>
      </c>
    </row>
    <row r="3" spans="1:10" ht="15.75" thickBot="1" x14ac:dyDescent="0.3">
      <c r="A3" s="14" t="s">
        <v>8</v>
      </c>
      <c r="B3" s="29">
        <f>C3</f>
        <v>709.5</v>
      </c>
      <c r="C3" s="54">
        <v>709.5</v>
      </c>
      <c r="D3" s="10">
        <f>(C3-B3)/C3</f>
        <v>0</v>
      </c>
      <c r="I3" s="14" t="s">
        <v>43</v>
      </c>
      <c r="J3" s="66" t="s">
        <v>44</v>
      </c>
    </row>
    <row r="4" spans="1:10" x14ac:dyDescent="0.25">
      <c r="A4" s="14" t="s">
        <v>9</v>
      </c>
      <c r="B4" s="59">
        <f>B3*0.47</f>
        <v>333.46499999999997</v>
      </c>
      <c r="C4" s="35">
        <v>331</v>
      </c>
      <c r="D4" s="33">
        <f t="shared" ref="D4" si="0">(C4-B4)/C4</f>
        <v>-7.4471299093654833E-3</v>
      </c>
      <c r="I4" s="14" t="s">
        <v>45</v>
      </c>
      <c r="J4" s="28">
        <v>1.25</v>
      </c>
    </row>
    <row r="5" spans="1:10" ht="15.75" thickBot="1" x14ac:dyDescent="0.3">
      <c r="A5" s="16" t="s">
        <v>13</v>
      </c>
      <c r="B5" s="60">
        <f>B3*0.53</f>
        <v>376.03500000000003</v>
      </c>
      <c r="C5" s="36">
        <v>378.5</v>
      </c>
      <c r="D5" s="33">
        <f>(C5-B5)/C5</f>
        <v>6.5125495376485466E-3</v>
      </c>
      <c r="I5" s="14" t="s">
        <v>46</v>
      </c>
      <c r="J5" s="28">
        <v>20</v>
      </c>
    </row>
    <row r="6" spans="1:10" ht="15.75" thickBot="1" x14ac:dyDescent="0.3">
      <c r="I6" s="14" t="s">
        <v>47</v>
      </c>
      <c r="J6" s="61">
        <f>4.914/4.931</f>
        <v>0.99655242344352046</v>
      </c>
    </row>
    <row r="7" spans="1:10" x14ac:dyDescent="0.25">
      <c r="A7" s="163" t="s">
        <v>17</v>
      </c>
      <c r="B7" s="164"/>
      <c r="I7" s="14" t="s">
        <v>48</v>
      </c>
      <c r="J7" s="21">
        <f>J5*J6</f>
        <v>19.931048468870408</v>
      </c>
    </row>
    <row r="8" spans="1:10" x14ac:dyDescent="0.25">
      <c r="A8" s="14" t="str">
        <f>A5</f>
        <v>Grano con mucilago (g)</v>
      </c>
      <c r="B8" s="28">
        <f>C5</f>
        <v>378.5</v>
      </c>
      <c r="I8" s="170" t="s">
        <v>35</v>
      </c>
      <c r="J8" s="169"/>
    </row>
    <row r="9" spans="1:10" x14ac:dyDescent="0.25">
      <c r="A9" s="14" t="s">
        <v>20</v>
      </c>
      <c r="B9" s="44">
        <f>(B8*0.5)/D1</f>
        <v>189.62925851703406</v>
      </c>
      <c r="I9" s="14" t="s">
        <v>49</v>
      </c>
      <c r="J9" s="20">
        <f>_xlfn.FORECAST.LINEAR(J6,F36:F46,E36:E46)</f>
        <v>6.9262036195185672E-3</v>
      </c>
    </row>
    <row r="10" spans="1:10" ht="15.75" thickBot="1" x14ac:dyDescent="0.3">
      <c r="A10" s="37" t="s">
        <v>10</v>
      </c>
      <c r="B10" s="38">
        <f>B8+(B9*D1)</f>
        <v>567.75</v>
      </c>
      <c r="I10" s="14" t="s">
        <v>50</v>
      </c>
      <c r="J10" s="21">
        <f>J7*J9</f>
        <v>0.13804650004589022</v>
      </c>
    </row>
    <row r="11" spans="1:10" ht="15.75" thickBot="1" x14ac:dyDescent="0.3">
      <c r="A11" s="163" t="s">
        <v>23</v>
      </c>
      <c r="B11" s="164"/>
      <c r="C11" s="57" t="s">
        <v>24</v>
      </c>
      <c r="D11" s="13" t="s">
        <v>6</v>
      </c>
      <c r="I11" s="14" t="s">
        <v>38</v>
      </c>
      <c r="J11" s="21">
        <f>J7-J10</f>
        <v>19.793001968824516</v>
      </c>
    </row>
    <row r="12" spans="1:10" ht="15.75" thickBot="1" x14ac:dyDescent="0.3">
      <c r="A12" s="14" t="s">
        <v>51</v>
      </c>
      <c r="B12" s="29">
        <f>B8*0.97</f>
        <v>367.14499999999998</v>
      </c>
      <c r="C12" s="24">
        <v>370.3</v>
      </c>
      <c r="D12" s="40">
        <f>(C12-B12)/C12</f>
        <v>8.5201188225763683E-3</v>
      </c>
      <c r="I12" s="16" t="s">
        <v>14</v>
      </c>
      <c r="J12" s="22">
        <f>J10+J11</f>
        <v>19.931048468870408</v>
      </c>
    </row>
    <row r="13" spans="1:10" ht="15.75" thickBot="1" x14ac:dyDescent="0.3">
      <c r="A13" s="14" t="s">
        <v>28</v>
      </c>
      <c r="B13" s="58">
        <f>B10-B12</f>
        <v>200.60500000000002</v>
      </c>
      <c r="C13" s="25">
        <v>197.5</v>
      </c>
      <c r="D13" s="41">
        <f>(C13-B13)/C13</f>
        <v>-1.5721518987341865E-2</v>
      </c>
    </row>
    <row r="14" spans="1:10" ht="15.75" thickBot="1" x14ac:dyDescent="0.3">
      <c r="A14" s="16" t="s">
        <v>14</v>
      </c>
      <c r="B14" s="39">
        <f>B12+B13</f>
        <v>567.75</v>
      </c>
      <c r="C14" s="43">
        <f>C12+C13</f>
        <v>567.79999999999995</v>
      </c>
      <c r="D14" s="41">
        <f>(C14-B14)/C14</f>
        <v>8.8059175766034748E-5</v>
      </c>
      <c r="F14" s="163" t="s">
        <v>2</v>
      </c>
      <c r="G14" s="164"/>
    </row>
    <row r="15" spans="1:10" ht="15.75" thickBot="1" x14ac:dyDescent="0.3">
      <c r="A15" s="173" t="s">
        <v>30</v>
      </c>
      <c r="B15" s="174"/>
      <c r="D15" s="1"/>
      <c r="F15" s="52" t="s">
        <v>7</v>
      </c>
      <c r="G15" s="18">
        <v>7</v>
      </c>
    </row>
    <row r="16" spans="1:10" x14ac:dyDescent="0.25">
      <c r="A16" s="55" t="s">
        <v>32</v>
      </c>
      <c r="B16" s="56">
        <f>5.054</f>
        <v>5.0540000000000003</v>
      </c>
      <c r="F16" s="14" t="s">
        <v>9</v>
      </c>
      <c r="G16" s="44">
        <f>B4/2</f>
        <v>166.73249999999999</v>
      </c>
    </row>
    <row r="17" spans="1:7" x14ac:dyDescent="0.25">
      <c r="A17" s="23" t="s">
        <v>33</v>
      </c>
      <c r="B17" s="25">
        <v>4.931</v>
      </c>
      <c r="F17" s="14" t="s">
        <v>11</v>
      </c>
      <c r="G17" s="44">
        <f>(G16*0.5)/D1</f>
        <v>83.533316633266523</v>
      </c>
    </row>
    <row r="18" spans="1:7" ht="15.75" thickBot="1" x14ac:dyDescent="0.3">
      <c r="A18" s="23" t="s">
        <v>34</v>
      </c>
      <c r="B18" s="26">
        <f>B16/B17</f>
        <v>1.0249442303792335</v>
      </c>
      <c r="F18" s="16" t="s">
        <v>14</v>
      </c>
      <c r="G18" s="53">
        <f>G16+(G17*D1)</f>
        <v>250.09875</v>
      </c>
    </row>
    <row r="19" spans="1:7" x14ac:dyDescent="0.25">
      <c r="A19" s="171" t="s">
        <v>35</v>
      </c>
      <c r="B19" s="172"/>
      <c r="C19" s="163" t="s">
        <v>52</v>
      </c>
      <c r="D19" s="164"/>
      <c r="E19" s="163" t="s">
        <v>53</v>
      </c>
      <c r="F19" s="164"/>
    </row>
    <row r="20" spans="1:7" x14ac:dyDescent="0.25">
      <c r="A20" s="14" t="s">
        <v>36</v>
      </c>
      <c r="B20" s="46">
        <f>_xlfn.FORECAST.LINEAR(B18,B27:B37,A27:A37)</f>
        <v>0.26415912136503295</v>
      </c>
      <c r="C20" s="14" t="s">
        <v>7</v>
      </c>
      <c r="D20" s="28">
        <v>7</v>
      </c>
      <c r="E20" s="14" t="s">
        <v>7</v>
      </c>
      <c r="F20" s="28">
        <v>7</v>
      </c>
    </row>
    <row r="21" spans="1:7" x14ac:dyDescent="0.25">
      <c r="A21" s="14" t="s">
        <v>37</v>
      </c>
      <c r="B21" s="47">
        <f>B13*B20</f>
        <v>52.991640541432439</v>
      </c>
      <c r="C21" s="14" t="s">
        <v>10</v>
      </c>
      <c r="D21" s="21">
        <f>B23</f>
        <v>200.60500000000002</v>
      </c>
      <c r="E21" s="14" t="s">
        <v>10</v>
      </c>
      <c r="F21" s="62">
        <f>G18</f>
        <v>250.09875</v>
      </c>
    </row>
    <row r="22" spans="1:7" x14ac:dyDescent="0.25">
      <c r="A22" s="14" t="s">
        <v>38</v>
      </c>
      <c r="B22" s="47">
        <f>B13-B21</f>
        <v>147.61335945856757</v>
      </c>
      <c r="C22" s="14" t="s">
        <v>12</v>
      </c>
      <c r="D22" s="21">
        <f>D21*(D20/100)</f>
        <v>14.042350000000003</v>
      </c>
      <c r="E22" s="14" t="s">
        <v>12</v>
      </c>
      <c r="F22" s="21">
        <f>F21*(F20/100)</f>
        <v>17.506912500000002</v>
      </c>
    </row>
    <row r="23" spans="1:7" ht="15.75" thickBot="1" x14ac:dyDescent="0.3">
      <c r="A23" s="16" t="s">
        <v>14</v>
      </c>
      <c r="B23" s="48">
        <f>B21+B22</f>
        <v>200.60500000000002</v>
      </c>
      <c r="C23" s="14" t="s">
        <v>15</v>
      </c>
      <c r="D23" s="15">
        <v>0.7</v>
      </c>
      <c r="E23" s="14" t="s">
        <v>15</v>
      </c>
      <c r="F23" s="15">
        <v>0.7</v>
      </c>
    </row>
    <row r="24" spans="1:7" x14ac:dyDescent="0.25">
      <c r="C24" s="14" t="s">
        <v>16</v>
      </c>
      <c r="D24" s="28">
        <v>180.15</v>
      </c>
      <c r="E24" s="14" t="s">
        <v>16</v>
      </c>
      <c r="F24" s="28">
        <v>180.15</v>
      </c>
    </row>
    <row r="25" spans="1:7" x14ac:dyDescent="0.25">
      <c r="A25" t="s">
        <v>39</v>
      </c>
      <c r="B25">
        <f>(1.1-0.998)/10</f>
        <v>1.0200000000000009E-2</v>
      </c>
      <c r="C25" s="14" t="s">
        <v>18</v>
      </c>
      <c r="D25" s="61">
        <f>D22/D24</f>
        <v>7.7948098806550112E-2</v>
      </c>
      <c r="E25" s="14" t="s">
        <v>18</v>
      </c>
      <c r="F25" s="61">
        <f>F22/F24</f>
        <v>9.7179641965029151E-2</v>
      </c>
    </row>
    <row r="26" spans="1:7" x14ac:dyDescent="0.25">
      <c r="A26" s="9"/>
      <c r="B26" s="9" t="s">
        <v>40</v>
      </c>
      <c r="C26" s="168" t="s">
        <v>19</v>
      </c>
      <c r="D26" s="169"/>
      <c r="E26" s="170" t="s">
        <v>19</v>
      </c>
      <c r="F26" s="169"/>
    </row>
    <row r="27" spans="1:7" x14ac:dyDescent="0.25">
      <c r="A27" s="9">
        <v>1.1000000000000001</v>
      </c>
      <c r="B27" s="10">
        <f>1</f>
        <v>1</v>
      </c>
      <c r="C27" s="64" t="s">
        <v>21</v>
      </c>
      <c r="D27" s="28">
        <f>D25-(D25*D23)</f>
        <v>2.3384429641965035E-2</v>
      </c>
      <c r="E27" s="14" t="s">
        <v>21</v>
      </c>
      <c r="F27" s="28">
        <f>F25-(F25*F23)</f>
        <v>2.9153892589508748E-2</v>
      </c>
    </row>
    <row r="28" spans="1:7" x14ac:dyDescent="0.25">
      <c r="A28" s="9">
        <f t="shared" ref="A28:A37" si="1">A27-$B$25</f>
        <v>1.0898000000000001</v>
      </c>
      <c r="B28" s="11">
        <f>B27-0.1</f>
        <v>0.9</v>
      </c>
      <c r="C28" s="64" t="s">
        <v>22</v>
      </c>
      <c r="D28" s="28">
        <f>D25*2*D23</f>
        <v>0.10912733832917015</v>
      </c>
      <c r="E28" s="14" t="s">
        <v>22</v>
      </c>
      <c r="F28" s="28">
        <f>F25*2*F23</f>
        <v>0.13605149875104081</v>
      </c>
    </row>
    <row r="29" spans="1:7" x14ac:dyDescent="0.25">
      <c r="A29" s="9">
        <f t="shared" si="1"/>
        <v>1.0796000000000001</v>
      </c>
      <c r="B29" s="11">
        <f t="shared" ref="B29:B37" si="2">B28-0.1</f>
        <v>0.8</v>
      </c>
      <c r="C29" s="64" t="s">
        <v>25</v>
      </c>
      <c r="D29" s="28">
        <f>D28</f>
        <v>0.10912733832917015</v>
      </c>
      <c r="E29" s="14" t="s">
        <v>25</v>
      </c>
      <c r="F29" s="28">
        <f>F28</f>
        <v>0.13605149875104081</v>
      </c>
    </row>
    <row r="30" spans="1:7" x14ac:dyDescent="0.25">
      <c r="A30" s="9">
        <f t="shared" si="1"/>
        <v>1.0694000000000001</v>
      </c>
      <c r="B30" s="11">
        <f t="shared" si="2"/>
        <v>0.70000000000000007</v>
      </c>
      <c r="C30" s="64" t="s">
        <v>27</v>
      </c>
      <c r="D30" s="28">
        <v>46</v>
      </c>
      <c r="E30" s="14" t="s">
        <v>27</v>
      </c>
      <c r="F30" s="28">
        <v>46</v>
      </c>
    </row>
    <row r="31" spans="1:7" x14ac:dyDescent="0.25">
      <c r="A31" s="9">
        <f t="shared" si="1"/>
        <v>1.0592000000000001</v>
      </c>
      <c r="B31" s="11">
        <f t="shared" si="2"/>
        <v>0.60000000000000009</v>
      </c>
      <c r="C31" s="64" t="s">
        <v>29</v>
      </c>
      <c r="D31" s="21">
        <f>D28*D30</f>
        <v>5.0198575631418274</v>
      </c>
      <c r="E31" s="14" t="s">
        <v>29</v>
      </c>
      <c r="F31" s="21">
        <f>F28*F30</f>
        <v>6.258368942547877</v>
      </c>
    </row>
    <row r="32" spans="1:7" ht="15.75" thickBot="1" x14ac:dyDescent="0.3">
      <c r="A32" s="9">
        <f t="shared" si="1"/>
        <v>1.0490000000000002</v>
      </c>
      <c r="B32" s="11">
        <f t="shared" si="2"/>
        <v>0.50000000000000011</v>
      </c>
      <c r="C32" s="65" t="s">
        <v>54</v>
      </c>
      <c r="D32" s="22">
        <f>D31/D23</f>
        <v>7.1712250902026113</v>
      </c>
      <c r="E32" s="16" t="s">
        <v>54</v>
      </c>
      <c r="F32" s="22">
        <f>F31/F23</f>
        <v>8.9405270607826814</v>
      </c>
    </row>
    <row r="33" spans="1:6" x14ac:dyDescent="0.25">
      <c r="A33" s="9">
        <f t="shared" si="1"/>
        <v>1.0388000000000002</v>
      </c>
      <c r="B33" s="11">
        <f t="shared" si="2"/>
        <v>0.40000000000000013</v>
      </c>
    </row>
    <row r="34" spans="1:6" x14ac:dyDescent="0.25">
      <c r="A34" s="9">
        <f t="shared" si="1"/>
        <v>1.0286000000000002</v>
      </c>
      <c r="B34" s="11">
        <f t="shared" si="2"/>
        <v>0.30000000000000016</v>
      </c>
      <c r="E34" t="s">
        <v>39</v>
      </c>
      <c r="F34">
        <f>(0.998-0.789)/10</f>
        <v>2.0899999999999995E-2</v>
      </c>
    </row>
    <row r="35" spans="1:6" x14ac:dyDescent="0.25">
      <c r="A35" s="9">
        <f t="shared" si="1"/>
        <v>1.0184000000000002</v>
      </c>
      <c r="B35" s="11">
        <f t="shared" si="2"/>
        <v>0.20000000000000015</v>
      </c>
      <c r="E35" s="9" t="s">
        <v>55</v>
      </c>
      <c r="F35" s="9" t="s">
        <v>56</v>
      </c>
    </row>
    <row r="36" spans="1:6" x14ac:dyDescent="0.25">
      <c r="A36" s="9">
        <f t="shared" si="1"/>
        <v>1.0082000000000002</v>
      </c>
      <c r="B36" s="11">
        <f t="shared" si="2"/>
        <v>0.10000000000000014</v>
      </c>
      <c r="E36" s="9">
        <v>0.998</v>
      </c>
      <c r="F36" s="10">
        <v>0</v>
      </c>
    </row>
    <row r="37" spans="1:6" x14ac:dyDescent="0.25">
      <c r="A37" s="9">
        <f t="shared" si="1"/>
        <v>0.99800000000000022</v>
      </c>
      <c r="B37" s="11">
        <f t="shared" si="2"/>
        <v>1.3877787807814457E-16</v>
      </c>
      <c r="E37" s="9">
        <f>E36-$F$34</f>
        <v>0.97709999999999997</v>
      </c>
      <c r="F37" s="11">
        <f>F36+0.1</f>
        <v>0.1</v>
      </c>
    </row>
    <row r="38" spans="1:6" x14ac:dyDescent="0.25">
      <c r="B38" s="63"/>
      <c r="E38" s="9">
        <f t="shared" ref="E38:E46" si="3">E37-$F$34</f>
        <v>0.95619999999999994</v>
      </c>
      <c r="F38" s="11">
        <f t="shared" ref="F38:F46" si="4">F37+0.1</f>
        <v>0.2</v>
      </c>
    </row>
    <row r="39" spans="1:6" x14ac:dyDescent="0.25">
      <c r="B39" s="63"/>
      <c r="E39" s="9">
        <f t="shared" si="3"/>
        <v>0.93529999999999991</v>
      </c>
      <c r="F39" s="11">
        <f t="shared" si="4"/>
        <v>0.30000000000000004</v>
      </c>
    </row>
    <row r="40" spans="1:6" x14ac:dyDescent="0.25">
      <c r="B40" s="63"/>
      <c r="E40" s="9">
        <f t="shared" si="3"/>
        <v>0.91439999999999988</v>
      </c>
      <c r="F40" s="11">
        <f t="shared" si="4"/>
        <v>0.4</v>
      </c>
    </row>
    <row r="41" spans="1:6" x14ac:dyDescent="0.25">
      <c r="B41" s="63"/>
      <c r="E41" s="9">
        <f t="shared" si="3"/>
        <v>0.89349999999999985</v>
      </c>
      <c r="F41" s="11">
        <f t="shared" si="4"/>
        <v>0.5</v>
      </c>
    </row>
    <row r="42" spans="1:6" x14ac:dyDescent="0.25">
      <c r="B42" s="63"/>
      <c r="E42" s="9">
        <f t="shared" si="3"/>
        <v>0.87259999999999982</v>
      </c>
      <c r="F42" s="11">
        <f t="shared" si="4"/>
        <v>0.6</v>
      </c>
    </row>
    <row r="43" spans="1:6" x14ac:dyDescent="0.25">
      <c r="B43" s="63"/>
      <c r="E43" s="9">
        <f t="shared" si="3"/>
        <v>0.85169999999999979</v>
      </c>
      <c r="F43" s="11">
        <f t="shared" si="4"/>
        <v>0.7</v>
      </c>
    </row>
    <row r="44" spans="1:6" x14ac:dyDescent="0.25">
      <c r="B44" s="63"/>
      <c r="E44" s="9">
        <f t="shared" si="3"/>
        <v>0.83079999999999976</v>
      </c>
      <c r="F44" s="11">
        <f t="shared" si="4"/>
        <v>0.79999999999999993</v>
      </c>
    </row>
    <row r="45" spans="1:6" x14ac:dyDescent="0.25">
      <c r="B45" s="63"/>
      <c r="E45" s="9">
        <f t="shared" si="3"/>
        <v>0.80989999999999973</v>
      </c>
      <c r="F45" s="11">
        <f t="shared" si="4"/>
        <v>0.89999999999999991</v>
      </c>
    </row>
    <row r="46" spans="1:6" x14ac:dyDescent="0.25">
      <c r="B46" s="63"/>
      <c r="E46" s="9">
        <f t="shared" si="3"/>
        <v>0.7889999999999997</v>
      </c>
      <c r="F46" s="11">
        <f t="shared" si="4"/>
        <v>0.99999999999999989</v>
      </c>
    </row>
    <row r="47" spans="1:6" x14ac:dyDescent="0.25">
      <c r="B47" s="63"/>
    </row>
    <row r="48" spans="1:6" x14ac:dyDescent="0.25">
      <c r="B48" s="63"/>
    </row>
    <row r="49" spans="2:2" x14ac:dyDescent="0.25">
      <c r="B49" s="63"/>
    </row>
    <row r="50" spans="2:2" x14ac:dyDescent="0.25">
      <c r="B50" s="63"/>
    </row>
    <row r="51" spans="2:2" x14ac:dyDescent="0.25">
      <c r="B51" s="63"/>
    </row>
    <row r="52" spans="2:2" x14ac:dyDescent="0.25">
      <c r="B52" s="63"/>
    </row>
    <row r="53" spans="2:2" x14ac:dyDescent="0.25">
      <c r="B53" s="63"/>
    </row>
    <row r="54" spans="2:2" x14ac:dyDescent="0.25">
      <c r="B54" s="63"/>
    </row>
    <row r="55" spans="2:2" x14ac:dyDescent="0.25">
      <c r="B55" s="63"/>
    </row>
    <row r="56" spans="2:2" x14ac:dyDescent="0.25">
      <c r="B56" s="63"/>
    </row>
    <row r="57" spans="2:2" x14ac:dyDescent="0.25">
      <c r="B57" s="63"/>
    </row>
    <row r="58" spans="2:2" x14ac:dyDescent="0.25">
      <c r="B58" s="63"/>
    </row>
    <row r="59" spans="2:2" x14ac:dyDescent="0.25">
      <c r="B59" s="63"/>
    </row>
    <row r="60" spans="2:2" x14ac:dyDescent="0.25">
      <c r="B60" s="63"/>
    </row>
    <row r="61" spans="2:2" x14ac:dyDescent="0.25">
      <c r="B61" s="63"/>
    </row>
    <row r="62" spans="2:2" x14ac:dyDescent="0.25">
      <c r="B62" s="63"/>
    </row>
    <row r="63" spans="2:2" x14ac:dyDescent="0.25">
      <c r="B63" s="63"/>
    </row>
    <row r="64" spans="2:2" x14ac:dyDescent="0.25">
      <c r="B64" s="63"/>
    </row>
    <row r="65" spans="2:2" x14ac:dyDescent="0.25">
      <c r="B65" s="63"/>
    </row>
    <row r="66" spans="2:2" x14ac:dyDescent="0.25">
      <c r="B66" s="63"/>
    </row>
    <row r="67" spans="2:2" x14ac:dyDescent="0.25">
      <c r="B67" s="63"/>
    </row>
    <row r="68" spans="2:2" x14ac:dyDescent="0.25">
      <c r="B68" s="63"/>
    </row>
    <row r="69" spans="2:2" x14ac:dyDescent="0.25">
      <c r="B69" s="63"/>
    </row>
    <row r="70" spans="2:2" x14ac:dyDescent="0.25">
      <c r="B70" s="63"/>
    </row>
    <row r="71" spans="2:2" x14ac:dyDescent="0.25">
      <c r="B71" s="63"/>
    </row>
    <row r="72" spans="2:2" x14ac:dyDescent="0.25">
      <c r="B72" s="63"/>
    </row>
    <row r="73" spans="2:2" x14ac:dyDescent="0.25">
      <c r="B73" s="63"/>
    </row>
    <row r="74" spans="2:2" x14ac:dyDescent="0.25">
      <c r="B74" s="63"/>
    </row>
    <row r="75" spans="2:2" x14ac:dyDescent="0.25">
      <c r="B75" s="63"/>
    </row>
    <row r="76" spans="2:2" x14ac:dyDescent="0.25">
      <c r="B76" s="63"/>
    </row>
    <row r="77" spans="2:2" x14ac:dyDescent="0.25">
      <c r="B77" s="63"/>
    </row>
    <row r="78" spans="2:2" x14ac:dyDescent="0.25">
      <c r="B78" s="63"/>
    </row>
    <row r="79" spans="2:2" x14ac:dyDescent="0.25">
      <c r="B79" s="63"/>
    </row>
    <row r="80" spans="2:2" x14ac:dyDescent="0.25">
      <c r="B80" s="63"/>
    </row>
    <row r="81" spans="2:2" x14ac:dyDescent="0.25">
      <c r="B81" s="63"/>
    </row>
    <row r="82" spans="2:2" x14ac:dyDescent="0.25">
      <c r="B82" s="63"/>
    </row>
    <row r="83" spans="2:2" x14ac:dyDescent="0.25">
      <c r="B83" s="63"/>
    </row>
    <row r="84" spans="2:2" x14ac:dyDescent="0.25">
      <c r="B84" s="63"/>
    </row>
    <row r="85" spans="2:2" x14ac:dyDescent="0.25">
      <c r="B85" s="63"/>
    </row>
    <row r="86" spans="2:2" x14ac:dyDescent="0.25">
      <c r="B86" s="63"/>
    </row>
    <row r="87" spans="2:2" x14ac:dyDescent="0.25">
      <c r="B87" s="63"/>
    </row>
    <row r="88" spans="2:2" x14ac:dyDescent="0.25">
      <c r="B88" s="63"/>
    </row>
    <row r="89" spans="2:2" x14ac:dyDescent="0.25">
      <c r="B89" s="63"/>
    </row>
    <row r="90" spans="2:2" x14ac:dyDescent="0.25">
      <c r="B90" s="63"/>
    </row>
    <row r="91" spans="2:2" x14ac:dyDescent="0.25">
      <c r="B91" s="63"/>
    </row>
    <row r="92" spans="2:2" x14ac:dyDescent="0.25">
      <c r="B92" s="63"/>
    </row>
    <row r="93" spans="2:2" x14ac:dyDescent="0.25">
      <c r="B93" s="63"/>
    </row>
    <row r="94" spans="2:2" x14ac:dyDescent="0.25">
      <c r="B94" s="63"/>
    </row>
    <row r="95" spans="2:2" x14ac:dyDescent="0.25">
      <c r="B95" s="63"/>
    </row>
    <row r="96" spans="2:2" x14ac:dyDescent="0.25">
      <c r="B96" s="63"/>
    </row>
    <row r="97" spans="2:2" x14ac:dyDescent="0.25">
      <c r="B97" s="63"/>
    </row>
    <row r="98" spans="2:2" x14ac:dyDescent="0.25">
      <c r="B98" s="63"/>
    </row>
    <row r="99" spans="2:2" x14ac:dyDescent="0.25">
      <c r="B99" s="63"/>
    </row>
    <row r="100" spans="2:2" x14ac:dyDescent="0.25">
      <c r="B100" s="63"/>
    </row>
    <row r="101" spans="2:2" x14ac:dyDescent="0.25">
      <c r="B101" s="63"/>
    </row>
    <row r="102" spans="2:2" x14ac:dyDescent="0.25">
      <c r="B102" s="63"/>
    </row>
    <row r="103" spans="2:2" x14ac:dyDescent="0.25">
      <c r="B103" s="63"/>
    </row>
    <row r="104" spans="2:2" x14ac:dyDescent="0.25">
      <c r="B104" s="63"/>
    </row>
    <row r="105" spans="2:2" x14ac:dyDescent="0.25">
      <c r="B105" s="63"/>
    </row>
    <row r="106" spans="2:2" x14ac:dyDescent="0.25">
      <c r="B106" s="63"/>
    </row>
    <row r="107" spans="2:2" x14ac:dyDescent="0.25">
      <c r="B107" s="63"/>
    </row>
    <row r="108" spans="2:2" x14ac:dyDescent="0.25">
      <c r="B108" s="63"/>
    </row>
    <row r="109" spans="2:2" x14ac:dyDescent="0.25">
      <c r="B109" s="63"/>
    </row>
    <row r="110" spans="2:2" x14ac:dyDescent="0.25">
      <c r="B110" s="63"/>
    </row>
    <row r="111" spans="2:2" x14ac:dyDescent="0.25">
      <c r="B111" s="63"/>
    </row>
    <row r="112" spans="2:2" x14ac:dyDescent="0.25">
      <c r="B112" s="63"/>
    </row>
    <row r="113" spans="2:2" x14ac:dyDescent="0.25">
      <c r="B113" s="63"/>
    </row>
    <row r="114" spans="2:2" x14ac:dyDescent="0.25">
      <c r="B114" s="63"/>
    </row>
    <row r="115" spans="2:2" x14ac:dyDescent="0.25">
      <c r="B115" s="63"/>
    </row>
    <row r="116" spans="2:2" x14ac:dyDescent="0.25">
      <c r="B116" s="63"/>
    </row>
    <row r="117" spans="2:2" x14ac:dyDescent="0.25">
      <c r="B117" s="63"/>
    </row>
    <row r="118" spans="2:2" x14ac:dyDescent="0.25">
      <c r="B118" s="63"/>
    </row>
    <row r="119" spans="2:2" x14ac:dyDescent="0.25">
      <c r="B119" s="63"/>
    </row>
    <row r="120" spans="2:2" x14ac:dyDescent="0.25">
      <c r="B120" s="63"/>
    </row>
    <row r="121" spans="2:2" x14ac:dyDescent="0.25">
      <c r="B121" s="63"/>
    </row>
    <row r="122" spans="2:2" x14ac:dyDescent="0.25">
      <c r="B122" s="63"/>
    </row>
    <row r="123" spans="2:2" x14ac:dyDescent="0.25">
      <c r="B123" s="63"/>
    </row>
    <row r="124" spans="2:2" x14ac:dyDescent="0.25">
      <c r="B124" s="63"/>
    </row>
    <row r="125" spans="2:2" x14ac:dyDescent="0.25">
      <c r="B125" s="63"/>
    </row>
    <row r="126" spans="2:2" x14ac:dyDescent="0.25">
      <c r="B126" s="63"/>
    </row>
    <row r="127" spans="2:2" x14ac:dyDescent="0.25">
      <c r="B127" s="63"/>
    </row>
  </sheetData>
  <mergeCells count="12">
    <mergeCell ref="C26:D26"/>
    <mergeCell ref="I8:J8"/>
    <mergeCell ref="A19:B19"/>
    <mergeCell ref="E26:F26"/>
    <mergeCell ref="I1:J1"/>
    <mergeCell ref="A1:B1"/>
    <mergeCell ref="F14:G14"/>
    <mergeCell ref="E19:F19"/>
    <mergeCell ref="A7:B7"/>
    <mergeCell ref="A11:B11"/>
    <mergeCell ref="A15:B15"/>
    <mergeCell ref="C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4F5D-34A8-49FE-B697-D24D2239C8C0}">
  <dimension ref="A1:J127"/>
  <sheetViews>
    <sheetView zoomScale="70" zoomScaleNormal="70" workbookViewId="0">
      <selection activeCell="J5" sqref="J5"/>
    </sheetView>
  </sheetViews>
  <sheetFormatPr baseColWidth="10" defaultColWidth="11.42578125" defaultRowHeight="15" x14ac:dyDescent="0.25"/>
  <cols>
    <col min="1" max="1" width="31" bestFit="1" customWidth="1"/>
    <col min="2" max="2" width="15.7109375" bestFit="1" customWidth="1"/>
    <col min="3" max="3" width="38.140625" bestFit="1" customWidth="1"/>
    <col min="4" max="4" width="19.85546875" bestFit="1" customWidth="1"/>
    <col min="5" max="5" width="38.140625" bestFit="1" customWidth="1"/>
    <col min="6" max="6" width="18.5703125" bestFit="1" customWidth="1"/>
    <col min="9" max="9" width="35.42578125" bestFit="1" customWidth="1"/>
  </cols>
  <sheetData>
    <row r="1" spans="1:10" x14ac:dyDescent="0.25">
      <c r="A1" s="163" t="s">
        <v>0</v>
      </c>
      <c r="B1" s="164"/>
      <c r="C1" s="32" t="s">
        <v>1</v>
      </c>
      <c r="D1" s="27">
        <v>0.998</v>
      </c>
      <c r="I1" s="163" t="s">
        <v>41</v>
      </c>
      <c r="J1" s="164"/>
    </row>
    <row r="2" spans="1:10" x14ac:dyDescent="0.25">
      <c r="A2" s="14"/>
      <c r="B2" s="29" t="s">
        <v>4</v>
      </c>
      <c r="C2" s="9" t="s">
        <v>5</v>
      </c>
      <c r="D2" s="9" t="s">
        <v>6</v>
      </c>
      <c r="I2" s="14" t="s">
        <v>42</v>
      </c>
      <c r="J2" s="28">
        <v>400</v>
      </c>
    </row>
    <row r="3" spans="1:10" ht="15.75" thickBot="1" x14ac:dyDescent="0.3">
      <c r="A3" s="14" t="s">
        <v>8</v>
      </c>
      <c r="B3" s="29">
        <f>C3</f>
        <v>1000</v>
      </c>
      <c r="C3" s="54">
        <f>C4+C5</f>
        <v>1000</v>
      </c>
      <c r="D3" s="10">
        <f>(C3-B3)/C3</f>
        <v>0</v>
      </c>
      <c r="I3" s="14" t="s">
        <v>43</v>
      </c>
      <c r="J3" s="66" t="s">
        <v>44</v>
      </c>
    </row>
    <row r="4" spans="1:10" x14ac:dyDescent="0.25">
      <c r="A4" s="14" t="s">
        <v>9</v>
      </c>
      <c r="B4" s="59">
        <f>B3*0.47</f>
        <v>470</v>
      </c>
      <c r="C4" s="35">
        <v>500</v>
      </c>
      <c r="D4" s="33">
        <f t="shared" ref="D4" si="0">(C4-B4)/C4</f>
        <v>0.06</v>
      </c>
      <c r="I4" s="14" t="s">
        <v>45</v>
      </c>
      <c r="J4" s="28">
        <v>1.25</v>
      </c>
    </row>
    <row r="5" spans="1:10" ht="15.75" thickBot="1" x14ac:dyDescent="0.3">
      <c r="A5" s="16" t="s">
        <v>13</v>
      </c>
      <c r="B5" s="60">
        <f>B3*0.53</f>
        <v>530</v>
      </c>
      <c r="C5" s="36">
        <v>500</v>
      </c>
      <c r="D5" s="33">
        <f>(C5-B5)/C5</f>
        <v>-0.06</v>
      </c>
      <c r="I5" s="14" t="s">
        <v>46</v>
      </c>
      <c r="J5" s="28">
        <v>20</v>
      </c>
    </row>
    <row r="6" spans="1:10" ht="15.75" thickBot="1" x14ac:dyDescent="0.3">
      <c r="I6" s="14" t="s">
        <v>47</v>
      </c>
      <c r="J6" s="61">
        <f>4.914/4.931</f>
        <v>0.99655242344352046</v>
      </c>
    </row>
    <row r="7" spans="1:10" x14ac:dyDescent="0.25">
      <c r="A7" s="163" t="s">
        <v>17</v>
      </c>
      <c r="B7" s="164"/>
      <c r="I7" s="14" t="s">
        <v>48</v>
      </c>
      <c r="J7" s="21">
        <f>J5*J6</f>
        <v>19.931048468870408</v>
      </c>
    </row>
    <row r="8" spans="1:10" x14ac:dyDescent="0.25">
      <c r="A8" s="14" t="str">
        <f>A5</f>
        <v>Grano con mucilago (g)</v>
      </c>
      <c r="B8" s="28">
        <f>C5</f>
        <v>500</v>
      </c>
      <c r="I8" s="170" t="s">
        <v>35</v>
      </c>
      <c r="J8" s="169"/>
    </row>
    <row r="9" spans="1:10" x14ac:dyDescent="0.25">
      <c r="A9" s="14" t="s">
        <v>20</v>
      </c>
      <c r="B9" s="44">
        <f>(B8*2)/D1</f>
        <v>1002.0040080160321</v>
      </c>
      <c r="I9" s="14" t="s">
        <v>57</v>
      </c>
      <c r="J9" s="20">
        <f>_xlfn.FORECAST.LINEAR(J6,F36:F46,E36:E46)</f>
        <v>6.9262036195185672E-3</v>
      </c>
    </row>
    <row r="10" spans="1:10" ht="15.75" thickBot="1" x14ac:dyDescent="0.3">
      <c r="A10" s="37" t="s">
        <v>10</v>
      </c>
      <c r="B10" s="38">
        <f>B8+(B9*D1)</f>
        <v>1500</v>
      </c>
      <c r="I10" s="14" t="s">
        <v>50</v>
      </c>
      <c r="J10" s="21">
        <f>J7*J9</f>
        <v>0.13804650004589022</v>
      </c>
    </row>
    <row r="11" spans="1:10" ht="15.75" thickBot="1" x14ac:dyDescent="0.3">
      <c r="A11" s="163" t="s">
        <v>23</v>
      </c>
      <c r="B11" s="164"/>
      <c r="C11" s="57" t="s">
        <v>24</v>
      </c>
      <c r="D11" s="13" t="s">
        <v>6</v>
      </c>
      <c r="I11" s="14" t="s">
        <v>38</v>
      </c>
      <c r="J11" s="21">
        <f>J7-J10</f>
        <v>19.793001968824516</v>
      </c>
    </row>
    <row r="12" spans="1:10" ht="15.75" thickBot="1" x14ac:dyDescent="0.3">
      <c r="A12" s="14" t="s">
        <v>51</v>
      </c>
      <c r="B12" s="29">
        <f>B8*0.97</f>
        <v>485</v>
      </c>
      <c r="C12" s="24">
        <v>480</v>
      </c>
      <c r="D12" s="40">
        <f>(C12-B12)/C12</f>
        <v>-1.0416666666666666E-2</v>
      </c>
      <c r="I12" s="16" t="s">
        <v>14</v>
      </c>
      <c r="J12" s="22">
        <f>J10+J11</f>
        <v>19.931048468870408</v>
      </c>
    </row>
    <row r="13" spans="1:10" ht="15.75" thickBot="1" x14ac:dyDescent="0.3">
      <c r="A13" s="14" t="s">
        <v>28</v>
      </c>
      <c r="B13" s="58">
        <f>B10-B12</f>
        <v>1015</v>
      </c>
      <c r="C13" s="25">
        <v>1020</v>
      </c>
      <c r="D13" s="41">
        <f>(C13-B13)/C13</f>
        <v>4.9019607843137254E-3</v>
      </c>
    </row>
    <row r="14" spans="1:10" ht="15.75" thickBot="1" x14ac:dyDescent="0.3">
      <c r="A14" s="16" t="s">
        <v>14</v>
      </c>
      <c r="B14" s="39">
        <f>B12+B13</f>
        <v>1500</v>
      </c>
      <c r="C14" s="43">
        <f>C12+C13</f>
        <v>1500</v>
      </c>
      <c r="D14" s="41">
        <f>(C14-B14)/C14</f>
        <v>0</v>
      </c>
      <c r="F14" s="163" t="s">
        <v>2</v>
      </c>
      <c r="G14" s="164"/>
    </row>
    <row r="15" spans="1:10" ht="15.75" thickBot="1" x14ac:dyDescent="0.3">
      <c r="A15" s="173" t="s">
        <v>30</v>
      </c>
      <c r="B15" s="174"/>
      <c r="D15" s="1"/>
      <c r="F15" s="52" t="s">
        <v>7</v>
      </c>
      <c r="G15" s="18">
        <v>7</v>
      </c>
    </row>
    <row r="16" spans="1:10" x14ac:dyDescent="0.25">
      <c r="A16" s="55" t="s">
        <v>32</v>
      </c>
      <c r="B16" s="56">
        <f>5.023</f>
        <v>5.0229999999999997</v>
      </c>
      <c r="F16" s="14" t="s">
        <v>9</v>
      </c>
      <c r="G16" s="44">
        <f>C4</f>
        <v>500</v>
      </c>
    </row>
    <row r="17" spans="1:7" x14ac:dyDescent="0.25">
      <c r="A17" s="23" t="s">
        <v>33</v>
      </c>
      <c r="B17" s="25">
        <v>4.931</v>
      </c>
      <c r="F17" s="14" t="s">
        <v>11</v>
      </c>
      <c r="G17" s="44">
        <f>(G16*2)/D1</f>
        <v>1002.0040080160321</v>
      </c>
    </row>
    <row r="18" spans="1:7" ht="15.75" thickBot="1" x14ac:dyDescent="0.3">
      <c r="A18" s="23" t="s">
        <v>34</v>
      </c>
      <c r="B18" s="26">
        <f>B16/B17</f>
        <v>1.0186574731291826</v>
      </c>
      <c r="F18" s="16" t="s">
        <v>14</v>
      </c>
      <c r="G18" s="53">
        <f>G16+(G17*D1)</f>
        <v>1500</v>
      </c>
    </row>
    <row r="19" spans="1:7" x14ac:dyDescent="0.25">
      <c r="A19" s="171" t="s">
        <v>35</v>
      </c>
      <c r="B19" s="172"/>
      <c r="C19" s="163" t="s">
        <v>52</v>
      </c>
      <c r="D19" s="164"/>
      <c r="E19" s="163" t="s">
        <v>53</v>
      </c>
      <c r="F19" s="164"/>
    </row>
    <row r="20" spans="1:7" x14ac:dyDescent="0.25">
      <c r="A20" s="14" t="s">
        <v>36</v>
      </c>
      <c r="B20" s="46">
        <f>_xlfn.FORECAST.LINEAR(B18,B27:B37,A27:A37)</f>
        <v>0.20252424636453448</v>
      </c>
      <c r="C20" s="14" t="s">
        <v>7</v>
      </c>
      <c r="D20" s="28">
        <v>7</v>
      </c>
      <c r="E20" s="14" t="s">
        <v>7</v>
      </c>
      <c r="F20" s="28">
        <v>7</v>
      </c>
    </row>
    <row r="21" spans="1:7" x14ac:dyDescent="0.25">
      <c r="A21" s="14" t="s">
        <v>37</v>
      </c>
      <c r="B21" s="47">
        <f>B13*B20</f>
        <v>205.56211006000248</v>
      </c>
      <c r="C21" s="14" t="s">
        <v>10</v>
      </c>
      <c r="D21" s="21">
        <f>B23</f>
        <v>1015</v>
      </c>
      <c r="E21" s="14" t="s">
        <v>10</v>
      </c>
      <c r="F21" s="62">
        <f>G18</f>
        <v>1500</v>
      </c>
    </row>
    <row r="22" spans="1:7" x14ac:dyDescent="0.25">
      <c r="A22" s="14" t="s">
        <v>38</v>
      </c>
      <c r="B22" s="47">
        <f>B13-B21</f>
        <v>809.43788993999749</v>
      </c>
      <c r="C22" s="14" t="s">
        <v>12</v>
      </c>
      <c r="D22" s="21">
        <f>D21*(D20/100)</f>
        <v>71.050000000000011</v>
      </c>
      <c r="E22" s="14" t="s">
        <v>12</v>
      </c>
      <c r="F22" s="21">
        <f>F21*(F20/100)</f>
        <v>105.00000000000001</v>
      </c>
    </row>
    <row r="23" spans="1:7" ht="15.75" thickBot="1" x14ac:dyDescent="0.3">
      <c r="A23" s="16" t="s">
        <v>14</v>
      </c>
      <c r="B23" s="48">
        <f>B21+B22</f>
        <v>1015</v>
      </c>
      <c r="C23" s="14" t="s">
        <v>15</v>
      </c>
      <c r="D23" s="15">
        <v>0.7</v>
      </c>
      <c r="E23" s="14" t="s">
        <v>15</v>
      </c>
      <c r="F23" s="15">
        <v>0.7</v>
      </c>
    </row>
    <row r="24" spans="1:7" x14ac:dyDescent="0.25">
      <c r="C24" s="14" t="s">
        <v>16</v>
      </c>
      <c r="D24" s="28">
        <v>180.15</v>
      </c>
      <c r="E24" s="14" t="s">
        <v>16</v>
      </c>
      <c r="F24" s="28">
        <v>180.15</v>
      </c>
    </row>
    <row r="25" spans="1:7" x14ac:dyDescent="0.25">
      <c r="A25" t="s">
        <v>39</v>
      </c>
      <c r="B25">
        <f>(1.1-0.998)/10</f>
        <v>1.0200000000000009E-2</v>
      </c>
      <c r="C25" s="14" t="s">
        <v>18</v>
      </c>
      <c r="D25" s="61">
        <f>D22/D24</f>
        <v>0.39439356092145439</v>
      </c>
      <c r="E25" s="14" t="s">
        <v>18</v>
      </c>
      <c r="F25" s="61">
        <f>F22/F24</f>
        <v>0.5828476269775188</v>
      </c>
    </row>
    <row r="26" spans="1:7" x14ac:dyDescent="0.25">
      <c r="A26" s="9"/>
      <c r="B26" s="9" t="s">
        <v>40</v>
      </c>
      <c r="C26" s="168" t="s">
        <v>19</v>
      </c>
      <c r="D26" s="169"/>
      <c r="E26" s="170" t="s">
        <v>19</v>
      </c>
      <c r="F26" s="169"/>
    </row>
    <row r="27" spans="1:7" x14ac:dyDescent="0.25">
      <c r="A27" s="9">
        <v>1.1000000000000001</v>
      </c>
      <c r="B27" s="10">
        <f>1</f>
        <v>1</v>
      </c>
      <c r="C27" s="64" t="s">
        <v>21</v>
      </c>
      <c r="D27" s="28">
        <f>D25-(D25*D23)</f>
        <v>0.11831806827643632</v>
      </c>
      <c r="E27" s="14" t="s">
        <v>21</v>
      </c>
      <c r="F27" s="28">
        <f>F25-(F25*F23)</f>
        <v>0.17485428809325565</v>
      </c>
    </row>
    <row r="28" spans="1:7" x14ac:dyDescent="0.25">
      <c r="A28" s="9">
        <f t="shared" ref="A28:A37" si="1">A27-$B$25</f>
        <v>1.0898000000000001</v>
      </c>
      <c r="B28" s="11">
        <f>B27-0.1</f>
        <v>0.9</v>
      </c>
      <c r="C28" s="64" t="s">
        <v>22</v>
      </c>
      <c r="D28" s="28">
        <f>D25*2*D23</f>
        <v>0.55215098529003614</v>
      </c>
      <c r="E28" s="14" t="s">
        <v>22</v>
      </c>
      <c r="F28" s="28">
        <f>F25*2*F23</f>
        <v>0.81598667776852629</v>
      </c>
    </row>
    <row r="29" spans="1:7" x14ac:dyDescent="0.25">
      <c r="A29" s="9">
        <f t="shared" si="1"/>
        <v>1.0796000000000001</v>
      </c>
      <c r="B29" s="11">
        <f t="shared" ref="B29:B37" si="2">B28-0.1</f>
        <v>0.8</v>
      </c>
      <c r="C29" s="64" t="s">
        <v>25</v>
      </c>
      <c r="D29" s="28">
        <f>D28</f>
        <v>0.55215098529003614</v>
      </c>
      <c r="E29" s="14" t="s">
        <v>25</v>
      </c>
      <c r="F29" s="28">
        <f>F28</f>
        <v>0.81598667776852629</v>
      </c>
    </row>
    <row r="30" spans="1:7" x14ac:dyDescent="0.25">
      <c r="A30" s="9">
        <f t="shared" si="1"/>
        <v>1.0694000000000001</v>
      </c>
      <c r="B30" s="11">
        <f t="shared" si="2"/>
        <v>0.70000000000000007</v>
      </c>
      <c r="C30" s="64" t="s">
        <v>27</v>
      </c>
      <c r="D30" s="28">
        <v>46</v>
      </c>
      <c r="E30" s="14" t="s">
        <v>27</v>
      </c>
      <c r="F30" s="28">
        <v>46</v>
      </c>
    </row>
    <row r="31" spans="1:7" x14ac:dyDescent="0.25">
      <c r="A31" s="9">
        <f t="shared" si="1"/>
        <v>1.0592000000000001</v>
      </c>
      <c r="B31" s="11">
        <f t="shared" si="2"/>
        <v>0.60000000000000009</v>
      </c>
      <c r="C31" s="64" t="s">
        <v>29</v>
      </c>
      <c r="D31" s="21">
        <f>D28*D30</f>
        <v>25.398945323341664</v>
      </c>
      <c r="E31" s="14" t="s">
        <v>29</v>
      </c>
      <c r="F31" s="21">
        <f>F28*F30</f>
        <v>37.535387177352206</v>
      </c>
    </row>
    <row r="32" spans="1:7" ht="15.75" thickBot="1" x14ac:dyDescent="0.3">
      <c r="A32" s="9">
        <f t="shared" si="1"/>
        <v>1.0490000000000002</v>
      </c>
      <c r="B32" s="11">
        <f t="shared" si="2"/>
        <v>0.50000000000000011</v>
      </c>
      <c r="C32" s="65" t="s">
        <v>54</v>
      </c>
      <c r="D32" s="22">
        <f>D31/D23</f>
        <v>36.284207604773805</v>
      </c>
      <c r="E32" s="16" t="s">
        <v>54</v>
      </c>
      <c r="F32" s="22">
        <f>F31/F23</f>
        <v>53.621981681931729</v>
      </c>
    </row>
    <row r="33" spans="1:6" x14ac:dyDescent="0.25">
      <c r="A33" s="9">
        <f t="shared" si="1"/>
        <v>1.0388000000000002</v>
      </c>
      <c r="B33" s="11">
        <f t="shared" si="2"/>
        <v>0.40000000000000013</v>
      </c>
    </row>
    <row r="34" spans="1:6" x14ac:dyDescent="0.25">
      <c r="A34" s="9">
        <f t="shared" si="1"/>
        <v>1.0286000000000002</v>
      </c>
      <c r="B34" s="11">
        <f t="shared" si="2"/>
        <v>0.30000000000000016</v>
      </c>
      <c r="E34" t="s">
        <v>39</v>
      </c>
      <c r="F34">
        <f>(0.998-0.789)/10</f>
        <v>2.0899999999999995E-2</v>
      </c>
    </row>
    <row r="35" spans="1:6" x14ac:dyDescent="0.25">
      <c r="A35" s="9">
        <f t="shared" si="1"/>
        <v>1.0184000000000002</v>
      </c>
      <c r="B35" s="11">
        <f t="shared" si="2"/>
        <v>0.20000000000000015</v>
      </c>
      <c r="E35" s="9" t="s">
        <v>55</v>
      </c>
      <c r="F35" s="9" t="s">
        <v>56</v>
      </c>
    </row>
    <row r="36" spans="1:6" x14ac:dyDescent="0.25">
      <c r="A36" s="9">
        <f t="shared" si="1"/>
        <v>1.0082000000000002</v>
      </c>
      <c r="B36" s="11">
        <f t="shared" si="2"/>
        <v>0.10000000000000014</v>
      </c>
      <c r="E36" s="9">
        <v>0.998</v>
      </c>
      <c r="F36" s="10">
        <v>0</v>
      </c>
    </row>
    <row r="37" spans="1:6" x14ac:dyDescent="0.25">
      <c r="A37" s="9">
        <f t="shared" si="1"/>
        <v>0.99800000000000022</v>
      </c>
      <c r="B37" s="11">
        <f t="shared" si="2"/>
        <v>1.3877787807814457E-16</v>
      </c>
      <c r="E37" s="9">
        <f>E36-$F$34</f>
        <v>0.97709999999999997</v>
      </c>
      <c r="F37" s="11">
        <f>F36+0.1</f>
        <v>0.1</v>
      </c>
    </row>
    <row r="38" spans="1:6" x14ac:dyDescent="0.25">
      <c r="B38" s="63"/>
      <c r="E38" s="9">
        <f t="shared" ref="E38:E46" si="3">E37-$F$34</f>
        <v>0.95619999999999994</v>
      </c>
      <c r="F38" s="11">
        <f t="shared" ref="F38:F46" si="4">F37+0.1</f>
        <v>0.2</v>
      </c>
    </row>
    <row r="39" spans="1:6" x14ac:dyDescent="0.25">
      <c r="B39" s="63"/>
      <c r="E39" s="9">
        <f t="shared" si="3"/>
        <v>0.93529999999999991</v>
      </c>
      <c r="F39" s="11">
        <f t="shared" si="4"/>
        <v>0.30000000000000004</v>
      </c>
    </row>
    <row r="40" spans="1:6" x14ac:dyDescent="0.25">
      <c r="B40" s="63"/>
      <c r="E40" s="9">
        <f t="shared" si="3"/>
        <v>0.91439999999999988</v>
      </c>
      <c r="F40" s="11">
        <f t="shared" si="4"/>
        <v>0.4</v>
      </c>
    </row>
    <row r="41" spans="1:6" x14ac:dyDescent="0.25">
      <c r="B41" s="63"/>
      <c r="E41" s="9">
        <f t="shared" si="3"/>
        <v>0.89349999999999985</v>
      </c>
      <c r="F41" s="11">
        <f t="shared" si="4"/>
        <v>0.5</v>
      </c>
    </row>
    <row r="42" spans="1:6" x14ac:dyDescent="0.25">
      <c r="B42" s="63"/>
      <c r="E42" s="9">
        <f t="shared" si="3"/>
        <v>0.87259999999999982</v>
      </c>
      <c r="F42" s="11">
        <f t="shared" si="4"/>
        <v>0.6</v>
      </c>
    </row>
    <row r="43" spans="1:6" x14ac:dyDescent="0.25">
      <c r="B43" s="63"/>
      <c r="E43" s="9">
        <f t="shared" si="3"/>
        <v>0.85169999999999979</v>
      </c>
      <c r="F43" s="11">
        <f t="shared" si="4"/>
        <v>0.7</v>
      </c>
    </row>
    <row r="44" spans="1:6" x14ac:dyDescent="0.25">
      <c r="B44" s="63"/>
      <c r="E44" s="9">
        <f t="shared" si="3"/>
        <v>0.83079999999999976</v>
      </c>
      <c r="F44" s="11">
        <f t="shared" si="4"/>
        <v>0.79999999999999993</v>
      </c>
    </row>
    <row r="45" spans="1:6" x14ac:dyDescent="0.25">
      <c r="B45" s="63"/>
      <c r="E45" s="9">
        <f t="shared" si="3"/>
        <v>0.80989999999999973</v>
      </c>
      <c r="F45" s="11">
        <f t="shared" si="4"/>
        <v>0.89999999999999991</v>
      </c>
    </row>
    <row r="46" spans="1:6" x14ac:dyDescent="0.25">
      <c r="B46" s="63"/>
      <c r="E46" s="9">
        <f t="shared" si="3"/>
        <v>0.7889999999999997</v>
      </c>
      <c r="F46" s="11">
        <f t="shared" si="4"/>
        <v>0.99999999999999989</v>
      </c>
    </row>
    <row r="47" spans="1:6" x14ac:dyDescent="0.25">
      <c r="B47" s="63"/>
    </row>
    <row r="48" spans="1:6" x14ac:dyDescent="0.25">
      <c r="B48" s="63"/>
    </row>
    <row r="49" spans="2:2" x14ac:dyDescent="0.25">
      <c r="B49" s="63"/>
    </row>
    <row r="50" spans="2:2" x14ac:dyDescent="0.25">
      <c r="B50" s="63"/>
    </row>
    <row r="51" spans="2:2" x14ac:dyDescent="0.25">
      <c r="B51" s="63"/>
    </row>
    <row r="52" spans="2:2" x14ac:dyDescent="0.25">
      <c r="B52" s="63"/>
    </row>
    <row r="53" spans="2:2" x14ac:dyDescent="0.25">
      <c r="B53" s="63"/>
    </row>
    <row r="54" spans="2:2" x14ac:dyDescent="0.25">
      <c r="B54" s="63"/>
    </row>
    <row r="55" spans="2:2" x14ac:dyDescent="0.25">
      <c r="B55" s="63"/>
    </row>
    <row r="56" spans="2:2" x14ac:dyDescent="0.25">
      <c r="B56" s="63"/>
    </row>
    <row r="57" spans="2:2" x14ac:dyDescent="0.25">
      <c r="B57" s="63"/>
    </row>
    <row r="58" spans="2:2" x14ac:dyDescent="0.25">
      <c r="B58" s="63"/>
    </row>
    <row r="59" spans="2:2" x14ac:dyDescent="0.25">
      <c r="B59" s="63"/>
    </row>
    <row r="60" spans="2:2" x14ac:dyDescent="0.25">
      <c r="B60" s="63"/>
    </row>
    <row r="61" spans="2:2" x14ac:dyDescent="0.25">
      <c r="B61" s="63"/>
    </row>
    <row r="62" spans="2:2" x14ac:dyDescent="0.25">
      <c r="B62" s="63"/>
    </row>
    <row r="63" spans="2:2" x14ac:dyDescent="0.25">
      <c r="B63" s="63"/>
    </row>
    <row r="64" spans="2:2" x14ac:dyDescent="0.25">
      <c r="B64" s="63"/>
    </row>
    <row r="65" spans="2:2" x14ac:dyDescent="0.25">
      <c r="B65" s="63"/>
    </row>
    <row r="66" spans="2:2" x14ac:dyDescent="0.25">
      <c r="B66" s="63"/>
    </row>
    <row r="67" spans="2:2" x14ac:dyDescent="0.25">
      <c r="B67" s="63"/>
    </row>
    <row r="68" spans="2:2" x14ac:dyDescent="0.25">
      <c r="B68" s="63"/>
    </row>
    <row r="69" spans="2:2" x14ac:dyDescent="0.25">
      <c r="B69" s="63"/>
    </row>
    <row r="70" spans="2:2" x14ac:dyDescent="0.25">
      <c r="B70" s="63"/>
    </row>
    <row r="71" spans="2:2" x14ac:dyDescent="0.25">
      <c r="B71" s="63"/>
    </row>
    <row r="72" spans="2:2" x14ac:dyDescent="0.25">
      <c r="B72" s="63"/>
    </row>
    <row r="73" spans="2:2" x14ac:dyDescent="0.25">
      <c r="B73" s="63"/>
    </row>
    <row r="74" spans="2:2" x14ac:dyDescent="0.25">
      <c r="B74" s="63"/>
    </row>
    <row r="75" spans="2:2" x14ac:dyDescent="0.25">
      <c r="B75" s="63"/>
    </row>
    <row r="76" spans="2:2" x14ac:dyDescent="0.25">
      <c r="B76" s="63"/>
    </row>
    <row r="77" spans="2:2" x14ac:dyDescent="0.25">
      <c r="B77" s="63"/>
    </row>
    <row r="78" spans="2:2" x14ac:dyDescent="0.25">
      <c r="B78" s="63"/>
    </row>
    <row r="79" spans="2:2" x14ac:dyDescent="0.25">
      <c r="B79" s="63"/>
    </row>
    <row r="80" spans="2:2" x14ac:dyDescent="0.25">
      <c r="B80" s="63"/>
    </row>
    <row r="81" spans="2:2" x14ac:dyDescent="0.25">
      <c r="B81" s="63"/>
    </row>
    <row r="82" spans="2:2" x14ac:dyDescent="0.25">
      <c r="B82" s="63"/>
    </row>
    <row r="83" spans="2:2" x14ac:dyDescent="0.25">
      <c r="B83" s="63"/>
    </row>
    <row r="84" spans="2:2" x14ac:dyDescent="0.25">
      <c r="B84" s="63"/>
    </row>
    <row r="85" spans="2:2" x14ac:dyDescent="0.25">
      <c r="B85" s="63"/>
    </row>
    <row r="86" spans="2:2" x14ac:dyDescent="0.25">
      <c r="B86" s="63"/>
    </row>
    <row r="87" spans="2:2" x14ac:dyDescent="0.25">
      <c r="B87" s="63"/>
    </row>
    <row r="88" spans="2:2" x14ac:dyDescent="0.25">
      <c r="B88" s="63"/>
    </row>
    <row r="89" spans="2:2" x14ac:dyDescent="0.25">
      <c r="B89" s="63"/>
    </row>
    <row r="90" spans="2:2" x14ac:dyDescent="0.25">
      <c r="B90" s="63"/>
    </row>
    <row r="91" spans="2:2" x14ac:dyDescent="0.25">
      <c r="B91" s="63"/>
    </row>
    <row r="92" spans="2:2" x14ac:dyDescent="0.25">
      <c r="B92" s="63"/>
    </row>
    <row r="93" spans="2:2" x14ac:dyDescent="0.25">
      <c r="B93" s="63"/>
    </row>
    <row r="94" spans="2:2" x14ac:dyDescent="0.25">
      <c r="B94" s="63"/>
    </row>
    <row r="95" spans="2:2" x14ac:dyDescent="0.25">
      <c r="B95" s="63"/>
    </row>
    <row r="96" spans="2:2" x14ac:dyDescent="0.25">
      <c r="B96" s="63"/>
    </row>
    <row r="97" spans="2:2" x14ac:dyDescent="0.25">
      <c r="B97" s="63"/>
    </row>
    <row r="98" spans="2:2" x14ac:dyDescent="0.25">
      <c r="B98" s="63"/>
    </row>
    <row r="99" spans="2:2" x14ac:dyDescent="0.25">
      <c r="B99" s="63"/>
    </row>
    <row r="100" spans="2:2" x14ac:dyDescent="0.25">
      <c r="B100" s="63"/>
    </row>
    <row r="101" spans="2:2" x14ac:dyDescent="0.25">
      <c r="B101" s="63"/>
    </row>
    <row r="102" spans="2:2" x14ac:dyDescent="0.25">
      <c r="B102" s="63"/>
    </row>
    <row r="103" spans="2:2" x14ac:dyDescent="0.25">
      <c r="B103" s="63"/>
    </row>
    <row r="104" spans="2:2" x14ac:dyDescent="0.25">
      <c r="B104" s="63"/>
    </row>
    <row r="105" spans="2:2" x14ac:dyDescent="0.25">
      <c r="B105" s="63"/>
    </row>
    <row r="106" spans="2:2" x14ac:dyDescent="0.25">
      <c r="B106" s="63"/>
    </row>
    <row r="107" spans="2:2" x14ac:dyDescent="0.25">
      <c r="B107" s="63"/>
    </row>
    <row r="108" spans="2:2" x14ac:dyDescent="0.25">
      <c r="B108" s="63"/>
    </row>
    <row r="109" spans="2:2" x14ac:dyDescent="0.25">
      <c r="B109" s="63"/>
    </row>
    <row r="110" spans="2:2" x14ac:dyDescent="0.25">
      <c r="B110" s="63"/>
    </row>
    <row r="111" spans="2:2" x14ac:dyDescent="0.25">
      <c r="B111" s="63"/>
    </row>
    <row r="112" spans="2:2" x14ac:dyDescent="0.25">
      <c r="B112" s="63"/>
    </row>
    <row r="113" spans="2:2" x14ac:dyDescent="0.25">
      <c r="B113" s="63"/>
    </row>
    <row r="114" spans="2:2" x14ac:dyDescent="0.25">
      <c r="B114" s="63"/>
    </row>
    <row r="115" spans="2:2" x14ac:dyDescent="0.25">
      <c r="B115" s="63"/>
    </row>
    <row r="116" spans="2:2" x14ac:dyDescent="0.25">
      <c r="B116" s="63"/>
    </row>
    <row r="117" spans="2:2" x14ac:dyDescent="0.25">
      <c r="B117" s="63"/>
    </row>
    <row r="118" spans="2:2" x14ac:dyDescent="0.25">
      <c r="B118" s="63"/>
    </row>
    <row r="119" spans="2:2" x14ac:dyDescent="0.25">
      <c r="B119" s="63"/>
    </row>
    <row r="120" spans="2:2" x14ac:dyDescent="0.25">
      <c r="B120" s="63"/>
    </row>
    <row r="121" spans="2:2" x14ac:dyDescent="0.25">
      <c r="B121" s="63"/>
    </row>
    <row r="122" spans="2:2" x14ac:dyDescent="0.25">
      <c r="B122" s="63"/>
    </row>
    <row r="123" spans="2:2" x14ac:dyDescent="0.25">
      <c r="B123" s="63"/>
    </row>
    <row r="124" spans="2:2" x14ac:dyDescent="0.25">
      <c r="B124" s="63"/>
    </row>
    <row r="125" spans="2:2" x14ac:dyDescent="0.25">
      <c r="B125" s="63"/>
    </row>
    <row r="126" spans="2:2" x14ac:dyDescent="0.25">
      <c r="B126" s="63"/>
    </row>
    <row r="127" spans="2:2" x14ac:dyDescent="0.25">
      <c r="B127" s="63"/>
    </row>
  </sheetData>
  <mergeCells count="12">
    <mergeCell ref="A15:B15"/>
    <mergeCell ref="A19:B19"/>
    <mergeCell ref="C19:D19"/>
    <mergeCell ref="E19:F19"/>
    <mergeCell ref="C26:D26"/>
    <mergeCell ref="E26:F26"/>
    <mergeCell ref="F14:G14"/>
    <mergeCell ref="A1:B1"/>
    <mergeCell ref="I1:J1"/>
    <mergeCell ref="A7:B7"/>
    <mergeCell ref="I8:J8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A8DC-1625-4CF3-ACB5-DFDCE115DF6C}">
  <dimension ref="A1:J127"/>
  <sheetViews>
    <sheetView tabSelected="1" zoomScale="70" zoomScaleNormal="70" workbookViewId="0">
      <selection activeCell="L20" sqref="L20"/>
    </sheetView>
  </sheetViews>
  <sheetFormatPr baseColWidth="10" defaultColWidth="11.42578125" defaultRowHeight="15" x14ac:dyDescent="0.25"/>
  <cols>
    <col min="1" max="1" width="31" bestFit="1" customWidth="1"/>
    <col min="2" max="2" width="15.7109375" bestFit="1" customWidth="1"/>
    <col min="3" max="3" width="38.140625" bestFit="1" customWidth="1"/>
    <col min="4" max="4" width="19.85546875" bestFit="1" customWidth="1"/>
    <col min="5" max="5" width="35.42578125" bestFit="1" customWidth="1"/>
    <col min="6" max="6" width="18.5703125" bestFit="1" customWidth="1"/>
    <col min="9" max="9" width="35.42578125" bestFit="1" customWidth="1"/>
  </cols>
  <sheetData>
    <row r="1" spans="1:10" x14ac:dyDescent="0.25">
      <c r="A1" s="163" t="s">
        <v>0</v>
      </c>
      <c r="B1" s="164"/>
      <c r="C1" s="32" t="s">
        <v>1</v>
      </c>
      <c r="D1" s="27">
        <v>0.998</v>
      </c>
      <c r="I1" s="163" t="s">
        <v>41</v>
      </c>
      <c r="J1" s="164"/>
    </row>
    <row r="2" spans="1:10" x14ac:dyDescent="0.25">
      <c r="A2" s="14"/>
      <c r="B2" s="29" t="s">
        <v>4</v>
      </c>
      <c r="C2" s="9" t="s">
        <v>5</v>
      </c>
      <c r="D2" s="9" t="s">
        <v>6</v>
      </c>
      <c r="I2" s="14" t="s">
        <v>42</v>
      </c>
      <c r="J2" s="44">
        <f>D21+F21</f>
        <v>2488.3858999999998</v>
      </c>
    </row>
    <row r="3" spans="1:10" ht="15.75" thickBot="1" x14ac:dyDescent="0.3">
      <c r="A3" s="14" t="s">
        <v>8</v>
      </c>
      <c r="B3" s="29">
        <f>C3</f>
        <v>1001</v>
      </c>
      <c r="C3" s="54">
        <v>1001</v>
      </c>
      <c r="D3" s="10">
        <f>(C3-B3)/C3</f>
        <v>0</v>
      </c>
      <c r="I3" s="14" t="s">
        <v>43</v>
      </c>
      <c r="J3" s="66" t="s">
        <v>44</v>
      </c>
    </row>
    <row r="4" spans="1:10" x14ac:dyDescent="0.25">
      <c r="A4" s="14" t="s">
        <v>9</v>
      </c>
      <c r="B4" s="59">
        <f>B3*0.47</f>
        <v>470.46999999999997</v>
      </c>
      <c r="C4" s="149">
        <f>B4</f>
        <v>470.46999999999997</v>
      </c>
      <c r="D4" s="33">
        <f t="shared" ref="D4" si="0">(C4-B4)/C4</f>
        <v>0</v>
      </c>
      <c r="I4" s="14" t="s">
        <v>45</v>
      </c>
      <c r="J4" s="28">
        <v>3</v>
      </c>
    </row>
    <row r="5" spans="1:10" ht="15.75" thickBot="1" x14ac:dyDescent="0.3">
      <c r="A5" s="16" t="s">
        <v>13</v>
      </c>
      <c r="B5" s="60">
        <f>B3*0.53</f>
        <v>530.53</v>
      </c>
      <c r="C5" s="150">
        <f>B5</f>
        <v>530.53</v>
      </c>
      <c r="D5" s="33">
        <f>(C5-B5)/C5</f>
        <v>0</v>
      </c>
      <c r="I5" s="14" t="s">
        <v>46</v>
      </c>
      <c r="J5" s="28">
        <f>J2*0.04</f>
        <v>99.53543599999999</v>
      </c>
    </row>
    <row r="6" spans="1:10" ht="15.75" thickBot="1" x14ac:dyDescent="0.3">
      <c r="I6" s="14" t="s">
        <v>47</v>
      </c>
      <c r="J6" s="61">
        <v>0.85170000000000001</v>
      </c>
    </row>
    <row r="7" spans="1:10" x14ac:dyDescent="0.25">
      <c r="A7" s="163" t="s">
        <v>17</v>
      </c>
      <c r="B7" s="164"/>
      <c r="I7" s="14" t="s">
        <v>48</v>
      </c>
      <c r="J7" s="21">
        <f>J5*J6</f>
        <v>84.774330841199998</v>
      </c>
    </row>
    <row r="8" spans="1:10" x14ac:dyDescent="0.25">
      <c r="A8" s="14" t="str">
        <f>A5</f>
        <v>Grano con mucilago (g)</v>
      </c>
      <c r="B8" s="28">
        <f>C5</f>
        <v>530.53</v>
      </c>
      <c r="I8" s="170" t="s">
        <v>35</v>
      </c>
      <c r="J8" s="169"/>
    </row>
    <row r="9" spans="1:10" x14ac:dyDescent="0.25">
      <c r="A9" s="14" t="s">
        <v>20</v>
      </c>
      <c r="B9" s="44">
        <f>(B8*2)/D1</f>
        <v>1063.1863727454909</v>
      </c>
      <c r="I9" s="14" t="s">
        <v>57</v>
      </c>
      <c r="J9" s="20">
        <f>_xlfn.FORECAST.LINEAR(J6,F36:F46,E36:E46)</f>
        <v>0.69999999999999751</v>
      </c>
    </row>
    <row r="10" spans="1:10" ht="15.75" thickBot="1" x14ac:dyDescent="0.3">
      <c r="A10" s="37" t="s">
        <v>10</v>
      </c>
      <c r="B10" s="38">
        <f>B8+(B9*D1)</f>
        <v>1591.59</v>
      </c>
      <c r="I10" s="14" t="s">
        <v>50</v>
      </c>
      <c r="J10" s="21">
        <f>J7*J9</f>
        <v>59.342031588839788</v>
      </c>
    </row>
    <row r="11" spans="1:10" ht="15.75" thickBot="1" x14ac:dyDescent="0.3">
      <c r="A11" s="163" t="s">
        <v>23</v>
      </c>
      <c r="B11" s="164"/>
      <c r="C11" s="57" t="s">
        <v>24</v>
      </c>
      <c r="D11" s="13" t="s">
        <v>6</v>
      </c>
      <c r="I11" s="14" t="s">
        <v>38</v>
      </c>
      <c r="J11" s="21">
        <f>J7-J10</f>
        <v>25.43229925236021</v>
      </c>
    </row>
    <row r="12" spans="1:10" ht="15.75" thickBot="1" x14ac:dyDescent="0.3">
      <c r="A12" s="14" t="s">
        <v>51</v>
      </c>
      <c r="B12" s="29">
        <f>B8*0.97</f>
        <v>514.61410000000001</v>
      </c>
      <c r="C12" s="24">
        <v>480</v>
      </c>
      <c r="D12" s="40">
        <f>(C12-B12)/C12</f>
        <v>-7.2112708333333345E-2</v>
      </c>
      <c r="I12" s="16" t="s">
        <v>14</v>
      </c>
      <c r="J12" s="22">
        <f>J10+J11</f>
        <v>84.774330841199998</v>
      </c>
    </row>
    <row r="13" spans="1:10" ht="15.75" thickBot="1" x14ac:dyDescent="0.3">
      <c r="A13" s="14" t="s">
        <v>28</v>
      </c>
      <c r="B13" s="58">
        <f>B10-B12</f>
        <v>1076.9758999999999</v>
      </c>
      <c r="C13" s="25">
        <v>1020</v>
      </c>
      <c r="D13" s="41">
        <f>(C13-B13)/C13</f>
        <v>-5.5858725490195993E-2</v>
      </c>
    </row>
    <row r="14" spans="1:10" ht="15.75" thickBot="1" x14ac:dyDescent="0.3">
      <c r="A14" s="16" t="s">
        <v>14</v>
      </c>
      <c r="B14" s="39">
        <f>B12+B13</f>
        <v>1591.59</v>
      </c>
      <c r="C14" s="43">
        <f>C12+C13</f>
        <v>1500</v>
      </c>
      <c r="D14" s="41">
        <f>(C14-B14)/C14</f>
        <v>-6.1059999999999948E-2</v>
      </c>
      <c r="F14" s="163" t="s">
        <v>2</v>
      </c>
      <c r="G14" s="164"/>
      <c r="J14">
        <f>17.1668-12.7051</f>
        <v>4.4616999999999987</v>
      </c>
    </row>
    <row r="15" spans="1:10" ht="15.75" thickBot="1" x14ac:dyDescent="0.3">
      <c r="A15" s="173" t="s">
        <v>30</v>
      </c>
      <c r="B15" s="174"/>
      <c r="D15" s="1"/>
      <c r="F15" s="52" t="s">
        <v>7</v>
      </c>
      <c r="G15" s="18">
        <v>12</v>
      </c>
      <c r="J15">
        <f>J14/5.089</f>
        <v>0.87673413244252274</v>
      </c>
    </row>
    <row r="16" spans="1:10" x14ac:dyDescent="0.25">
      <c r="A16" s="55" t="s">
        <v>32</v>
      </c>
      <c r="B16" s="56">
        <f>5.035</f>
        <v>5.0350000000000001</v>
      </c>
      <c r="F16" s="14" t="s">
        <v>9</v>
      </c>
      <c r="G16" s="44">
        <f>C4</f>
        <v>470.46999999999997</v>
      </c>
    </row>
    <row r="17" spans="1:7" x14ac:dyDescent="0.25">
      <c r="A17" s="23" t="s">
        <v>33</v>
      </c>
      <c r="B17" s="25">
        <v>4.931</v>
      </c>
      <c r="F17" s="14" t="s">
        <v>11</v>
      </c>
      <c r="G17" s="44">
        <f>(G16*2)/D1</f>
        <v>942.82565130260514</v>
      </c>
    </row>
    <row r="18" spans="1:7" ht="15.75" thickBot="1" x14ac:dyDescent="0.3">
      <c r="A18" s="23" t="s">
        <v>34</v>
      </c>
      <c r="B18" s="26">
        <f>B16/B17</f>
        <v>1.0210910565808153</v>
      </c>
      <c r="F18" s="16" t="s">
        <v>14</v>
      </c>
      <c r="G18" s="53">
        <f>G16+(G17*D1)</f>
        <v>1411.4099999999999</v>
      </c>
    </row>
    <row r="19" spans="1:7" x14ac:dyDescent="0.25">
      <c r="A19" s="171" t="s">
        <v>35</v>
      </c>
      <c r="B19" s="172"/>
      <c r="C19" s="163" t="s">
        <v>52</v>
      </c>
      <c r="D19" s="164"/>
      <c r="E19" s="163" t="s">
        <v>53</v>
      </c>
      <c r="F19" s="164"/>
    </row>
    <row r="20" spans="1:7" x14ac:dyDescent="0.25">
      <c r="A20" s="14" t="s">
        <v>36</v>
      </c>
      <c r="B20" s="46">
        <f>_xlfn.FORECAST.LINEAR(B18,B27:B37,A27:A37)</f>
        <v>0.22638290765505076</v>
      </c>
      <c r="C20" s="14" t="s">
        <v>7</v>
      </c>
      <c r="D20" s="28">
        <v>11</v>
      </c>
      <c r="E20" s="14" t="s">
        <v>7</v>
      </c>
      <c r="F20" s="28">
        <v>12</v>
      </c>
    </row>
    <row r="21" spans="1:7" x14ac:dyDescent="0.25">
      <c r="A21" s="14" t="s">
        <v>37</v>
      </c>
      <c r="B21" s="47">
        <f>B13*B20</f>
        <v>243.80893571641516</v>
      </c>
      <c r="C21" s="14" t="s">
        <v>10</v>
      </c>
      <c r="D21" s="44">
        <f>B23</f>
        <v>1076.9758999999999</v>
      </c>
      <c r="E21" s="14" t="s">
        <v>10</v>
      </c>
      <c r="F21" s="62">
        <f>G18</f>
        <v>1411.4099999999999</v>
      </c>
    </row>
    <row r="22" spans="1:7" x14ac:dyDescent="0.25">
      <c r="A22" s="14" t="s">
        <v>38</v>
      </c>
      <c r="B22" s="47">
        <f>B13-B21</f>
        <v>833.16696428358478</v>
      </c>
      <c r="C22" s="14" t="s">
        <v>12</v>
      </c>
      <c r="D22" s="21">
        <f>D21*(D20/100)</f>
        <v>118.46734899999998</v>
      </c>
      <c r="E22" s="14" t="s">
        <v>12</v>
      </c>
      <c r="F22" s="21">
        <f>F21*(F20/100)</f>
        <v>169.36919999999998</v>
      </c>
    </row>
    <row r="23" spans="1:7" ht="15.75" thickBot="1" x14ac:dyDescent="0.3">
      <c r="A23" s="16" t="s">
        <v>14</v>
      </c>
      <c r="B23" s="39">
        <f>B21+B22</f>
        <v>1076.9758999999999</v>
      </c>
      <c r="C23" s="14" t="s">
        <v>15</v>
      </c>
      <c r="D23" s="15">
        <v>0.7</v>
      </c>
      <c r="E23" s="14" t="s">
        <v>15</v>
      </c>
      <c r="F23" s="15">
        <v>0.7</v>
      </c>
    </row>
    <row r="24" spans="1:7" x14ac:dyDescent="0.25">
      <c r="C24" s="14" t="s">
        <v>16</v>
      </c>
      <c r="D24" s="28">
        <v>180.15</v>
      </c>
      <c r="E24" s="14" t="s">
        <v>16</v>
      </c>
      <c r="F24" s="28">
        <v>180.15</v>
      </c>
    </row>
    <row r="25" spans="1:7" x14ac:dyDescent="0.25">
      <c r="A25" t="s">
        <v>39</v>
      </c>
      <c r="B25">
        <f>(1.1-0.998)/10</f>
        <v>1.0200000000000009E-2</v>
      </c>
      <c r="C25" s="14" t="s">
        <v>18</v>
      </c>
      <c r="D25" s="61">
        <f>D22/D24</f>
        <v>0.65760393560921448</v>
      </c>
      <c r="E25" s="14" t="s">
        <v>18</v>
      </c>
      <c r="F25" s="61">
        <f>F22/F24</f>
        <v>0.94015653621981665</v>
      </c>
    </row>
    <row r="26" spans="1:7" x14ac:dyDescent="0.25">
      <c r="A26" s="9"/>
      <c r="B26" s="9" t="s">
        <v>40</v>
      </c>
      <c r="C26" s="168" t="s">
        <v>19</v>
      </c>
      <c r="D26" s="169"/>
      <c r="E26" s="170" t="s">
        <v>19</v>
      </c>
      <c r="F26" s="169"/>
    </row>
    <row r="27" spans="1:7" x14ac:dyDescent="0.25">
      <c r="A27" s="9">
        <v>1.1000000000000001</v>
      </c>
      <c r="B27" s="10">
        <f>1</f>
        <v>1</v>
      </c>
      <c r="C27" s="64" t="s">
        <v>21</v>
      </c>
      <c r="D27" s="28">
        <f>D25-(D25*D23)</f>
        <v>0.1972811806827644</v>
      </c>
      <c r="E27" s="14" t="s">
        <v>21</v>
      </c>
      <c r="F27" s="28">
        <f>F25-(F25*F23)</f>
        <v>0.28204696086594505</v>
      </c>
    </row>
    <row r="28" spans="1:7" x14ac:dyDescent="0.25">
      <c r="A28" s="9">
        <f t="shared" ref="A28:A37" si="1">A27-$B$25</f>
        <v>1.0898000000000001</v>
      </c>
      <c r="B28" s="11">
        <f>B27-0.1</f>
        <v>0.9</v>
      </c>
      <c r="C28" s="64" t="s">
        <v>22</v>
      </c>
      <c r="D28" s="28">
        <f>D25*2*D23</f>
        <v>0.92064550985290017</v>
      </c>
      <c r="E28" s="14" t="s">
        <v>22</v>
      </c>
      <c r="F28" s="28">
        <f>F25*2*F23</f>
        <v>1.3162191507077432</v>
      </c>
    </row>
    <row r="29" spans="1:7" x14ac:dyDescent="0.25">
      <c r="A29" s="9">
        <f t="shared" si="1"/>
        <v>1.0796000000000001</v>
      </c>
      <c r="B29" s="11">
        <f t="shared" ref="B29:B37" si="2">B28-0.1</f>
        <v>0.8</v>
      </c>
      <c r="C29" s="64" t="s">
        <v>25</v>
      </c>
      <c r="D29" s="28">
        <f>D28</f>
        <v>0.92064550985290017</v>
      </c>
      <c r="E29" s="14" t="s">
        <v>25</v>
      </c>
      <c r="F29" s="28">
        <f>F28</f>
        <v>1.3162191507077432</v>
      </c>
    </row>
    <row r="30" spans="1:7" x14ac:dyDescent="0.25">
      <c r="A30" s="9">
        <f t="shared" si="1"/>
        <v>1.0694000000000001</v>
      </c>
      <c r="B30" s="11">
        <f t="shared" si="2"/>
        <v>0.70000000000000007</v>
      </c>
      <c r="C30" s="64" t="s">
        <v>27</v>
      </c>
      <c r="D30" s="28">
        <v>46</v>
      </c>
      <c r="E30" s="14" t="s">
        <v>27</v>
      </c>
      <c r="F30" s="28">
        <v>46</v>
      </c>
    </row>
    <row r="31" spans="1:7" x14ac:dyDescent="0.25">
      <c r="A31" s="9">
        <f t="shared" si="1"/>
        <v>1.0592000000000001</v>
      </c>
      <c r="B31" s="11">
        <f t="shared" si="2"/>
        <v>0.60000000000000009</v>
      </c>
      <c r="C31" s="64" t="s">
        <v>29</v>
      </c>
      <c r="D31" s="21">
        <f>D28*D30</f>
        <v>42.349693453233407</v>
      </c>
      <c r="E31" s="14" t="s">
        <v>29</v>
      </c>
      <c r="F31" s="21">
        <f>F28*F30</f>
        <v>60.546080932556187</v>
      </c>
    </row>
    <row r="32" spans="1:7" ht="15.75" thickBot="1" x14ac:dyDescent="0.3">
      <c r="A32" s="9">
        <f t="shared" si="1"/>
        <v>1.0490000000000002</v>
      </c>
      <c r="B32" s="11">
        <f t="shared" si="2"/>
        <v>0.50000000000000011</v>
      </c>
      <c r="C32" s="65" t="s">
        <v>54</v>
      </c>
      <c r="D32" s="22">
        <f>D31/D23</f>
        <v>60.499562076047731</v>
      </c>
      <c r="E32" s="16" t="s">
        <v>54</v>
      </c>
      <c r="F32" s="22">
        <f>F31/F23</f>
        <v>86.494401332223134</v>
      </c>
    </row>
    <row r="33" spans="1:6" x14ac:dyDescent="0.25">
      <c r="A33" s="9">
        <f t="shared" si="1"/>
        <v>1.0388000000000002</v>
      </c>
      <c r="B33" s="11">
        <f t="shared" si="2"/>
        <v>0.40000000000000013</v>
      </c>
    </row>
    <row r="34" spans="1:6" x14ac:dyDescent="0.25">
      <c r="A34" s="9">
        <f t="shared" si="1"/>
        <v>1.0286000000000002</v>
      </c>
      <c r="B34" s="11">
        <f t="shared" si="2"/>
        <v>0.30000000000000016</v>
      </c>
      <c r="E34" t="s">
        <v>39</v>
      </c>
      <c r="F34">
        <f>(0.998-0.789)/10</f>
        <v>2.0899999999999995E-2</v>
      </c>
    </row>
    <row r="35" spans="1:6" x14ac:dyDescent="0.25">
      <c r="A35" s="9">
        <f t="shared" si="1"/>
        <v>1.0184000000000002</v>
      </c>
      <c r="B35" s="11">
        <f t="shared" si="2"/>
        <v>0.20000000000000015</v>
      </c>
      <c r="E35" s="9" t="s">
        <v>55</v>
      </c>
      <c r="F35" s="9" t="s">
        <v>56</v>
      </c>
    </row>
    <row r="36" spans="1:6" x14ac:dyDescent="0.25">
      <c r="A36" s="9">
        <f t="shared" si="1"/>
        <v>1.0082000000000002</v>
      </c>
      <c r="B36" s="11">
        <f t="shared" si="2"/>
        <v>0.10000000000000014</v>
      </c>
      <c r="E36" s="9">
        <v>0.998</v>
      </c>
      <c r="F36" s="10">
        <v>0</v>
      </c>
    </row>
    <row r="37" spans="1:6" x14ac:dyDescent="0.25">
      <c r="A37" s="9">
        <f t="shared" si="1"/>
        <v>0.99800000000000022</v>
      </c>
      <c r="B37" s="11">
        <f t="shared" si="2"/>
        <v>1.3877787807814457E-16</v>
      </c>
      <c r="E37" s="9">
        <f>E36-$F$34</f>
        <v>0.97709999999999997</v>
      </c>
      <c r="F37" s="11">
        <f>F36+0.1</f>
        <v>0.1</v>
      </c>
    </row>
    <row r="38" spans="1:6" x14ac:dyDescent="0.25">
      <c r="B38" s="63"/>
      <c r="E38" s="9">
        <f t="shared" ref="E38:E46" si="3">E37-$F$34</f>
        <v>0.95619999999999994</v>
      </c>
      <c r="F38" s="11">
        <f t="shared" ref="F38:F46" si="4">F37+0.1</f>
        <v>0.2</v>
      </c>
    </row>
    <row r="39" spans="1:6" x14ac:dyDescent="0.25">
      <c r="B39" s="63"/>
      <c r="E39" s="9">
        <f t="shared" si="3"/>
        <v>0.93529999999999991</v>
      </c>
      <c r="F39" s="11">
        <f t="shared" si="4"/>
        <v>0.30000000000000004</v>
      </c>
    </row>
    <row r="40" spans="1:6" x14ac:dyDescent="0.25">
      <c r="B40" s="63"/>
      <c r="E40" s="9">
        <f t="shared" si="3"/>
        <v>0.91439999999999988</v>
      </c>
      <c r="F40" s="11">
        <f t="shared" si="4"/>
        <v>0.4</v>
      </c>
    </row>
    <row r="41" spans="1:6" x14ac:dyDescent="0.25">
      <c r="B41" s="63"/>
      <c r="E41" s="9">
        <f t="shared" si="3"/>
        <v>0.89349999999999985</v>
      </c>
      <c r="F41" s="11">
        <f t="shared" si="4"/>
        <v>0.5</v>
      </c>
    </row>
    <row r="42" spans="1:6" x14ac:dyDescent="0.25">
      <c r="B42" s="63"/>
      <c r="E42" s="9">
        <f t="shared" si="3"/>
        <v>0.87259999999999982</v>
      </c>
      <c r="F42" s="11">
        <f t="shared" si="4"/>
        <v>0.6</v>
      </c>
    </row>
    <row r="43" spans="1:6" x14ac:dyDescent="0.25">
      <c r="B43" s="63"/>
      <c r="E43" s="9">
        <f t="shared" si="3"/>
        <v>0.85169999999999979</v>
      </c>
      <c r="F43" s="11">
        <f t="shared" si="4"/>
        <v>0.7</v>
      </c>
    </row>
    <row r="44" spans="1:6" x14ac:dyDescent="0.25">
      <c r="B44" s="63"/>
      <c r="E44" s="9">
        <f t="shared" si="3"/>
        <v>0.83079999999999976</v>
      </c>
      <c r="F44" s="11">
        <f t="shared" si="4"/>
        <v>0.79999999999999993</v>
      </c>
    </row>
    <row r="45" spans="1:6" x14ac:dyDescent="0.25">
      <c r="B45" s="63"/>
      <c r="E45" s="9">
        <f t="shared" si="3"/>
        <v>0.80989999999999973</v>
      </c>
      <c r="F45" s="11">
        <f t="shared" si="4"/>
        <v>0.89999999999999991</v>
      </c>
    </row>
    <row r="46" spans="1:6" x14ac:dyDescent="0.25">
      <c r="B46" s="63"/>
      <c r="E46" s="9">
        <f t="shared" si="3"/>
        <v>0.7889999999999997</v>
      </c>
      <c r="F46" s="11">
        <f t="shared" si="4"/>
        <v>0.99999999999999989</v>
      </c>
    </row>
    <row r="47" spans="1:6" x14ac:dyDescent="0.25">
      <c r="B47" s="63"/>
    </row>
    <row r="48" spans="1:6" x14ac:dyDescent="0.25">
      <c r="B48" s="63"/>
    </row>
    <row r="49" spans="2:2" x14ac:dyDescent="0.25">
      <c r="B49" s="63"/>
    </row>
    <row r="50" spans="2:2" x14ac:dyDescent="0.25">
      <c r="B50" s="63"/>
    </row>
    <row r="51" spans="2:2" x14ac:dyDescent="0.25">
      <c r="B51" s="63"/>
    </row>
    <row r="52" spans="2:2" x14ac:dyDescent="0.25">
      <c r="B52" s="63"/>
    </row>
    <row r="53" spans="2:2" x14ac:dyDescent="0.25">
      <c r="B53" s="63"/>
    </row>
    <row r="54" spans="2:2" x14ac:dyDescent="0.25">
      <c r="B54" s="63"/>
    </row>
    <row r="55" spans="2:2" x14ac:dyDescent="0.25">
      <c r="B55" s="63"/>
    </row>
    <row r="56" spans="2:2" x14ac:dyDescent="0.25">
      <c r="B56" s="63"/>
    </row>
    <row r="57" spans="2:2" x14ac:dyDescent="0.25">
      <c r="B57" s="63"/>
    </row>
    <row r="58" spans="2:2" x14ac:dyDescent="0.25">
      <c r="B58" s="63"/>
    </row>
    <row r="59" spans="2:2" x14ac:dyDescent="0.25">
      <c r="B59" s="63"/>
    </row>
    <row r="60" spans="2:2" x14ac:dyDescent="0.25">
      <c r="B60" s="63"/>
    </row>
    <row r="61" spans="2:2" x14ac:dyDescent="0.25">
      <c r="B61" s="63"/>
    </row>
    <row r="62" spans="2:2" x14ac:dyDescent="0.25">
      <c r="B62" s="63"/>
    </row>
    <row r="63" spans="2:2" x14ac:dyDescent="0.25">
      <c r="B63" s="63"/>
    </row>
    <row r="64" spans="2:2" x14ac:dyDescent="0.25">
      <c r="B64" s="63"/>
    </row>
    <row r="65" spans="2:2" x14ac:dyDescent="0.25">
      <c r="B65" s="63"/>
    </row>
    <row r="66" spans="2:2" x14ac:dyDescent="0.25">
      <c r="B66" s="63"/>
    </row>
    <row r="67" spans="2:2" x14ac:dyDescent="0.25">
      <c r="B67" s="63"/>
    </row>
    <row r="68" spans="2:2" x14ac:dyDescent="0.25">
      <c r="B68" s="63"/>
    </row>
    <row r="69" spans="2:2" x14ac:dyDescent="0.25">
      <c r="B69" s="63"/>
    </row>
    <row r="70" spans="2:2" x14ac:dyDescent="0.25">
      <c r="B70" s="63"/>
    </row>
    <row r="71" spans="2:2" x14ac:dyDescent="0.25">
      <c r="B71" s="63"/>
    </row>
    <row r="72" spans="2:2" x14ac:dyDescent="0.25">
      <c r="B72" s="63"/>
    </row>
    <row r="73" spans="2:2" x14ac:dyDescent="0.25">
      <c r="B73" s="63"/>
    </row>
    <row r="74" spans="2:2" x14ac:dyDescent="0.25">
      <c r="B74" s="63"/>
    </row>
    <row r="75" spans="2:2" x14ac:dyDescent="0.25">
      <c r="B75" s="63"/>
    </row>
    <row r="76" spans="2:2" x14ac:dyDescent="0.25">
      <c r="B76" s="63"/>
    </row>
    <row r="77" spans="2:2" x14ac:dyDescent="0.25">
      <c r="B77" s="63"/>
    </row>
    <row r="78" spans="2:2" x14ac:dyDescent="0.25">
      <c r="B78" s="63"/>
    </row>
    <row r="79" spans="2:2" x14ac:dyDescent="0.25">
      <c r="B79" s="63"/>
    </row>
    <row r="80" spans="2:2" x14ac:dyDescent="0.25">
      <c r="B80" s="63"/>
    </row>
    <row r="81" spans="2:2" x14ac:dyDescent="0.25">
      <c r="B81" s="63"/>
    </row>
    <row r="82" spans="2:2" x14ac:dyDescent="0.25">
      <c r="B82" s="63"/>
    </row>
    <row r="83" spans="2:2" x14ac:dyDescent="0.25">
      <c r="B83" s="63"/>
    </row>
    <row r="84" spans="2:2" x14ac:dyDescent="0.25">
      <c r="B84" s="63"/>
    </row>
    <row r="85" spans="2:2" x14ac:dyDescent="0.25">
      <c r="B85" s="63"/>
    </row>
    <row r="86" spans="2:2" x14ac:dyDescent="0.25">
      <c r="B86" s="63"/>
    </row>
    <row r="87" spans="2:2" x14ac:dyDescent="0.25">
      <c r="B87" s="63"/>
    </row>
    <row r="88" spans="2:2" x14ac:dyDescent="0.25">
      <c r="B88" s="63"/>
    </row>
    <row r="89" spans="2:2" x14ac:dyDescent="0.25">
      <c r="B89" s="63"/>
    </row>
    <row r="90" spans="2:2" x14ac:dyDescent="0.25">
      <c r="B90" s="63"/>
    </row>
    <row r="91" spans="2:2" x14ac:dyDescent="0.25">
      <c r="B91" s="63"/>
    </row>
    <row r="92" spans="2:2" x14ac:dyDescent="0.25">
      <c r="B92" s="63"/>
    </row>
    <row r="93" spans="2:2" x14ac:dyDescent="0.25">
      <c r="B93" s="63"/>
    </row>
    <row r="94" spans="2:2" x14ac:dyDescent="0.25">
      <c r="B94" s="63"/>
    </row>
    <row r="95" spans="2:2" x14ac:dyDescent="0.25">
      <c r="B95" s="63"/>
    </row>
    <row r="96" spans="2:2" x14ac:dyDescent="0.25">
      <c r="B96" s="63"/>
    </row>
    <row r="97" spans="2:2" x14ac:dyDescent="0.25">
      <c r="B97" s="63"/>
    </row>
    <row r="98" spans="2:2" x14ac:dyDescent="0.25">
      <c r="B98" s="63"/>
    </row>
    <row r="99" spans="2:2" x14ac:dyDescent="0.25">
      <c r="B99" s="63"/>
    </row>
    <row r="100" spans="2:2" x14ac:dyDescent="0.25">
      <c r="B100" s="63"/>
    </row>
    <row r="101" spans="2:2" x14ac:dyDescent="0.25">
      <c r="B101" s="63"/>
    </row>
    <row r="102" spans="2:2" x14ac:dyDescent="0.25">
      <c r="B102" s="63"/>
    </row>
    <row r="103" spans="2:2" x14ac:dyDescent="0.25">
      <c r="B103" s="63"/>
    </row>
    <row r="104" spans="2:2" x14ac:dyDescent="0.25">
      <c r="B104" s="63"/>
    </row>
    <row r="105" spans="2:2" x14ac:dyDescent="0.25">
      <c r="B105" s="63"/>
    </row>
    <row r="106" spans="2:2" x14ac:dyDescent="0.25">
      <c r="B106" s="63"/>
    </row>
    <row r="107" spans="2:2" x14ac:dyDescent="0.25">
      <c r="B107" s="63"/>
    </row>
    <row r="108" spans="2:2" x14ac:dyDescent="0.25">
      <c r="B108" s="63"/>
    </row>
    <row r="109" spans="2:2" x14ac:dyDescent="0.25">
      <c r="B109" s="63"/>
    </row>
    <row r="110" spans="2:2" x14ac:dyDescent="0.25">
      <c r="B110" s="63"/>
    </row>
    <row r="111" spans="2:2" x14ac:dyDescent="0.25">
      <c r="B111" s="63"/>
    </row>
    <row r="112" spans="2:2" x14ac:dyDescent="0.25">
      <c r="B112" s="63"/>
    </row>
    <row r="113" spans="2:2" x14ac:dyDescent="0.25">
      <c r="B113" s="63"/>
    </row>
    <row r="114" spans="2:2" x14ac:dyDescent="0.25">
      <c r="B114" s="63"/>
    </row>
    <row r="115" spans="2:2" x14ac:dyDescent="0.25">
      <c r="B115" s="63"/>
    </row>
    <row r="116" spans="2:2" x14ac:dyDescent="0.25">
      <c r="B116" s="63"/>
    </row>
    <row r="117" spans="2:2" x14ac:dyDescent="0.25">
      <c r="B117" s="63"/>
    </row>
    <row r="118" spans="2:2" x14ac:dyDescent="0.25">
      <c r="B118" s="63"/>
    </row>
    <row r="119" spans="2:2" x14ac:dyDescent="0.25">
      <c r="B119" s="63"/>
    </row>
    <row r="120" spans="2:2" x14ac:dyDescent="0.25">
      <c r="B120" s="63"/>
    </row>
    <row r="121" spans="2:2" x14ac:dyDescent="0.25">
      <c r="B121" s="63"/>
    </row>
    <row r="122" spans="2:2" x14ac:dyDescent="0.25">
      <c r="B122" s="63"/>
    </row>
    <row r="123" spans="2:2" x14ac:dyDescent="0.25">
      <c r="B123" s="63"/>
    </row>
    <row r="124" spans="2:2" x14ac:dyDescent="0.25">
      <c r="B124" s="63"/>
    </row>
    <row r="125" spans="2:2" x14ac:dyDescent="0.25">
      <c r="B125" s="63"/>
    </row>
    <row r="126" spans="2:2" x14ac:dyDescent="0.25">
      <c r="B126" s="63"/>
    </row>
    <row r="127" spans="2:2" x14ac:dyDescent="0.25">
      <c r="B127" s="63"/>
    </row>
  </sheetData>
  <mergeCells count="12">
    <mergeCell ref="F14:G14"/>
    <mergeCell ref="A1:B1"/>
    <mergeCell ref="I1:J1"/>
    <mergeCell ref="A7:B7"/>
    <mergeCell ref="I8:J8"/>
    <mergeCell ref="A11:B11"/>
    <mergeCell ref="A15:B15"/>
    <mergeCell ref="A19:B19"/>
    <mergeCell ref="C19:D19"/>
    <mergeCell ref="E19:F19"/>
    <mergeCell ref="C26:D26"/>
    <mergeCell ref="E26:F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F6CA-9CC1-418C-9DF2-649F4B7B6D86}">
  <dimension ref="A1:L127"/>
  <sheetViews>
    <sheetView zoomScale="70" zoomScaleNormal="70" workbookViewId="0">
      <selection activeCell="J7" sqref="J7"/>
    </sheetView>
  </sheetViews>
  <sheetFormatPr baseColWidth="10" defaultColWidth="11.42578125" defaultRowHeight="15" x14ac:dyDescent="0.25"/>
  <cols>
    <col min="1" max="1" width="31" bestFit="1" customWidth="1"/>
    <col min="2" max="2" width="15.7109375" bestFit="1" customWidth="1"/>
    <col min="3" max="3" width="38.140625" bestFit="1" customWidth="1"/>
    <col min="4" max="4" width="21.7109375" bestFit="1" customWidth="1"/>
    <col min="5" max="5" width="38.140625" bestFit="1" customWidth="1"/>
    <col min="6" max="6" width="18.5703125" bestFit="1" customWidth="1"/>
    <col min="9" max="9" width="35.42578125" bestFit="1" customWidth="1"/>
  </cols>
  <sheetData>
    <row r="1" spans="1:12" x14ac:dyDescent="0.25">
      <c r="A1" s="163" t="s">
        <v>0</v>
      </c>
      <c r="B1" s="164"/>
      <c r="C1" s="32" t="s">
        <v>1</v>
      </c>
      <c r="D1" s="27">
        <v>0.998</v>
      </c>
      <c r="F1">
        <v>145</v>
      </c>
      <c r="G1" t="s">
        <v>58</v>
      </c>
      <c r="I1" s="163" t="s">
        <v>41</v>
      </c>
      <c r="J1" s="164"/>
    </row>
    <row r="2" spans="1:12" x14ac:dyDescent="0.25">
      <c r="A2" s="14"/>
      <c r="B2" s="29" t="s">
        <v>4</v>
      </c>
      <c r="C2" s="9" t="s">
        <v>5</v>
      </c>
      <c r="D2" s="9" t="s">
        <v>6</v>
      </c>
      <c r="F2">
        <v>580</v>
      </c>
      <c r="I2" s="14" t="s">
        <v>59</v>
      </c>
      <c r="J2" s="21">
        <f>D21+F21</f>
        <v>596616</v>
      </c>
    </row>
    <row r="3" spans="1:12" ht="15.75" thickBot="1" x14ac:dyDescent="0.3">
      <c r="A3" s="14" t="s">
        <v>60</v>
      </c>
      <c r="B3" s="29">
        <f>C3</f>
        <v>240000</v>
      </c>
      <c r="C3" s="54">
        <f>24000*10</f>
        <v>240000</v>
      </c>
      <c r="D3" s="10">
        <f>(C3-B3)/C3</f>
        <v>0</v>
      </c>
      <c r="F3">
        <v>7250</v>
      </c>
      <c r="I3" s="14" t="s">
        <v>43</v>
      </c>
      <c r="J3" s="66" t="s">
        <v>44</v>
      </c>
    </row>
    <row r="4" spans="1:12" x14ac:dyDescent="0.25">
      <c r="A4" s="14" t="s">
        <v>61</v>
      </c>
      <c r="B4" s="59">
        <f>B3*0.47</f>
        <v>112800</v>
      </c>
      <c r="C4" s="149">
        <f>B4</f>
        <v>112800</v>
      </c>
      <c r="D4" s="33">
        <f t="shared" ref="D4" si="0">(C4-B4)/C4</f>
        <v>0</v>
      </c>
      <c r="F4">
        <v>24000</v>
      </c>
      <c r="I4" s="14" t="s">
        <v>45</v>
      </c>
      <c r="J4" s="28">
        <v>1.25</v>
      </c>
    </row>
    <row r="5" spans="1:12" ht="15.75" thickBot="1" x14ac:dyDescent="0.3">
      <c r="A5" s="16" t="s">
        <v>62</v>
      </c>
      <c r="B5" s="60">
        <f>B3*0.53</f>
        <v>127200</v>
      </c>
      <c r="C5" s="150">
        <f>B5</f>
        <v>127200</v>
      </c>
      <c r="D5" s="33">
        <f>(C5-B5)/C5</f>
        <v>0</v>
      </c>
      <c r="I5" s="14" t="s">
        <v>63</v>
      </c>
      <c r="J5" s="21">
        <v>50000</v>
      </c>
      <c r="L5" s="153">
        <f>J5/J2</f>
        <v>8.3805999168644493E-2</v>
      </c>
    </row>
    <row r="6" spans="1:12" ht="15.75" thickBot="1" x14ac:dyDescent="0.3">
      <c r="I6" s="14" t="s">
        <v>64</v>
      </c>
      <c r="J6" s="61">
        <v>0.81</v>
      </c>
    </row>
    <row r="7" spans="1:12" x14ac:dyDescent="0.25">
      <c r="A7" s="163" t="s">
        <v>17</v>
      </c>
      <c r="B7" s="164"/>
      <c r="E7">
        <f>J26/10</f>
        <v>14202.802628356842</v>
      </c>
      <c r="I7" s="14" t="s">
        <v>65</v>
      </c>
      <c r="J7" s="21">
        <f>J5*J6</f>
        <v>40500</v>
      </c>
    </row>
    <row r="8" spans="1:12" x14ac:dyDescent="0.25">
      <c r="A8" s="14" t="str">
        <f>A5</f>
        <v>Grano con mucilago (kg)</v>
      </c>
      <c r="B8" s="28">
        <f>C5</f>
        <v>127200</v>
      </c>
      <c r="I8" s="170" t="s">
        <v>35</v>
      </c>
      <c r="J8" s="169"/>
    </row>
    <row r="9" spans="1:12" x14ac:dyDescent="0.25">
      <c r="A9" s="14" t="s">
        <v>66</v>
      </c>
      <c r="B9" s="44">
        <f>(B8*2)/D1</f>
        <v>254909.81963927855</v>
      </c>
      <c r="I9" s="14" t="s">
        <v>49</v>
      </c>
      <c r="J9" s="20">
        <f>_xlfn.FORECAST.LINEAR(J6,F36:F46,E36:E46)</f>
        <v>0.89952153110047561</v>
      </c>
    </row>
    <row r="10" spans="1:12" ht="15.75" thickBot="1" x14ac:dyDescent="0.3">
      <c r="A10" s="37" t="s">
        <v>67</v>
      </c>
      <c r="B10" s="38">
        <f>B8+(B9*D1)</f>
        <v>381600</v>
      </c>
      <c r="I10" s="14" t="s">
        <v>68</v>
      </c>
      <c r="J10" s="21">
        <f>J7*J9</f>
        <v>36430.622009569262</v>
      </c>
    </row>
    <row r="11" spans="1:12" ht="15.75" thickBot="1" x14ac:dyDescent="0.3">
      <c r="A11" s="163" t="s">
        <v>23</v>
      </c>
      <c r="B11" s="164"/>
      <c r="C11" s="57" t="s">
        <v>24</v>
      </c>
      <c r="D11" s="13" t="s">
        <v>6</v>
      </c>
      <c r="I11" s="14" t="s">
        <v>69</v>
      </c>
      <c r="J11" s="21">
        <f>J7-J10</f>
        <v>4069.3779904307376</v>
      </c>
    </row>
    <row r="12" spans="1:12" ht="15.75" thickBot="1" x14ac:dyDescent="0.3">
      <c r="A12" s="14" t="s">
        <v>70</v>
      </c>
      <c r="B12" s="29">
        <f>B8*0.97</f>
        <v>123384</v>
      </c>
      <c r="C12" s="24">
        <f>B12</f>
        <v>123384</v>
      </c>
      <c r="D12" s="40">
        <f>(C12-B12)/C12</f>
        <v>0</v>
      </c>
      <c r="I12" s="16" t="s">
        <v>71</v>
      </c>
      <c r="J12" s="22">
        <f>J10+J11</f>
        <v>40500</v>
      </c>
      <c r="K12">
        <f>J11+(J10/0.789)</f>
        <v>50242.536430949447</v>
      </c>
      <c r="L12" t="s">
        <v>72</v>
      </c>
    </row>
    <row r="13" spans="1:12" ht="15.75" thickBot="1" x14ac:dyDescent="0.3">
      <c r="A13" s="14" t="s">
        <v>73</v>
      </c>
      <c r="B13" s="58">
        <f>B10-B12</f>
        <v>258216</v>
      </c>
      <c r="C13" s="148">
        <f>B13</f>
        <v>258216</v>
      </c>
      <c r="D13" s="41">
        <f>(C13-B13)/C13</f>
        <v>0</v>
      </c>
      <c r="L13" t="s">
        <v>74</v>
      </c>
    </row>
    <row r="14" spans="1:12" ht="15.75" thickBot="1" x14ac:dyDescent="0.3">
      <c r="A14" s="16" t="s">
        <v>71</v>
      </c>
      <c r="B14" s="39">
        <f>B12+B13</f>
        <v>381600</v>
      </c>
      <c r="C14" s="147">
        <f>B14</f>
        <v>381600</v>
      </c>
      <c r="D14" s="41">
        <f>(C14-B14)/C14</f>
        <v>0</v>
      </c>
      <c r="F14" s="163" t="s">
        <v>2</v>
      </c>
      <c r="G14" s="164"/>
    </row>
    <row r="15" spans="1:12" ht="15.75" thickBot="1" x14ac:dyDescent="0.3">
      <c r="A15" s="173" t="s">
        <v>30</v>
      </c>
      <c r="B15" s="174"/>
      <c r="D15" s="1"/>
      <c r="F15" s="52" t="s">
        <v>7</v>
      </c>
      <c r="G15" s="18">
        <v>12</v>
      </c>
    </row>
    <row r="16" spans="1:12" x14ac:dyDescent="0.25">
      <c r="A16" s="55" t="s">
        <v>75</v>
      </c>
      <c r="B16" s="56">
        <f>5.035</f>
        <v>5.0350000000000001</v>
      </c>
      <c r="F16" s="14" t="s">
        <v>61</v>
      </c>
      <c r="G16" s="44">
        <f>C4</f>
        <v>112800</v>
      </c>
    </row>
    <row r="17" spans="1:11" x14ac:dyDescent="0.25">
      <c r="A17" s="23" t="s">
        <v>76</v>
      </c>
      <c r="B17" s="25">
        <v>4.931</v>
      </c>
      <c r="F17" s="14" t="s">
        <v>77</v>
      </c>
      <c r="G17" s="44">
        <f>(G16*2)/D1</f>
        <v>226052.10420841683</v>
      </c>
    </row>
    <row r="18" spans="1:11" ht="15.75" thickBot="1" x14ac:dyDescent="0.3">
      <c r="A18" s="23" t="s">
        <v>78</v>
      </c>
      <c r="B18" s="26">
        <f>B16/B17</f>
        <v>1.0210910565808153</v>
      </c>
      <c r="F18" s="16" t="s">
        <v>71</v>
      </c>
      <c r="G18" s="53">
        <f>G16+(G17*D1)</f>
        <v>338400</v>
      </c>
      <c r="J18">
        <f>K12/C3</f>
        <v>0.20934390179562271</v>
      </c>
    </row>
    <row r="19" spans="1:11" x14ac:dyDescent="0.25">
      <c r="A19" s="171" t="s">
        <v>35</v>
      </c>
      <c r="B19" s="172"/>
      <c r="C19" s="163" t="s">
        <v>52</v>
      </c>
      <c r="D19" s="164"/>
      <c r="E19" s="163" t="s">
        <v>53</v>
      </c>
      <c r="F19" s="164"/>
      <c r="J19">
        <f>J12/C3</f>
        <v>0.16875000000000001</v>
      </c>
    </row>
    <row r="20" spans="1:11" x14ac:dyDescent="0.25">
      <c r="A20" s="14" t="s">
        <v>36</v>
      </c>
      <c r="B20" s="46">
        <f>_xlfn.FORECAST.LINEAR(B18,B27:B37,A27:A37)</f>
        <v>0.22638290765505076</v>
      </c>
      <c r="C20" s="14" t="s">
        <v>7</v>
      </c>
      <c r="D20" s="28">
        <v>11</v>
      </c>
      <c r="E20" s="14" t="s">
        <v>7</v>
      </c>
      <c r="F20" s="28">
        <v>12</v>
      </c>
    </row>
    <row r="21" spans="1:11" x14ac:dyDescent="0.25">
      <c r="A21" s="14" t="s">
        <v>79</v>
      </c>
      <c r="B21" s="47">
        <f>B13*B20</f>
        <v>58455.688883056588</v>
      </c>
      <c r="C21" s="14" t="s">
        <v>67</v>
      </c>
      <c r="D21" s="21">
        <f>B23</f>
        <v>258216</v>
      </c>
      <c r="E21" s="14" t="s">
        <v>67</v>
      </c>
      <c r="F21" s="62">
        <f>G18</f>
        <v>338400</v>
      </c>
    </row>
    <row r="22" spans="1:11" x14ac:dyDescent="0.25">
      <c r="A22" s="14" t="s">
        <v>69</v>
      </c>
      <c r="B22" s="47">
        <f>B13-B21</f>
        <v>199760.31111694343</v>
      </c>
      <c r="C22" s="14" t="s">
        <v>80</v>
      </c>
      <c r="D22" s="21">
        <f>D21*(D20/100)</f>
        <v>28403.759999999998</v>
      </c>
      <c r="E22" s="14" t="s">
        <v>80</v>
      </c>
      <c r="F22" s="21">
        <f>F21*(F20/100)</f>
        <v>40608</v>
      </c>
    </row>
    <row r="23" spans="1:11" ht="15.75" thickBot="1" x14ac:dyDescent="0.3">
      <c r="A23" s="16" t="s">
        <v>71</v>
      </c>
      <c r="B23" s="48">
        <f>B21+B22</f>
        <v>258216</v>
      </c>
      <c r="C23" s="14" t="s">
        <v>15</v>
      </c>
      <c r="D23" s="15">
        <v>0.7</v>
      </c>
      <c r="E23" s="14" t="s">
        <v>15</v>
      </c>
      <c r="F23" s="15">
        <v>0.7</v>
      </c>
    </row>
    <row r="24" spans="1:11" x14ac:dyDescent="0.25">
      <c r="C24" s="14" t="s">
        <v>16</v>
      </c>
      <c r="D24" s="28">
        <v>0.18</v>
      </c>
      <c r="E24" s="14" t="s">
        <v>16</v>
      </c>
      <c r="F24" s="28">
        <f>D24</f>
        <v>0.18</v>
      </c>
      <c r="I24">
        <f>D22/B21</f>
        <v>0.48590240817832264</v>
      </c>
      <c r="J24">
        <f>D22/I24</f>
        <v>58455.688883056588</v>
      </c>
      <c r="K24" t="s">
        <v>81</v>
      </c>
    </row>
    <row r="25" spans="1:11" x14ac:dyDescent="0.25">
      <c r="A25" t="s">
        <v>39</v>
      </c>
      <c r="B25">
        <f>(1.1-0.998)/10</f>
        <v>1.0200000000000009E-2</v>
      </c>
      <c r="C25" s="14" t="s">
        <v>18</v>
      </c>
      <c r="D25" s="61">
        <f>D22/D24</f>
        <v>157798.66666666666</v>
      </c>
      <c r="E25" s="14" t="s">
        <v>18</v>
      </c>
      <c r="F25" s="61">
        <f>F22/F24</f>
        <v>225600</v>
      </c>
      <c r="J25">
        <f>F22/I24</f>
        <v>83572.337400511838</v>
      </c>
      <c r="K25" t="s">
        <v>81</v>
      </c>
    </row>
    <row r="26" spans="1:11" x14ac:dyDescent="0.25">
      <c r="A26" s="9"/>
      <c r="B26" s="9" t="s">
        <v>40</v>
      </c>
      <c r="C26" s="168" t="s">
        <v>19</v>
      </c>
      <c r="D26" s="169"/>
      <c r="E26" s="170" t="s">
        <v>19</v>
      </c>
      <c r="F26" s="169"/>
      <c r="J26">
        <f>J24+J25</f>
        <v>142028.02628356841</v>
      </c>
      <c r="K26" t="s">
        <v>81</v>
      </c>
    </row>
    <row r="27" spans="1:11" x14ac:dyDescent="0.25">
      <c r="A27" s="9">
        <v>1.1000000000000001</v>
      </c>
      <c r="B27" s="10">
        <f>1</f>
        <v>1</v>
      </c>
      <c r="C27" s="64" t="s">
        <v>21</v>
      </c>
      <c r="D27" s="28">
        <f>D25-(D25*D23)</f>
        <v>47339.600000000006</v>
      </c>
      <c r="E27" s="14" t="s">
        <v>21</v>
      </c>
      <c r="F27" s="28">
        <f>F25-(F25*F23)</f>
        <v>67680</v>
      </c>
      <c r="J27">
        <f>J26/B3</f>
        <v>0.59178344284820172</v>
      </c>
      <c r="K27" t="s">
        <v>82</v>
      </c>
    </row>
    <row r="28" spans="1:11" x14ac:dyDescent="0.25">
      <c r="A28" s="9">
        <f t="shared" ref="A28:A37" si="1">A27-$B$25</f>
        <v>1.0898000000000001</v>
      </c>
      <c r="B28" s="11">
        <f>B27-0.1</f>
        <v>0.9</v>
      </c>
      <c r="C28" s="64" t="s">
        <v>22</v>
      </c>
      <c r="D28" s="28">
        <f>D25*2*D23</f>
        <v>220918.1333333333</v>
      </c>
      <c r="E28" s="14" t="s">
        <v>22</v>
      </c>
      <c r="F28" s="28">
        <f>F25*2*F23</f>
        <v>315840</v>
      </c>
      <c r="J28">
        <f>J26/1.1</f>
        <v>129116.38753051673</v>
      </c>
      <c r="K28" t="s">
        <v>83</v>
      </c>
    </row>
    <row r="29" spans="1:11" x14ac:dyDescent="0.25">
      <c r="A29" s="9">
        <f t="shared" si="1"/>
        <v>1.0796000000000001</v>
      </c>
      <c r="B29" s="11">
        <f t="shared" ref="B29:B37" si="2">B28-0.1</f>
        <v>0.8</v>
      </c>
      <c r="C29" s="64" t="s">
        <v>25</v>
      </c>
      <c r="D29" s="28">
        <f>D28</f>
        <v>220918.1333333333</v>
      </c>
      <c r="E29" s="14" t="s">
        <v>25</v>
      </c>
      <c r="F29" s="28">
        <f>F28</f>
        <v>315840</v>
      </c>
      <c r="J29">
        <f>J28/B3</f>
        <v>0.53798494804381969</v>
      </c>
      <c r="K29" t="s">
        <v>84</v>
      </c>
    </row>
    <row r="30" spans="1:11" x14ac:dyDescent="0.25">
      <c r="A30" s="9">
        <f t="shared" si="1"/>
        <v>1.0694000000000001</v>
      </c>
      <c r="B30" s="11">
        <f t="shared" si="2"/>
        <v>0.70000000000000007</v>
      </c>
      <c r="C30" s="64" t="s">
        <v>27</v>
      </c>
      <c r="D30" s="28">
        <v>4.5999999999999999E-2</v>
      </c>
      <c r="E30" s="14" t="s">
        <v>27</v>
      </c>
      <c r="F30" s="28">
        <f>D30</f>
        <v>4.5999999999999999E-2</v>
      </c>
      <c r="J30">
        <f>J29*I24*D23</f>
        <v>0.18298572727272722</v>
      </c>
      <c r="K30" t="s">
        <v>83</v>
      </c>
    </row>
    <row r="31" spans="1:11" x14ac:dyDescent="0.25">
      <c r="A31" s="9">
        <f t="shared" si="1"/>
        <v>1.0592000000000001</v>
      </c>
      <c r="B31" s="11">
        <f t="shared" si="2"/>
        <v>0.60000000000000009</v>
      </c>
      <c r="C31" s="64" t="s">
        <v>85</v>
      </c>
      <c r="D31" s="21">
        <f>D28*D30</f>
        <v>10162.234133333332</v>
      </c>
      <c r="E31" s="14" t="s">
        <v>85</v>
      </c>
      <c r="F31" s="21">
        <f>F28*F30</f>
        <v>14528.64</v>
      </c>
    </row>
    <row r="32" spans="1:11" ht="15.75" thickBot="1" x14ac:dyDescent="0.3">
      <c r="A32" s="9">
        <f t="shared" si="1"/>
        <v>1.0490000000000002</v>
      </c>
      <c r="B32" s="11">
        <f t="shared" si="2"/>
        <v>0.50000000000000011</v>
      </c>
      <c r="C32" s="65" t="s">
        <v>86</v>
      </c>
      <c r="D32" s="22">
        <f>D31/D23</f>
        <v>14517.477333333332</v>
      </c>
      <c r="E32" s="16" t="s">
        <v>86</v>
      </c>
      <c r="F32" s="22">
        <f>F31/F23</f>
        <v>20755.2</v>
      </c>
    </row>
    <row r="33" spans="1:6" x14ac:dyDescent="0.25">
      <c r="A33" s="9">
        <f t="shared" si="1"/>
        <v>1.0388000000000002</v>
      </c>
      <c r="B33" s="11">
        <f t="shared" si="2"/>
        <v>0.40000000000000013</v>
      </c>
    </row>
    <row r="34" spans="1:6" x14ac:dyDescent="0.25">
      <c r="A34" s="9">
        <f t="shared" si="1"/>
        <v>1.0286000000000002</v>
      </c>
      <c r="B34" s="11">
        <f t="shared" si="2"/>
        <v>0.30000000000000016</v>
      </c>
      <c r="E34" t="s">
        <v>39</v>
      </c>
      <c r="F34">
        <f>(0.998-0.789)/10</f>
        <v>2.0899999999999995E-2</v>
      </c>
    </row>
    <row r="35" spans="1:6" x14ac:dyDescent="0.25">
      <c r="A35" s="9">
        <f t="shared" si="1"/>
        <v>1.0184000000000002</v>
      </c>
      <c r="B35" s="11">
        <f t="shared" si="2"/>
        <v>0.20000000000000015</v>
      </c>
      <c r="E35" s="9" t="s">
        <v>55</v>
      </c>
      <c r="F35" s="9" t="s">
        <v>56</v>
      </c>
    </row>
    <row r="36" spans="1:6" x14ac:dyDescent="0.25">
      <c r="A36" s="9">
        <f t="shared" si="1"/>
        <v>1.0082000000000002</v>
      </c>
      <c r="B36" s="11">
        <f t="shared" si="2"/>
        <v>0.10000000000000014</v>
      </c>
      <c r="E36" s="9">
        <v>0.998</v>
      </c>
      <c r="F36" s="10">
        <v>0</v>
      </c>
    </row>
    <row r="37" spans="1:6" x14ac:dyDescent="0.25">
      <c r="A37" s="9">
        <f t="shared" si="1"/>
        <v>0.99800000000000022</v>
      </c>
      <c r="B37" s="11">
        <f t="shared" si="2"/>
        <v>1.3877787807814457E-16</v>
      </c>
      <c r="E37" s="9">
        <f>E36-$F$34</f>
        <v>0.97709999999999997</v>
      </c>
      <c r="F37" s="11">
        <f>F36+0.1</f>
        <v>0.1</v>
      </c>
    </row>
    <row r="38" spans="1:6" x14ac:dyDescent="0.25">
      <c r="B38" s="63"/>
      <c r="E38" s="9">
        <f t="shared" ref="E38:E46" si="3">E37-$F$34</f>
        <v>0.95619999999999994</v>
      </c>
      <c r="F38" s="11">
        <f t="shared" ref="F38:F46" si="4">F37+0.1</f>
        <v>0.2</v>
      </c>
    </row>
    <row r="39" spans="1:6" x14ac:dyDescent="0.25">
      <c r="B39" s="63"/>
      <c r="E39" s="9">
        <f t="shared" si="3"/>
        <v>0.93529999999999991</v>
      </c>
      <c r="F39" s="11">
        <f t="shared" si="4"/>
        <v>0.30000000000000004</v>
      </c>
    </row>
    <row r="40" spans="1:6" x14ac:dyDescent="0.25">
      <c r="B40" s="63"/>
      <c r="E40" s="9">
        <f t="shared" si="3"/>
        <v>0.91439999999999988</v>
      </c>
      <c r="F40" s="11">
        <f t="shared" si="4"/>
        <v>0.4</v>
      </c>
    </row>
    <row r="41" spans="1:6" x14ac:dyDescent="0.25">
      <c r="B41" s="63"/>
      <c r="E41" s="9">
        <f t="shared" si="3"/>
        <v>0.89349999999999985</v>
      </c>
      <c r="F41" s="11">
        <f t="shared" si="4"/>
        <v>0.5</v>
      </c>
    </row>
    <row r="42" spans="1:6" x14ac:dyDescent="0.25">
      <c r="B42" s="63"/>
      <c r="E42" s="9">
        <f t="shared" si="3"/>
        <v>0.87259999999999982</v>
      </c>
      <c r="F42" s="11">
        <f t="shared" si="4"/>
        <v>0.6</v>
      </c>
    </row>
    <row r="43" spans="1:6" x14ac:dyDescent="0.25">
      <c r="B43" s="63"/>
      <c r="E43" s="9">
        <f t="shared" si="3"/>
        <v>0.85169999999999979</v>
      </c>
      <c r="F43" s="11">
        <f t="shared" si="4"/>
        <v>0.7</v>
      </c>
    </row>
    <row r="44" spans="1:6" x14ac:dyDescent="0.25">
      <c r="B44" s="63"/>
      <c r="E44" s="9">
        <f t="shared" si="3"/>
        <v>0.83079999999999976</v>
      </c>
      <c r="F44" s="11">
        <f t="shared" si="4"/>
        <v>0.79999999999999993</v>
      </c>
    </row>
    <row r="45" spans="1:6" x14ac:dyDescent="0.25">
      <c r="B45" s="63"/>
      <c r="E45" s="9">
        <f t="shared" si="3"/>
        <v>0.80989999999999973</v>
      </c>
      <c r="F45" s="11">
        <f t="shared" si="4"/>
        <v>0.89999999999999991</v>
      </c>
    </row>
    <row r="46" spans="1:6" x14ac:dyDescent="0.25">
      <c r="B46" s="63"/>
      <c r="E46" s="9">
        <f t="shared" si="3"/>
        <v>0.7889999999999997</v>
      </c>
      <c r="F46" s="11">
        <f t="shared" si="4"/>
        <v>0.99999999999999989</v>
      </c>
    </row>
    <row r="47" spans="1:6" x14ac:dyDescent="0.25">
      <c r="B47" s="63"/>
    </row>
    <row r="48" spans="1:6" x14ac:dyDescent="0.25">
      <c r="B48" s="63"/>
    </row>
    <row r="49" spans="2:2" x14ac:dyDescent="0.25">
      <c r="B49" s="63"/>
    </row>
    <row r="50" spans="2:2" x14ac:dyDescent="0.25">
      <c r="B50" s="63"/>
    </row>
    <row r="51" spans="2:2" x14ac:dyDescent="0.25">
      <c r="B51" s="63"/>
    </row>
    <row r="52" spans="2:2" x14ac:dyDescent="0.25">
      <c r="B52" s="63"/>
    </row>
    <row r="53" spans="2:2" x14ac:dyDescent="0.25">
      <c r="B53" s="63"/>
    </row>
    <row r="54" spans="2:2" x14ac:dyDescent="0.25">
      <c r="B54" s="63"/>
    </row>
    <row r="55" spans="2:2" x14ac:dyDescent="0.25">
      <c r="B55" s="63"/>
    </row>
    <row r="56" spans="2:2" x14ac:dyDescent="0.25">
      <c r="B56" s="63"/>
    </row>
    <row r="57" spans="2:2" x14ac:dyDescent="0.25">
      <c r="B57" s="63"/>
    </row>
    <row r="58" spans="2:2" x14ac:dyDescent="0.25">
      <c r="B58" s="63"/>
    </row>
    <row r="59" spans="2:2" x14ac:dyDescent="0.25">
      <c r="B59" s="63"/>
    </row>
    <row r="60" spans="2:2" x14ac:dyDescent="0.25">
      <c r="B60" s="63"/>
    </row>
    <row r="61" spans="2:2" x14ac:dyDescent="0.25">
      <c r="B61" s="63"/>
    </row>
    <row r="62" spans="2:2" x14ac:dyDescent="0.25">
      <c r="B62" s="63"/>
    </row>
    <row r="63" spans="2:2" x14ac:dyDescent="0.25">
      <c r="B63" s="63"/>
    </row>
    <row r="64" spans="2:2" x14ac:dyDescent="0.25">
      <c r="B64" s="63"/>
    </row>
    <row r="65" spans="2:2" x14ac:dyDescent="0.25">
      <c r="B65" s="63"/>
    </row>
    <row r="66" spans="2:2" x14ac:dyDescent="0.25">
      <c r="B66" s="63"/>
    </row>
    <row r="67" spans="2:2" x14ac:dyDescent="0.25">
      <c r="B67" s="63"/>
    </row>
    <row r="68" spans="2:2" x14ac:dyDescent="0.25">
      <c r="B68" s="63"/>
    </row>
    <row r="69" spans="2:2" x14ac:dyDescent="0.25">
      <c r="B69" s="63"/>
    </row>
    <row r="70" spans="2:2" x14ac:dyDescent="0.25">
      <c r="B70" s="63"/>
    </row>
    <row r="71" spans="2:2" x14ac:dyDescent="0.25">
      <c r="B71" s="63"/>
    </row>
    <row r="72" spans="2:2" x14ac:dyDescent="0.25">
      <c r="B72" s="63"/>
    </row>
    <row r="73" spans="2:2" x14ac:dyDescent="0.25">
      <c r="B73" s="63"/>
    </row>
    <row r="74" spans="2:2" x14ac:dyDescent="0.25">
      <c r="B74" s="63"/>
    </row>
    <row r="75" spans="2:2" x14ac:dyDescent="0.25">
      <c r="B75" s="63"/>
    </row>
    <row r="76" spans="2:2" x14ac:dyDescent="0.25">
      <c r="B76" s="63"/>
    </row>
    <row r="77" spans="2:2" x14ac:dyDescent="0.25">
      <c r="B77" s="63"/>
    </row>
    <row r="78" spans="2:2" x14ac:dyDescent="0.25">
      <c r="B78" s="63"/>
    </row>
    <row r="79" spans="2:2" x14ac:dyDescent="0.25">
      <c r="B79" s="63"/>
    </row>
    <row r="80" spans="2:2" x14ac:dyDescent="0.25">
      <c r="B80" s="63"/>
    </row>
    <row r="81" spans="2:2" x14ac:dyDescent="0.25">
      <c r="B81" s="63"/>
    </row>
    <row r="82" spans="2:2" x14ac:dyDescent="0.25">
      <c r="B82" s="63"/>
    </row>
    <row r="83" spans="2:2" x14ac:dyDescent="0.25">
      <c r="B83" s="63"/>
    </row>
    <row r="84" spans="2:2" x14ac:dyDescent="0.25">
      <c r="B84" s="63"/>
    </row>
    <row r="85" spans="2:2" x14ac:dyDescent="0.25">
      <c r="B85" s="63"/>
    </row>
    <row r="86" spans="2:2" x14ac:dyDescent="0.25">
      <c r="B86" s="63"/>
    </row>
    <row r="87" spans="2:2" x14ac:dyDescent="0.25">
      <c r="B87" s="63"/>
    </row>
    <row r="88" spans="2:2" x14ac:dyDescent="0.25">
      <c r="B88" s="63"/>
    </row>
    <row r="89" spans="2:2" x14ac:dyDescent="0.25">
      <c r="B89" s="63"/>
    </row>
    <row r="90" spans="2:2" x14ac:dyDescent="0.25">
      <c r="B90" s="63"/>
    </row>
    <row r="91" spans="2:2" x14ac:dyDescent="0.25">
      <c r="B91" s="63"/>
    </row>
    <row r="92" spans="2:2" x14ac:dyDescent="0.25">
      <c r="B92" s="63"/>
    </row>
    <row r="93" spans="2:2" x14ac:dyDescent="0.25">
      <c r="B93" s="63"/>
    </row>
    <row r="94" spans="2:2" x14ac:dyDescent="0.25">
      <c r="B94" s="63"/>
    </row>
    <row r="95" spans="2:2" x14ac:dyDescent="0.25">
      <c r="B95" s="63"/>
    </row>
    <row r="96" spans="2:2" x14ac:dyDescent="0.25">
      <c r="B96" s="63"/>
    </row>
    <row r="97" spans="2:2" x14ac:dyDescent="0.25">
      <c r="B97" s="63"/>
    </row>
    <row r="98" spans="2:2" x14ac:dyDescent="0.25">
      <c r="B98" s="63"/>
    </row>
    <row r="99" spans="2:2" x14ac:dyDescent="0.25">
      <c r="B99" s="63"/>
    </row>
    <row r="100" spans="2:2" x14ac:dyDescent="0.25">
      <c r="B100" s="63"/>
    </row>
    <row r="101" spans="2:2" x14ac:dyDescent="0.25">
      <c r="B101" s="63"/>
    </row>
    <row r="102" spans="2:2" x14ac:dyDescent="0.25">
      <c r="B102" s="63"/>
    </row>
    <row r="103" spans="2:2" x14ac:dyDescent="0.25">
      <c r="B103" s="63"/>
    </row>
    <row r="104" spans="2:2" x14ac:dyDescent="0.25">
      <c r="B104" s="63"/>
    </row>
    <row r="105" spans="2:2" x14ac:dyDescent="0.25">
      <c r="B105" s="63"/>
    </row>
    <row r="106" spans="2:2" x14ac:dyDescent="0.25">
      <c r="B106" s="63"/>
    </row>
    <row r="107" spans="2:2" x14ac:dyDescent="0.25">
      <c r="B107" s="63"/>
    </row>
    <row r="108" spans="2:2" x14ac:dyDescent="0.25">
      <c r="B108" s="63"/>
    </row>
    <row r="109" spans="2:2" x14ac:dyDescent="0.25">
      <c r="B109" s="63"/>
    </row>
    <row r="110" spans="2:2" x14ac:dyDescent="0.25">
      <c r="B110" s="63"/>
    </row>
    <row r="111" spans="2:2" x14ac:dyDescent="0.25">
      <c r="B111" s="63"/>
    </row>
    <row r="112" spans="2:2" x14ac:dyDescent="0.25">
      <c r="B112" s="63"/>
    </row>
    <row r="113" spans="2:2" x14ac:dyDescent="0.25">
      <c r="B113" s="63"/>
    </row>
    <row r="114" spans="2:2" x14ac:dyDescent="0.25">
      <c r="B114" s="63"/>
    </row>
    <row r="115" spans="2:2" x14ac:dyDescent="0.25">
      <c r="B115" s="63"/>
    </row>
    <row r="116" spans="2:2" x14ac:dyDescent="0.25">
      <c r="B116" s="63"/>
    </row>
    <row r="117" spans="2:2" x14ac:dyDescent="0.25">
      <c r="B117" s="63"/>
    </row>
    <row r="118" spans="2:2" x14ac:dyDescent="0.25">
      <c r="B118" s="63"/>
    </row>
    <row r="119" spans="2:2" x14ac:dyDescent="0.25">
      <c r="B119" s="63"/>
    </row>
    <row r="120" spans="2:2" x14ac:dyDescent="0.25">
      <c r="B120" s="63"/>
    </row>
    <row r="121" spans="2:2" x14ac:dyDescent="0.25">
      <c r="B121" s="63"/>
    </row>
    <row r="122" spans="2:2" x14ac:dyDescent="0.25">
      <c r="B122" s="63"/>
    </row>
    <row r="123" spans="2:2" x14ac:dyDescent="0.25">
      <c r="B123" s="63"/>
    </row>
    <row r="124" spans="2:2" x14ac:dyDescent="0.25">
      <c r="B124" s="63"/>
    </row>
    <row r="125" spans="2:2" x14ac:dyDescent="0.25">
      <c r="B125" s="63"/>
    </row>
    <row r="126" spans="2:2" x14ac:dyDescent="0.25">
      <c r="B126" s="63"/>
    </row>
    <row r="127" spans="2:2" x14ac:dyDescent="0.25">
      <c r="B127" s="63"/>
    </row>
  </sheetData>
  <mergeCells count="12">
    <mergeCell ref="F14:G14"/>
    <mergeCell ref="A1:B1"/>
    <mergeCell ref="I1:J1"/>
    <mergeCell ref="A7:B7"/>
    <mergeCell ref="I8:J8"/>
    <mergeCell ref="A11:B11"/>
    <mergeCell ref="A15:B15"/>
    <mergeCell ref="A19:B19"/>
    <mergeCell ref="C19:D19"/>
    <mergeCell ref="E19:F19"/>
    <mergeCell ref="C26:D26"/>
    <mergeCell ref="E26:F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0A721-64A5-46C5-92AB-01C38180A8E2}">
  <dimension ref="A1:L127"/>
  <sheetViews>
    <sheetView topLeftCell="A25" zoomScale="70" zoomScaleNormal="70" workbookViewId="0">
      <selection activeCell="I21" sqref="I21"/>
    </sheetView>
  </sheetViews>
  <sheetFormatPr baseColWidth="10" defaultColWidth="11.42578125" defaultRowHeight="15" x14ac:dyDescent="0.25"/>
  <cols>
    <col min="1" max="1" width="31" bestFit="1" customWidth="1"/>
    <col min="2" max="2" width="15.7109375" bestFit="1" customWidth="1"/>
    <col min="3" max="3" width="38.140625" bestFit="1" customWidth="1"/>
    <col min="4" max="4" width="21.7109375" bestFit="1" customWidth="1"/>
    <col min="5" max="5" width="38.140625" bestFit="1" customWidth="1"/>
    <col min="6" max="6" width="18.5703125" bestFit="1" customWidth="1"/>
    <col min="9" max="9" width="35.42578125" bestFit="1" customWidth="1"/>
  </cols>
  <sheetData>
    <row r="1" spans="1:12" x14ac:dyDescent="0.25">
      <c r="A1" s="163" t="s">
        <v>0</v>
      </c>
      <c r="B1" s="164"/>
      <c r="C1" s="32" t="s">
        <v>1</v>
      </c>
      <c r="D1" s="27">
        <v>0.998</v>
      </c>
      <c r="F1">
        <v>145</v>
      </c>
      <c r="G1" t="s">
        <v>58</v>
      </c>
      <c r="I1" s="163" t="s">
        <v>41</v>
      </c>
      <c r="J1" s="164"/>
    </row>
    <row r="2" spans="1:12" x14ac:dyDescent="0.25">
      <c r="A2" s="14"/>
      <c r="B2" s="29" t="s">
        <v>4</v>
      </c>
      <c r="C2" s="9" t="s">
        <v>5</v>
      </c>
      <c r="D2" s="9" t="s">
        <v>6</v>
      </c>
      <c r="F2">
        <v>580</v>
      </c>
      <c r="I2" s="14" t="s">
        <v>59</v>
      </c>
      <c r="J2" s="21">
        <f>D21+F21</f>
        <v>1634.5643835616438</v>
      </c>
    </row>
    <row r="3" spans="1:12" ht="15.75" thickBot="1" x14ac:dyDescent="0.3">
      <c r="A3" s="14" t="s">
        <v>60</v>
      </c>
      <c r="B3" s="29">
        <f>C3</f>
        <v>657.53424657534242</v>
      </c>
      <c r="C3" s="54">
        <f>(24000*10)/365</f>
        <v>657.53424657534242</v>
      </c>
      <c r="D3" s="10">
        <f>(C3-B3)/C3</f>
        <v>0</v>
      </c>
      <c r="F3">
        <v>7250</v>
      </c>
      <c r="I3" s="14" t="s">
        <v>43</v>
      </c>
      <c r="J3" s="66" t="s">
        <v>44</v>
      </c>
    </row>
    <row r="4" spans="1:12" x14ac:dyDescent="0.25">
      <c r="A4" s="14" t="s">
        <v>61</v>
      </c>
      <c r="B4" s="59">
        <f>B3*0.47</f>
        <v>309.04109589041093</v>
      </c>
      <c r="C4" s="149">
        <f>B4</f>
        <v>309.04109589041093</v>
      </c>
      <c r="D4" s="33">
        <f t="shared" ref="D4" si="0">(C4-B4)/C4</f>
        <v>0</v>
      </c>
      <c r="F4">
        <v>24000</v>
      </c>
      <c r="I4" s="14" t="s">
        <v>45</v>
      </c>
      <c r="J4" s="28">
        <v>1.25</v>
      </c>
    </row>
    <row r="5" spans="1:12" ht="15.75" thickBot="1" x14ac:dyDescent="0.3">
      <c r="A5" s="16" t="s">
        <v>62</v>
      </c>
      <c r="B5" s="60">
        <f>B3*0.53</f>
        <v>348.49315068493149</v>
      </c>
      <c r="C5" s="150">
        <f>B5</f>
        <v>348.49315068493149</v>
      </c>
      <c r="D5" s="33">
        <f>(C5-B5)/C5</f>
        <v>0</v>
      </c>
      <c r="I5" s="14" t="s">
        <v>63</v>
      </c>
      <c r="J5" s="21">
        <f>J2/10</f>
        <v>163.45643835616437</v>
      </c>
    </row>
    <row r="6" spans="1:12" ht="15.75" thickBot="1" x14ac:dyDescent="0.3">
      <c r="I6" s="14" t="s">
        <v>64</v>
      </c>
      <c r="J6" s="61">
        <v>0.81</v>
      </c>
    </row>
    <row r="7" spans="1:12" x14ac:dyDescent="0.25">
      <c r="A7" s="163" t="s">
        <v>17</v>
      </c>
      <c r="B7" s="164"/>
      <c r="I7" s="14" t="s">
        <v>65</v>
      </c>
      <c r="J7" s="21">
        <f>J5*J6</f>
        <v>132.39971506849315</v>
      </c>
    </row>
    <row r="8" spans="1:12" x14ac:dyDescent="0.25">
      <c r="A8" s="14" t="str">
        <f>A5</f>
        <v>Grano con mucilago (kg)</v>
      </c>
      <c r="B8" s="28">
        <f>C5</f>
        <v>348.49315068493149</v>
      </c>
      <c r="I8" s="170" t="s">
        <v>35</v>
      </c>
      <c r="J8" s="169"/>
    </row>
    <row r="9" spans="1:12" x14ac:dyDescent="0.25">
      <c r="A9" s="14" t="s">
        <v>66</v>
      </c>
      <c r="B9" s="44">
        <f>(B8*2)/D1</f>
        <v>698.38306750487277</v>
      </c>
      <c r="I9" s="14" t="s">
        <v>49</v>
      </c>
      <c r="J9" s="20">
        <f>_xlfn.FORECAST.LINEAR(J6,F36:F46,E36:E46)</f>
        <v>0.89952153110047561</v>
      </c>
    </row>
    <row r="10" spans="1:12" ht="15.75" thickBot="1" x14ac:dyDescent="0.3">
      <c r="A10" s="37" t="s">
        <v>67</v>
      </c>
      <c r="B10" s="38">
        <f>B8+(B9*D1)</f>
        <v>1045.4794520547944</v>
      </c>
      <c r="I10" s="14" t="s">
        <v>68</v>
      </c>
      <c r="J10" s="21">
        <f>J7*J9</f>
        <v>119.09639441567766</v>
      </c>
    </row>
    <row r="11" spans="1:12" ht="15.75" thickBot="1" x14ac:dyDescent="0.3">
      <c r="A11" s="163" t="s">
        <v>23</v>
      </c>
      <c r="B11" s="164"/>
      <c r="C11" s="57" t="s">
        <v>24</v>
      </c>
      <c r="D11" s="13" t="s">
        <v>6</v>
      </c>
      <c r="I11" s="14" t="s">
        <v>69</v>
      </c>
      <c r="J11" s="21">
        <f>J7-J10</f>
        <v>13.303320652815486</v>
      </c>
    </row>
    <row r="12" spans="1:12" ht="15.75" thickBot="1" x14ac:dyDescent="0.3">
      <c r="A12" s="14" t="s">
        <v>70</v>
      </c>
      <c r="B12" s="29">
        <f>B8*0.97</f>
        <v>338.03835616438352</v>
      </c>
      <c r="C12" s="24">
        <f>B12</f>
        <v>338.03835616438352</v>
      </c>
      <c r="D12" s="40">
        <f>(C12-B12)/C12</f>
        <v>0</v>
      </c>
      <c r="I12" s="16" t="s">
        <v>71</v>
      </c>
      <c r="J12" s="22">
        <f>J10+J11</f>
        <v>132.39971506849315</v>
      </c>
      <c r="K12">
        <f>J11+(J10/0.789)</f>
        <v>164.24932117965665</v>
      </c>
      <c r="L12" t="s">
        <v>87</v>
      </c>
    </row>
    <row r="13" spans="1:12" ht="15.75" thickBot="1" x14ac:dyDescent="0.3">
      <c r="A13" s="14" t="s">
        <v>73</v>
      </c>
      <c r="B13" s="58">
        <f>B10-B12</f>
        <v>707.44109589041091</v>
      </c>
      <c r="C13" s="148">
        <f>B13</f>
        <v>707.44109589041091</v>
      </c>
      <c r="D13" s="41">
        <f>(C13-B13)/C13</f>
        <v>0</v>
      </c>
      <c r="L13" t="s">
        <v>74</v>
      </c>
    </row>
    <row r="14" spans="1:12" ht="15.75" thickBot="1" x14ac:dyDescent="0.3">
      <c r="A14" s="16" t="s">
        <v>71</v>
      </c>
      <c r="B14" s="39">
        <f>B12+B13</f>
        <v>1045.4794520547944</v>
      </c>
      <c r="C14" s="147">
        <f>B14</f>
        <v>1045.4794520547944</v>
      </c>
      <c r="D14" s="41">
        <f>(C14-B14)/C14</f>
        <v>0</v>
      </c>
      <c r="F14" s="163" t="s">
        <v>2</v>
      </c>
      <c r="G14" s="164"/>
    </row>
    <row r="15" spans="1:12" ht="15.75" thickBot="1" x14ac:dyDescent="0.3">
      <c r="A15" s="173" t="s">
        <v>30</v>
      </c>
      <c r="B15" s="174"/>
      <c r="D15" s="1"/>
      <c r="F15" s="52" t="s">
        <v>7</v>
      </c>
      <c r="G15" s="18">
        <v>7</v>
      </c>
    </row>
    <row r="16" spans="1:12" x14ac:dyDescent="0.25">
      <c r="A16" s="55" t="s">
        <v>75</v>
      </c>
      <c r="B16" s="56">
        <f>5.035</f>
        <v>5.0350000000000001</v>
      </c>
      <c r="F16" s="14" t="s">
        <v>61</v>
      </c>
      <c r="G16" s="44">
        <f>C4</f>
        <v>309.04109589041093</v>
      </c>
    </row>
    <row r="17" spans="1:7" x14ac:dyDescent="0.25">
      <c r="A17" s="23" t="s">
        <v>76</v>
      </c>
      <c r="B17" s="25">
        <v>4.931</v>
      </c>
      <c r="F17" s="14" t="s">
        <v>77</v>
      </c>
      <c r="G17" s="44">
        <f>(G16*2)/D1</f>
        <v>619.32083344771729</v>
      </c>
    </row>
    <row r="18" spans="1:7" ht="15.75" thickBot="1" x14ac:dyDescent="0.3">
      <c r="A18" s="23" t="s">
        <v>78</v>
      </c>
      <c r="B18" s="26">
        <f>B16/B17</f>
        <v>1.0210910565808153</v>
      </c>
      <c r="F18" s="16" t="s">
        <v>71</v>
      </c>
      <c r="G18" s="53">
        <f>G16+(G17*D1)</f>
        <v>927.12328767123279</v>
      </c>
    </row>
    <row r="19" spans="1:7" x14ac:dyDescent="0.25">
      <c r="A19" s="171" t="s">
        <v>35</v>
      </c>
      <c r="B19" s="172"/>
      <c r="C19" s="163" t="s">
        <v>52</v>
      </c>
      <c r="D19" s="164"/>
      <c r="E19" s="163" t="s">
        <v>53</v>
      </c>
      <c r="F19" s="164"/>
    </row>
    <row r="20" spans="1:7" x14ac:dyDescent="0.25">
      <c r="A20" s="14" t="s">
        <v>36</v>
      </c>
      <c r="B20" s="46">
        <f>_xlfn.FORECAST.LINEAR(B18,B27:B37,A27:A37)</f>
        <v>0.22638290765505076</v>
      </c>
      <c r="C20" s="14" t="s">
        <v>7</v>
      </c>
      <c r="D20" s="28">
        <v>11</v>
      </c>
      <c r="E20" s="14" t="s">
        <v>7</v>
      </c>
      <c r="F20" s="28">
        <v>12</v>
      </c>
    </row>
    <row r="21" spans="1:7" x14ac:dyDescent="0.25">
      <c r="A21" s="14" t="s">
        <v>79</v>
      </c>
      <c r="B21" s="47">
        <f>B13*B20</f>
        <v>160.1525722823468</v>
      </c>
      <c r="C21" s="14" t="s">
        <v>67</v>
      </c>
      <c r="D21" s="21">
        <f>B23</f>
        <v>707.44109589041091</v>
      </c>
      <c r="E21" s="14" t="s">
        <v>67</v>
      </c>
      <c r="F21" s="62">
        <f>G18</f>
        <v>927.12328767123279</v>
      </c>
    </row>
    <row r="22" spans="1:7" x14ac:dyDescent="0.25">
      <c r="A22" s="14" t="s">
        <v>69</v>
      </c>
      <c r="B22" s="47">
        <f>B13-B21</f>
        <v>547.28852360806411</v>
      </c>
      <c r="C22" s="14" t="s">
        <v>80</v>
      </c>
      <c r="D22" s="21">
        <f>D21*(D20/100)</f>
        <v>77.818520547945198</v>
      </c>
      <c r="E22" s="14" t="s">
        <v>80</v>
      </c>
      <c r="F22" s="21">
        <f>F21*(F20/100)</f>
        <v>111.25479452054793</v>
      </c>
    </row>
    <row r="23" spans="1:7" ht="15.75" thickBot="1" x14ac:dyDescent="0.3">
      <c r="A23" s="16" t="s">
        <v>71</v>
      </c>
      <c r="B23" s="48">
        <f>B21+B22</f>
        <v>707.44109589041091</v>
      </c>
      <c r="C23" s="14" t="s">
        <v>15</v>
      </c>
      <c r="D23" s="15">
        <v>0.7</v>
      </c>
      <c r="E23" s="14" t="s">
        <v>15</v>
      </c>
      <c r="F23" s="15">
        <v>0.7</v>
      </c>
    </row>
    <row r="24" spans="1:7" x14ac:dyDescent="0.25">
      <c r="C24" s="14" t="s">
        <v>16</v>
      </c>
      <c r="D24" s="28">
        <v>0.18</v>
      </c>
      <c r="E24" s="14" t="s">
        <v>16</v>
      </c>
      <c r="F24" s="28">
        <f>D24</f>
        <v>0.18</v>
      </c>
    </row>
    <row r="25" spans="1:7" x14ac:dyDescent="0.25">
      <c r="A25" t="s">
        <v>39</v>
      </c>
      <c r="B25">
        <f>(1.1-0.998)/10</f>
        <v>1.0200000000000009E-2</v>
      </c>
      <c r="C25" s="14" t="s">
        <v>18</v>
      </c>
      <c r="D25" s="61">
        <f>D22/D24</f>
        <v>432.32511415525113</v>
      </c>
      <c r="E25" s="14" t="s">
        <v>18</v>
      </c>
      <c r="F25" s="61">
        <f>F22/F24</f>
        <v>618.08219178082186</v>
      </c>
    </row>
    <row r="26" spans="1:7" x14ac:dyDescent="0.25">
      <c r="A26" s="9"/>
      <c r="B26" s="9" t="s">
        <v>40</v>
      </c>
      <c r="C26" s="168" t="s">
        <v>19</v>
      </c>
      <c r="D26" s="169"/>
      <c r="E26" s="170" t="s">
        <v>19</v>
      </c>
      <c r="F26" s="169"/>
    </row>
    <row r="27" spans="1:7" x14ac:dyDescent="0.25">
      <c r="A27" s="9">
        <v>1.1000000000000001</v>
      </c>
      <c r="B27" s="10">
        <f>1</f>
        <v>1</v>
      </c>
      <c r="C27" s="64" t="s">
        <v>21</v>
      </c>
      <c r="D27" s="28">
        <f>D25-(D25*D23)</f>
        <v>129.69753424657534</v>
      </c>
      <c r="E27" s="14" t="s">
        <v>21</v>
      </c>
      <c r="F27" s="28">
        <f>F25-(F25*F23)</f>
        <v>185.42465753424659</v>
      </c>
    </row>
    <row r="28" spans="1:7" x14ac:dyDescent="0.25">
      <c r="A28" s="9">
        <f t="shared" ref="A28:A37" si="1">A27-$B$25</f>
        <v>1.0898000000000001</v>
      </c>
      <c r="B28" s="11">
        <f>B27-0.1</f>
        <v>0.9</v>
      </c>
      <c r="C28" s="64" t="s">
        <v>22</v>
      </c>
      <c r="D28" s="28">
        <f>D25*2*D23</f>
        <v>605.25515981735157</v>
      </c>
      <c r="E28" s="14" t="s">
        <v>22</v>
      </c>
      <c r="F28" s="28">
        <f>F25*2*F23</f>
        <v>865.31506849315053</v>
      </c>
    </row>
    <row r="29" spans="1:7" x14ac:dyDescent="0.25">
      <c r="A29" s="9">
        <f t="shared" si="1"/>
        <v>1.0796000000000001</v>
      </c>
      <c r="B29" s="11">
        <f t="shared" ref="B29:B37" si="2">B28-0.1</f>
        <v>0.8</v>
      </c>
      <c r="C29" s="64" t="s">
        <v>25</v>
      </c>
      <c r="D29" s="28">
        <f>D28</f>
        <v>605.25515981735157</v>
      </c>
      <c r="E29" s="14" t="s">
        <v>25</v>
      </c>
      <c r="F29" s="28">
        <f>F28</f>
        <v>865.31506849315053</v>
      </c>
    </row>
    <row r="30" spans="1:7" x14ac:dyDescent="0.25">
      <c r="A30" s="9">
        <f t="shared" si="1"/>
        <v>1.0694000000000001</v>
      </c>
      <c r="B30" s="11">
        <f t="shared" si="2"/>
        <v>0.70000000000000007</v>
      </c>
      <c r="C30" s="64" t="s">
        <v>27</v>
      </c>
      <c r="D30" s="28">
        <v>4.5999999999999999E-2</v>
      </c>
      <c r="E30" s="14" t="s">
        <v>27</v>
      </c>
      <c r="F30" s="28">
        <f>D30</f>
        <v>4.5999999999999999E-2</v>
      </c>
    </row>
    <row r="31" spans="1:7" x14ac:dyDescent="0.25">
      <c r="A31" s="9">
        <f t="shared" si="1"/>
        <v>1.0592000000000001</v>
      </c>
      <c r="B31" s="11">
        <f t="shared" si="2"/>
        <v>0.60000000000000009</v>
      </c>
      <c r="C31" s="64" t="s">
        <v>85</v>
      </c>
      <c r="D31" s="21">
        <f>D28*D30</f>
        <v>27.841737351598173</v>
      </c>
      <c r="E31" s="14" t="s">
        <v>85</v>
      </c>
      <c r="F31" s="21">
        <f>F28*F30</f>
        <v>39.804493150684927</v>
      </c>
    </row>
    <row r="32" spans="1:7" ht="15.75" thickBot="1" x14ac:dyDescent="0.3">
      <c r="A32" s="9">
        <f t="shared" si="1"/>
        <v>1.0490000000000002</v>
      </c>
      <c r="B32" s="11">
        <f t="shared" si="2"/>
        <v>0.50000000000000011</v>
      </c>
      <c r="C32" s="65" t="s">
        <v>86</v>
      </c>
      <c r="D32" s="22">
        <f>D31/D23</f>
        <v>39.773910502283108</v>
      </c>
      <c r="E32" s="16" t="s">
        <v>86</v>
      </c>
      <c r="F32" s="22">
        <f>F31/F23</f>
        <v>56.863561643835617</v>
      </c>
    </row>
    <row r="33" spans="1:6" x14ac:dyDescent="0.25">
      <c r="A33" s="9">
        <f t="shared" si="1"/>
        <v>1.0388000000000002</v>
      </c>
      <c r="B33" s="11">
        <f t="shared" si="2"/>
        <v>0.40000000000000013</v>
      </c>
    </row>
    <row r="34" spans="1:6" x14ac:dyDescent="0.25">
      <c r="A34" s="9">
        <f t="shared" si="1"/>
        <v>1.0286000000000002</v>
      </c>
      <c r="B34" s="11">
        <f t="shared" si="2"/>
        <v>0.30000000000000016</v>
      </c>
      <c r="E34" t="s">
        <v>39</v>
      </c>
      <c r="F34">
        <f>(0.998-0.789)/10</f>
        <v>2.0899999999999995E-2</v>
      </c>
    </row>
    <row r="35" spans="1:6" x14ac:dyDescent="0.25">
      <c r="A35" s="9">
        <f t="shared" si="1"/>
        <v>1.0184000000000002</v>
      </c>
      <c r="B35" s="11">
        <f t="shared" si="2"/>
        <v>0.20000000000000015</v>
      </c>
      <c r="E35" s="9" t="s">
        <v>55</v>
      </c>
      <c r="F35" s="9" t="s">
        <v>56</v>
      </c>
    </row>
    <row r="36" spans="1:6" x14ac:dyDescent="0.25">
      <c r="A36" s="9">
        <f t="shared" si="1"/>
        <v>1.0082000000000002</v>
      </c>
      <c r="B36" s="11">
        <f t="shared" si="2"/>
        <v>0.10000000000000014</v>
      </c>
      <c r="E36" s="9">
        <v>0.998</v>
      </c>
      <c r="F36" s="10">
        <v>0</v>
      </c>
    </row>
    <row r="37" spans="1:6" x14ac:dyDescent="0.25">
      <c r="A37" s="9">
        <f t="shared" si="1"/>
        <v>0.99800000000000022</v>
      </c>
      <c r="B37" s="11">
        <f t="shared" si="2"/>
        <v>1.3877787807814457E-16</v>
      </c>
      <c r="E37" s="9">
        <f>E36-$F$34</f>
        <v>0.97709999999999997</v>
      </c>
      <c r="F37" s="11">
        <f>F36+0.1</f>
        <v>0.1</v>
      </c>
    </row>
    <row r="38" spans="1:6" x14ac:dyDescent="0.25">
      <c r="B38" s="63"/>
      <c r="E38" s="9">
        <f t="shared" ref="E38:E46" si="3">E37-$F$34</f>
        <v>0.95619999999999994</v>
      </c>
      <c r="F38" s="11">
        <f t="shared" ref="F38:F46" si="4">F37+0.1</f>
        <v>0.2</v>
      </c>
    </row>
    <row r="39" spans="1:6" x14ac:dyDescent="0.25">
      <c r="B39" s="63"/>
      <c r="E39" s="9">
        <f t="shared" si="3"/>
        <v>0.93529999999999991</v>
      </c>
      <c r="F39" s="11">
        <f t="shared" si="4"/>
        <v>0.30000000000000004</v>
      </c>
    </row>
    <row r="40" spans="1:6" x14ac:dyDescent="0.25">
      <c r="B40" s="63"/>
      <c r="E40" s="9">
        <f t="shared" si="3"/>
        <v>0.91439999999999988</v>
      </c>
      <c r="F40" s="11">
        <f t="shared" si="4"/>
        <v>0.4</v>
      </c>
    </row>
    <row r="41" spans="1:6" x14ac:dyDescent="0.25">
      <c r="B41" s="63"/>
      <c r="E41" s="9">
        <f t="shared" si="3"/>
        <v>0.89349999999999985</v>
      </c>
      <c r="F41" s="11">
        <f t="shared" si="4"/>
        <v>0.5</v>
      </c>
    </row>
    <row r="42" spans="1:6" x14ac:dyDescent="0.25">
      <c r="B42" s="63"/>
      <c r="E42" s="9">
        <f t="shared" si="3"/>
        <v>0.87259999999999982</v>
      </c>
      <c r="F42" s="11">
        <f t="shared" si="4"/>
        <v>0.6</v>
      </c>
    </row>
    <row r="43" spans="1:6" x14ac:dyDescent="0.25">
      <c r="B43" s="63"/>
      <c r="E43" s="9">
        <f t="shared" si="3"/>
        <v>0.85169999999999979</v>
      </c>
      <c r="F43" s="11">
        <f t="shared" si="4"/>
        <v>0.7</v>
      </c>
    </row>
    <row r="44" spans="1:6" x14ac:dyDescent="0.25">
      <c r="B44" s="63"/>
      <c r="E44" s="9">
        <f t="shared" si="3"/>
        <v>0.83079999999999976</v>
      </c>
      <c r="F44" s="11">
        <f t="shared" si="4"/>
        <v>0.79999999999999993</v>
      </c>
    </row>
    <row r="45" spans="1:6" x14ac:dyDescent="0.25">
      <c r="B45" s="63"/>
      <c r="E45" s="9">
        <f t="shared" si="3"/>
        <v>0.80989999999999973</v>
      </c>
      <c r="F45" s="11">
        <f t="shared" si="4"/>
        <v>0.89999999999999991</v>
      </c>
    </row>
    <row r="46" spans="1:6" x14ac:dyDescent="0.25">
      <c r="B46" s="63"/>
      <c r="E46" s="9">
        <f t="shared" si="3"/>
        <v>0.7889999999999997</v>
      </c>
      <c r="F46" s="11">
        <f t="shared" si="4"/>
        <v>0.99999999999999989</v>
      </c>
    </row>
    <row r="47" spans="1:6" x14ac:dyDescent="0.25">
      <c r="B47" s="63"/>
    </row>
    <row r="48" spans="1:6" x14ac:dyDescent="0.25">
      <c r="B48" s="63"/>
    </row>
    <row r="49" spans="2:2" x14ac:dyDescent="0.25">
      <c r="B49" s="63"/>
    </row>
    <row r="50" spans="2:2" x14ac:dyDescent="0.25">
      <c r="B50" s="63"/>
    </row>
    <row r="51" spans="2:2" x14ac:dyDescent="0.25">
      <c r="B51" s="63"/>
    </row>
    <row r="52" spans="2:2" x14ac:dyDescent="0.25">
      <c r="B52" s="63"/>
    </row>
    <row r="53" spans="2:2" x14ac:dyDescent="0.25">
      <c r="B53" s="63"/>
    </row>
    <row r="54" spans="2:2" x14ac:dyDescent="0.25">
      <c r="B54" s="63"/>
    </row>
    <row r="55" spans="2:2" x14ac:dyDescent="0.25">
      <c r="B55" s="63"/>
    </row>
    <row r="56" spans="2:2" x14ac:dyDescent="0.25">
      <c r="B56" s="63"/>
    </row>
    <row r="57" spans="2:2" x14ac:dyDescent="0.25">
      <c r="B57" s="63"/>
    </row>
    <row r="58" spans="2:2" x14ac:dyDescent="0.25">
      <c r="B58" s="63"/>
    </row>
    <row r="59" spans="2:2" x14ac:dyDescent="0.25">
      <c r="B59" s="63"/>
    </row>
    <row r="60" spans="2:2" x14ac:dyDescent="0.25">
      <c r="B60" s="63"/>
    </row>
    <row r="61" spans="2:2" x14ac:dyDescent="0.25">
      <c r="B61" s="63"/>
    </row>
    <row r="62" spans="2:2" x14ac:dyDescent="0.25">
      <c r="B62" s="63"/>
    </row>
    <row r="63" spans="2:2" x14ac:dyDescent="0.25">
      <c r="B63" s="63"/>
    </row>
    <row r="64" spans="2:2" x14ac:dyDescent="0.25">
      <c r="B64" s="63"/>
    </row>
    <row r="65" spans="2:2" x14ac:dyDescent="0.25">
      <c r="B65" s="63"/>
    </row>
    <row r="66" spans="2:2" x14ac:dyDescent="0.25">
      <c r="B66" s="63"/>
    </row>
    <row r="67" spans="2:2" x14ac:dyDescent="0.25">
      <c r="B67" s="63"/>
    </row>
    <row r="68" spans="2:2" x14ac:dyDescent="0.25">
      <c r="B68" s="63"/>
    </row>
    <row r="69" spans="2:2" x14ac:dyDescent="0.25">
      <c r="B69" s="63"/>
    </row>
    <row r="70" spans="2:2" x14ac:dyDescent="0.25">
      <c r="B70" s="63"/>
    </row>
    <row r="71" spans="2:2" x14ac:dyDescent="0.25">
      <c r="B71" s="63"/>
    </row>
    <row r="72" spans="2:2" x14ac:dyDescent="0.25">
      <c r="B72" s="63"/>
    </row>
    <row r="73" spans="2:2" x14ac:dyDescent="0.25">
      <c r="B73" s="63"/>
    </row>
    <row r="74" spans="2:2" x14ac:dyDescent="0.25">
      <c r="B74" s="63"/>
    </row>
    <row r="75" spans="2:2" x14ac:dyDescent="0.25">
      <c r="B75" s="63"/>
    </row>
    <row r="76" spans="2:2" x14ac:dyDescent="0.25">
      <c r="B76" s="63"/>
    </row>
    <row r="77" spans="2:2" x14ac:dyDescent="0.25">
      <c r="B77" s="63"/>
    </row>
    <row r="78" spans="2:2" x14ac:dyDescent="0.25">
      <c r="B78" s="63"/>
    </row>
    <row r="79" spans="2:2" x14ac:dyDescent="0.25">
      <c r="B79" s="63"/>
    </row>
    <row r="80" spans="2:2" x14ac:dyDescent="0.25">
      <c r="B80" s="63"/>
    </row>
    <row r="81" spans="2:2" x14ac:dyDescent="0.25">
      <c r="B81" s="63"/>
    </row>
    <row r="82" spans="2:2" x14ac:dyDescent="0.25">
      <c r="B82" s="63"/>
    </row>
    <row r="83" spans="2:2" x14ac:dyDescent="0.25">
      <c r="B83" s="63"/>
    </row>
    <row r="84" spans="2:2" x14ac:dyDescent="0.25">
      <c r="B84" s="63"/>
    </row>
    <row r="85" spans="2:2" x14ac:dyDescent="0.25">
      <c r="B85" s="63"/>
    </row>
    <row r="86" spans="2:2" x14ac:dyDescent="0.25">
      <c r="B86" s="63"/>
    </row>
    <row r="87" spans="2:2" x14ac:dyDescent="0.25">
      <c r="B87" s="63"/>
    </row>
    <row r="88" spans="2:2" x14ac:dyDescent="0.25">
      <c r="B88" s="63"/>
    </row>
    <row r="89" spans="2:2" x14ac:dyDescent="0.25">
      <c r="B89" s="63"/>
    </row>
    <row r="90" spans="2:2" x14ac:dyDescent="0.25">
      <c r="B90" s="63"/>
    </row>
    <row r="91" spans="2:2" x14ac:dyDescent="0.25">
      <c r="B91" s="63"/>
    </row>
    <row r="92" spans="2:2" x14ac:dyDescent="0.25">
      <c r="B92" s="63"/>
    </row>
    <row r="93" spans="2:2" x14ac:dyDescent="0.25">
      <c r="B93" s="63"/>
    </row>
    <row r="94" spans="2:2" x14ac:dyDescent="0.25">
      <c r="B94" s="63"/>
    </row>
    <row r="95" spans="2:2" x14ac:dyDescent="0.25">
      <c r="B95" s="63"/>
    </row>
    <row r="96" spans="2:2" x14ac:dyDescent="0.25">
      <c r="B96" s="63"/>
    </row>
    <row r="97" spans="2:2" x14ac:dyDescent="0.25">
      <c r="B97" s="63"/>
    </row>
    <row r="98" spans="2:2" x14ac:dyDescent="0.25">
      <c r="B98" s="63"/>
    </row>
    <row r="99" spans="2:2" x14ac:dyDescent="0.25">
      <c r="B99" s="63"/>
    </row>
    <row r="100" spans="2:2" x14ac:dyDescent="0.25">
      <c r="B100" s="63"/>
    </row>
    <row r="101" spans="2:2" x14ac:dyDescent="0.25">
      <c r="B101" s="63"/>
    </row>
    <row r="102" spans="2:2" x14ac:dyDescent="0.25">
      <c r="B102" s="63"/>
    </row>
    <row r="103" spans="2:2" x14ac:dyDescent="0.25">
      <c r="B103" s="63"/>
    </row>
    <row r="104" spans="2:2" x14ac:dyDescent="0.25">
      <c r="B104" s="63"/>
    </row>
    <row r="105" spans="2:2" x14ac:dyDescent="0.25">
      <c r="B105" s="63"/>
    </row>
    <row r="106" spans="2:2" x14ac:dyDescent="0.25">
      <c r="B106" s="63"/>
    </row>
    <row r="107" spans="2:2" x14ac:dyDescent="0.25">
      <c r="B107" s="63"/>
    </row>
    <row r="108" spans="2:2" x14ac:dyDescent="0.25">
      <c r="B108" s="63"/>
    </row>
    <row r="109" spans="2:2" x14ac:dyDescent="0.25">
      <c r="B109" s="63"/>
    </row>
    <row r="110" spans="2:2" x14ac:dyDescent="0.25">
      <c r="B110" s="63"/>
    </row>
    <row r="111" spans="2:2" x14ac:dyDescent="0.25">
      <c r="B111" s="63"/>
    </row>
    <row r="112" spans="2:2" x14ac:dyDescent="0.25">
      <c r="B112" s="63"/>
    </row>
    <row r="113" spans="2:2" x14ac:dyDescent="0.25">
      <c r="B113" s="63"/>
    </row>
    <row r="114" spans="2:2" x14ac:dyDescent="0.25">
      <c r="B114" s="63"/>
    </row>
    <row r="115" spans="2:2" x14ac:dyDescent="0.25">
      <c r="B115" s="63"/>
    </row>
    <row r="116" spans="2:2" x14ac:dyDescent="0.25">
      <c r="B116" s="63"/>
    </row>
    <row r="117" spans="2:2" x14ac:dyDescent="0.25">
      <c r="B117" s="63"/>
    </row>
    <row r="118" spans="2:2" x14ac:dyDescent="0.25">
      <c r="B118" s="63"/>
    </row>
    <row r="119" spans="2:2" x14ac:dyDescent="0.25">
      <c r="B119" s="63"/>
    </row>
    <row r="120" spans="2:2" x14ac:dyDescent="0.25">
      <c r="B120" s="63"/>
    </row>
    <row r="121" spans="2:2" x14ac:dyDescent="0.25">
      <c r="B121" s="63"/>
    </row>
    <row r="122" spans="2:2" x14ac:dyDescent="0.25">
      <c r="B122" s="63"/>
    </row>
    <row r="123" spans="2:2" x14ac:dyDescent="0.25">
      <c r="B123" s="63"/>
    </row>
    <row r="124" spans="2:2" x14ac:dyDescent="0.25">
      <c r="B124" s="63"/>
    </row>
    <row r="125" spans="2:2" x14ac:dyDescent="0.25">
      <c r="B125" s="63"/>
    </row>
    <row r="126" spans="2:2" x14ac:dyDescent="0.25">
      <c r="B126" s="63"/>
    </row>
    <row r="127" spans="2:2" x14ac:dyDescent="0.25">
      <c r="B127" s="63"/>
    </row>
  </sheetData>
  <mergeCells count="12">
    <mergeCell ref="F14:G14"/>
    <mergeCell ref="A1:B1"/>
    <mergeCell ref="I1:J1"/>
    <mergeCell ref="A7:B7"/>
    <mergeCell ref="I8:J8"/>
    <mergeCell ref="A11:B11"/>
    <mergeCell ref="A15:B15"/>
    <mergeCell ref="A19:B19"/>
    <mergeCell ref="C19:D19"/>
    <mergeCell ref="E19:F19"/>
    <mergeCell ref="C26:D26"/>
    <mergeCell ref="E26:F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3433-7B2B-47EB-8719-6230EEB62F4D}">
  <dimension ref="A1:BC39"/>
  <sheetViews>
    <sheetView topLeftCell="I1" zoomScale="80" zoomScaleNormal="80" workbookViewId="0">
      <selection activeCell="Q6" sqref="Q6"/>
    </sheetView>
  </sheetViews>
  <sheetFormatPr baseColWidth="10" defaultColWidth="11.42578125" defaultRowHeight="15" x14ac:dyDescent="0.25"/>
  <cols>
    <col min="1" max="1" width="38.42578125" style="69" bestFit="1" customWidth="1"/>
    <col min="2" max="2" width="11.28515625" style="69" bestFit="1" customWidth="1"/>
    <col min="3" max="3" width="16" style="69" customWidth="1"/>
    <col min="4" max="4" width="11.42578125" style="69"/>
    <col min="5" max="5" width="16" style="69" customWidth="1"/>
    <col min="6" max="6" width="18.5703125" style="69" bestFit="1" customWidth="1"/>
    <col min="7" max="7" width="17.7109375" style="69" bestFit="1" customWidth="1"/>
    <col min="8" max="8" width="16.5703125" style="69" bestFit="1" customWidth="1"/>
    <col min="9" max="9" width="17.42578125" style="69" customWidth="1"/>
    <col min="10" max="12" width="20.42578125" style="69" customWidth="1"/>
    <col min="13" max="13" width="17.140625" style="69" bestFit="1" customWidth="1"/>
    <col min="14" max="14" width="18.85546875" style="69" bestFit="1" customWidth="1"/>
    <col min="15" max="15" width="20.5703125" style="69" bestFit="1" customWidth="1"/>
    <col min="16" max="16" width="16.7109375" style="69" bestFit="1" customWidth="1"/>
    <col min="17" max="17" width="16.7109375" style="69" customWidth="1"/>
    <col min="18" max="18" width="21.42578125" style="69" bestFit="1" customWidth="1"/>
    <col min="19" max="19" width="18.5703125" style="69" bestFit="1" customWidth="1"/>
    <col min="20" max="20" width="20.28515625" style="69" bestFit="1" customWidth="1"/>
    <col min="21" max="21" width="18.7109375" style="69" bestFit="1" customWidth="1"/>
    <col min="22" max="22" width="19.42578125" style="69" bestFit="1" customWidth="1"/>
    <col min="23" max="23" width="15" style="69" bestFit="1" customWidth="1"/>
    <col min="24" max="24" width="20" style="69" bestFit="1" customWidth="1"/>
    <col min="25" max="25" width="19.85546875" style="69" bestFit="1" customWidth="1"/>
    <col min="26" max="26" width="15" style="69" bestFit="1" customWidth="1"/>
    <col min="27" max="27" width="15" style="69" customWidth="1"/>
    <col min="28" max="28" width="19.42578125" style="69" bestFit="1" customWidth="1"/>
    <col min="29" max="29" width="18.7109375" style="69" bestFit="1" customWidth="1"/>
    <col min="30" max="30" width="16.5703125" style="69" customWidth="1"/>
    <col min="31" max="31" width="17.85546875" style="69" customWidth="1"/>
    <col min="32" max="33" width="16.5703125" style="69" bestFit="1" customWidth="1"/>
    <col min="34" max="34" width="25.42578125" style="69" customWidth="1"/>
    <col min="35" max="35" width="15.7109375" style="69" customWidth="1"/>
    <col min="36" max="36" width="23.140625" style="69" bestFit="1" customWidth="1"/>
    <col min="37" max="37" width="15" style="69" hidden="1" customWidth="1"/>
    <col min="38" max="38" width="15.85546875" style="69" bestFit="1" customWidth="1"/>
    <col min="39" max="39" width="27.42578125" style="69" bestFit="1" customWidth="1"/>
    <col min="40" max="40" width="29.140625" style="69" bestFit="1" customWidth="1"/>
    <col min="41" max="41" width="21.85546875" style="69" customWidth="1"/>
    <col min="42" max="42" width="22.42578125" style="69" bestFit="1" customWidth="1"/>
    <col min="43" max="43" width="26.5703125" style="69" customWidth="1"/>
    <col min="44" max="44" width="11.42578125" style="69"/>
    <col min="45" max="45" width="31" style="69" bestFit="1" customWidth="1"/>
    <col min="46" max="46" width="18.7109375" style="69" bestFit="1" customWidth="1"/>
    <col min="47" max="47" width="21.140625" style="69" customWidth="1"/>
    <col min="48" max="48" width="22.7109375" style="69" customWidth="1"/>
    <col min="49" max="49" width="20.5703125" style="69" customWidth="1"/>
    <col min="50" max="50" width="17.85546875" style="69" bestFit="1" customWidth="1"/>
    <col min="51" max="52" width="15" style="69" bestFit="1" customWidth="1"/>
    <col min="53" max="53" width="14.85546875" style="69" bestFit="1" customWidth="1"/>
    <col min="54" max="16384" width="11.42578125" style="69"/>
  </cols>
  <sheetData>
    <row r="1" spans="1:55" ht="30" customHeight="1" x14ac:dyDescent="0.25">
      <c r="A1" s="175" t="s">
        <v>88</v>
      </c>
      <c r="B1" s="176"/>
    </row>
    <row r="2" spans="1:55" ht="15.75" thickBot="1" x14ac:dyDescent="0.3">
      <c r="A2" s="70" t="s">
        <v>89</v>
      </c>
      <c r="B2" s="71">
        <v>4000</v>
      </c>
      <c r="AQ2" s="69" t="s">
        <v>90</v>
      </c>
    </row>
    <row r="3" spans="1:55" ht="45" x14ac:dyDescent="0.25">
      <c r="A3" s="70" t="s">
        <v>91</v>
      </c>
      <c r="B3" s="72">
        <v>7.1400000000000005E-2</v>
      </c>
      <c r="D3" s="67" t="s">
        <v>92</v>
      </c>
      <c r="E3" s="73" t="s">
        <v>93</v>
      </c>
      <c r="F3" s="73" t="s">
        <v>94</v>
      </c>
      <c r="G3" s="73" t="s">
        <v>95</v>
      </c>
      <c r="H3" s="75" t="s">
        <v>96</v>
      </c>
      <c r="I3" s="76" t="s">
        <v>97</v>
      </c>
      <c r="J3" s="73" t="s">
        <v>98</v>
      </c>
      <c r="K3" s="73" t="s">
        <v>99</v>
      </c>
      <c r="L3" s="73" t="s">
        <v>100</v>
      </c>
      <c r="M3" s="73" t="s">
        <v>101</v>
      </c>
      <c r="N3" s="73" t="s">
        <v>102</v>
      </c>
      <c r="O3" s="73" t="s">
        <v>103</v>
      </c>
      <c r="P3" s="73" t="s">
        <v>104</v>
      </c>
      <c r="Q3" s="74" t="s">
        <v>105</v>
      </c>
      <c r="R3" s="77" t="s">
        <v>106</v>
      </c>
      <c r="S3" s="76" t="s">
        <v>107</v>
      </c>
      <c r="T3" s="73" t="s">
        <v>108</v>
      </c>
      <c r="U3" s="73" t="s">
        <v>109</v>
      </c>
      <c r="V3" s="73" t="s">
        <v>110</v>
      </c>
      <c r="W3" s="73" t="s">
        <v>111</v>
      </c>
      <c r="X3" s="73" t="s">
        <v>112</v>
      </c>
      <c r="Y3" s="73" t="s">
        <v>113</v>
      </c>
      <c r="Z3" s="73" t="s">
        <v>114</v>
      </c>
      <c r="AA3" s="74" t="s">
        <v>115</v>
      </c>
      <c r="AB3" s="77" t="s">
        <v>116</v>
      </c>
      <c r="AC3" s="78" t="s">
        <v>117</v>
      </c>
      <c r="AD3" s="76" t="s">
        <v>118</v>
      </c>
      <c r="AE3" s="73" t="s">
        <v>119</v>
      </c>
      <c r="AF3" s="74" t="s">
        <v>120</v>
      </c>
      <c r="AG3" s="75" t="s">
        <v>121</v>
      </c>
      <c r="AH3" s="78" t="s">
        <v>122</v>
      </c>
      <c r="AI3" s="76" t="s">
        <v>123</v>
      </c>
      <c r="AJ3" s="73" t="s">
        <v>124</v>
      </c>
      <c r="AK3" s="79" t="s">
        <v>125</v>
      </c>
      <c r="AL3" s="79" t="s">
        <v>126</v>
      </c>
      <c r="AM3" s="74" t="s">
        <v>127</v>
      </c>
      <c r="AN3" s="75" t="s">
        <v>128</v>
      </c>
      <c r="AO3" s="80" t="s">
        <v>129</v>
      </c>
      <c r="AP3" s="73" t="s">
        <v>130</v>
      </c>
      <c r="AQ3" s="77" t="s">
        <v>131</v>
      </c>
      <c r="AR3" s="81" t="s">
        <v>132</v>
      </c>
      <c r="AS3" s="75" t="s">
        <v>133</v>
      </c>
      <c r="AT3" s="76" t="s">
        <v>134</v>
      </c>
      <c r="AU3" s="73" t="s">
        <v>135</v>
      </c>
      <c r="AV3" s="74" t="s">
        <v>136</v>
      </c>
      <c r="AW3" s="78" t="s">
        <v>137</v>
      </c>
      <c r="AX3" s="82" t="s">
        <v>138</v>
      </c>
    </row>
    <row r="4" spans="1:55" x14ac:dyDescent="0.25">
      <c r="A4" s="70" t="s">
        <v>139</v>
      </c>
      <c r="B4" s="71">
        <v>75000</v>
      </c>
      <c r="D4" s="70">
        <v>2024</v>
      </c>
      <c r="E4" s="83"/>
      <c r="F4" s="84">
        <f>B4/3.8</f>
        <v>19736.84210526316</v>
      </c>
      <c r="G4" s="85"/>
      <c r="H4" s="88"/>
      <c r="I4" s="70"/>
      <c r="J4" s="86">
        <v>500</v>
      </c>
      <c r="K4" s="85"/>
      <c r="L4" s="86"/>
      <c r="M4" s="85"/>
      <c r="N4" s="85"/>
      <c r="O4" s="86">
        <v>25000</v>
      </c>
      <c r="P4" s="85"/>
      <c r="Q4" s="87"/>
      <c r="R4" s="87"/>
      <c r="S4" s="70"/>
      <c r="T4" s="86">
        <v>500</v>
      </c>
      <c r="U4" s="85"/>
      <c r="V4" s="85"/>
      <c r="W4" s="86"/>
      <c r="X4" s="85"/>
      <c r="Y4" s="86">
        <v>600000</v>
      </c>
      <c r="Z4" s="86"/>
      <c r="AA4" s="92">
        <f>12*15000000</f>
        <v>180000000</v>
      </c>
      <c r="AB4" s="87"/>
      <c r="AC4" s="89"/>
      <c r="AD4" s="90">
        <f>AE4*0.01</f>
        <v>2400000</v>
      </c>
      <c r="AE4" s="91">
        <v>240000000</v>
      </c>
      <c r="AF4" s="92"/>
      <c r="AG4" s="88"/>
      <c r="AH4" s="89"/>
      <c r="AI4" s="70"/>
      <c r="AJ4" s="85"/>
      <c r="AK4" s="85"/>
      <c r="AL4" s="86">
        <f>C31</f>
        <v>60000000</v>
      </c>
      <c r="AM4" s="87"/>
      <c r="AN4" s="88"/>
      <c r="AO4" s="93"/>
      <c r="AP4" s="85"/>
      <c r="AQ4" s="87"/>
      <c r="AR4" s="94"/>
      <c r="AS4" s="88"/>
      <c r="AT4" s="70"/>
      <c r="AU4" s="85"/>
      <c r="AV4" s="87"/>
      <c r="AW4" s="89"/>
      <c r="AX4" s="88"/>
      <c r="AZ4" s="69">
        <f t="shared" ref="AZ4:AZ19" si="0">D4</f>
        <v>2024</v>
      </c>
      <c r="BA4" s="95">
        <f>-C32</f>
        <v>-540000000</v>
      </c>
    </row>
    <row r="5" spans="1:55" x14ac:dyDescent="0.25">
      <c r="A5" s="70" t="s">
        <v>140</v>
      </c>
      <c r="B5" s="71"/>
      <c r="D5" s="70">
        <f>D4+1</f>
        <v>2025</v>
      </c>
      <c r="E5" s="83">
        <f>'Final balance'!K12</f>
        <v>50242.536430949447</v>
      </c>
      <c r="F5" s="96">
        <f>F4*(1+$B$3)</f>
        <v>21146.052631578947</v>
      </c>
      <c r="G5" s="97">
        <f>F5*E5</f>
        <v>1062431319.7128797</v>
      </c>
      <c r="H5" s="99">
        <f>G5</f>
        <v>1062431319.7128797</v>
      </c>
      <c r="I5" s="100">
        <f>'Final balance'!B13</f>
        <v>258216</v>
      </c>
      <c r="J5" s="86">
        <f>J4*(1+$B$3)</f>
        <v>535.69999999999993</v>
      </c>
      <c r="K5" s="85">
        <f>'Final balance'!G16</f>
        <v>112800</v>
      </c>
      <c r="L5" s="86">
        <f>K5*J5</f>
        <v>60426959.999999993</v>
      </c>
      <c r="M5" s="97">
        <f>I5*J5</f>
        <v>138326311.19999999</v>
      </c>
      <c r="N5" s="83">
        <f>I5*20/2/1000</f>
        <v>2582.16</v>
      </c>
      <c r="O5" s="86">
        <f>O4*(1+$B$3)</f>
        <v>26784.999999999996</v>
      </c>
      <c r="P5" s="97">
        <f>N5*O5</f>
        <v>69163155.599999994</v>
      </c>
      <c r="Q5" s="98">
        <f>100*150000*12</f>
        <v>180000000</v>
      </c>
      <c r="R5" s="98">
        <f>M5+P5+L5+Q5</f>
        <v>447916426.79999995</v>
      </c>
      <c r="S5" s="100">
        <f>B12+B13</f>
        <v>50242.536430949447</v>
      </c>
      <c r="T5" s="86">
        <f>T4*(1+$B$3)</f>
        <v>535.69999999999993</v>
      </c>
      <c r="U5" s="97">
        <f>S5*T5</f>
        <v>26914926.766059615</v>
      </c>
      <c r="V5" s="101">
        <v>13211.57</v>
      </c>
      <c r="W5" s="86">
        <v>1000</v>
      </c>
      <c r="X5" s="86">
        <f>V5*W5</f>
        <v>13211570</v>
      </c>
      <c r="Y5" s="86">
        <f>Y4*(1+$B$3)</f>
        <v>642840</v>
      </c>
      <c r="Z5" s="86">
        <f>Y5*12</f>
        <v>7714080</v>
      </c>
      <c r="AA5" s="92">
        <f>AA4*(1+$B$3)</f>
        <v>192851999.99999997</v>
      </c>
      <c r="AB5" s="98">
        <f>U5+X5+Z5+AA5</f>
        <v>240692576.76605958</v>
      </c>
      <c r="AC5" s="102">
        <f t="shared" ref="AC5:AC15" si="1">AB5+R5</f>
        <v>688609003.56605959</v>
      </c>
      <c r="AD5" s="90">
        <f t="shared" ref="AD5:AE15" si="2">AD4*(1+$B$3)</f>
        <v>2571360</v>
      </c>
      <c r="AE5" s="86">
        <f>AE4*(1+$B$3)</f>
        <v>257135999.99999997</v>
      </c>
      <c r="AF5" s="92">
        <f>AD5+AE5</f>
        <v>259707359.99999997</v>
      </c>
      <c r="AG5" s="103">
        <f>AF5+AC5</f>
        <v>948316363.56605959</v>
      </c>
      <c r="AH5" s="102">
        <f>H5-AG5</f>
        <v>114114956.14682007</v>
      </c>
      <c r="AI5" s="90">
        <f>C28*0.5</f>
        <v>60000000</v>
      </c>
      <c r="AJ5" s="86">
        <f>AI5</f>
        <v>60000000</v>
      </c>
      <c r="AK5" s="86">
        <f>$C$30-AJ5</f>
        <v>420000000</v>
      </c>
      <c r="AL5" s="86">
        <f>AL4*(1+$B$3)</f>
        <v>64283999.999999993</v>
      </c>
      <c r="AM5" s="92">
        <f t="shared" ref="AM5:AM15" si="3">AK5+AL5</f>
        <v>484284000</v>
      </c>
      <c r="AN5" s="99">
        <f t="shared" ref="AN5:AN15" si="4">AH5-AI5</f>
        <v>54114956.146820068</v>
      </c>
      <c r="AO5" s="104">
        <f>AN5*0.35</f>
        <v>18940234.651387021</v>
      </c>
      <c r="AP5" s="86">
        <f>(AM5*4)/1000</f>
        <v>1937136</v>
      </c>
      <c r="AQ5" s="98">
        <f t="shared" ref="AQ5:AQ15" si="5">AH5-AO5-AP5</f>
        <v>93237585.495433047</v>
      </c>
      <c r="AR5" s="105">
        <f>1/(1+$B$22)</f>
        <v>0.90909090909090906</v>
      </c>
      <c r="AS5" s="106">
        <f>AQ5*AR5</f>
        <v>84761441.359484583</v>
      </c>
      <c r="AT5" s="107">
        <f>AS5</f>
        <v>84761441.359484583</v>
      </c>
      <c r="AU5" s="86">
        <f>AM5</f>
        <v>484284000</v>
      </c>
      <c r="AV5" s="108">
        <f>AU5*AR5</f>
        <v>440258181.81818181</v>
      </c>
      <c r="AW5" s="109">
        <f>AT5+AV5-$C$32</f>
        <v>-14980376.822333574</v>
      </c>
      <c r="AX5" s="106">
        <f>AW5</f>
        <v>-14980376.822333574</v>
      </c>
      <c r="AZ5" s="69">
        <f t="shared" si="0"/>
        <v>2025</v>
      </c>
      <c r="BA5" s="112">
        <f>AQ5</f>
        <v>93237585.495433047</v>
      </c>
    </row>
    <row r="6" spans="1:55" x14ac:dyDescent="0.25">
      <c r="A6" s="70" t="s">
        <v>141</v>
      </c>
      <c r="B6" s="71">
        <v>50</v>
      </c>
      <c r="D6" s="70">
        <f t="shared" ref="D6:D14" si="6">D5+1</f>
        <v>2026</v>
      </c>
      <c r="E6" s="83">
        <f t="shared" ref="E6:E15" si="7">E5</f>
        <v>50242.536430949447</v>
      </c>
      <c r="F6" s="96">
        <f t="shared" ref="F6:F15" si="8">F5*(1+$B$3)</f>
        <v>22655.880789473682</v>
      </c>
      <c r="G6" s="97">
        <f t="shared" ref="G6:G15" si="9">F6*E6</f>
        <v>1138288915.9403791</v>
      </c>
      <c r="H6" s="99">
        <f t="shared" ref="H6:H15" si="10">G6</f>
        <v>1138288915.9403791</v>
      </c>
      <c r="I6" s="100">
        <f>I5</f>
        <v>258216</v>
      </c>
      <c r="J6" s="86">
        <f t="shared" ref="J6:J15" si="11">J5*(1+$B$3)</f>
        <v>573.94897999999989</v>
      </c>
      <c r="K6" s="85">
        <f>K5</f>
        <v>112800</v>
      </c>
      <c r="L6" s="86">
        <f>L5*(1+$B$3)</f>
        <v>64741444.943999983</v>
      </c>
      <c r="M6" s="97">
        <f t="shared" ref="M6:M15" si="12">I6*J6</f>
        <v>148202809.81967998</v>
      </c>
      <c r="N6" s="83">
        <f>N5</f>
        <v>2582.16</v>
      </c>
      <c r="O6" s="86">
        <f t="shared" ref="O6:O15" si="13">O5*(1+$B$3)</f>
        <v>28697.448999999993</v>
      </c>
      <c r="P6" s="97">
        <f t="shared" ref="P6:P15" si="14">N6*O6</f>
        <v>74101404.909839973</v>
      </c>
      <c r="Q6" s="98">
        <f>Q5*(1+$B$3)</f>
        <v>192851999.99999997</v>
      </c>
      <c r="R6" s="98">
        <f t="shared" ref="R6:R15" si="15">M6+P6+L6+Q6</f>
        <v>479897659.67351997</v>
      </c>
      <c r="S6" s="100">
        <f>S5</f>
        <v>50242.536430949447</v>
      </c>
      <c r="T6" s="86">
        <f t="shared" ref="T6:T15" si="16">T5*(1+$B$3)</f>
        <v>573.94897999999989</v>
      </c>
      <c r="U6" s="97">
        <f t="shared" ref="U6:U15" si="17">S6*T6</f>
        <v>28836652.537156269</v>
      </c>
      <c r="V6" s="101">
        <f>V5</f>
        <v>13211.57</v>
      </c>
      <c r="W6" s="86">
        <f t="shared" ref="W6:W15" si="18">W5*(1+$B$3)</f>
        <v>1071.3999999999999</v>
      </c>
      <c r="X6" s="86">
        <f t="shared" ref="X6:X15" si="19">V6*W6</f>
        <v>14154876.097999997</v>
      </c>
      <c r="Y6" s="86">
        <f t="shared" ref="Y6:Y15" si="20">Y5*(1+$B$3)</f>
        <v>688738.77599999995</v>
      </c>
      <c r="Z6" s="86">
        <f t="shared" ref="Z6:Z15" si="21">Y6*12</f>
        <v>8264865.311999999</v>
      </c>
      <c r="AA6" s="92">
        <f t="shared" ref="AA6:AA15" si="22">AA5*(1+$B$3)</f>
        <v>206621632.79999995</v>
      </c>
      <c r="AB6" s="98">
        <f t="shared" ref="AB6:AB15" si="23">U6+X6+Z6+AA6</f>
        <v>257878026.7471562</v>
      </c>
      <c r="AC6" s="102">
        <f t="shared" si="1"/>
        <v>737775686.42067623</v>
      </c>
      <c r="AD6" s="90">
        <f t="shared" si="2"/>
        <v>2754955.1039999998</v>
      </c>
      <c r="AE6" s="86">
        <f t="shared" si="2"/>
        <v>275495510.39999992</v>
      </c>
      <c r="AF6" s="92">
        <f t="shared" ref="AF6:AF15" si="24">AD6+AE6</f>
        <v>278250465.50399989</v>
      </c>
      <c r="AG6" s="103">
        <f t="shared" ref="AG6:AG15" si="25">AF6+AC6</f>
        <v>1016026151.9246762</v>
      </c>
      <c r="AH6" s="102">
        <f t="shared" ref="AH6:AH15" si="26">H6-AG6</f>
        <v>122262764.01570296</v>
      </c>
      <c r="AI6" s="90">
        <f>AI5</f>
        <v>60000000</v>
      </c>
      <c r="AJ6" s="86">
        <f>AJ5+AI6</f>
        <v>120000000</v>
      </c>
      <c r="AK6" s="86">
        <f>$C$30-AJ6</f>
        <v>360000000</v>
      </c>
      <c r="AL6" s="86">
        <f t="shared" ref="AL6:AL15" si="27">AL5*(1+$B$3)</f>
        <v>68873877.599999979</v>
      </c>
      <c r="AM6" s="92">
        <f t="shared" si="3"/>
        <v>428873877.59999996</v>
      </c>
      <c r="AN6" s="99">
        <f t="shared" si="4"/>
        <v>62262764.015702963</v>
      </c>
      <c r="AO6" s="104">
        <f t="shared" ref="AO6:AO15" si="28">AN6*0.35</f>
        <v>21791967.405496035</v>
      </c>
      <c r="AP6" s="86">
        <f t="shared" ref="AP6:AP15" si="29">(AM6*4)/1000</f>
        <v>1715495.5103999998</v>
      </c>
      <c r="AQ6" s="98">
        <f t="shared" si="5"/>
        <v>98755301.099806935</v>
      </c>
      <c r="AR6" s="105">
        <f t="shared" ref="AR6:AR15" si="30">AR5/(1+$B$22)</f>
        <v>0.82644628099173545</v>
      </c>
      <c r="AS6" s="106">
        <f t="shared" ref="AS6:AS15" si="31">AQ6*AR6</f>
        <v>81615951.322154477</v>
      </c>
      <c r="AT6" s="107">
        <f>AT5+AS6</f>
        <v>166377392.68163908</v>
      </c>
      <c r="AU6" s="86">
        <f t="shared" ref="AU6:AU14" si="32">AM6</f>
        <v>428873877.59999996</v>
      </c>
      <c r="AV6" s="108">
        <f t="shared" ref="AV6:AV15" si="33">AU6*AR6</f>
        <v>354441221.15702474</v>
      </c>
      <c r="AW6" s="109">
        <f t="shared" ref="AW6:AW14" si="34">AT6+AV6-$C$32</f>
        <v>-19181386.161336184</v>
      </c>
      <c r="AX6" s="106">
        <f t="shared" ref="AX6:AX14" si="35">AW6+AX5</f>
        <v>-34161762.983669758</v>
      </c>
      <c r="AZ6" s="69">
        <f t="shared" si="0"/>
        <v>2026</v>
      </c>
      <c r="BA6" s="112">
        <f t="shared" ref="BA6:BA19" si="36">AQ6</f>
        <v>98755301.099806935</v>
      </c>
    </row>
    <row r="7" spans="1:55" x14ac:dyDescent="0.25">
      <c r="A7" s="70" t="s">
        <v>142</v>
      </c>
      <c r="B7" s="71">
        <v>15000</v>
      </c>
      <c r="D7" s="70">
        <f t="shared" si="6"/>
        <v>2027</v>
      </c>
      <c r="E7" s="83">
        <f t="shared" si="7"/>
        <v>50242.536430949447</v>
      </c>
      <c r="F7" s="96">
        <f t="shared" si="8"/>
        <v>24273.5106778421</v>
      </c>
      <c r="G7" s="97">
        <f t="shared" si="9"/>
        <v>1219562744.538522</v>
      </c>
      <c r="H7" s="99">
        <f t="shared" si="10"/>
        <v>1219562744.538522</v>
      </c>
      <c r="I7" s="100">
        <f t="shared" ref="I7:I15" si="37">I6</f>
        <v>258216</v>
      </c>
      <c r="J7" s="86">
        <f t="shared" si="11"/>
        <v>614.92893717199979</v>
      </c>
      <c r="K7" s="85">
        <f t="shared" ref="K7:K15" si="38">K6</f>
        <v>112800</v>
      </c>
      <c r="L7" s="86">
        <f t="shared" ref="L7:L15" si="39">L6*(1+$B$3)</f>
        <v>69363984.11300157</v>
      </c>
      <c r="M7" s="97">
        <f t="shared" si="12"/>
        <v>158784490.44080511</v>
      </c>
      <c r="N7" s="83">
        <f t="shared" ref="N7:N15" si="40">N6</f>
        <v>2582.16</v>
      </c>
      <c r="O7" s="86">
        <f t="shared" si="13"/>
        <v>30746.446858599989</v>
      </c>
      <c r="P7" s="97">
        <f t="shared" si="14"/>
        <v>79392245.220402539</v>
      </c>
      <c r="Q7" s="98">
        <f t="shared" ref="Q7:Q15" si="41">Q6*(1+$B$3)</f>
        <v>206621632.79999995</v>
      </c>
      <c r="R7" s="98">
        <f t="shared" si="15"/>
        <v>514162352.57420915</v>
      </c>
      <c r="S7" s="100">
        <f t="shared" ref="S7:S15" si="42">S6</f>
        <v>50242.536430949447</v>
      </c>
      <c r="T7" s="86">
        <f t="shared" si="16"/>
        <v>614.92893717199979</v>
      </c>
      <c r="U7" s="97">
        <f t="shared" si="17"/>
        <v>30895589.528309222</v>
      </c>
      <c r="V7" s="101">
        <f t="shared" ref="V7:V15" si="43">V6</f>
        <v>13211.57</v>
      </c>
      <c r="W7" s="86">
        <f t="shared" si="18"/>
        <v>1147.8979599999998</v>
      </c>
      <c r="X7" s="86">
        <f t="shared" si="19"/>
        <v>15165534.251397196</v>
      </c>
      <c r="Y7" s="86">
        <f t="shared" si="20"/>
        <v>737914.72460639989</v>
      </c>
      <c r="Z7" s="86">
        <f t="shared" si="21"/>
        <v>8854976.6952767987</v>
      </c>
      <c r="AA7" s="92">
        <f t="shared" si="22"/>
        <v>221374417.38191992</v>
      </c>
      <c r="AB7" s="98">
        <f t="shared" si="23"/>
        <v>276290517.85690314</v>
      </c>
      <c r="AC7" s="102">
        <f t="shared" si="1"/>
        <v>790452870.43111229</v>
      </c>
      <c r="AD7" s="90">
        <f t="shared" si="2"/>
        <v>2951658.8984255996</v>
      </c>
      <c r="AE7" s="86">
        <f t="shared" si="2"/>
        <v>295165889.84255987</v>
      </c>
      <c r="AF7" s="92">
        <f t="shared" si="24"/>
        <v>298117548.74098545</v>
      </c>
      <c r="AG7" s="103">
        <f t="shared" si="25"/>
        <v>1088570419.1720977</v>
      </c>
      <c r="AH7" s="102">
        <f t="shared" si="26"/>
        <v>130992325.36642432</v>
      </c>
      <c r="AI7" s="90">
        <f t="shared" ref="AI7:AI15" si="44">AI6</f>
        <v>60000000</v>
      </c>
      <c r="AJ7" s="86">
        <f t="shared" ref="AJ7:AJ15" si="45">AJ6+AI7</f>
        <v>180000000</v>
      </c>
      <c r="AK7" s="86">
        <f t="shared" ref="AK7:AK10" si="46">$C$30-AJ7</f>
        <v>300000000</v>
      </c>
      <c r="AL7" s="86">
        <f t="shared" si="27"/>
        <v>73791472.460639969</v>
      </c>
      <c r="AM7" s="92">
        <f t="shared" si="3"/>
        <v>373791472.46063995</v>
      </c>
      <c r="AN7" s="99">
        <f t="shared" si="4"/>
        <v>70992325.366424322</v>
      </c>
      <c r="AO7" s="104">
        <f t="shared" si="28"/>
        <v>24847313.878248513</v>
      </c>
      <c r="AP7" s="86">
        <f t="shared" si="29"/>
        <v>1495165.8898425598</v>
      </c>
      <c r="AQ7" s="98">
        <f t="shared" si="5"/>
        <v>104649845.59833325</v>
      </c>
      <c r="AR7" s="105">
        <f t="shared" si="30"/>
        <v>0.75131480090157765</v>
      </c>
      <c r="AS7" s="106">
        <f t="shared" si="31"/>
        <v>78624977.910092592</v>
      </c>
      <c r="AT7" s="107">
        <f t="shared" ref="AT7:AT14" si="47">AT6+AS7</f>
        <v>245002370.59173167</v>
      </c>
      <c r="AU7" s="86">
        <f t="shared" si="32"/>
        <v>373791472.46063995</v>
      </c>
      <c r="AV7" s="108">
        <f t="shared" si="33"/>
        <v>280835065.71047324</v>
      </c>
      <c r="AW7" s="109">
        <f>AT7+AV7-$C$32</f>
        <v>-14162563.697795093</v>
      </c>
      <c r="AX7" s="106">
        <f>AW7+AX6</f>
        <v>-48324326.681464851</v>
      </c>
      <c r="AZ7" s="69">
        <f t="shared" si="0"/>
        <v>2027</v>
      </c>
      <c r="BA7" s="112">
        <f t="shared" si="36"/>
        <v>104649845.59833325</v>
      </c>
      <c r="BC7" s="110">
        <f>IRR(AZ4:BA15)</f>
        <v>8.6096914330374474E-2</v>
      </c>
    </row>
    <row r="8" spans="1:55" ht="18.75" customHeight="1" x14ac:dyDescent="0.25">
      <c r="A8" s="70" t="s">
        <v>143</v>
      </c>
      <c r="B8" s="71">
        <v>350</v>
      </c>
      <c r="D8" s="70">
        <f t="shared" si="6"/>
        <v>2028</v>
      </c>
      <c r="E8" s="83">
        <f t="shared" si="7"/>
        <v>50242.536430949447</v>
      </c>
      <c r="F8" s="96">
        <f t="shared" si="8"/>
        <v>26006.639340240024</v>
      </c>
      <c r="G8" s="97">
        <f t="shared" si="9"/>
        <v>1306639524.4985726</v>
      </c>
      <c r="H8" s="99">
        <f t="shared" si="10"/>
        <v>1306639524.4985726</v>
      </c>
      <c r="I8" s="100">
        <f t="shared" si="37"/>
        <v>258216</v>
      </c>
      <c r="J8" s="86">
        <f t="shared" si="11"/>
        <v>658.83486328608058</v>
      </c>
      <c r="K8" s="85">
        <f t="shared" si="38"/>
        <v>112800</v>
      </c>
      <c r="L8" s="86">
        <f t="shared" si="39"/>
        <v>74316572.578669876</v>
      </c>
      <c r="M8" s="97">
        <f t="shared" si="12"/>
        <v>170121703.05827859</v>
      </c>
      <c r="N8" s="83">
        <f t="shared" si="40"/>
        <v>2582.16</v>
      </c>
      <c r="O8" s="86">
        <f t="shared" si="13"/>
        <v>32941.743164304025</v>
      </c>
      <c r="P8" s="97">
        <f t="shared" si="14"/>
        <v>85060851.52913928</v>
      </c>
      <c r="Q8" s="98">
        <f t="shared" si="41"/>
        <v>221374417.38191992</v>
      </c>
      <c r="R8" s="98">
        <f t="shared" si="15"/>
        <v>550873544.54800773</v>
      </c>
      <c r="S8" s="100">
        <f t="shared" si="42"/>
        <v>50242.536430949447</v>
      </c>
      <c r="T8" s="86">
        <f t="shared" si="16"/>
        <v>658.83486328608058</v>
      </c>
      <c r="U8" s="97">
        <f t="shared" si="17"/>
        <v>33101534.620630503</v>
      </c>
      <c r="V8" s="101">
        <f t="shared" si="43"/>
        <v>13211.57</v>
      </c>
      <c r="W8" s="86">
        <f t="shared" si="18"/>
        <v>1229.8578743439996</v>
      </c>
      <c r="X8" s="86">
        <f t="shared" si="19"/>
        <v>16248353.396946954</v>
      </c>
      <c r="Y8" s="86">
        <f t="shared" si="20"/>
        <v>790601.83594329678</v>
      </c>
      <c r="Z8" s="86">
        <f t="shared" si="21"/>
        <v>9487222.0313195623</v>
      </c>
      <c r="AA8" s="92">
        <f t="shared" si="22"/>
        <v>237180550.782989</v>
      </c>
      <c r="AB8" s="98">
        <f t="shared" si="23"/>
        <v>296017660.83188599</v>
      </c>
      <c r="AC8" s="102">
        <f t="shared" si="1"/>
        <v>846891205.37989378</v>
      </c>
      <c r="AD8" s="90">
        <f t="shared" si="2"/>
        <v>3162407.3437731871</v>
      </c>
      <c r="AE8" s="86">
        <f t="shared" si="2"/>
        <v>316240734.37731862</v>
      </c>
      <c r="AF8" s="92">
        <f t="shared" si="24"/>
        <v>319403141.72109181</v>
      </c>
      <c r="AG8" s="103">
        <f t="shared" si="25"/>
        <v>1166294347.1009855</v>
      </c>
      <c r="AH8" s="102">
        <f t="shared" si="26"/>
        <v>140345177.39758706</v>
      </c>
      <c r="AI8" s="90">
        <f t="shared" si="44"/>
        <v>60000000</v>
      </c>
      <c r="AJ8" s="86">
        <f t="shared" si="45"/>
        <v>240000000</v>
      </c>
      <c r="AK8" s="86">
        <f>$C$30-AJ8</f>
        <v>240000000</v>
      </c>
      <c r="AL8" s="86">
        <f t="shared" si="27"/>
        <v>79060183.594329655</v>
      </c>
      <c r="AM8" s="92">
        <f t="shared" si="3"/>
        <v>319060183.59432966</v>
      </c>
      <c r="AN8" s="99">
        <f t="shared" si="4"/>
        <v>80345177.397587061</v>
      </c>
      <c r="AO8" s="104">
        <f t="shared" si="28"/>
        <v>28120812.089155469</v>
      </c>
      <c r="AP8" s="86">
        <f t="shared" si="29"/>
        <v>1276240.7343773185</v>
      </c>
      <c r="AQ8" s="98">
        <f t="shared" si="5"/>
        <v>110948124.57405427</v>
      </c>
      <c r="AR8" s="105">
        <f t="shared" si="30"/>
        <v>0.68301345536507052</v>
      </c>
      <c r="AS8" s="106">
        <f t="shared" si="31"/>
        <v>75779061.931599095</v>
      </c>
      <c r="AT8" s="107">
        <f t="shared" si="47"/>
        <v>320781432.52333075</v>
      </c>
      <c r="AU8" s="86">
        <f t="shared" si="32"/>
        <v>319060183.59432966</v>
      </c>
      <c r="AV8" s="108">
        <f t="shared" si="33"/>
        <v>217922398.4661769</v>
      </c>
      <c r="AW8" s="109">
        <f>AT8+AV8-$C$32</f>
        <v>-1296169.0104923248</v>
      </c>
      <c r="AX8" s="106">
        <f t="shared" si="35"/>
        <v>-49620495.691957176</v>
      </c>
      <c r="AZ8" s="69">
        <f t="shared" si="0"/>
        <v>2028</v>
      </c>
      <c r="BA8" s="112">
        <f t="shared" si="36"/>
        <v>110948124.57405427</v>
      </c>
      <c r="BB8" s="110"/>
    </row>
    <row r="9" spans="1:55" x14ac:dyDescent="0.25">
      <c r="A9" s="70" t="s">
        <v>113</v>
      </c>
      <c r="B9" s="71">
        <f>35000</f>
        <v>35000</v>
      </c>
      <c r="D9" s="70">
        <f t="shared" si="6"/>
        <v>2029</v>
      </c>
      <c r="E9" s="83">
        <f t="shared" si="7"/>
        <v>50242.536430949447</v>
      </c>
      <c r="F9" s="96">
        <f t="shared" si="8"/>
        <v>27863.513389133161</v>
      </c>
      <c r="G9" s="97">
        <f t="shared" si="9"/>
        <v>1399933586.5477705</v>
      </c>
      <c r="H9" s="99">
        <f t="shared" si="10"/>
        <v>1399933586.5477705</v>
      </c>
      <c r="I9" s="100">
        <f t="shared" si="37"/>
        <v>258216</v>
      </c>
      <c r="J9" s="86">
        <f t="shared" si="11"/>
        <v>705.87567252470672</v>
      </c>
      <c r="K9" s="85">
        <f t="shared" si="38"/>
        <v>112800</v>
      </c>
      <c r="L9" s="86">
        <f t="shared" si="39"/>
        <v>79622775.8607869</v>
      </c>
      <c r="M9" s="97">
        <f t="shared" si="12"/>
        <v>182268392.65663967</v>
      </c>
      <c r="N9" s="83">
        <f t="shared" si="40"/>
        <v>2582.16</v>
      </c>
      <c r="O9" s="86">
        <f t="shared" si="13"/>
        <v>35293.78362623533</v>
      </c>
      <c r="P9" s="97">
        <f t="shared" si="14"/>
        <v>91134196.328319818</v>
      </c>
      <c r="Q9" s="98">
        <f t="shared" si="41"/>
        <v>237180550.782989</v>
      </c>
      <c r="R9" s="98">
        <f t="shared" si="15"/>
        <v>590205915.62873542</v>
      </c>
      <c r="S9" s="100">
        <f t="shared" si="42"/>
        <v>50242.536430949447</v>
      </c>
      <c r="T9" s="86">
        <f t="shared" si="16"/>
        <v>705.87567252470672</v>
      </c>
      <c r="U9" s="97">
        <f t="shared" si="17"/>
        <v>35464984.192543522</v>
      </c>
      <c r="V9" s="101">
        <f t="shared" si="43"/>
        <v>13211.57</v>
      </c>
      <c r="W9" s="86">
        <f t="shared" si="18"/>
        <v>1317.6697265721612</v>
      </c>
      <c r="X9" s="86">
        <f t="shared" si="19"/>
        <v>17408485.829488967</v>
      </c>
      <c r="Y9" s="86">
        <f t="shared" si="20"/>
        <v>847050.8070296481</v>
      </c>
      <c r="Z9" s="86">
        <f t="shared" si="21"/>
        <v>10164609.684355777</v>
      </c>
      <c r="AA9" s="92">
        <f t="shared" si="22"/>
        <v>254115242.10889438</v>
      </c>
      <c r="AB9" s="98">
        <f t="shared" si="23"/>
        <v>317153321.81528264</v>
      </c>
      <c r="AC9" s="102">
        <f t="shared" si="1"/>
        <v>907359237.44401813</v>
      </c>
      <c r="AD9" s="90">
        <f t="shared" si="2"/>
        <v>3388203.2281185924</v>
      </c>
      <c r="AE9" s="86">
        <f t="shared" si="2"/>
        <v>338820322.81185913</v>
      </c>
      <c r="AF9" s="92">
        <f t="shared" si="24"/>
        <v>342208526.03997773</v>
      </c>
      <c r="AG9" s="103">
        <f t="shared" si="25"/>
        <v>1249567763.4839959</v>
      </c>
      <c r="AH9" s="102">
        <f t="shared" si="26"/>
        <v>150365823.06377459</v>
      </c>
      <c r="AI9" s="90">
        <f t="shared" si="44"/>
        <v>60000000</v>
      </c>
      <c r="AJ9" s="86">
        <f t="shared" si="45"/>
        <v>300000000</v>
      </c>
      <c r="AK9" s="86">
        <f t="shared" si="46"/>
        <v>180000000</v>
      </c>
      <c r="AL9" s="86">
        <f>AL8*(1+$B$3)</f>
        <v>84705080.702964783</v>
      </c>
      <c r="AM9" s="92">
        <f t="shared" si="3"/>
        <v>264705080.70296478</v>
      </c>
      <c r="AN9" s="99">
        <f t="shared" si="4"/>
        <v>90365823.063774586</v>
      </c>
      <c r="AO9" s="104">
        <f t="shared" si="28"/>
        <v>31628038.072321102</v>
      </c>
      <c r="AP9" s="86">
        <f t="shared" si="29"/>
        <v>1058820.3228118592</v>
      </c>
      <c r="AQ9" s="98">
        <f t="shared" si="5"/>
        <v>117678964.66864163</v>
      </c>
      <c r="AR9" s="105">
        <f t="shared" si="30"/>
        <v>0.62092132305915493</v>
      </c>
      <c r="AS9" s="106">
        <f t="shared" si="31"/>
        <v>73069378.438284501</v>
      </c>
      <c r="AT9" s="107">
        <f t="shared" si="47"/>
        <v>393850810.96161526</v>
      </c>
      <c r="AU9" s="86">
        <f t="shared" si="32"/>
        <v>264705080.70296478</v>
      </c>
      <c r="AV9" s="108">
        <f t="shared" si="33"/>
        <v>164361028.93056527</v>
      </c>
      <c r="AW9" s="109">
        <f t="shared" si="34"/>
        <v>18211839.892180562</v>
      </c>
      <c r="AX9" s="106">
        <f t="shared" si="35"/>
        <v>-31408655.799776614</v>
      </c>
      <c r="AZ9" s="69">
        <f t="shared" si="0"/>
        <v>2029</v>
      </c>
      <c r="BA9" s="112">
        <f t="shared" si="36"/>
        <v>117678964.66864163</v>
      </c>
    </row>
    <row r="10" spans="1:55" x14ac:dyDescent="0.25">
      <c r="A10" s="70" t="s">
        <v>144</v>
      </c>
      <c r="B10" s="71">
        <f>(135*B2)/1000</f>
        <v>540</v>
      </c>
      <c r="D10" s="70">
        <f t="shared" si="6"/>
        <v>2030</v>
      </c>
      <c r="E10" s="83">
        <f t="shared" si="7"/>
        <v>50242.536430949447</v>
      </c>
      <c r="F10" s="96">
        <f t="shared" si="8"/>
        <v>29852.968245117267</v>
      </c>
      <c r="G10" s="97">
        <f t="shared" si="9"/>
        <v>1499888844.6272812</v>
      </c>
      <c r="H10" s="99">
        <f t="shared" si="10"/>
        <v>1499888844.6272812</v>
      </c>
      <c r="I10" s="100">
        <f t="shared" si="37"/>
        <v>258216</v>
      </c>
      <c r="J10" s="86">
        <f t="shared" si="11"/>
        <v>756.27519554297066</v>
      </c>
      <c r="K10" s="85">
        <f t="shared" si="38"/>
        <v>112800</v>
      </c>
      <c r="L10" s="86">
        <f t="shared" si="39"/>
        <v>85307842.057247072</v>
      </c>
      <c r="M10" s="97">
        <f t="shared" si="12"/>
        <v>195282355.8923237</v>
      </c>
      <c r="N10" s="83">
        <f t="shared" si="40"/>
        <v>2582.16</v>
      </c>
      <c r="O10" s="86">
        <f t="shared" si="13"/>
        <v>37813.759777148531</v>
      </c>
      <c r="P10" s="97">
        <f t="shared" si="14"/>
        <v>97641177.946161851</v>
      </c>
      <c r="Q10" s="98">
        <f t="shared" si="41"/>
        <v>254115242.10889438</v>
      </c>
      <c r="R10" s="98">
        <f t="shared" si="15"/>
        <v>632346618.00462699</v>
      </c>
      <c r="S10" s="100">
        <f t="shared" si="42"/>
        <v>50242.536430949447</v>
      </c>
      <c r="T10" s="86">
        <f t="shared" si="16"/>
        <v>756.27519554297066</v>
      </c>
      <c r="U10" s="97">
        <f t="shared" si="17"/>
        <v>37997184.06389112</v>
      </c>
      <c r="V10" s="101">
        <f t="shared" si="43"/>
        <v>13211.57</v>
      </c>
      <c r="W10" s="86">
        <f t="shared" si="18"/>
        <v>1411.7513450494134</v>
      </c>
      <c r="X10" s="86">
        <f t="shared" si="19"/>
        <v>18651451.717714477</v>
      </c>
      <c r="Y10" s="86">
        <f t="shared" si="20"/>
        <v>907530.23465156485</v>
      </c>
      <c r="Z10" s="86">
        <f t="shared" si="21"/>
        <v>10890362.815818779</v>
      </c>
      <c r="AA10" s="92">
        <f t="shared" si="22"/>
        <v>272259070.39546943</v>
      </c>
      <c r="AB10" s="98">
        <f t="shared" si="23"/>
        <v>339798068.99289382</v>
      </c>
      <c r="AC10" s="102">
        <f t="shared" si="1"/>
        <v>972144686.9975208</v>
      </c>
      <c r="AD10" s="90">
        <f t="shared" si="2"/>
        <v>3630120.9386062594</v>
      </c>
      <c r="AE10" s="86">
        <f t="shared" si="2"/>
        <v>363012093.86062586</v>
      </c>
      <c r="AF10" s="92">
        <f t="shared" si="24"/>
        <v>366642214.79923213</v>
      </c>
      <c r="AG10" s="103">
        <f t="shared" si="25"/>
        <v>1338786901.7967529</v>
      </c>
      <c r="AH10" s="102">
        <f t="shared" si="26"/>
        <v>161101942.83052826</v>
      </c>
      <c r="AI10" s="90">
        <f t="shared" si="44"/>
        <v>60000000</v>
      </c>
      <c r="AJ10" s="86">
        <f t="shared" si="45"/>
        <v>360000000</v>
      </c>
      <c r="AK10" s="86">
        <f t="shared" si="46"/>
        <v>120000000</v>
      </c>
      <c r="AL10" s="86">
        <f t="shared" si="27"/>
        <v>90753023.465156466</v>
      </c>
      <c r="AM10" s="92">
        <f t="shared" si="3"/>
        <v>210753023.46515647</v>
      </c>
      <c r="AN10" s="99">
        <f t="shared" si="4"/>
        <v>101101942.83052826</v>
      </c>
      <c r="AO10" s="104">
        <f t="shared" si="28"/>
        <v>35385679.990684889</v>
      </c>
      <c r="AP10" s="86">
        <f t="shared" si="29"/>
        <v>843012.09386062587</v>
      </c>
      <c r="AQ10" s="98">
        <f t="shared" si="5"/>
        <v>124873250.74598274</v>
      </c>
      <c r="AR10" s="105">
        <f t="shared" si="30"/>
        <v>0.56447393005377711</v>
      </c>
      <c r="AS10" s="106">
        <f t="shared" si="31"/>
        <v>70487694.607175633</v>
      </c>
      <c r="AT10" s="107">
        <f t="shared" si="47"/>
        <v>464338505.56879091</v>
      </c>
      <c r="AU10" s="86">
        <f t="shared" si="32"/>
        <v>210753023.46515647</v>
      </c>
      <c r="AV10" s="108">
        <f t="shared" si="33"/>
        <v>118964587.42609277</v>
      </c>
      <c r="AW10" s="109">
        <f t="shared" si="34"/>
        <v>43303092.994883657</v>
      </c>
      <c r="AX10" s="106">
        <f t="shared" si="35"/>
        <v>11894437.195107043</v>
      </c>
      <c r="AY10" s="110"/>
      <c r="AZ10" s="69">
        <f t="shared" si="0"/>
        <v>2030</v>
      </c>
      <c r="BA10" s="112">
        <f t="shared" si="36"/>
        <v>124873250.74598274</v>
      </c>
    </row>
    <row r="11" spans="1:55" x14ac:dyDescent="0.25">
      <c r="A11" s="70" t="s">
        <v>145</v>
      </c>
      <c r="B11" s="111">
        <v>1000</v>
      </c>
      <c r="D11" s="70">
        <f t="shared" si="6"/>
        <v>2031</v>
      </c>
      <c r="E11" s="83">
        <f t="shared" si="7"/>
        <v>50242.536430949447</v>
      </c>
      <c r="F11" s="96">
        <f t="shared" si="8"/>
        <v>31984.470177818635</v>
      </c>
      <c r="G11" s="97">
        <f t="shared" si="9"/>
        <v>1606980908.1336689</v>
      </c>
      <c r="H11" s="99">
        <f t="shared" si="10"/>
        <v>1606980908.1336689</v>
      </c>
      <c r="I11" s="100">
        <f t="shared" si="37"/>
        <v>258216</v>
      </c>
      <c r="J11" s="86">
        <f t="shared" si="11"/>
        <v>810.27324450473873</v>
      </c>
      <c r="K11" s="85">
        <f t="shared" si="38"/>
        <v>112800</v>
      </c>
      <c r="L11" s="86">
        <f t="shared" si="39"/>
        <v>91398821.980134502</v>
      </c>
      <c r="M11" s="97">
        <f t="shared" si="12"/>
        <v>209225516.10303563</v>
      </c>
      <c r="N11" s="83">
        <f t="shared" si="40"/>
        <v>2582.16</v>
      </c>
      <c r="O11" s="86">
        <f t="shared" si="13"/>
        <v>40513.662225236934</v>
      </c>
      <c r="P11" s="97">
        <f t="shared" si="14"/>
        <v>104612758.0515178</v>
      </c>
      <c r="Q11" s="98">
        <f t="shared" si="41"/>
        <v>272259070.39546943</v>
      </c>
      <c r="R11" s="98">
        <f t="shared" si="15"/>
        <v>677496166.53015733</v>
      </c>
      <c r="S11" s="100">
        <f t="shared" si="42"/>
        <v>50242.536430949447</v>
      </c>
      <c r="T11" s="86">
        <f t="shared" si="16"/>
        <v>810.27324450473873</v>
      </c>
      <c r="U11" s="97">
        <f t="shared" si="17"/>
        <v>40710183.006052941</v>
      </c>
      <c r="V11" s="101">
        <f t="shared" si="43"/>
        <v>13211.57</v>
      </c>
      <c r="W11" s="86">
        <f t="shared" si="18"/>
        <v>1512.5503910859413</v>
      </c>
      <c r="X11" s="86">
        <f t="shared" si="19"/>
        <v>19983165.37035929</v>
      </c>
      <c r="Y11" s="86">
        <f t="shared" si="20"/>
        <v>972327.89340568648</v>
      </c>
      <c r="Z11" s="86">
        <f t="shared" si="21"/>
        <v>11667934.720868237</v>
      </c>
      <c r="AA11" s="92">
        <f t="shared" si="22"/>
        <v>291698368.02170593</v>
      </c>
      <c r="AB11" s="98">
        <f t="shared" si="23"/>
        <v>364059651.11898637</v>
      </c>
      <c r="AC11" s="102">
        <f t="shared" si="1"/>
        <v>1041555817.6491437</v>
      </c>
      <c r="AD11" s="90">
        <f t="shared" si="2"/>
        <v>3889311.5736227459</v>
      </c>
      <c r="AE11" s="86">
        <f t="shared" si="2"/>
        <v>388931157.36227453</v>
      </c>
      <c r="AF11" s="92">
        <f t="shared" si="24"/>
        <v>392820468.93589729</v>
      </c>
      <c r="AG11" s="103">
        <f t="shared" si="25"/>
        <v>1434376286.585041</v>
      </c>
      <c r="AH11" s="102">
        <f t="shared" si="26"/>
        <v>172604621.54862785</v>
      </c>
      <c r="AI11" s="90">
        <f t="shared" si="44"/>
        <v>60000000</v>
      </c>
      <c r="AJ11" s="86">
        <f t="shared" si="45"/>
        <v>420000000</v>
      </c>
      <c r="AK11" s="86">
        <f>$C$30-AJ11</f>
        <v>60000000</v>
      </c>
      <c r="AL11" s="86">
        <f t="shared" si="27"/>
        <v>97232789.340568632</v>
      </c>
      <c r="AM11" s="92">
        <f t="shared" si="3"/>
        <v>157232789.34056863</v>
      </c>
      <c r="AN11" s="99">
        <f t="shared" si="4"/>
        <v>112604621.54862785</v>
      </c>
      <c r="AO11" s="104">
        <f t="shared" si="28"/>
        <v>39411617.542019747</v>
      </c>
      <c r="AP11" s="86">
        <f t="shared" si="29"/>
        <v>628931.15736227448</v>
      </c>
      <c r="AQ11" s="98">
        <f t="shared" si="5"/>
        <v>132564072.84924583</v>
      </c>
      <c r="AR11" s="105">
        <f t="shared" si="30"/>
        <v>0.51315811823070645</v>
      </c>
      <c r="AS11" s="106">
        <f t="shared" si="31"/>
        <v>68026330.168317273</v>
      </c>
      <c r="AT11" s="107">
        <f t="shared" si="47"/>
        <v>532364835.73710817</v>
      </c>
      <c r="AU11" s="86">
        <f t="shared" si="32"/>
        <v>157232789.34056863</v>
      </c>
      <c r="AV11" s="108">
        <f t="shared" si="33"/>
        <v>80685282.302171275</v>
      </c>
      <c r="AW11" s="109">
        <f t="shared" si="34"/>
        <v>73050118.039279461</v>
      </c>
      <c r="AX11" s="106">
        <f t="shared" si="35"/>
        <v>84944555.234386504</v>
      </c>
      <c r="AZ11" s="69">
        <f t="shared" si="0"/>
        <v>2031</v>
      </c>
      <c r="BA11" s="112">
        <f t="shared" si="36"/>
        <v>132564072.84924583</v>
      </c>
    </row>
    <row r="12" spans="1:55" x14ac:dyDescent="0.25">
      <c r="A12" s="70" t="s">
        <v>146</v>
      </c>
      <c r="B12" s="113">
        <f>E5/1</f>
        <v>50242.536430949447</v>
      </c>
      <c r="D12" s="70">
        <f t="shared" si="6"/>
        <v>2032</v>
      </c>
      <c r="E12" s="83">
        <f t="shared" si="7"/>
        <v>50242.536430949447</v>
      </c>
      <c r="F12" s="96">
        <f t="shared" si="8"/>
        <v>34268.161348514885</v>
      </c>
      <c r="G12" s="97">
        <f t="shared" si="9"/>
        <v>1721719344.9744129</v>
      </c>
      <c r="H12" s="99">
        <f t="shared" si="10"/>
        <v>1721719344.9744129</v>
      </c>
      <c r="I12" s="100">
        <f t="shared" si="37"/>
        <v>258216</v>
      </c>
      <c r="J12" s="86">
        <f t="shared" si="11"/>
        <v>868.12675416237698</v>
      </c>
      <c r="K12" s="85">
        <f t="shared" si="38"/>
        <v>112800</v>
      </c>
      <c r="L12" s="86">
        <f t="shared" si="39"/>
        <v>97924697.869516104</v>
      </c>
      <c r="M12" s="97">
        <f t="shared" si="12"/>
        <v>224164217.95279235</v>
      </c>
      <c r="N12" s="83">
        <f t="shared" si="40"/>
        <v>2582.16</v>
      </c>
      <c r="O12" s="86">
        <f t="shared" si="13"/>
        <v>43406.337708118845</v>
      </c>
      <c r="P12" s="97">
        <f t="shared" si="14"/>
        <v>112082108.97639614</v>
      </c>
      <c r="Q12" s="98">
        <f t="shared" si="41"/>
        <v>291698368.02170593</v>
      </c>
      <c r="R12" s="98">
        <f t="shared" si="15"/>
        <v>725869392.82041049</v>
      </c>
      <c r="S12" s="100">
        <f t="shared" si="42"/>
        <v>50242.536430949447</v>
      </c>
      <c r="T12" s="86">
        <f t="shared" si="16"/>
        <v>868.12675416237698</v>
      </c>
      <c r="U12" s="97">
        <f t="shared" si="17"/>
        <v>43616890.072685122</v>
      </c>
      <c r="V12" s="101">
        <f t="shared" si="43"/>
        <v>13211.57</v>
      </c>
      <c r="W12" s="86">
        <f t="shared" si="18"/>
        <v>1620.5464890094775</v>
      </c>
      <c r="X12" s="86">
        <f t="shared" si="19"/>
        <v>21409963.377802942</v>
      </c>
      <c r="Y12" s="86">
        <f t="shared" si="20"/>
        <v>1041752.1049948524</v>
      </c>
      <c r="Z12" s="86">
        <f>Y12*12</f>
        <v>12501025.259938229</v>
      </c>
      <c r="AA12" s="92">
        <f t="shared" si="22"/>
        <v>312525631.4984557</v>
      </c>
      <c r="AB12" s="98">
        <f t="shared" si="23"/>
        <v>390053510.20888197</v>
      </c>
      <c r="AC12" s="102">
        <f t="shared" si="1"/>
        <v>1115922903.0292926</v>
      </c>
      <c r="AD12" s="90">
        <f t="shared" si="2"/>
        <v>4167008.4199794098</v>
      </c>
      <c r="AE12" s="86">
        <f t="shared" si="2"/>
        <v>416700841.9979409</v>
      </c>
      <c r="AF12" s="92">
        <f t="shared" si="24"/>
        <v>420867850.41792029</v>
      </c>
      <c r="AG12" s="103">
        <f t="shared" si="25"/>
        <v>1536790753.4472129</v>
      </c>
      <c r="AH12" s="102">
        <f t="shared" si="26"/>
        <v>184928591.52719998</v>
      </c>
      <c r="AI12" s="90">
        <f t="shared" si="44"/>
        <v>60000000</v>
      </c>
      <c r="AJ12" s="86">
        <f t="shared" si="45"/>
        <v>480000000</v>
      </c>
      <c r="AK12" s="86">
        <f>$C$30-AJ12</f>
        <v>0</v>
      </c>
      <c r="AL12" s="86">
        <f t="shared" si="27"/>
        <v>104175210.49948522</v>
      </c>
      <c r="AM12" s="92">
        <f t="shared" si="3"/>
        <v>104175210.49948522</v>
      </c>
      <c r="AN12" s="99">
        <f t="shared" si="4"/>
        <v>124928591.52719998</v>
      </c>
      <c r="AO12" s="104">
        <f t="shared" si="28"/>
        <v>43725007.034519993</v>
      </c>
      <c r="AP12" s="86">
        <f t="shared" si="29"/>
        <v>416700.84199794091</v>
      </c>
      <c r="AQ12" s="98">
        <f t="shared" si="5"/>
        <v>140786883.65068203</v>
      </c>
      <c r="AR12" s="105">
        <f t="shared" si="30"/>
        <v>0.46650738020973309</v>
      </c>
      <c r="AS12" s="106">
        <f t="shared" si="31"/>
        <v>65678120.259772182</v>
      </c>
      <c r="AT12" s="107">
        <f t="shared" si="47"/>
        <v>598042955.99688029</v>
      </c>
      <c r="AU12" s="86">
        <f t="shared" si="32"/>
        <v>104175210.49948522</v>
      </c>
      <c r="AV12" s="108">
        <f t="shared" si="33"/>
        <v>48598504.532912329</v>
      </c>
      <c r="AW12" s="109">
        <f t="shared" si="34"/>
        <v>106641460.52979267</v>
      </c>
      <c r="AX12" s="106">
        <f>AW12+AX11</f>
        <v>191586015.76417917</v>
      </c>
      <c r="AZ12" s="69">
        <f t="shared" si="0"/>
        <v>2032</v>
      </c>
      <c r="BA12" s="112">
        <f t="shared" si="36"/>
        <v>140786883.65068203</v>
      </c>
    </row>
    <row r="13" spans="1:55" x14ac:dyDescent="0.25">
      <c r="A13" s="70" t="s">
        <v>147</v>
      </c>
      <c r="B13" s="113">
        <v>0</v>
      </c>
      <c r="D13" s="70">
        <f t="shared" si="6"/>
        <v>2033</v>
      </c>
      <c r="E13" s="83">
        <f t="shared" si="7"/>
        <v>50242.536430949447</v>
      </c>
      <c r="F13" s="96">
        <f t="shared" si="8"/>
        <v>36714.908068798846</v>
      </c>
      <c r="G13" s="97">
        <f t="shared" si="9"/>
        <v>1844650106.205586</v>
      </c>
      <c r="H13" s="99">
        <f t="shared" si="10"/>
        <v>1844650106.205586</v>
      </c>
      <c r="I13" s="100">
        <f t="shared" si="37"/>
        <v>258216</v>
      </c>
      <c r="J13" s="86">
        <f t="shared" si="11"/>
        <v>930.11100440957057</v>
      </c>
      <c r="K13" s="85">
        <f t="shared" si="38"/>
        <v>112800</v>
      </c>
      <c r="L13" s="86">
        <f t="shared" si="39"/>
        <v>104916521.29739955</v>
      </c>
      <c r="M13" s="97">
        <f t="shared" si="12"/>
        <v>240169543.11462167</v>
      </c>
      <c r="N13" s="83">
        <f t="shared" si="40"/>
        <v>2582.16</v>
      </c>
      <c r="O13" s="86">
        <f t="shared" si="13"/>
        <v>46505.550220478523</v>
      </c>
      <c r="P13" s="97">
        <f t="shared" si="14"/>
        <v>120084771.55731082</v>
      </c>
      <c r="Q13" s="98">
        <f t="shared" si="41"/>
        <v>312525631.4984557</v>
      </c>
      <c r="R13" s="98">
        <f t="shared" si="15"/>
        <v>777696467.46778774</v>
      </c>
      <c r="S13" s="100">
        <f t="shared" si="42"/>
        <v>50242.536430949447</v>
      </c>
      <c r="T13" s="86">
        <f t="shared" si="16"/>
        <v>930.11100440957057</v>
      </c>
      <c r="U13" s="97">
        <f t="shared" si="17"/>
        <v>46731136.023874834</v>
      </c>
      <c r="V13" s="101">
        <f t="shared" si="43"/>
        <v>13211.57</v>
      </c>
      <c r="W13" s="86">
        <f t="shared" si="18"/>
        <v>1736.253508324754</v>
      </c>
      <c r="X13" s="86">
        <f t="shared" si="19"/>
        <v>22938634.762978069</v>
      </c>
      <c r="Y13" s="86">
        <f t="shared" si="20"/>
        <v>1116133.2052914847</v>
      </c>
      <c r="Z13" s="86">
        <f t="shared" si="21"/>
        <v>13393598.463497818</v>
      </c>
      <c r="AA13" s="92">
        <f t="shared" si="22"/>
        <v>334839961.58744544</v>
      </c>
      <c r="AB13" s="98">
        <f t="shared" si="23"/>
        <v>417903330.83779615</v>
      </c>
      <c r="AC13" s="102">
        <f t="shared" si="1"/>
        <v>1195599798.305584</v>
      </c>
      <c r="AD13" s="90">
        <f t="shared" si="2"/>
        <v>4464532.8211659389</v>
      </c>
      <c r="AE13" s="86">
        <f t="shared" si="2"/>
        <v>446453282.11659384</v>
      </c>
      <c r="AF13" s="92">
        <f t="shared" si="24"/>
        <v>450917814.93775976</v>
      </c>
      <c r="AG13" s="103">
        <f t="shared" si="25"/>
        <v>1646517613.2433438</v>
      </c>
      <c r="AH13" s="102">
        <f t="shared" si="26"/>
        <v>198132492.96224213</v>
      </c>
      <c r="AI13" s="90">
        <f t="shared" si="44"/>
        <v>60000000</v>
      </c>
      <c r="AJ13" s="86">
        <f t="shared" si="45"/>
        <v>540000000</v>
      </c>
      <c r="AK13" s="86">
        <f>$C$30-AJ13</f>
        <v>-60000000</v>
      </c>
      <c r="AL13" s="86">
        <f t="shared" si="27"/>
        <v>111613320.52914846</v>
      </c>
      <c r="AM13" s="92">
        <f t="shared" si="3"/>
        <v>51613320.529148459</v>
      </c>
      <c r="AN13" s="99">
        <f t="shared" si="4"/>
        <v>138132492.96224213</v>
      </c>
      <c r="AO13" s="104">
        <f t="shared" si="28"/>
        <v>48346372.536784738</v>
      </c>
      <c r="AP13" s="86">
        <f t="shared" si="29"/>
        <v>206453.28211659385</v>
      </c>
      <c r="AQ13" s="98">
        <f t="shared" si="5"/>
        <v>149579667.1433408</v>
      </c>
      <c r="AR13" s="105">
        <f t="shared" si="30"/>
        <v>0.42409761837248461</v>
      </c>
      <c r="AS13" s="106">
        <f t="shared" si="31"/>
        <v>63436380.592439823</v>
      </c>
      <c r="AT13" s="107">
        <f t="shared" si="47"/>
        <v>661479336.58932006</v>
      </c>
      <c r="AU13" s="86">
        <f t="shared" si="32"/>
        <v>51613320.529148459</v>
      </c>
      <c r="AV13" s="108">
        <f t="shared" si="33"/>
        <v>21889086.312707528</v>
      </c>
      <c r="AW13" s="109">
        <f t="shared" si="34"/>
        <v>143368422.90202761</v>
      </c>
      <c r="AX13" s="106">
        <f>AW13+AX12</f>
        <v>334954438.66620678</v>
      </c>
      <c r="AZ13" s="69">
        <f t="shared" si="0"/>
        <v>2033</v>
      </c>
      <c r="BA13" s="112">
        <f t="shared" si="36"/>
        <v>149579667.1433408</v>
      </c>
    </row>
    <row r="14" spans="1:55" x14ac:dyDescent="0.25">
      <c r="A14" s="70" t="s">
        <v>148</v>
      </c>
      <c r="B14" s="114">
        <v>15</v>
      </c>
      <c r="D14" s="70">
        <f t="shared" si="6"/>
        <v>2034</v>
      </c>
      <c r="E14" s="83">
        <f t="shared" si="7"/>
        <v>50242.536430949447</v>
      </c>
      <c r="F14" s="96">
        <f t="shared" si="8"/>
        <v>39336.352504911083</v>
      </c>
      <c r="G14" s="97">
        <f t="shared" si="9"/>
        <v>1976358123.7886646</v>
      </c>
      <c r="H14" s="99">
        <f t="shared" si="10"/>
        <v>1976358123.7886646</v>
      </c>
      <c r="I14" s="100">
        <f t="shared" si="37"/>
        <v>258216</v>
      </c>
      <c r="J14" s="86">
        <f t="shared" si="11"/>
        <v>996.52093012441378</v>
      </c>
      <c r="K14" s="85">
        <f t="shared" si="38"/>
        <v>112800</v>
      </c>
      <c r="L14" s="86">
        <f t="shared" si="39"/>
        <v>112407560.91803387</v>
      </c>
      <c r="M14" s="97">
        <f t="shared" si="12"/>
        <v>257317648.49300563</v>
      </c>
      <c r="N14" s="83">
        <f t="shared" si="40"/>
        <v>2582.16</v>
      </c>
      <c r="O14" s="86">
        <f t="shared" si="13"/>
        <v>49826.046506220686</v>
      </c>
      <c r="P14" s="97">
        <f t="shared" si="14"/>
        <v>128658824.2465028</v>
      </c>
      <c r="Q14" s="98">
        <f t="shared" si="41"/>
        <v>334839961.58744544</v>
      </c>
      <c r="R14" s="98">
        <f t="shared" si="15"/>
        <v>833223995.24498773</v>
      </c>
      <c r="S14" s="100">
        <f t="shared" si="42"/>
        <v>50242.536430949447</v>
      </c>
      <c r="T14" s="86">
        <f t="shared" si="16"/>
        <v>996.52093012441378</v>
      </c>
      <c r="U14" s="97">
        <f t="shared" si="17"/>
        <v>50067739.135979488</v>
      </c>
      <c r="V14" s="101">
        <f t="shared" si="43"/>
        <v>13211.57</v>
      </c>
      <c r="W14" s="86">
        <f>W13*(1+$B$3)</f>
        <v>1860.2220088191411</v>
      </c>
      <c r="X14" s="86">
        <f t="shared" si="19"/>
        <v>24576453.285054699</v>
      </c>
      <c r="Y14" s="86">
        <f t="shared" si="20"/>
        <v>1195825.1161492965</v>
      </c>
      <c r="Z14" s="86">
        <f t="shared" si="21"/>
        <v>14349901.393791558</v>
      </c>
      <c r="AA14" s="92">
        <f t="shared" si="22"/>
        <v>358747534.84478903</v>
      </c>
      <c r="AB14" s="98">
        <f t="shared" si="23"/>
        <v>447741628.6596148</v>
      </c>
      <c r="AC14" s="102">
        <f t="shared" si="1"/>
        <v>1280965623.9046025</v>
      </c>
      <c r="AD14" s="90">
        <f t="shared" si="2"/>
        <v>4783300.4645971861</v>
      </c>
      <c r="AE14" s="86">
        <f t="shared" si="2"/>
        <v>478330046.45971859</v>
      </c>
      <c r="AF14" s="92">
        <f t="shared" si="24"/>
        <v>483113346.92431575</v>
      </c>
      <c r="AG14" s="103">
        <f t="shared" si="25"/>
        <v>1764078970.8289182</v>
      </c>
      <c r="AH14" s="102">
        <f t="shared" si="26"/>
        <v>212279152.95974636</v>
      </c>
      <c r="AI14" s="90">
        <f t="shared" si="44"/>
        <v>60000000</v>
      </c>
      <c r="AJ14" s="86">
        <f t="shared" si="45"/>
        <v>600000000</v>
      </c>
      <c r="AK14" s="86">
        <f>$C$30-AJ14</f>
        <v>-120000000</v>
      </c>
      <c r="AL14" s="86">
        <f t="shared" si="27"/>
        <v>119582511.61492965</v>
      </c>
      <c r="AM14" s="92">
        <f t="shared" si="3"/>
        <v>-417488.38507035375</v>
      </c>
      <c r="AN14" s="99">
        <f t="shared" si="4"/>
        <v>152279152.95974636</v>
      </c>
      <c r="AO14" s="104">
        <f t="shared" si="28"/>
        <v>53297703.535911225</v>
      </c>
      <c r="AP14" s="86">
        <f t="shared" si="29"/>
        <v>-1669.9535402814149</v>
      </c>
      <c r="AQ14" s="98">
        <f t="shared" si="5"/>
        <v>158983119.37737542</v>
      </c>
      <c r="AR14" s="105">
        <f t="shared" si="30"/>
        <v>0.38554328942953142</v>
      </c>
      <c r="AS14" s="106">
        <f t="shared" si="31"/>
        <v>61294874.808521196</v>
      </c>
      <c r="AT14" s="107">
        <f t="shared" si="47"/>
        <v>722774211.39784122</v>
      </c>
      <c r="AU14" s="86">
        <f t="shared" si="32"/>
        <v>-417488.38507035375</v>
      </c>
      <c r="AV14" s="108">
        <f t="shared" si="33"/>
        <v>-160959.84527864706</v>
      </c>
      <c r="AW14" s="109">
        <f t="shared" si="34"/>
        <v>182613251.55256259</v>
      </c>
      <c r="AX14" s="106">
        <f t="shared" si="35"/>
        <v>517567690.21876937</v>
      </c>
      <c r="AZ14" s="69">
        <f t="shared" si="0"/>
        <v>2034</v>
      </c>
      <c r="BA14" s="112">
        <f t="shared" si="36"/>
        <v>158983119.37737542</v>
      </c>
    </row>
    <row r="15" spans="1:55" x14ac:dyDescent="0.25">
      <c r="A15" s="70" t="s">
        <v>149</v>
      </c>
      <c r="B15" s="113">
        <v>17</v>
      </c>
      <c r="D15" s="70">
        <f>D14+1</f>
        <v>2035</v>
      </c>
      <c r="E15" s="83">
        <f t="shared" si="7"/>
        <v>50242.536430949447</v>
      </c>
      <c r="F15" s="96">
        <f t="shared" si="8"/>
        <v>42144.968073761731</v>
      </c>
      <c r="G15" s="97">
        <f t="shared" si="9"/>
        <v>2117470093.8271751</v>
      </c>
      <c r="H15" s="99">
        <f t="shared" si="10"/>
        <v>2117470093.8271751</v>
      </c>
      <c r="I15" s="100">
        <f t="shared" si="37"/>
        <v>258216</v>
      </c>
      <c r="J15" s="86">
        <f t="shared" si="11"/>
        <v>1067.6725245352968</v>
      </c>
      <c r="K15" s="85">
        <f t="shared" si="38"/>
        <v>112800</v>
      </c>
      <c r="L15" s="86">
        <f t="shared" si="39"/>
        <v>120433460.76758148</v>
      </c>
      <c r="M15" s="97">
        <f t="shared" si="12"/>
        <v>275690128.59540617</v>
      </c>
      <c r="N15" s="83">
        <f t="shared" si="40"/>
        <v>2582.16</v>
      </c>
      <c r="O15" s="86">
        <f t="shared" si="13"/>
        <v>53383.626226764842</v>
      </c>
      <c r="P15" s="97">
        <f t="shared" si="14"/>
        <v>137845064.29770309</v>
      </c>
      <c r="Q15" s="98">
        <f t="shared" si="41"/>
        <v>358747534.84478903</v>
      </c>
      <c r="R15" s="98">
        <f t="shared" si="15"/>
        <v>892716188.50547981</v>
      </c>
      <c r="S15" s="100">
        <f t="shared" si="42"/>
        <v>50242.536430949447</v>
      </c>
      <c r="T15" s="86">
        <f t="shared" si="16"/>
        <v>1067.6725245352968</v>
      </c>
      <c r="U15" s="97">
        <f t="shared" si="17"/>
        <v>53642575.71028842</v>
      </c>
      <c r="V15" s="101">
        <f t="shared" si="43"/>
        <v>13211.57</v>
      </c>
      <c r="W15" s="86">
        <f t="shared" si="18"/>
        <v>1993.0418602488276</v>
      </c>
      <c r="X15" s="86">
        <f t="shared" si="19"/>
        <v>26331212.049607601</v>
      </c>
      <c r="Y15" s="86">
        <f t="shared" si="20"/>
        <v>1281207.0294423562</v>
      </c>
      <c r="Z15" s="86">
        <f t="shared" si="21"/>
        <v>15374484.353308275</v>
      </c>
      <c r="AA15" s="92">
        <f t="shared" si="22"/>
        <v>384362108.83270693</v>
      </c>
      <c r="AB15" s="98">
        <f t="shared" si="23"/>
        <v>479710380.94591123</v>
      </c>
      <c r="AC15" s="102">
        <f t="shared" si="1"/>
        <v>1372426569.451391</v>
      </c>
      <c r="AD15" s="90">
        <f t="shared" si="2"/>
        <v>5124828.1177694248</v>
      </c>
      <c r="AE15" s="86">
        <f t="shared" si="2"/>
        <v>512482811.77694243</v>
      </c>
      <c r="AF15" s="92">
        <f t="shared" si="24"/>
        <v>517607639.89471185</v>
      </c>
      <c r="AG15" s="103">
        <f t="shared" si="25"/>
        <v>1890034209.3461027</v>
      </c>
      <c r="AH15" s="102">
        <f t="shared" si="26"/>
        <v>227435884.48107243</v>
      </c>
      <c r="AI15" s="90">
        <f t="shared" si="44"/>
        <v>60000000</v>
      </c>
      <c r="AJ15" s="86">
        <f t="shared" si="45"/>
        <v>660000000</v>
      </c>
      <c r="AK15" s="86">
        <f>$C$30-AJ15</f>
        <v>-180000000</v>
      </c>
      <c r="AL15" s="86">
        <f t="shared" si="27"/>
        <v>128120702.94423561</v>
      </c>
      <c r="AM15" s="92">
        <f t="shared" si="3"/>
        <v>-51879297.055764392</v>
      </c>
      <c r="AN15" s="99">
        <f t="shared" si="4"/>
        <v>167435884.48107243</v>
      </c>
      <c r="AO15" s="104">
        <f t="shared" si="28"/>
        <v>58602559.568375349</v>
      </c>
      <c r="AP15" s="86">
        <f t="shared" si="29"/>
        <v>-207517.18822305757</v>
      </c>
      <c r="AQ15" s="98">
        <f t="shared" si="5"/>
        <v>169040842.10092014</v>
      </c>
      <c r="AR15" s="105">
        <f t="shared" si="30"/>
        <v>0.35049389948139215</v>
      </c>
      <c r="AS15" s="106">
        <f t="shared" si="31"/>
        <v>59247783.919569783</v>
      </c>
      <c r="AT15" s="107">
        <f>AT14+AS15</f>
        <v>782021995.31741095</v>
      </c>
      <c r="AU15" s="86">
        <f>AM15</f>
        <v>-51879297.055764392</v>
      </c>
      <c r="AV15" s="108">
        <f t="shared" si="33"/>
        <v>-18183377.127428368</v>
      </c>
      <c r="AW15" s="109">
        <f>AT15+AV15-$C$32</f>
        <v>223838618.18998253</v>
      </c>
      <c r="AX15" s="115">
        <f>AW15+AX14</f>
        <v>741406308.40875196</v>
      </c>
      <c r="AZ15" s="69">
        <f t="shared" si="0"/>
        <v>2035</v>
      </c>
      <c r="BA15" s="112">
        <f t="shared" si="36"/>
        <v>169040842.10092014</v>
      </c>
    </row>
    <row r="16" spans="1:55" x14ac:dyDescent="0.25">
      <c r="A16" s="70" t="s">
        <v>150</v>
      </c>
      <c r="B16" s="114">
        <v>18</v>
      </c>
      <c r="D16" s="70"/>
      <c r="E16" s="83"/>
      <c r="F16" s="96"/>
      <c r="G16" s="97"/>
      <c r="H16" s="99"/>
      <c r="I16" s="100"/>
      <c r="J16" s="86"/>
      <c r="K16" s="85"/>
      <c r="L16" s="86"/>
      <c r="M16" s="97"/>
      <c r="N16" s="83"/>
      <c r="O16" s="86"/>
      <c r="P16" s="97"/>
      <c r="Q16" s="98"/>
      <c r="R16" s="98"/>
      <c r="S16" s="100"/>
      <c r="T16" s="86"/>
      <c r="U16" s="97"/>
      <c r="V16" s="101"/>
      <c r="W16" s="86"/>
      <c r="X16" s="86"/>
      <c r="Y16" s="86"/>
      <c r="Z16" s="86"/>
      <c r="AA16" s="92"/>
      <c r="AB16" s="98"/>
      <c r="AC16" s="102"/>
      <c r="AD16" s="90"/>
      <c r="AE16" s="86"/>
      <c r="AF16" s="92"/>
      <c r="AG16" s="103"/>
      <c r="AH16" s="102"/>
      <c r="AI16" s="90"/>
      <c r="AJ16" s="86"/>
      <c r="AK16" s="86"/>
      <c r="AL16" s="86"/>
      <c r="AM16" s="92"/>
      <c r="AN16" s="99"/>
      <c r="AO16" s="104"/>
      <c r="AP16" s="86"/>
      <c r="AQ16" s="98"/>
      <c r="AR16" s="105"/>
      <c r="AS16" s="106">
        <f>AQ16*AR16</f>
        <v>0</v>
      </c>
      <c r="AT16" s="107">
        <f>AS16</f>
        <v>0</v>
      </c>
      <c r="AU16" s="86"/>
      <c r="AV16" s="108"/>
      <c r="AW16" s="109"/>
      <c r="AX16" s="106"/>
      <c r="AZ16" s="69">
        <f t="shared" si="0"/>
        <v>0</v>
      </c>
      <c r="BA16" s="112">
        <f t="shared" si="36"/>
        <v>0</v>
      </c>
    </row>
    <row r="17" spans="1:53" x14ac:dyDescent="0.25">
      <c r="A17" s="90" t="s">
        <v>151</v>
      </c>
      <c r="B17" s="113">
        <v>20</v>
      </c>
      <c r="D17" s="70"/>
      <c r="E17" s="83"/>
      <c r="F17" s="96"/>
      <c r="G17" s="97"/>
      <c r="H17" s="99"/>
      <c r="I17" s="100"/>
      <c r="J17" s="86"/>
      <c r="K17" s="85"/>
      <c r="L17" s="86"/>
      <c r="M17" s="97"/>
      <c r="N17" s="83"/>
      <c r="O17" s="86"/>
      <c r="P17" s="97"/>
      <c r="Q17" s="98"/>
      <c r="R17" s="98"/>
      <c r="S17" s="100"/>
      <c r="T17" s="86"/>
      <c r="U17" s="97"/>
      <c r="V17" s="101"/>
      <c r="W17" s="86"/>
      <c r="X17" s="86"/>
      <c r="Y17" s="86"/>
      <c r="Z17" s="86"/>
      <c r="AA17" s="92"/>
      <c r="AB17" s="98"/>
      <c r="AC17" s="102"/>
      <c r="AD17" s="90"/>
      <c r="AE17" s="86"/>
      <c r="AF17" s="92"/>
      <c r="AG17" s="103"/>
      <c r="AH17" s="102"/>
      <c r="AI17" s="90"/>
      <c r="AJ17" s="86"/>
      <c r="AK17" s="86"/>
      <c r="AL17" s="86"/>
      <c r="AM17" s="92"/>
      <c r="AN17" s="99"/>
      <c r="AO17" s="104"/>
      <c r="AP17" s="86"/>
      <c r="AQ17" s="98"/>
      <c r="AR17" s="105"/>
      <c r="AS17" s="106">
        <f>AQ17*AR17</f>
        <v>0</v>
      </c>
      <c r="AT17" s="107">
        <f>AT16+AS17</f>
        <v>0</v>
      </c>
      <c r="AU17" s="86"/>
      <c r="AV17" s="108"/>
      <c r="AW17" s="109"/>
      <c r="AX17" s="106"/>
      <c r="AZ17" s="69">
        <f t="shared" si="0"/>
        <v>0</v>
      </c>
      <c r="BA17" s="112">
        <f t="shared" si="36"/>
        <v>0</v>
      </c>
    </row>
    <row r="18" spans="1:53" x14ac:dyDescent="0.25">
      <c r="A18" s="70" t="s">
        <v>152</v>
      </c>
      <c r="B18" s="113">
        <v>30</v>
      </c>
      <c r="D18" s="70"/>
      <c r="E18" s="83"/>
      <c r="F18" s="96"/>
      <c r="G18" s="97"/>
      <c r="H18" s="99"/>
      <c r="I18" s="100"/>
      <c r="J18" s="86"/>
      <c r="K18" s="85"/>
      <c r="L18" s="86"/>
      <c r="M18" s="97"/>
      <c r="N18" s="83"/>
      <c r="O18" s="86"/>
      <c r="P18" s="97"/>
      <c r="Q18" s="98"/>
      <c r="R18" s="98"/>
      <c r="S18" s="100"/>
      <c r="T18" s="86"/>
      <c r="U18" s="97"/>
      <c r="V18" s="101"/>
      <c r="W18" s="86"/>
      <c r="X18" s="86"/>
      <c r="Y18" s="86"/>
      <c r="Z18" s="86"/>
      <c r="AA18" s="92"/>
      <c r="AB18" s="98"/>
      <c r="AC18" s="102"/>
      <c r="AD18" s="90"/>
      <c r="AE18" s="86"/>
      <c r="AF18" s="92"/>
      <c r="AG18" s="103"/>
      <c r="AH18" s="102"/>
      <c r="AI18" s="90"/>
      <c r="AJ18" s="86"/>
      <c r="AK18" s="86"/>
      <c r="AL18" s="86"/>
      <c r="AM18" s="92"/>
      <c r="AN18" s="99"/>
      <c r="AO18" s="104"/>
      <c r="AP18" s="86"/>
      <c r="AQ18" s="98"/>
      <c r="AR18" s="105"/>
      <c r="AS18" s="106"/>
      <c r="AT18" s="107"/>
      <c r="AU18" s="86"/>
      <c r="AV18" s="108"/>
      <c r="AW18" s="109"/>
      <c r="AX18" s="106"/>
      <c r="AZ18" s="69">
        <f t="shared" si="0"/>
        <v>0</v>
      </c>
      <c r="BA18" s="112">
        <f t="shared" si="36"/>
        <v>0</v>
      </c>
    </row>
    <row r="19" spans="1:53" ht="15.75" thickBot="1" x14ac:dyDescent="0.3">
      <c r="A19" s="70" t="s">
        <v>153</v>
      </c>
      <c r="B19" s="113">
        <f>SUM(B15:B18)</f>
        <v>85</v>
      </c>
      <c r="D19" s="116"/>
      <c r="E19" s="117"/>
      <c r="F19" s="118"/>
      <c r="G19" s="119"/>
      <c r="H19" s="122"/>
      <c r="I19" s="123"/>
      <c r="J19" s="120"/>
      <c r="K19" s="151"/>
      <c r="L19" s="120"/>
      <c r="M19" s="119"/>
      <c r="N19" s="117"/>
      <c r="O19" s="120"/>
      <c r="P19" s="119"/>
      <c r="Q19" s="121"/>
      <c r="R19" s="121"/>
      <c r="S19" s="123"/>
      <c r="T19" s="120"/>
      <c r="U19" s="119"/>
      <c r="V19" s="124"/>
      <c r="W19" s="120"/>
      <c r="X19" s="120"/>
      <c r="Y19" s="120"/>
      <c r="Z19" s="120"/>
      <c r="AA19" s="127"/>
      <c r="AB19" s="121"/>
      <c r="AC19" s="125"/>
      <c r="AD19" s="126"/>
      <c r="AE19" s="120"/>
      <c r="AF19" s="127"/>
      <c r="AG19" s="128"/>
      <c r="AH19" s="125"/>
      <c r="AI19" s="126"/>
      <c r="AJ19" s="120"/>
      <c r="AK19" s="120"/>
      <c r="AL19" s="120"/>
      <c r="AM19" s="127"/>
      <c r="AN19" s="122"/>
      <c r="AO19" s="129"/>
      <c r="AP19" s="120"/>
      <c r="AQ19" s="121"/>
      <c r="AR19" s="130"/>
      <c r="AS19" s="131"/>
      <c r="AT19" s="132"/>
      <c r="AU19" s="120"/>
      <c r="AV19" s="133"/>
      <c r="AW19" s="134"/>
      <c r="AX19" s="131"/>
      <c r="AZ19" s="69">
        <f t="shared" si="0"/>
        <v>0</v>
      </c>
      <c r="BA19" s="112">
        <f t="shared" si="36"/>
        <v>0</v>
      </c>
    </row>
    <row r="20" spans="1:53" x14ac:dyDescent="0.25">
      <c r="A20" s="70" t="s">
        <v>154</v>
      </c>
      <c r="B20" s="114">
        <v>6</v>
      </c>
      <c r="AZ20" s="135"/>
    </row>
    <row r="21" spans="1:53" x14ac:dyDescent="0.25">
      <c r="A21" s="70" t="s">
        <v>155</v>
      </c>
      <c r="B21" s="114">
        <v>100</v>
      </c>
    </row>
    <row r="22" spans="1:53" x14ac:dyDescent="0.25">
      <c r="A22" s="70" t="s">
        <v>156</v>
      </c>
      <c r="B22" s="136">
        <v>0.1</v>
      </c>
    </row>
    <row r="23" spans="1:53" x14ac:dyDescent="0.25">
      <c r="A23" s="70" t="s">
        <v>157</v>
      </c>
      <c r="B23" s="137">
        <f>BC7</f>
        <v>8.6096914330374474E-2</v>
      </c>
    </row>
    <row r="24" spans="1:53" ht="15.75" thickBot="1" x14ac:dyDescent="0.3">
      <c r="A24" s="116" t="s">
        <v>158</v>
      </c>
      <c r="B24" s="138"/>
    </row>
    <row r="26" spans="1:53" ht="15.75" thickBot="1" x14ac:dyDescent="0.3"/>
    <row r="27" spans="1:53" x14ac:dyDescent="0.25">
      <c r="A27" s="67"/>
      <c r="B27" s="79" t="s">
        <v>159</v>
      </c>
      <c r="C27" s="68" t="s">
        <v>160</v>
      </c>
    </row>
    <row r="28" spans="1:53" x14ac:dyDescent="0.25">
      <c r="A28" s="70" t="s">
        <v>161</v>
      </c>
      <c r="B28" s="83">
        <f>18000</f>
        <v>18000</v>
      </c>
      <c r="C28" s="139">
        <f>C31*2</f>
        <v>120000000</v>
      </c>
    </row>
    <row r="29" spans="1:53" x14ac:dyDescent="0.25">
      <c r="A29" s="70" t="s">
        <v>162</v>
      </c>
      <c r="B29" s="83">
        <f>C29/$B$2</f>
        <v>90000</v>
      </c>
      <c r="C29" s="139">
        <f>C28*3</f>
        <v>360000000</v>
      </c>
    </row>
    <row r="30" spans="1:53" x14ac:dyDescent="0.25">
      <c r="A30" s="70" t="s">
        <v>163</v>
      </c>
      <c r="B30" s="83">
        <f>C30/$B$2</f>
        <v>120000</v>
      </c>
      <c r="C30" s="139">
        <f>C28+C29</f>
        <v>480000000</v>
      </c>
    </row>
    <row r="31" spans="1:53" x14ac:dyDescent="0.25">
      <c r="A31" s="70" t="s">
        <v>164</v>
      </c>
      <c r="B31" s="83">
        <f>C31/$B$2</f>
        <v>15000</v>
      </c>
      <c r="C31" s="139">
        <f>3*AE4/12</f>
        <v>60000000</v>
      </c>
    </row>
    <row r="32" spans="1:53" ht="15.75" thickBot="1" x14ac:dyDescent="0.3">
      <c r="A32" s="116" t="s">
        <v>165</v>
      </c>
      <c r="B32" s="117">
        <f>C32/$B$2</f>
        <v>135000</v>
      </c>
      <c r="C32" s="140">
        <f>C30+C31</f>
        <v>540000000</v>
      </c>
    </row>
    <row r="34" spans="1:2" x14ac:dyDescent="0.25">
      <c r="A34" s="141" t="s">
        <v>166</v>
      </c>
      <c r="B34" s="142" t="s">
        <v>167</v>
      </c>
    </row>
    <row r="35" spans="1:2" x14ac:dyDescent="0.25">
      <c r="A35" s="143" t="s">
        <v>168</v>
      </c>
      <c r="B35" s="144">
        <f>B14*$B$20</f>
        <v>90</v>
      </c>
    </row>
    <row r="36" spans="1:2" x14ac:dyDescent="0.25">
      <c r="A36" s="143" t="s">
        <v>169</v>
      </c>
      <c r="B36" s="144">
        <f t="shared" ref="B36:B39" si="48">B15*$B$20</f>
        <v>102</v>
      </c>
    </row>
    <row r="37" spans="1:2" x14ac:dyDescent="0.25">
      <c r="A37" s="143" t="s">
        <v>170</v>
      </c>
      <c r="B37" s="144">
        <f t="shared" si="48"/>
        <v>108</v>
      </c>
    </row>
    <row r="38" spans="1:2" x14ac:dyDescent="0.25">
      <c r="A38" s="143" t="s">
        <v>171</v>
      </c>
      <c r="B38" s="144">
        <f t="shared" si="48"/>
        <v>120</v>
      </c>
    </row>
    <row r="39" spans="1:2" x14ac:dyDescent="0.25">
      <c r="A39" s="145" t="s">
        <v>172</v>
      </c>
      <c r="B39" s="146">
        <f t="shared" si="48"/>
        <v>180</v>
      </c>
    </row>
  </sheetData>
  <mergeCells count="1">
    <mergeCell ref="A1:B1"/>
  </mergeCells>
  <conditionalFormatting sqref="AX5:AX1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4C8F-23EC-4FC5-9193-55B749C9BBCD}">
  <dimension ref="A1:M32"/>
  <sheetViews>
    <sheetView showGridLines="0" workbookViewId="0">
      <selection activeCell="D13" sqref="D13"/>
    </sheetView>
  </sheetViews>
  <sheetFormatPr baseColWidth="10" defaultColWidth="11.42578125" defaultRowHeight="15" x14ac:dyDescent="0.25"/>
  <cols>
    <col min="1" max="1" width="30.85546875" bestFit="1" customWidth="1"/>
    <col min="2" max="2" width="15.7109375" bestFit="1" customWidth="1"/>
    <col min="3" max="3" width="17.7109375" bestFit="1" customWidth="1"/>
    <col min="4" max="4" width="16.42578125" customWidth="1"/>
    <col min="5" max="5" width="17.7109375" bestFit="1" customWidth="1"/>
    <col min="6" max="6" width="20.85546875" customWidth="1"/>
    <col min="7" max="7" width="17.7109375" bestFit="1" customWidth="1"/>
    <col min="8" max="8" width="13.28515625" customWidth="1"/>
    <col min="10" max="10" width="17.85546875" customWidth="1"/>
    <col min="12" max="12" width="14" bestFit="1" customWidth="1"/>
  </cols>
  <sheetData>
    <row r="1" spans="1:13" ht="15.75" thickBot="1" x14ac:dyDescent="0.3">
      <c r="A1" s="163" t="s">
        <v>173</v>
      </c>
      <c r="B1" s="164"/>
      <c r="C1" s="163" t="s">
        <v>174</v>
      </c>
      <c r="D1" s="165"/>
      <c r="E1" s="163" t="s">
        <v>175</v>
      </c>
      <c r="F1" s="165"/>
      <c r="G1" s="163" t="s">
        <v>176</v>
      </c>
      <c r="H1" s="164"/>
      <c r="J1" s="178" t="s">
        <v>41</v>
      </c>
      <c r="K1" s="179"/>
      <c r="L1" s="179"/>
      <c r="M1" s="180"/>
    </row>
    <row r="2" spans="1:13" x14ac:dyDescent="0.25">
      <c r="A2" s="14" t="s">
        <v>177</v>
      </c>
      <c r="B2" s="28" t="s">
        <v>178</v>
      </c>
      <c r="C2" s="14" t="s">
        <v>177</v>
      </c>
      <c r="D2" s="29" t="s">
        <v>178</v>
      </c>
      <c r="E2" s="14" t="s">
        <v>177</v>
      </c>
      <c r="F2" s="29" t="s">
        <v>178</v>
      </c>
      <c r="G2" s="14" t="s">
        <v>177</v>
      </c>
      <c r="H2" s="28" t="s">
        <v>178</v>
      </c>
      <c r="J2" s="163" t="s">
        <v>179</v>
      </c>
      <c r="K2" s="165"/>
      <c r="L2" s="163" t="s">
        <v>180</v>
      </c>
      <c r="M2" s="164"/>
    </row>
    <row r="3" spans="1:13" x14ac:dyDescent="0.25">
      <c r="A3" s="14" t="s">
        <v>181</v>
      </c>
      <c r="B3" s="62">
        <f>'Final balance'!B22</f>
        <v>199760.31111694343</v>
      </c>
      <c r="C3" s="14" t="s">
        <v>181</v>
      </c>
      <c r="D3" s="157">
        <f>'Final balance'!G17*'Final balance'!D1</f>
        <v>225600</v>
      </c>
      <c r="E3" s="14" t="s">
        <v>181</v>
      </c>
      <c r="F3" s="157">
        <f>B3+D3</f>
        <v>425360.31111694343</v>
      </c>
      <c r="G3" s="14" t="s">
        <v>181</v>
      </c>
      <c r="H3" s="62">
        <f>F3</f>
        <v>425360.31111694343</v>
      </c>
      <c r="J3" s="14" t="s">
        <v>177</v>
      </c>
      <c r="K3" s="29" t="s">
        <v>178</v>
      </c>
      <c r="L3" s="14" t="s">
        <v>177</v>
      </c>
      <c r="M3" s="28" t="s">
        <v>178</v>
      </c>
    </row>
    <row r="4" spans="1:13" x14ac:dyDescent="0.25">
      <c r="A4" s="14" t="s">
        <v>182</v>
      </c>
      <c r="B4" s="62">
        <f>'Final balance'!B21</f>
        <v>58455.688883056588</v>
      </c>
      <c r="C4" s="14" t="s">
        <v>183</v>
      </c>
      <c r="D4" s="157">
        <f>'Final balance'!G16</f>
        <v>112800</v>
      </c>
      <c r="E4" s="14" t="s">
        <v>183</v>
      </c>
      <c r="F4" s="157">
        <f>D4</f>
        <v>112800</v>
      </c>
      <c r="G4" s="14" t="s">
        <v>183</v>
      </c>
      <c r="H4" s="62">
        <f>F4</f>
        <v>112800</v>
      </c>
      <c r="J4" s="14" t="s">
        <v>184</v>
      </c>
      <c r="K4" s="47">
        <f>'Final balance'!J10</f>
        <v>36430.622009569262</v>
      </c>
      <c r="L4" s="14" t="str">
        <f>G3</f>
        <v>Agua (kg)</v>
      </c>
      <c r="M4" s="21">
        <f>H3-K5</f>
        <v>421290.93312651268</v>
      </c>
    </row>
    <row r="5" spans="1:13" ht="15.75" thickBot="1" x14ac:dyDescent="0.3">
      <c r="A5" s="16" t="s">
        <v>71</v>
      </c>
      <c r="B5" s="156">
        <f>SUM(B3:B4)</f>
        <v>258216</v>
      </c>
      <c r="C5" s="16" t="s">
        <v>71</v>
      </c>
      <c r="D5" s="158">
        <f>SUM(D3:D4)</f>
        <v>338400</v>
      </c>
      <c r="E5" s="14" t="s">
        <v>182</v>
      </c>
      <c r="F5" s="157">
        <f>B4</f>
        <v>58455.688883056588</v>
      </c>
      <c r="G5" s="14" t="s">
        <v>182</v>
      </c>
      <c r="H5" s="62">
        <f>F5</f>
        <v>58455.688883056588</v>
      </c>
      <c r="J5" s="14" t="str">
        <f>G3</f>
        <v>Agua (kg)</v>
      </c>
      <c r="K5" s="47">
        <f>'Final balance'!J11</f>
        <v>4069.3779904307376</v>
      </c>
      <c r="L5" s="14" t="s">
        <v>185</v>
      </c>
      <c r="M5" s="62">
        <f>H4+H5-K4</f>
        <v>134825.06687348732</v>
      </c>
    </row>
    <row r="6" spans="1:13" ht="15.75" thickBot="1" x14ac:dyDescent="0.3">
      <c r="E6" s="14" t="s">
        <v>186</v>
      </c>
      <c r="F6" s="29">
        <v>1200</v>
      </c>
      <c r="G6" s="14" t="s">
        <v>186</v>
      </c>
      <c r="H6" s="28">
        <f>F6</f>
        <v>1200</v>
      </c>
      <c r="J6" s="16" t="s">
        <v>71</v>
      </c>
      <c r="K6" s="158">
        <f>SUM(K4:K5)</f>
        <v>40500</v>
      </c>
      <c r="L6" s="14" t="str">
        <f>G6</f>
        <v>NaOH (kg)</v>
      </c>
      <c r="M6" s="28">
        <f>H6</f>
        <v>1200</v>
      </c>
    </row>
    <row r="7" spans="1:13" ht="15.75" thickBot="1" x14ac:dyDescent="0.3">
      <c r="E7" s="16" t="s">
        <v>71</v>
      </c>
      <c r="F7" s="158">
        <f>SUM(F3:F6)</f>
        <v>597816</v>
      </c>
      <c r="G7" s="14" t="s">
        <v>187</v>
      </c>
      <c r="H7" s="28">
        <v>2582</v>
      </c>
      <c r="L7" s="14" t="str">
        <f>G7</f>
        <v>Levadura (kg)</v>
      </c>
      <c r="M7" s="28">
        <f>H7</f>
        <v>2582</v>
      </c>
    </row>
    <row r="8" spans="1:13" ht="15.75" thickBot="1" x14ac:dyDescent="0.3">
      <c r="G8" s="16" t="s">
        <v>71</v>
      </c>
      <c r="H8" s="53">
        <f>SUM(H3:H7)</f>
        <v>600398</v>
      </c>
      <c r="L8" s="16" t="str">
        <f>J6</f>
        <v>Total (kg)</v>
      </c>
      <c r="M8" s="53">
        <f>SUM(M4:M7)</f>
        <v>559898</v>
      </c>
    </row>
    <row r="10" spans="1:13" x14ac:dyDescent="0.25">
      <c r="A10" s="177" t="s">
        <v>188</v>
      </c>
      <c r="B10" s="168"/>
      <c r="M10" s="152"/>
    </row>
    <row r="11" spans="1:13" x14ac:dyDescent="0.25">
      <c r="A11" s="9" t="s">
        <v>189</v>
      </c>
      <c r="B11" s="154">
        <f>'Final balance'!F2</f>
        <v>580</v>
      </c>
    </row>
    <row r="12" spans="1:13" x14ac:dyDescent="0.25">
      <c r="A12" s="9" t="s">
        <v>190</v>
      </c>
      <c r="B12" s="154">
        <f>B11*12.5</f>
        <v>7250</v>
      </c>
    </row>
    <row r="13" spans="1:13" x14ac:dyDescent="0.25">
      <c r="A13" s="9" t="s">
        <v>191</v>
      </c>
      <c r="B13" s="9">
        <f>24000</f>
        <v>24000</v>
      </c>
    </row>
    <row r="14" spans="1:13" ht="15.75" thickBot="1" x14ac:dyDescent="0.3"/>
    <row r="15" spans="1:13" x14ac:dyDescent="0.25">
      <c r="A15" s="163" t="s">
        <v>0</v>
      </c>
      <c r="B15" s="164"/>
    </row>
    <row r="16" spans="1:13" x14ac:dyDescent="0.25">
      <c r="A16" s="14"/>
      <c r="B16" s="28" t="s">
        <v>4</v>
      </c>
    </row>
    <row r="17" spans="1:2" x14ac:dyDescent="0.25">
      <c r="A17" s="14" t="s">
        <v>60</v>
      </c>
      <c r="B17" s="28">
        <v>240000</v>
      </c>
    </row>
    <row r="18" spans="1:2" x14ac:dyDescent="0.25">
      <c r="A18" s="14" t="s">
        <v>61</v>
      </c>
      <c r="B18" s="21">
        <v>112800</v>
      </c>
    </row>
    <row r="19" spans="1:2" ht="15.75" thickBot="1" x14ac:dyDescent="0.3">
      <c r="A19" s="16" t="s">
        <v>62</v>
      </c>
      <c r="B19" s="22">
        <v>127200</v>
      </c>
    </row>
    <row r="20" spans="1:2" x14ac:dyDescent="0.25">
      <c r="A20" s="163" t="s">
        <v>17</v>
      </c>
      <c r="B20" s="164"/>
    </row>
    <row r="21" spans="1:2" x14ac:dyDescent="0.25">
      <c r="A21" s="14" t="s">
        <v>62</v>
      </c>
      <c r="B21" s="28">
        <v>127200</v>
      </c>
    </row>
    <row r="22" spans="1:2" x14ac:dyDescent="0.25">
      <c r="A22" s="14" t="s">
        <v>66</v>
      </c>
      <c r="B22" s="62">
        <v>254909.81963927855</v>
      </c>
    </row>
    <row r="23" spans="1:2" ht="15.75" thickBot="1" x14ac:dyDescent="0.3">
      <c r="A23" s="16" t="s">
        <v>67</v>
      </c>
      <c r="B23" s="53">
        <v>381600</v>
      </c>
    </row>
    <row r="24" spans="1:2" x14ac:dyDescent="0.25">
      <c r="A24" s="163" t="s">
        <v>23</v>
      </c>
      <c r="B24" s="164"/>
    </row>
    <row r="25" spans="1:2" x14ac:dyDescent="0.25">
      <c r="A25" s="14" t="s">
        <v>70</v>
      </c>
      <c r="B25" s="28">
        <v>123384</v>
      </c>
    </row>
    <row r="26" spans="1:2" x14ac:dyDescent="0.25">
      <c r="A26" s="14" t="s">
        <v>73</v>
      </c>
      <c r="B26" s="44">
        <v>258216</v>
      </c>
    </row>
    <row r="27" spans="1:2" ht="15.75" thickBot="1" x14ac:dyDescent="0.3">
      <c r="A27" s="37" t="s">
        <v>71</v>
      </c>
      <c r="B27" s="38">
        <v>381600</v>
      </c>
    </row>
    <row r="28" spans="1:2" x14ac:dyDescent="0.25">
      <c r="A28" s="163" t="s">
        <v>35</v>
      </c>
      <c r="B28" s="164"/>
    </row>
    <row r="29" spans="1:2" x14ac:dyDescent="0.25">
      <c r="A29" s="14" t="s">
        <v>36</v>
      </c>
      <c r="B29" s="155">
        <v>0.22638290765505076</v>
      </c>
    </row>
    <row r="30" spans="1:2" x14ac:dyDescent="0.25">
      <c r="A30" s="14" t="s">
        <v>79</v>
      </c>
      <c r="B30" s="62">
        <v>58455.688883056588</v>
      </c>
    </row>
    <row r="31" spans="1:2" x14ac:dyDescent="0.25">
      <c r="A31" s="14" t="s">
        <v>69</v>
      </c>
      <c r="B31" s="62">
        <v>199760.31111694343</v>
      </c>
    </row>
    <row r="32" spans="1:2" ht="15.75" thickBot="1" x14ac:dyDescent="0.3">
      <c r="A32" s="16" t="s">
        <v>71</v>
      </c>
      <c r="B32" s="53">
        <v>258216</v>
      </c>
    </row>
  </sheetData>
  <mergeCells count="12">
    <mergeCell ref="J2:K2"/>
    <mergeCell ref="L2:M2"/>
    <mergeCell ref="A1:B1"/>
    <mergeCell ref="C1:D1"/>
    <mergeCell ref="E1:F1"/>
    <mergeCell ref="G1:H1"/>
    <mergeCell ref="J1:M1"/>
    <mergeCell ref="A10:B10"/>
    <mergeCell ref="A15:B15"/>
    <mergeCell ref="A20:B20"/>
    <mergeCell ref="A24:B24"/>
    <mergeCell ref="A28:B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5D89-26D6-450A-B0A4-4AE377CD3C8B}">
  <dimension ref="A1:J127"/>
  <sheetViews>
    <sheetView zoomScale="70" zoomScaleNormal="70" workbookViewId="0">
      <selection activeCell="I34" sqref="I34"/>
    </sheetView>
  </sheetViews>
  <sheetFormatPr baseColWidth="10" defaultColWidth="11.42578125" defaultRowHeight="15" x14ac:dyDescent="0.25"/>
  <cols>
    <col min="1" max="1" width="31" bestFit="1" customWidth="1"/>
    <col min="2" max="2" width="15.7109375" bestFit="1" customWidth="1"/>
    <col min="3" max="3" width="35.42578125" bestFit="1" customWidth="1"/>
    <col min="4" max="4" width="19.85546875" bestFit="1" customWidth="1"/>
    <col min="5" max="5" width="35.42578125" bestFit="1" customWidth="1"/>
    <col min="6" max="6" width="18.5703125" bestFit="1" customWidth="1"/>
    <col min="9" max="9" width="35.42578125" bestFit="1" customWidth="1"/>
  </cols>
  <sheetData>
    <row r="1" spans="1:10" x14ac:dyDescent="0.25">
      <c r="A1" s="163" t="s">
        <v>0</v>
      </c>
      <c r="B1" s="164"/>
      <c r="C1" s="32" t="s">
        <v>1</v>
      </c>
      <c r="D1" s="27">
        <v>0.998</v>
      </c>
      <c r="I1" s="163" t="s">
        <v>41</v>
      </c>
      <c r="J1" s="164"/>
    </row>
    <row r="2" spans="1:10" x14ac:dyDescent="0.25">
      <c r="A2" s="14"/>
      <c r="B2" s="29" t="s">
        <v>4</v>
      </c>
      <c r="C2" s="9" t="s">
        <v>5</v>
      </c>
      <c r="D2" s="9" t="s">
        <v>6</v>
      </c>
      <c r="I2" s="14" t="s">
        <v>42</v>
      </c>
      <c r="J2" s="28">
        <v>400</v>
      </c>
    </row>
    <row r="3" spans="1:10" ht="15.75" thickBot="1" x14ac:dyDescent="0.3">
      <c r="A3" s="14" t="s">
        <v>8</v>
      </c>
      <c r="B3" s="29">
        <f>C3</f>
        <v>1001</v>
      </c>
      <c r="C3" s="54">
        <f>C4+C5</f>
        <v>1001</v>
      </c>
      <c r="D3" s="10">
        <f>(C3-B3)/C3</f>
        <v>0</v>
      </c>
      <c r="I3" s="14" t="s">
        <v>43</v>
      </c>
      <c r="J3" s="66" t="s">
        <v>44</v>
      </c>
    </row>
    <row r="4" spans="1:10" x14ac:dyDescent="0.25">
      <c r="A4" s="14" t="s">
        <v>9</v>
      </c>
      <c r="B4" s="59">
        <f>B3*0.47</f>
        <v>470.46999999999997</v>
      </c>
      <c r="C4" s="35">
        <v>500</v>
      </c>
      <c r="D4" s="33">
        <f t="shared" ref="D4" si="0">(C4-B4)/C4</f>
        <v>5.9060000000000057E-2</v>
      </c>
      <c r="I4" s="14" t="s">
        <v>45</v>
      </c>
      <c r="J4" s="28">
        <v>1.25</v>
      </c>
    </row>
    <row r="5" spans="1:10" ht="15.75" thickBot="1" x14ac:dyDescent="0.3">
      <c r="A5" s="16" t="s">
        <v>13</v>
      </c>
      <c r="B5" s="60">
        <f>B3*0.53</f>
        <v>530.53</v>
      </c>
      <c r="C5" s="36">
        <v>501</v>
      </c>
      <c r="D5" s="33">
        <f>(C5-B5)/C5</f>
        <v>-5.8942115768463019E-2</v>
      </c>
      <c r="I5" s="14" t="s">
        <v>46</v>
      </c>
      <c r="J5" s="28">
        <v>20</v>
      </c>
    </row>
    <row r="6" spans="1:10" ht="15.75" thickBot="1" x14ac:dyDescent="0.3">
      <c r="I6" s="14" t="s">
        <v>47</v>
      </c>
      <c r="J6" s="61">
        <f>4.914/4.931</f>
        <v>0.99655242344352046</v>
      </c>
    </row>
    <row r="7" spans="1:10" x14ac:dyDescent="0.25">
      <c r="A7" s="163" t="s">
        <v>17</v>
      </c>
      <c r="B7" s="164"/>
      <c r="I7" s="14" t="s">
        <v>48</v>
      </c>
      <c r="J7" s="21">
        <f>J5*J6</f>
        <v>19.931048468870408</v>
      </c>
    </row>
    <row r="8" spans="1:10" x14ac:dyDescent="0.25">
      <c r="A8" s="14" t="str">
        <f>A5</f>
        <v>Grano con mucilago (g)</v>
      </c>
      <c r="B8" s="28">
        <f>C5</f>
        <v>501</v>
      </c>
      <c r="I8" s="170" t="s">
        <v>35</v>
      </c>
      <c r="J8" s="169"/>
    </row>
    <row r="9" spans="1:10" x14ac:dyDescent="0.25">
      <c r="A9" s="14" t="s">
        <v>20</v>
      </c>
      <c r="B9" s="44">
        <f>(B8*2)/D1</f>
        <v>1004.0080160320641</v>
      </c>
      <c r="I9" s="14" t="s">
        <v>49</v>
      </c>
      <c r="J9" s="20">
        <f>_xlfn.FORECAST.LINEAR(J6,F36:F46,E36:E46)</f>
        <v>6.9262036195185672E-3</v>
      </c>
    </row>
    <row r="10" spans="1:10" ht="15.75" thickBot="1" x14ac:dyDescent="0.3">
      <c r="A10" s="37" t="s">
        <v>10</v>
      </c>
      <c r="B10" s="38">
        <f>B8+(B9*D1)</f>
        <v>1503</v>
      </c>
      <c r="I10" s="14" t="s">
        <v>50</v>
      </c>
      <c r="J10" s="21">
        <f>J7*J9</f>
        <v>0.13804650004589022</v>
      </c>
    </row>
    <row r="11" spans="1:10" ht="15.75" thickBot="1" x14ac:dyDescent="0.3">
      <c r="A11" s="163" t="s">
        <v>23</v>
      </c>
      <c r="B11" s="164"/>
      <c r="C11" s="57" t="s">
        <v>24</v>
      </c>
      <c r="D11" s="13" t="s">
        <v>6</v>
      </c>
      <c r="I11" s="14" t="s">
        <v>38</v>
      </c>
      <c r="J11" s="21">
        <f>J7-J10</f>
        <v>19.793001968824516</v>
      </c>
    </row>
    <row r="12" spans="1:10" ht="15.75" thickBot="1" x14ac:dyDescent="0.3">
      <c r="A12" s="14" t="s">
        <v>51</v>
      </c>
      <c r="B12" s="29">
        <f>B8*0.97</f>
        <v>485.96999999999997</v>
      </c>
      <c r="C12" s="24">
        <v>480</v>
      </c>
      <c r="D12" s="40">
        <f>(C12-B12)/C12</f>
        <v>-1.2437499999999938E-2</v>
      </c>
      <c r="I12" s="16" t="s">
        <v>14</v>
      </c>
      <c r="J12" s="22">
        <f>J10+J11</f>
        <v>19.931048468870408</v>
      </c>
    </row>
    <row r="13" spans="1:10" ht="15.75" thickBot="1" x14ac:dyDescent="0.3">
      <c r="A13" s="14" t="s">
        <v>28</v>
      </c>
      <c r="B13" s="58">
        <f>B10-B12</f>
        <v>1017.03</v>
      </c>
      <c r="C13" s="25">
        <v>1020</v>
      </c>
      <c r="D13" s="41">
        <f>(C13-B13)/C13</f>
        <v>2.9117647058823797E-3</v>
      </c>
    </row>
    <row r="14" spans="1:10" ht="15.75" thickBot="1" x14ac:dyDescent="0.3">
      <c r="A14" s="16" t="s">
        <v>14</v>
      </c>
      <c r="B14" s="39">
        <f>B12+B13</f>
        <v>1503</v>
      </c>
      <c r="C14" s="43">
        <f>C12+C13</f>
        <v>1500</v>
      </c>
      <c r="D14" s="41">
        <f>(C14-B14)/C14</f>
        <v>-2E-3</v>
      </c>
      <c r="F14" s="163" t="s">
        <v>2</v>
      </c>
      <c r="G14" s="164"/>
    </row>
    <row r="15" spans="1:10" ht="15.75" thickBot="1" x14ac:dyDescent="0.3">
      <c r="A15" s="173" t="s">
        <v>30</v>
      </c>
      <c r="B15" s="174"/>
      <c r="D15" s="1"/>
      <c r="F15" s="52" t="s">
        <v>7</v>
      </c>
      <c r="G15" s="18">
        <v>7</v>
      </c>
    </row>
    <row r="16" spans="1:10" x14ac:dyDescent="0.25">
      <c r="A16" s="55" t="s">
        <v>32</v>
      </c>
      <c r="B16" s="56">
        <f>5.023</f>
        <v>5.0229999999999997</v>
      </c>
      <c r="F16" s="14" t="s">
        <v>9</v>
      </c>
      <c r="G16" s="44">
        <f>C4</f>
        <v>500</v>
      </c>
    </row>
    <row r="17" spans="1:7" x14ac:dyDescent="0.25">
      <c r="A17" s="23" t="s">
        <v>33</v>
      </c>
      <c r="B17" s="25">
        <v>4.931</v>
      </c>
      <c r="F17" s="14" t="s">
        <v>11</v>
      </c>
      <c r="G17" s="44">
        <f>(G16*2)/D1</f>
        <v>1002.0040080160321</v>
      </c>
    </row>
    <row r="18" spans="1:7" ht="15.75" thickBot="1" x14ac:dyDescent="0.3">
      <c r="A18" s="23" t="s">
        <v>34</v>
      </c>
      <c r="B18" s="26">
        <f>B16/B17</f>
        <v>1.0186574731291826</v>
      </c>
      <c r="F18" s="16" t="s">
        <v>14</v>
      </c>
      <c r="G18" s="53">
        <f>G16+(G17*D1)</f>
        <v>1500</v>
      </c>
    </row>
    <row r="19" spans="1:7" x14ac:dyDescent="0.25">
      <c r="A19" s="171" t="s">
        <v>35</v>
      </c>
      <c r="B19" s="172"/>
      <c r="C19" s="163" t="s">
        <v>52</v>
      </c>
      <c r="D19" s="164"/>
      <c r="E19" s="163" t="s">
        <v>53</v>
      </c>
      <c r="F19" s="164"/>
    </row>
    <row r="20" spans="1:7" x14ac:dyDescent="0.25">
      <c r="A20" s="14" t="s">
        <v>36</v>
      </c>
      <c r="B20" s="46">
        <f>_xlfn.FORECAST.LINEAR(B18,B27:B37,A27:A37)</f>
        <v>0.20252424636453448</v>
      </c>
      <c r="C20" s="14" t="s">
        <v>7</v>
      </c>
      <c r="D20" s="28">
        <v>7</v>
      </c>
      <c r="E20" s="14" t="s">
        <v>7</v>
      </c>
      <c r="F20" s="28">
        <v>7</v>
      </c>
    </row>
    <row r="21" spans="1:7" x14ac:dyDescent="0.25">
      <c r="A21" s="14" t="s">
        <v>37</v>
      </c>
      <c r="B21" s="47">
        <f>B13*B20</f>
        <v>205.97323428012248</v>
      </c>
      <c r="C21" s="14" t="s">
        <v>10</v>
      </c>
      <c r="D21" s="21">
        <f>B23</f>
        <v>1017.03</v>
      </c>
      <c r="E21" s="14" t="s">
        <v>10</v>
      </c>
      <c r="F21" s="62">
        <f>G18</f>
        <v>1500</v>
      </c>
    </row>
    <row r="22" spans="1:7" x14ac:dyDescent="0.25">
      <c r="A22" s="14" t="s">
        <v>38</v>
      </c>
      <c r="B22" s="47">
        <f>B13-B21</f>
        <v>811.05676571987749</v>
      </c>
      <c r="C22" s="14" t="s">
        <v>12</v>
      </c>
      <c r="D22" s="21">
        <f>D21*(D20/100)</f>
        <v>71.192100000000011</v>
      </c>
      <c r="E22" s="14" t="s">
        <v>12</v>
      </c>
      <c r="F22" s="21">
        <f>F21*(F20/100)</f>
        <v>105.00000000000001</v>
      </c>
    </row>
    <row r="23" spans="1:7" ht="15.75" thickBot="1" x14ac:dyDescent="0.3">
      <c r="A23" s="16" t="s">
        <v>14</v>
      </c>
      <c r="B23" s="48">
        <f>B21+B22</f>
        <v>1017.03</v>
      </c>
      <c r="C23" s="14" t="s">
        <v>15</v>
      </c>
      <c r="D23" s="15">
        <v>0.7</v>
      </c>
      <c r="E23" s="14" t="s">
        <v>15</v>
      </c>
      <c r="F23" s="15">
        <v>0.7</v>
      </c>
    </row>
    <row r="24" spans="1:7" x14ac:dyDescent="0.25">
      <c r="C24" s="14" t="s">
        <v>16</v>
      </c>
      <c r="D24" s="28">
        <v>180.15</v>
      </c>
      <c r="E24" s="14" t="s">
        <v>16</v>
      </c>
      <c r="F24" s="28">
        <v>180.15</v>
      </c>
    </row>
    <row r="25" spans="1:7" x14ac:dyDescent="0.25">
      <c r="A25" t="s">
        <v>39</v>
      </c>
      <c r="B25">
        <f>(1.1-0.998)/10</f>
        <v>1.0200000000000009E-2</v>
      </c>
      <c r="C25" s="14" t="s">
        <v>18</v>
      </c>
      <c r="D25" s="61">
        <f>D22/D24</f>
        <v>0.39518234804329727</v>
      </c>
      <c r="E25" s="14" t="s">
        <v>18</v>
      </c>
      <c r="F25" s="61">
        <f>F22/F24</f>
        <v>0.5828476269775188</v>
      </c>
    </row>
    <row r="26" spans="1:7" x14ac:dyDescent="0.25">
      <c r="A26" s="9"/>
      <c r="B26" s="9" t="s">
        <v>40</v>
      </c>
      <c r="C26" s="168" t="s">
        <v>19</v>
      </c>
      <c r="D26" s="169"/>
      <c r="E26" s="170" t="s">
        <v>19</v>
      </c>
      <c r="F26" s="169"/>
    </row>
    <row r="27" spans="1:7" x14ac:dyDescent="0.25">
      <c r="A27" s="9">
        <v>1.1000000000000001</v>
      </c>
      <c r="B27" s="10">
        <f>1</f>
        <v>1</v>
      </c>
      <c r="C27" s="64" t="s">
        <v>21</v>
      </c>
      <c r="D27" s="28">
        <f>D25-(D25*D23)</f>
        <v>0.11855470441298921</v>
      </c>
      <c r="E27" s="14" t="s">
        <v>21</v>
      </c>
      <c r="F27" s="28">
        <f>F25-(F25*F23)</f>
        <v>0.17485428809325565</v>
      </c>
    </row>
    <row r="28" spans="1:7" x14ac:dyDescent="0.25">
      <c r="A28" s="9">
        <f t="shared" ref="A28:A37" si="1">A27-$B$25</f>
        <v>1.0898000000000001</v>
      </c>
      <c r="B28" s="11">
        <f>B27-0.1</f>
        <v>0.9</v>
      </c>
      <c r="C28" s="64" t="s">
        <v>22</v>
      </c>
      <c r="D28" s="28">
        <f>D25*2*D23</f>
        <v>0.55325528726061612</v>
      </c>
      <c r="E28" s="14" t="s">
        <v>22</v>
      </c>
      <c r="F28" s="28">
        <f>F25*2*F23</f>
        <v>0.81598667776852629</v>
      </c>
    </row>
    <row r="29" spans="1:7" x14ac:dyDescent="0.25">
      <c r="A29" s="9">
        <f t="shared" si="1"/>
        <v>1.0796000000000001</v>
      </c>
      <c r="B29" s="11">
        <f t="shared" ref="B29:B37" si="2">B28-0.1</f>
        <v>0.8</v>
      </c>
      <c r="C29" s="64" t="s">
        <v>25</v>
      </c>
      <c r="D29" s="28">
        <f>D28</f>
        <v>0.55325528726061612</v>
      </c>
      <c r="E29" s="14" t="s">
        <v>25</v>
      </c>
      <c r="F29" s="28">
        <f>F28</f>
        <v>0.81598667776852629</v>
      </c>
    </row>
    <row r="30" spans="1:7" x14ac:dyDescent="0.25">
      <c r="A30" s="9">
        <f t="shared" si="1"/>
        <v>1.0694000000000001</v>
      </c>
      <c r="B30" s="11">
        <f t="shared" si="2"/>
        <v>0.70000000000000007</v>
      </c>
      <c r="C30" s="64" t="s">
        <v>27</v>
      </c>
      <c r="D30" s="28">
        <v>46</v>
      </c>
      <c r="E30" s="14" t="s">
        <v>27</v>
      </c>
      <c r="F30" s="28">
        <v>46</v>
      </c>
    </row>
    <row r="31" spans="1:7" x14ac:dyDescent="0.25">
      <c r="A31" s="9">
        <f t="shared" si="1"/>
        <v>1.0592000000000001</v>
      </c>
      <c r="B31" s="11">
        <f t="shared" si="2"/>
        <v>0.60000000000000009</v>
      </c>
      <c r="C31" s="64" t="s">
        <v>29</v>
      </c>
      <c r="D31" s="21">
        <f>D28*D30</f>
        <v>25.449743213988341</v>
      </c>
      <c r="E31" s="14" t="s">
        <v>29</v>
      </c>
      <c r="F31" s="21">
        <f>F28*F30</f>
        <v>37.535387177352206</v>
      </c>
    </row>
    <row r="32" spans="1:7" ht="15.75" thickBot="1" x14ac:dyDescent="0.3">
      <c r="A32" s="9">
        <f t="shared" si="1"/>
        <v>1.0490000000000002</v>
      </c>
      <c r="B32" s="11">
        <f t="shared" si="2"/>
        <v>0.50000000000000011</v>
      </c>
      <c r="C32" s="65" t="s">
        <v>54</v>
      </c>
      <c r="D32" s="22">
        <f>D31/D23</f>
        <v>36.35677601998335</v>
      </c>
      <c r="E32" s="16" t="s">
        <v>54</v>
      </c>
      <c r="F32" s="22">
        <f>F31/F23</f>
        <v>53.621981681931729</v>
      </c>
    </row>
    <row r="33" spans="1:6" x14ac:dyDescent="0.25">
      <c r="A33" s="9">
        <f t="shared" si="1"/>
        <v>1.0388000000000002</v>
      </c>
      <c r="B33" s="11">
        <f t="shared" si="2"/>
        <v>0.40000000000000013</v>
      </c>
    </row>
    <row r="34" spans="1:6" x14ac:dyDescent="0.25">
      <c r="A34" s="9">
        <f t="shared" si="1"/>
        <v>1.0286000000000002</v>
      </c>
      <c r="B34" s="11">
        <f t="shared" si="2"/>
        <v>0.30000000000000016</v>
      </c>
      <c r="E34" t="s">
        <v>39</v>
      </c>
      <c r="F34">
        <f>(0.998-0.789)/10</f>
        <v>2.0899999999999995E-2</v>
      </c>
    </row>
    <row r="35" spans="1:6" x14ac:dyDescent="0.25">
      <c r="A35" s="9">
        <f t="shared" si="1"/>
        <v>1.0184000000000002</v>
      </c>
      <c r="B35" s="11">
        <f t="shared" si="2"/>
        <v>0.20000000000000015</v>
      </c>
      <c r="E35" s="9" t="s">
        <v>55</v>
      </c>
      <c r="F35" s="9" t="s">
        <v>56</v>
      </c>
    </row>
    <row r="36" spans="1:6" x14ac:dyDescent="0.25">
      <c r="A36" s="9">
        <f t="shared" si="1"/>
        <v>1.0082000000000002</v>
      </c>
      <c r="B36" s="11">
        <f t="shared" si="2"/>
        <v>0.10000000000000014</v>
      </c>
      <c r="E36" s="9">
        <v>0.998</v>
      </c>
      <c r="F36" s="10">
        <v>0</v>
      </c>
    </row>
    <row r="37" spans="1:6" x14ac:dyDescent="0.25">
      <c r="A37" s="9">
        <f t="shared" si="1"/>
        <v>0.99800000000000022</v>
      </c>
      <c r="B37" s="11">
        <f t="shared" si="2"/>
        <v>1.3877787807814457E-16</v>
      </c>
      <c r="E37" s="9">
        <f>E36-$F$34</f>
        <v>0.97709999999999997</v>
      </c>
      <c r="F37" s="11">
        <f>F36+0.1</f>
        <v>0.1</v>
      </c>
    </row>
    <row r="38" spans="1:6" x14ac:dyDescent="0.25">
      <c r="B38" s="63"/>
      <c r="E38" s="9">
        <f t="shared" ref="E38:E46" si="3">E37-$F$34</f>
        <v>0.95619999999999994</v>
      </c>
      <c r="F38" s="11">
        <f t="shared" ref="F38:F46" si="4">F37+0.1</f>
        <v>0.2</v>
      </c>
    </row>
    <row r="39" spans="1:6" x14ac:dyDescent="0.25">
      <c r="B39" s="63"/>
      <c r="E39" s="9">
        <f t="shared" si="3"/>
        <v>0.93529999999999991</v>
      </c>
      <c r="F39" s="11">
        <f t="shared" si="4"/>
        <v>0.30000000000000004</v>
      </c>
    </row>
    <row r="40" spans="1:6" x14ac:dyDescent="0.25">
      <c r="B40" s="63"/>
      <c r="E40" s="9">
        <f t="shared" si="3"/>
        <v>0.91439999999999988</v>
      </c>
      <c r="F40" s="11">
        <f t="shared" si="4"/>
        <v>0.4</v>
      </c>
    </row>
    <row r="41" spans="1:6" x14ac:dyDescent="0.25">
      <c r="B41" s="63"/>
      <c r="E41" s="9">
        <f t="shared" si="3"/>
        <v>0.89349999999999985</v>
      </c>
      <c r="F41" s="11">
        <f t="shared" si="4"/>
        <v>0.5</v>
      </c>
    </row>
    <row r="42" spans="1:6" x14ac:dyDescent="0.25">
      <c r="B42" s="63"/>
      <c r="E42" s="9">
        <f t="shared" si="3"/>
        <v>0.87259999999999982</v>
      </c>
      <c r="F42" s="11">
        <f t="shared" si="4"/>
        <v>0.6</v>
      </c>
    </row>
    <row r="43" spans="1:6" x14ac:dyDescent="0.25">
      <c r="B43" s="63"/>
      <c r="E43" s="9">
        <f t="shared" si="3"/>
        <v>0.85169999999999979</v>
      </c>
      <c r="F43" s="11">
        <f t="shared" si="4"/>
        <v>0.7</v>
      </c>
    </row>
    <row r="44" spans="1:6" x14ac:dyDescent="0.25">
      <c r="B44" s="63"/>
      <c r="E44" s="9">
        <f t="shared" si="3"/>
        <v>0.83079999999999976</v>
      </c>
      <c r="F44" s="11">
        <f t="shared" si="4"/>
        <v>0.79999999999999993</v>
      </c>
    </row>
    <row r="45" spans="1:6" x14ac:dyDescent="0.25">
      <c r="B45" s="63"/>
      <c r="E45" s="9">
        <f t="shared" si="3"/>
        <v>0.80989999999999973</v>
      </c>
      <c r="F45" s="11">
        <f t="shared" si="4"/>
        <v>0.89999999999999991</v>
      </c>
    </row>
    <row r="46" spans="1:6" x14ac:dyDescent="0.25">
      <c r="B46" s="63"/>
      <c r="E46" s="9">
        <f t="shared" si="3"/>
        <v>0.7889999999999997</v>
      </c>
      <c r="F46" s="11">
        <f t="shared" si="4"/>
        <v>0.99999999999999989</v>
      </c>
    </row>
    <row r="47" spans="1:6" x14ac:dyDescent="0.25">
      <c r="B47" s="63"/>
    </row>
    <row r="48" spans="1:6" x14ac:dyDescent="0.25">
      <c r="B48" s="63"/>
    </row>
    <row r="49" spans="2:2" x14ac:dyDescent="0.25">
      <c r="B49" s="63"/>
    </row>
    <row r="50" spans="2:2" x14ac:dyDescent="0.25">
      <c r="B50" s="63"/>
    </row>
    <row r="51" spans="2:2" x14ac:dyDescent="0.25">
      <c r="B51" s="63"/>
    </row>
    <row r="52" spans="2:2" x14ac:dyDescent="0.25">
      <c r="B52" s="63"/>
    </row>
    <row r="53" spans="2:2" x14ac:dyDescent="0.25">
      <c r="B53" s="63"/>
    </row>
    <row r="54" spans="2:2" x14ac:dyDescent="0.25">
      <c r="B54" s="63"/>
    </row>
    <row r="55" spans="2:2" x14ac:dyDescent="0.25">
      <c r="B55" s="63"/>
    </row>
    <row r="56" spans="2:2" x14ac:dyDescent="0.25">
      <c r="B56" s="63"/>
    </row>
    <row r="57" spans="2:2" x14ac:dyDescent="0.25">
      <c r="B57" s="63"/>
    </row>
    <row r="58" spans="2:2" x14ac:dyDescent="0.25">
      <c r="B58" s="63"/>
    </row>
    <row r="59" spans="2:2" x14ac:dyDescent="0.25">
      <c r="B59" s="63"/>
    </row>
    <row r="60" spans="2:2" x14ac:dyDescent="0.25">
      <c r="B60" s="63"/>
    </row>
    <row r="61" spans="2:2" x14ac:dyDescent="0.25">
      <c r="B61" s="63"/>
    </row>
    <row r="62" spans="2:2" x14ac:dyDescent="0.25">
      <c r="B62" s="63"/>
    </row>
    <row r="63" spans="2:2" x14ac:dyDescent="0.25">
      <c r="B63" s="63"/>
    </row>
    <row r="64" spans="2:2" x14ac:dyDescent="0.25">
      <c r="B64" s="63"/>
    </row>
    <row r="65" spans="2:2" x14ac:dyDescent="0.25">
      <c r="B65" s="63"/>
    </row>
    <row r="66" spans="2:2" x14ac:dyDescent="0.25">
      <c r="B66" s="63"/>
    </row>
    <row r="67" spans="2:2" x14ac:dyDescent="0.25">
      <c r="B67" s="63"/>
    </row>
    <row r="68" spans="2:2" x14ac:dyDescent="0.25">
      <c r="B68" s="63"/>
    </row>
    <row r="69" spans="2:2" x14ac:dyDescent="0.25">
      <c r="B69" s="63"/>
    </row>
    <row r="70" spans="2:2" x14ac:dyDescent="0.25">
      <c r="B70" s="63"/>
    </row>
    <row r="71" spans="2:2" x14ac:dyDescent="0.25">
      <c r="B71" s="63"/>
    </row>
    <row r="72" spans="2:2" x14ac:dyDescent="0.25">
      <c r="B72" s="63"/>
    </row>
    <row r="73" spans="2:2" x14ac:dyDescent="0.25">
      <c r="B73" s="63"/>
    </row>
    <row r="74" spans="2:2" x14ac:dyDescent="0.25">
      <c r="B74" s="63"/>
    </row>
    <row r="75" spans="2:2" x14ac:dyDescent="0.25">
      <c r="B75" s="63"/>
    </row>
    <row r="76" spans="2:2" x14ac:dyDescent="0.25">
      <c r="B76" s="63"/>
    </row>
    <row r="77" spans="2:2" x14ac:dyDescent="0.25">
      <c r="B77" s="63"/>
    </row>
    <row r="78" spans="2:2" x14ac:dyDescent="0.25">
      <c r="B78" s="63"/>
    </row>
    <row r="79" spans="2:2" x14ac:dyDescent="0.25">
      <c r="B79" s="63"/>
    </row>
    <row r="80" spans="2:2" x14ac:dyDescent="0.25">
      <c r="B80" s="63"/>
    </row>
    <row r="81" spans="2:2" x14ac:dyDescent="0.25">
      <c r="B81" s="63"/>
    </row>
    <row r="82" spans="2:2" x14ac:dyDescent="0.25">
      <c r="B82" s="63"/>
    </row>
    <row r="83" spans="2:2" x14ac:dyDescent="0.25">
      <c r="B83" s="63"/>
    </row>
    <row r="84" spans="2:2" x14ac:dyDescent="0.25">
      <c r="B84" s="63"/>
    </row>
    <row r="85" spans="2:2" x14ac:dyDescent="0.25">
      <c r="B85" s="63"/>
    </row>
    <row r="86" spans="2:2" x14ac:dyDescent="0.25">
      <c r="B86" s="63"/>
    </row>
    <row r="87" spans="2:2" x14ac:dyDescent="0.25">
      <c r="B87" s="63"/>
    </row>
    <row r="88" spans="2:2" x14ac:dyDescent="0.25">
      <c r="B88" s="63"/>
    </row>
    <row r="89" spans="2:2" x14ac:dyDescent="0.25">
      <c r="B89" s="63"/>
    </row>
    <row r="90" spans="2:2" x14ac:dyDescent="0.25">
      <c r="B90" s="63"/>
    </row>
    <row r="91" spans="2:2" x14ac:dyDescent="0.25">
      <c r="B91" s="63"/>
    </row>
    <row r="92" spans="2:2" x14ac:dyDescent="0.25">
      <c r="B92" s="63"/>
    </row>
    <row r="93" spans="2:2" x14ac:dyDescent="0.25">
      <c r="B93" s="63"/>
    </row>
    <row r="94" spans="2:2" x14ac:dyDescent="0.25">
      <c r="B94" s="63"/>
    </row>
    <row r="95" spans="2:2" x14ac:dyDescent="0.25">
      <c r="B95" s="63"/>
    </row>
    <row r="96" spans="2:2" x14ac:dyDescent="0.25">
      <c r="B96" s="63"/>
    </row>
    <row r="97" spans="2:2" x14ac:dyDescent="0.25">
      <c r="B97" s="63"/>
    </row>
    <row r="98" spans="2:2" x14ac:dyDescent="0.25">
      <c r="B98" s="63"/>
    </row>
    <row r="99" spans="2:2" x14ac:dyDescent="0.25">
      <c r="B99" s="63"/>
    </row>
    <row r="100" spans="2:2" x14ac:dyDescent="0.25">
      <c r="B100" s="63"/>
    </row>
    <row r="101" spans="2:2" x14ac:dyDescent="0.25">
      <c r="B101" s="63"/>
    </row>
    <row r="102" spans="2:2" x14ac:dyDescent="0.25">
      <c r="B102" s="63"/>
    </row>
    <row r="103" spans="2:2" x14ac:dyDescent="0.25">
      <c r="B103" s="63"/>
    </row>
    <row r="104" spans="2:2" x14ac:dyDescent="0.25">
      <c r="B104" s="63"/>
    </row>
    <row r="105" spans="2:2" x14ac:dyDescent="0.25">
      <c r="B105" s="63"/>
    </row>
    <row r="106" spans="2:2" x14ac:dyDescent="0.25">
      <c r="B106" s="63"/>
    </row>
    <row r="107" spans="2:2" x14ac:dyDescent="0.25">
      <c r="B107" s="63"/>
    </row>
    <row r="108" spans="2:2" x14ac:dyDescent="0.25">
      <c r="B108" s="63"/>
    </row>
    <row r="109" spans="2:2" x14ac:dyDescent="0.25">
      <c r="B109" s="63"/>
    </row>
    <row r="110" spans="2:2" x14ac:dyDescent="0.25">
      <c r="B110" s="63"/>
    </row>
    <row r="111" spans="2:2" x14ac:dyDescent="0.25">
      <c r="B111" s="63"/>
    </row>
    <row r="112" spans="2:2" x14ac:dyDescent="0.25">
      <c r="B112" s="63"/>
    </row>
    <row r="113" spans="2:2" x14ac:dyDescent="0.25">
      <c r="B113" s="63"/>
    </row>
    <row r="114" spans="2:2" x14ac:dyDescent="0.25">
      <c r="B114" s="63"/>
    </row>
    <row r="115" spans="2:2" x14ac:dyDescent="0.25">
      <c r="B115" s="63"/>
    </row>
    <row r="116" spans="2:2" x14ac:dyDescent="0.25">
      <c r="B116" s="63"/>
    </row>
    <row r="117" spans="2:2" x14ac:dyDescent="0.25">
      <c r="B117" s="63"/>
    </row>
    <row r="118" spans="2:2" x14ac:dyDescent="0.25">
      <c r="B118" s="63"/>
    </row>
    <row r="119" spans="2:2" x14ac:dyDescent="0.25">
      <c r="B119" s="63"/>
    </row>
    <row r="120" spans="2:2" x14ac:dyDescent="0.25">
      <c r="B120" s="63"/>
    </row>
    <row r="121" spans="2:2" x14ac:dyDescent="0.25">
      <c r="B121" s="63"/>
    </row>
    <row r="122" spans="2:2" x14ac:dyDescent="0.25">
      <c r="B122" s="63"/>
    </row>
    <row r="123" spans="2:2" x14ac:dyDescent="0.25">
      <c r="B123" s="63"/>
    </row>
    <row r="124" spans="2:2" x14ac:dyDescent="0.25">
      <c r="B124" s="63"/>
    </row>
    <row r="125" spans="2:2" x14ac:dyDescent="0.25">
      <c r="B125" s="63"/>
    </row>
    <row r="126" spans="2:2" x14ac:dyDescent="0.25">
      <c r="B126" s="63"/>
    </row>
    <row r="127" spans="2:2" x14ac:dyDescent="0.25">
      <c r="B127" s="63"/>
    </row>
  </sheetData>
  <mergeCells count="12">
    <mergeCell ref="A15:B15"/>
    <mergeCell ref="A19:B19"/>
    <mergeCell ref="C19:D19"/>
    <mergeCell ref="E19:F19"/>
    <mergeCell ref="C26:D26"/>
    <mergeCell ref="E26:F26"/>
    <mergeCell ref="F14:G14"/>
    <mergeCell ref="A1:B1"/>
    <mergeCell ref="I1:J1"/>
    <mergeCell ref="A7:B7"/>
    <mergeCell ref="I8:J8"/>
    <mergeCell ref="A11:B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7BE0BF29FF0E4F9854AAE64E2A287A" ma:contentTypeVersion="17" ma:contentTypeDescription="Crear nuevo documento." ma:contentTypeScope="" ma:versionID="55717e3add7907ef4699198bcc57ab13">
  <xsd:schema xmlns:xsd="http://www.w3.org/2001/XMLSchema" xmlns:xs="http://www.w3.org/2001/XMLSchema" xmlns:p="http://schemas.microsoft.com/office/2006/metadata/properties" xmlns:ns3="94a29030-a5bc-4bb9-958d-c4785fd7cbee" xmlns:ns4="a6d79ef6-f1a7-49c2-bcec-528eb4814e21" targetNamespace="http://schemas.microsoft.com/office/2006/metadata/properties" ma:root="true" ma:fieldsID="0d302c040c70b12e3ab73f0e17714758" ns3:_="" ns4:_="">
    <xsd:import namespace="94a29030-a5bc-4bb9-958d-c4785fd7cbee"/>
    <xsd:import namespace="a6d79ef6-f1a7-49c2-bcec-528eb4814e2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9030-a5bc-4bb9-958d-c4785fd7c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d79ef6-f1a7-49c2-bcec-528eb4814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a29030-a5bc-4bb9-958d-c4785fd7cbee" xsi:nil="true"/>
  </documentManagement>
</p:properties>
</file>

<file path=customXml/itemProps1.xml><?xml version="1.0" encoding="utf-8"?>
<ds:datastoreItem xmlns:ds="http://schemas.openxmlformats.org/officeDocument/2006/customXml" ds:itemID="{87134DFB-0748-485F-90D8-CE5DAC2A3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a29030-a5bc-4bb9-958d-c4785fd7cbee"/>
    <ds:schemaRef ds:uri="a6d79ef6-f1a7-49c2-bcec-528eb4814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796D7F-FA99-419A-AEE9-D8D82A497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1CD88-918D-4E7B-85EB-FC821F8387CE}">
  <ds:schemaRefs>
    <ds:schemaRef ds:uri="94a29030-a5bc-4bb9-958d-c4785fd7cbe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6d79ef6-f1a7-49c2-bcec-528eb4814e2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Simulador práctica 1</vt:lpstr>
      <vt:lpstr>Resultados 1</vt:lpstr>
      <vt:lpstr>Hoja1</vt:lpstr>
      <vt:lpstr>30-05-2024</vt:lpstr>
      <vt:lpstr>Final balance</vt:lpstr>
      <vt:lpstr>Final balance (día)</vt:lpstr>
      <vt:lpstr>Análisis economico</vt:lpstr>
      <vt:lpstr>Balance</vt:lpstr>
      <vt:lpstr>LAB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Diego Beltran Quiroz</dc:creator>
  <cp:keywords/>
  <dc:description/>
  <cp:lastModifiedBy>MARIANA CAMILA ROMERO VILLALBA</cp:lastModifiedBy>
  <cp:revision/>
  <dcterms:created xsi:type="dcterms:W3CDTF">2024-05-13T20:29:26Z</dcterms:created>
  <dcterms:modified xsi:type="dcterms:W3CDTF">2024-07-10T18:43:30Z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0x010100847BE0BF29FF0E4F9854AAE64E2A287A</vt:lpwstr>
  </property>
</Properties>
</file>