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1018425811\Desktop\PERSONAL PC\PERSONAL CESAR JIMENEZ\EAN\SEGUNDO SEMESTRE\SEMINARIO DE INVESTIGACIÓN\ENTREGAS\ENTREGA FINAL\"/>
    </mc:Choice>
  </mc:AlternateContent>
  <bookViews>
    <workbookView xWindow="0" yWindow="0" windowWidth="20490" windowHeight="7620" firstSheet="2" activeTab="2"/>
  </bookViews>
  <sheets>
    <sheet name="Linea Base" sheetId="4" state="hidden" r:id="rId1"/>
    <sheet name="Arbol de desición" sheetId="3" state="hidden" r:id="rId2"/>
    <sheet name="Flujo de caja" sheetId="11" r:id="rId3"/>
    <sheet name="FLUJO DE CAJA MENSUAL 2 años" sheetId="7" state="hidden" r:id="rId4"/>
    <sheet name="FLUJO DE CAJA MENSUAL 6 meses" sheetId="10" state="hidden" r:id="rId5"/>
    <sheet name="CICLO PRODUCTIVO" sheetId="6" state="hidden" r:id="rId6"/>
    <sheet name="EGRESOS" sheetId="8" r:id="rId7"/>
    <sheet name="INGRESOS" sheetId="9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3" i="11" l="1"/>
  <c r="H11" i="11"/>
  <c r="B11" i="11"/>
  <c r="C75" i="8"/>
  <c r="F10" i="8" l="1"/>
  <c r="C102" i="8" l="1"/>
  <c r="C87" i="8"/>
  <c r="F4" i="9" l="1"/>
  <c r="B18" i="11"/>
  <c r="C8" i="11" l="1"/>
  <c r="D19" i="7"/>
  <c r="J18" i="11"/>
  <c r="F18" i="11"/>
  <c r="M18" i="11"/>
  <c r="L18" i="11"/>
  <c r="K18" i="11"/>
  <c r="I18" i="11"/>
  <c r="G18" i="11"/>
  <c r="E18" i="11"/>
  <c r="D18" i="11"/>
  <c r="C18" i="11"/>
  <c r="D8" i="11" l="1"/>
  <c r="E8" i="11" s="1"/>
  <c r="F8" i="11" s="1"/>
  <c r="G8" i="11" s="1"/>
  <c r="H8" i="11" s="1"/>
  <c r="I8" i="11" s="1"/>
  <c r="J8" i="11" s="1"/>
  <c r="K8" i="11" s="1"/>
  <c r="L8" i="11" s="1"/>
  <c r="M8" i="11" s="1"/>
  <c r="N8" i="11" s="1"/>
  <c r="C124" i="8" l="1"/>
  <c r="D24" i="7" l="1"/>
  <c r="J29" i="10"/>
  <c r="C29" i="10"/>
  <c r="C39" i="10" s="1"/>
  <c r="C40" i="10" s="1"/>
  <c r="C29" i="7"/>
  <c r="Z21" i="7"/>
  <c r="C96" i="8"/>
  <c r="C68" i="8"/>
  <c r="C129" i="8"/>
  <c r="C113" i="8"/>
  <c r="C112" i="8"/>
  <c r="C111" i="8"/>
  <c r="C103" i="8"/>
  <c r="C107" i="8" s="1"/>
  <c r="C91" i="8"/>
  <c r="C59" i="8"/>
  <c r="C60" i="8" s="1"/>
  <c r="C62" i="8" s="1"/>
  <c r="C49" i="8"/>
  <c r="C50" i="8" s="1"/>
  <c r="C39" i="8"/>
  <c r="C30" i="8"/>
  <c r="C33" i="8" s="1"/>
  <c r="C18" i="8"/>
  <c r="C7" i="8"/>
  <c r="C9" i="8" s="1"/>
  <c r="C11" i="8" s="1"/>
  <c r="C13" i="8" s="1"/>
  <c r="C53" i="8" l="1"/>
  <c r="C52" i="8"/>
  <c r="C6" i="11" s="1"/>
  <c r="C40" i="8"/>
  <c r="C43" i="8" s="1"/>
  <c r="C42" i="8"/>
  <c r="H6" i="11" s="1"/>
  <c r="D20" i="10"/>
  <c r="E20" i="10" s="1"/>
  <c r="F20" i="10" s="1"/>
  <c r="G20" i="10" s="1"/>
  <c r="H20" i="10" s="1"/>
  <c r="I20" i="10" s="1"/>
  <c r="C9" i="11"/>
  <c r="D20" i="7"/>
  <c r="E20" i="7" s="1"/>
  <c r="F20" i="7" s="1"/>
  <c r="G20" i="7" s="1"/>
  <c r="H20" i="7" s="1"/>
  <c r="I20" i="7" s="1"/>
  <c r="J20" i="7" s="1"/>
  <c r="K20" i="7" s="1"/>
  <c r="L20" i="7" s="1"/>
  <c r="M20" i="7" s="1"/>
  <c r="N20" i="7" s="1"/>
  <c r="O20" i="7" s="1"/>
  <c r="P20" i="7" s="1"/>
  <c r="Q20" i="7" s="1"/>
  <c r="R20" i="7" s="1"/>
  <c r="S20" i="7" s="1"/>
  <c r="T20" i="7" s="1"/>
  <c r="U20" i="7" s="1"/>
  <c r="V20" i="7" s="1"/>
  <c r="W20" i="7" s="1"/>
  <c r="X20" i="7" s="1"/>
  <c r="Y20" i="7" s="1"/>
  <c r="Z20" i="7" s="1"/>
  <c r="AA20" i="7" s="1"/>
  <c r="D17" i="7"/>
  <c r="E17" i="7" s="1"/>
  <c r="F17" i="7" s="1"/>
  <c r="D17" i="10"/>
  <c r="E17" i="10" s="1"/>
  <c r="F17" i="10" s="1"/>
  <c r="C39" i="7"/>
  <c r="F3" i="9"/>
  <c r="C128" i="8"/>
  <c r="C127" i="8"/>
  <c r="C93" i="8"/>
  <c r="C99" i="8"/>
  <c r="C31" i="8"/>
  <c r="C34" i="8" s="1"/>
  <c r="C20" i="8"/>
  <c r="N6" i="11" l="1"/>
  <c r="C80" i="8"/>
  <c r="D18" i="7" s="1"/>
  <c r="D16" i="7"/>
  <c r="G16" i="7" s="1"/>
  <c r="I16" i="7"/>
  <c r="D9" i="11"/>
  <c r="E9" i="11" s="1"/>
  <c r="F9" i="11" s="1"/>
  <c r="G9" i="11" s="1"/>
  <c r="H9" i="11" s="1"/>
  <c r="I9" i="11" s="1"/>
  <c r="J9" i="11" s="1"/>
  <c r="K9" i="11" s="1"/>
  <c r="L9" i="11" s="1"/>
  <c r="M9" i="11" s="1"/>
  <c r="N9" i="11" s="1"/>
  <c r="O13" i="7"/>
  <c r="N3" i="11"/>
  <c r="N18" i="11" s="1"/>
  <c r="H3" i="11"/>
  <c r="I13" i="7"/>
  <c r="D21" i="7"/>
  <c r="I21" i="7" s="1"/>
  <c r="O21" i="7" s="1"/>
  <c r="U21" i="7" s="1"/>
  <c r="H10" i="11"/>
  <c r="B10" i="11"/>
  <c r="B19" i="11" s="1"/>
  <c r="B20" i="11" s="1"/>
  <c r="AA13" i="7"/>
  <c r="I13" i="10"/>
  <c r="U13" i="7"/>
  <c r="D19" i="10"/>
  <c r="E19" i="10" s="1"/>
  <c r="F19" i="10" s="1"/>
  <c r="G19" i="10" s="1"/>
  <c r="H19" i="10" s="1"/>
  <c r="I19" i="10" s="1"/>
  <c r="E19" i="7"/>
  <c r="F19" i="7" s="1"/>
  <c r="G19" i="7" s="1"/>
  <c r="H19" i="7" s="1"/>
  <c r="I19" i="7" s="1"/>
  <c r="J19" i="7" s="1"/>
  <c r="K19" i="7" s="1"/>
  <c r="L19" i="7" s="1"/>
  <c r="M19" i="7" s="1"/>
  <c r="N19" i="7" s="1"/>
  <c r="O19" i="7" s="1"/>
  <c r="P19" i="7" s="1"/>
  <c r="Q19" i="7" s="1"/>
  <c r="R19" i="7" s="1"/>
  <c r="S19" i="7" s="1"/>
  <c r="T19" i="7" s="1"/>
  <c r="U19" i="7" s="1"/>
  <c r="V19" i="7" s="1"/>
  <c r="W19" i="7" s="1"/>
  <c r="X19" i="7" s="1"/>
  <c r="Y19" i="7" s="1"/>
  <c r="Z19" i="7" s="1"/>
  <c r="AA19" i="7" s="1"/>
  <c r="D16" i="10"/>
  <c r="G16" i="10" s="1"/>
  <c r="D24" i="10"/>
  <c r="I16" i="10"/>
  <c r="U16" i="7"/>
  <c r="D21" i="10"/>
  <c r="G17" i="7"/>
  <c r="K29" i="10"/>
  <c r="G17" i="10"/>
  <c r="C131" i="8"/>
  <c r="C40" i="7"/>
  <c r="C115" i="8"/>
  <c r="C22" i="8"/>
  <c r="C7" i="11" l="1"/>
  <c r="D18" i="10"/>
  <c r="E18" i="10" s="1"/>
  <c r="F18" i="10" s="1"/>
  <c r="G18" i="10" s="1"/>
  <c r="H18" i="10" s="1"/>
  <c r="I18" i="10" s="1"/>
  <c r="C24" i="8"/>
  <c r="D15" i="10" s="1"/>
  <c r="D23" i="7"/>
  <c r="C3" i="7" s="1"/>
  <c r="D27" i="7" s="1"/>
  <c r="F3" i="7"/>
  <c r="I22" i="7"/>
  <c r="O22" i="7" s="1"/>
  <c r="U22" i="7" s="1"/>
  <c r="N11" i="11"/>
  <c r="D26" i="7"/>
  <c r="H18" i="11"/>
  <c r="F6" i="11"/>
  <c r="K16" i="7"/>
  <c r="O16" i="7" s="1"/>
  <c r="E18" i="7"/>
  <c r="F18" i="7" s="1"/>
  <c r="G18" i="7" s="1"/>
  <c r="H18" i="7" s="1"/>
  <c r="I18" i="7" s="1"/>
  <c r="D26" i="10"/>
  <c r="E26" i="10" s="1"/>
  <c r="D23" i="10"/>
  <c r="C3" i="10" s="1"/>
  <c r="D27" i="10" s="1"/>
  <c r="E27" i="10" s="1"/>
  <c r="F27" i="10" s="1"/>
  <c r="G27" i="10" s="1"/>
  <c r="H27" i="10" s="1"/>
  <c r="I27" i="10" s="1"/>
  <c r="I22" i="10"/>
  <c r="F3" i="10"/>
  <c r="I43" i="10"/>
  <c r="H17" i="7"/>
  <c r="L29" i="10"/>
  <c r="H17" i="10"/>
  <c r="I17" i="10" s="1"/>
  <c r="D15" i="7" l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D7" i="11"/>
  <c r="E7" i="11" s="1"/>
  <c r="F7" i="11" s="1"/>
  <c r="G7" i="11" s="1"/>
  <c r="H7" i="11" s="1"/>
  <c r="I7" i="11" s="1"/>
  <c r="J7" i="11" s="1"/>
  <c r="K7" i="11" s="1"/>
  <c r="L7" i="11" s="1"/>
  <c r="M7" i="11" s="1"/>
  <c r="N7" i="11" s="1"/>
  <c r="I6" i="11"/>
  <c r="L6" i="11" s="1"/>
  <c r="C5" i="11"/>
  <c r="C19" i="11" s="1"/>
  <c r="C20" i="11" s="1"/>
  <c r="S16" i="7"/>
  <c r="W16" i="7" s="1"/>
  <c r="J18" i="7"/>
  <c r="K18" i="7" s="1"/>
  <c r="L18" i="7" s="1"/>
  <c r="M18" i="7" s="1"/>
  <c r="N18" i="7" s="1"/>
  <c r="O18" i="7" s="1"/>
  <c r="D29" i="7"/>
  <c r="D33" i="7" s="1"/>
  <c r="D35" i="7" s="1"/>
  <c r="D39" i="7" s="1"/>
  <c r="D29" i="10"/>
  <c r="D33" i="10" s="1"/>
  <c r="D35" i="10" s="1"/>
  <c r="D39" i="10" s="1"/>
  <c r="D40" i="10" s="1"/>
  <c r="F26" i="10"/>
  <c r="E29" i="10"/>
  <c r="E33" i="10" s="1"/>
  <c r="E35" i="10" s="1"/>
  <c r="E39" i="10" s="1"/>
  <c r="I17" i="7"/>
  <c r="M29" i="10"/>
  <c r="D5" i="11" l="1"/>
  <c r="D19" i="11" s="1"/>
  <c r="D20" i="11" s="1"/>
  <c r="P18" i="7"/>
  <c r="Q18" i="7" s="1"/>
  <c r="R18" i="7" s="1"/>
  <c r="S18" i="7" s="1"/>
  <c r="T18" i="7" s="1"/>
  <c r="U18" i="7" s="1"/>
  <c r="V18" i="7" s="1"/>
  <c r="W18" i="7" s="1"/>
  <c r="X18" i="7" s="1"/>
  <c r="Y18" i="7" s="1"/>
  <c r="Z18" i="7" s="1"/>
  <c r="AA18" i="7" s="1"/>
  <c r="E27" i="7"/>
  <c r="D40" i="7"/>
  <c r="G26" i="10"/>
  <c r="F29" i="10"/>
  <c r="F33" i="10" s="1"/>
  <c r="F35" i="10" s="1"/>
  <c r="F39" i="10" s="1"/>
  <c r="E40" i="10"/>
  <c r="J17" i="7"/>
  <c r="N29" i="10"/>
  <c r="O27" i="10"/>
  <c r="E5" i="11" l="1"/>
  <c r="E19" i="11" s="1"/>
  <c r="E20" i="11" s="1"/>
  <c r="F40" i="10"/>
  <c r="E29" i="7"/>
  <c r="E33" i="7" s="1"/>
  <c r="E35" i="7" s="1"/>
  <c r="E39" i="7" s="1"/>
  <c r="E40" i="7" s="1"/>
  <c r="F27" i="7"/>
  <c r="H26" i="10"/>
  <c r="G29" i="10"/>
  <c r="G33" i="10" s="1"/>
  <c r="G35" i="10" s="1"/>
  <c r="G39" i="10" s="1"/>
  <c r="K17" i="7"/>
  <c r="F5" i="11" l="1"/>
  <c r="F19" i="11" s="1"/>
  <c r="F20" i="11" s="1"/>
  <c r="G40" i="10"/>
  <c r="G27" i="7"/>
  <c r="F29" i="7"/>
  <c r="F33" i="7" s="1"/>
  <c r="F35" i="7" s="1"/>
  <c r="F39" i="7" s="1"/>
  <c r="F40" i="7" s="1"/>
  <c r="I26" i="10"/>
  <c r="H29" i="10"/>
  <c r="H33" i="10" s="1"/>
  <c r="H35" i="10" s="1"/>
  <c r="H39" i="10" s="1"/>
  <c r="H40" i="10" s="1"/>
  <c r="L17" i="7"/>
  <c r="D7" i="6"/>
  <c r="E7" i="6" s="1"/>
  <c r="F7" i="6" s="1"/>
  <c r="G7" i="6" s="1"/>
  <c r="H7" i="6" s="1"/>
  <c r="I7" i="6" s="1"/>
  <c r="J7" i="6" s="1"/>
  <c r="K7" i="6" s="1"/>
  <c r="L7" i="6" s="1"/>
  <c r="M7" i="6" s="1"/>
  <c r="N7" i="6" s="1"/>
  <c r="O7" i="6" s="1"/>
  <c r="P7" i="6" s="1"/>
  <c r="Q7" i="6" s="1"/>
  <c r="R7" i="6" s="1"/>
  <c r="S7" i="6" s="1"/>
  <c r="T7" i="6" s="1"/>
  <c r="U7" i="6" s="1"/>
  <c r="V7" i="6" s="1"/>
  <c r="W7" i="6" s="1"/>
  <c r="X7" i="6" s="1"/>
  <c r="Y7" i="6" s="1"/>
  <c r="Z7" i="6" s="1"/>
  <c r="AA7" i="6" s="1"/>
  <c r="AB7" i="6" s="1"/>
  <c r="AC7" i="6" s="1"/>
  <c r="AD7" i="6" s="1"/>
  <c r="AE7" i="6" s="1"/>
  <c r="AF7" i="6" s="1"/>
  <c r="AG7" i="6" s="1"/>
  <c r="AH7" i="6" s="1"/>
  <c r="AI7" i="6" s="1"/>
  <c r="AJ7" i="6" s="1"/>
  <c r="AK7" i="6" s="1"/>
  <c r="AL7" i="6" s="1"/>
  <c r="AM7" i="6" s="1"/>
  <c r="D14" i="6" s="1"/>
  <c r="E14" i="6" s="1"/>
  <c r="F14" i="6" s="1"/>
  <c r="G14" i="6" s="1"/>
  <c r="H14" i="6" s="1"/>
  <c r="I14" i="6" s="1"/>
  <c r="J14" i="6" s="1"/>
  <c r="K14" i="6" s="1"/>
  <c r="L14" i="6" s="1"/>
  <c r="M14" i="6" s="1"/>
  <c r="N14" i="6" s="1"/>
  <c r="O14" i="6" s="1"/>
  <c r="P14" i="6" s="1"/>
  <c r="Q14" i="6" s="1"/>
  <c r="R14" i="6" s="1"/>
  <c r="S14" i="6" s="1"/>
  <c r="T14" i="6" s="1"/>
  <c r="U14" i="6" s="1"/>
  <c r="V14" i="6" s="1"/>
  <c r="W14" i="6" s="1"/>
  <c r="X14" i="6" s="1"/>
  <c r="Y14" i="6" s="1"/>
  <c r="Z14" i="6" s="1"/>
  <c r="AA14" i="6" s="1"/>
  <c r="G5" i="11" l="1"/>
  <c r="G19" i="11" s="1"/>
  <c r="G20" i="11" s="1"/>
  <c r="G29" i="7"/>
  <c r="G33" i="7" s="1"/>
  <c r="G35" i="7" s="1"/>
  <c r="G39" i="7" s="1"/>
  <c r="G40" i="7" s="1"/>
  <c r="H27" i="7"/>
  <c r="O26" i="10"/>
  <c r="O29" i="10" s="1"/>
  <c r="I29" i="10"/>
  <c r="F2" i="10"/>
  <c r="F5" i="10" s="1"/>
  <c r="F6" i="10" s="1"/>
  <c r="D43" i="10"/>
  <c r="M17" i="7"/>
  <c r="H5" i="11" l="1"/>
  <c r="I27" i="7"/>
  <c r="I29" i="7" s="1"/>
  <c r="I31" i="7" s="1"/>
  <c r="H29" i="7"/>
  <c r="H33" i="7" s="1"/>
  <c r="H35" i="7" s="1"/>
  <c r="H39" i="7" s="1"/>
  <c r="H40" i="7" s="1"/>
  <c r="N17" i="7"/>
  <c r="I5" i="11" l="1"/>
  <c r="I19" i="11" s="1"/>
  <c r="I20" i="11" s="1"/>
  <c r="H12" i="11"/>
  <c r="H19" i="11" s="1"/>
  <c r="H20" i="11" s="1"/>
  <c r="I33" i="7"/>
  <c r="I35" i="7" s="1"/>
  <c r="J27" i="7"/>
  <c r="O17" i="7"/>
  <c r="J5" i="11" l="1"/>
  <c r="J19" i="11" s="1"/>
  <c r="J20" i="11" s="1"/>
  <c r="K5" i="11"/>
  <c r="K19" i="11" s="1"/>
  <c r="K20" i="11" s="1"/>
  <c r="I39" i="7"/>
  <c r="I40" i="7" s="1"/>
  <c r="J29" i="7"/>
  <c r="J33" i="7" s="1"/>
  <c r="J35" i="7" s="1"/>
  <c r="J39" i="7" s="1"/>
  <c r="K27" i="7"/>
  <c r="P17" i="7"/>
  <c r="L5" i="11" l="1"/>
  <c r="L19" i="11" s="1"/>
  <c r="L20" i="11" s="1"/>
  <c r="J40" i="7"/>
  <c r="L27" i="7"/>
  <c r="K29" i="7"/>
  <c r="K33" i="7" s="1"/>
  <c r="K35" i="7" s="1"/>
  <c r="K39" i="7" s="1"/>
  <c r="Q17" i="7"/>
  <c r="M5" i="11" l="1"/>
  <c r="M19" i="11" s="1"/>
  <c r="M20" i="11" s="1"/>
  <c r="K40" i="7"/>
  <c r="M27" i="7"/>
  <c r="L29" i="7"/>
  <c r="L33" i="7" s="1"/>
  <c r="L35" i="7" s="1"/>
  <c r="L39" i="7" s="1"/>
  <c r="R17" i="7"/>
  <c r="N5" i="11" l="1"/>
  <c r="L40" i="7"/>
  <c r="N27" i="7"/>
  <c r="M29" i="7"/>
  <c r="M33" i="7" s="1"/>
  <c r="M35" i="7" s="1"/>
  <c r="M39" i="7" s="1"/>
  <c r="S17" i="7"/>
  <c r="N19" i="11" l="1"/>
  <c r="N20" i="11" s="1"/>
  <c r="N12" i="11"/>
  <c r="M40" i="7"/>
  <c r="O27" i="7"/>
  <c r="O29" i="7" s="1"/>
  <c r="N29" i="7"/>
  <c r="N33" i="7" s="1"/>
  <c r="N35" i="7" s="1"/>
  <c r="N39" i="7" s="1"/>
  <c r="T17" i="7"/>
  <c r="B22" i="11" l="1"/>
  <c r="N40" i="7"/>
  <c r="P27" i="7"/>
  <c r="O31" i="7"/>
  <c r="O33" i="7" s="1"/>
  <c r="O35" i="7" s="1"/>
  <c r="O39" i="7" s="1"/>
  <c r="U17" i="7"/>
  <c r="O40" i="7" l="1"/>
  <c r="Q27" i="7"/>
  <c r="P29" i="7"/>
  <c r="P33" i="7" s="1"/>
  <c r="P35" i="7" s="1"/>
  <c r="P39" i="7" s="1"/>
  <c r="V17" i="7"/>
  <c r="P40" i="7" l="1"/>
  <c r="R27" i="7"/>
  <c r="Q29" i="7"/>
  <c r="Q33" i="7" s="1"/>
  <c r="Q35" i="7" s="1"/>
  <c r="Q39" i="7" s="1"/>
  <c r="W17" i="7"/>
  <c r="J33" i="10"/>
  <c r="J35" i="10" s="1"/>
  <c r="J39" i="10" s="1"/>
  <c r="I31" i="10"/>
  <c r="I33" i="10" s="1"/>
  <c r="I35" i="10" s="1"/>
  <c r="I39" i="10" s="1"/>
  <c r="I40" i="10" s="1"/>
  <c r="Q40" i="7" l="1"/>
  <c r="R29" i="7"/>
  <c r="R33" i="7" s="1"/>
  <c r="R35" i="7" s="1"/>
  <c r="R39" i="7" s="1"/>
  <c r="R40" i="7" s="1"/>
  <c r="S27" i="7"/>
  <c r="X17" i="7"/>
  <c r="K33" i="10"/>
  <c r="K35" i="10" s="1"/>
  <c r="K39" i="10" s="1"/>
  <c r="S29" i="7" l="1"/>
  <c r="S33" i="7" s="1"/>
  <c r="S35" i="7" s="1"/>
  <c r="S39" i="7" s="1"/>
  <c r="S40" i="7" s="1"/>
  <c r="T27" i="7"/>
  <c r="Y17" i="7"/>
  <c r="L33" i="10"/>
  <c r="L35" i="10" s="1"/>
  <c r="L39" i="10" s="1"/>
  <c r="U27" i="7" l="1"/>
  <c r="T29" i="7"/>
  <c r="T33" i="7" s="1"/>
  <c r="T35" i="7" s="1"/>
  <c r="T39" i="7" s="1"/>
  <c r="T40" i="7" s="1"/>
  <c r="Z17" i="7"/>
  <c r="M33" i="10"/>
  <c r="M35" i="10" s="1"/>
  <c r="M39" i="10" s="1"/>
  <c r="V27" i="7" l="1"/>
  <c r="U29" i="7"/>
  <c r="U31" i="7" s="1"/>
  <c r="U33" i="7" s="1"/>
  <c r="U35" i="7" s="1"/>
  <c r="U39" i="7" s="1"/>
  <c r="U40" i="7" s="1"/>
  <c r="AA17" i="7"/>
  <c r="N33" i="10"/>
  <c r="N35" i="10" s="1"/>
  <c r="N39" i="10" s="1"/>
  <c r="V29" i="7" l="1"/>
  <c r="V33" i="7" s="1"/>
  <c r="V35" i="7" s="1"/>
  <c r="V39" i="7" s="1"/>
  <c r="V40" i="7" s="1"/>
  <c r="W27" i="7"/>
  <c r="O31" i="10"/>
  <c r="O33" i="10" s="1"/>
  <c r="O35" i="10" s="1"/>
  <c r="O39" i="10" s="1"/>
  <c r="X27" i="7" l="1"/>
  <c r="W29" i="7"/>
  <c r="W33" i="7" s="1"/>
  <c r="W35" i="7" s="1"/>
  <c r="W39" i="7" s="1"/>
  <c r="W40" i="7" s="1"/>
  <c r="X29" i="7" l="1"/>
  <c r="X33" i="7" s="1"/>
  <c r="X35" i="7" s="1"/>
  <c r="X39" i="7" s="1"/>
  <c r="X40" i="7" s="1"/>
  <c r="Y27" i="7"/>
  <c r="Z27" i="7" l="1"/>
  <c r="Y29" i="7"/>
  <c r="Y33" i="7" s="1"/>
  <c r="Y35" i="7" s="1"/>
  <c r="Y39" i="7" s="1"/>
  <c r="Y40" i="7" s="1"/>
  <c r="AA27" i="7" l="1"/>
  <c r="Z29" i="7"/>
  <c r="Z33" i="7" s="1"/>
  <c r="Z35" i="7" s="1"/>
  <c r="Z39" i="7" s="1"/>
  <c r="Z40" i="7" s="1"/>
  <c r="F2" i="7" l="1"/>
  <c r="F5" i="7" s="1"/>
  <c r="F6" i="7" s="1"/>
  <c r="AA29" i="7"/>
  <c r="AA31" i="7" s="1"/>
  <c r="AA33" i="7" s="1"/>
  <c r="AA35" i="7" s="1"/>
  <c r="AA39" i="7" s="1"/>
  <c r="AA40" i="7" s="1"/>
</calcChain>
</file>

<file path=xl/sharedStrings.xml><?xml version="1.0" encoding="utf-8"?>
<sst xmlns="http://schemas.openxmlformats.org/spreadsheetml/2006/main" count="245" uniqueCount="161">
  <si>
    <t>Alcance</t>
  </si>
  <si>
    <t xml:space="preserve">tiempo </t>
  </si>
  <si>
    <t>costo</t>
  </si>
  <si>
    <t>Mes</t>
  </si>
  <si>
    <t>Ingreso</t>
  </si>
  <si>
    <t>Salida</t>
  </si>
  <si>
    <t>Acumulado</t>
  </si>
  <si>
    <t>AÑO 1</t>
  </si>
  <si>
    <t>AÑO 2</t>
  </si>
  <si>
    <t>AÑO 3</t>
  </si>
  <si>
    <t>AÑO 4</t>
  </si>
  <si>
    <t>AÑO 5</t>
  </si>
  <si>
    <t>Animales</t>
  </si>
  <si>
    <t>Ventas</t>
  </si>
  <si>
    <t>Ingresos</t>
  </si>
  <si>
    <t>Egresos</t>
  </si>
  <si>
    <t>Mano de obra personal campo</t>
  </si>
  <si>
    <t>Alimentación</t>
  </si>
  <si>
    <t>Arrendamiento</t>
  </si>
  <si>
    <t>Servicios públicos</t>
  </si>
  <si>
    <t>Compra de ganado</t>
  </si>
  <si>
    <t>Transporte de ganado</t>
  </si>
  <si>
    <t>Otros</t>
  </si>
  <si>
    <t>ALIMENTACIÓN</t>
  </si>
  <si>
    <t>SAL</t>
  </si>
  <si>
    <t>No. Animales/año</t>
  </si>
  <si>
    <t>Kilos/bulto</t>
  </si>
  <si>
    <t>Costo total Sal</t>
  </si>
  <si>
    <t>MELAZA</t>
  </si>
  <si>
    <t>Costo total Melaza</t>
  </si>
  <si>
    <t>Precio Bulto</t>
  </si>
  <si>
    <t>AFTOSA</t>
  </si>
  <si>
    <t>Cada 6/meses</t>
  </si>
  <si>
    <t>No. Vacunas/animal</t>
  </si>
  <si>
    <t>No. Animales</t>
  </si>
  <si>
    <t>Total vacunas/año</t>
  </si>
  <si>
    <t>Valor vacuna</t>
  </si>
  <si>
    <t>Ivermectina</t>
  </si>
  <si>
    <t>Cada 3/meses</t>
  </si>
  <si>
    <t>No. Veces al año</t>
  </si>
  <si>
    <t>Total dosis</t>
  </si>
  <si>
    <t>Valor dosis</t>
  </si>
  <si>
    <t>Amitraz</t>
  </si>
  <si>
    <t>Frasco de 1000 cc</t>
  </si>
  <si>
    <t>Total baño</t>
  </si>
  <si>
    <t>VACUNAS</t>
  </si>
  <si>
    <t xml:space="preserve">Vacunación </t>
  </si>
  <si>
    <t>PURGA</t>
  </si>
  <si>
    <t>BAÑO</t>
  </si>
  <si>
    <t>ARRENDAMIENTO</t>
  </si>
  <si>
    <t>Cantidad de Hectareas</t>
  </si>
  <si>
    <t>Precio por Hectarea</t>
  </si>
  <si>
    <t>Precio total Arriendo</t>
  </si>
  <si>
    <t>HONORARIOS</t>
  </si>
  <si>
    <t>Sueldos</t>
  </si>
  <si>
    <t>Administrador</t>
  </si>
  <si>
    <t>Encargado</t>
  </si>
  <si>
    <t>TOTAL</t>
  </si>
  <si>
    <t>SERVICIOS PUBLICOS</t>
  </si>
  <si>
    <t>Energia</t>
  </si>
  <si>
    <t>Total</t>
  </si>
  <si>
    <t>COMPRA DE GANADO</t>
  </si>
  <si>
    <t>Precio de ganado</t>
  </si>
  <si>
    <t>TRANSPORTE DE GANADO</t>
  </si>
  <si>
    <t>Cantidad de viajes/compra/año</t>
  </si>
  <si>
    <t>Cantidad de viajes/venta/año</t>
  </si>
  <si>
    <t>Precio de viaje compra</t>
  </si>
  <si>
    <t>Precio de viaje venta</t>
  </si>
  <si>
    <t>Total año</t>
  </si>
  <si>
    <t>Honorarios administrativos</t>
  </si>
  <si>
    <t>MANO DE OBRA PERSONAL DE CAMPO</t>
  </si>
  <si>
    <t>Precio Jornal</t>
  </si>
  <si>
    <t>Cantidad de Jornales</t>
  </si>
  <si>
    <t>Instalaciones y equipos</t>
  </si>
  <si>
    <t>Muebles y enseres</t>
  </si>
  <si>
    <t>INSTALACIONES Y EQUIPO</t>
  </si>
  <si>
    <t>Motobomba</t>
  </si>
  <si>
    <t>Guayada</t>
  </si>
  <si>
    <t>Bebedero-Saladero</t>
  </si>
  <si>
    <t>Cerca eléctrica</t>
  </si>
  <si>
    <t>RABIA</t>
  </si>
  <si>
    <t>MUEBLES Y ENSERES</t>
  </si>
  <si>
    <t>Escritorio</t>
  </si>
  <si>
    <t>Impresora</t>
  </si>
  <si>
    <t>Teléfono celular</t>
  </si>
  <si>
    <t>Archivador</t>
  </si>
  <si>
    <t>Silla</t>
  </si>
  <si>
    <t>OTROS</t>
  </si>
  <si>
    <t>Plan celular</t>
  </si>
  <si>
    <t>Papeleria</t>
  </si>
  <si>
    <t>Combustible</t>
  </si>
  <si>
    <t>Jornales obreros</t>
  </si>
  <si>
    <t>AÑO</t>
  </si>
  <si>
    <t>No. De animales</t>
  </si>
  <si>
    <t>Kilos/animal</t>
  </si>
  <si>
    <t>Precio/kilo</t>
  </si>
  <si>
    <t>Ventas totales</t>
  </si>
  <si>
    <t>Depreciación</t>
  </si>
  <si>
    <t>Depreciación anual</t>
  </si>
  <si>
    <t>Utilidad antes de impuesto</t>
  </si>
  <si>
    <t>Impuestos</t>
  </si>
  <si>
    <t>Utilidad despues de impuesto</t>
  </si>
  <si>
    <t>Elliminar depreciación</t>
  </si>
  <si>
    <t>Inversión</t>
  </si>
  <si>
    <t>Flujo de caja</t>
  </si>
  <si>
    <t>Flujo acumulado</t>
  </si>
  <si>
    <t>WACC</t>
  </si>
  <si>
    <t>Veterinario</t>
  </si>
  <si>
    <t>Inversión Inicial</t>
  </si>
  <si>
    <t>Muerte de animal</t>
  </si>
  <si>
    <t>Consumo/kilo/animal/dia</t>
  </si>
  <si>
    <t>Datos</t>
  </si>
  <si>
    <t>No. Dias</t>
  </si>
  <si>
    <t>Consumo total mes/kilos</t>
  </si>
  <si>
    <t>Consumo bulto/mes</t>
  </si>
  <si>
    <t>Consumo total kilos/mes</t>
  </si>
  <si>
    <t>Cantidad de ganado/semestre</t>
  </si>
  <si>
    <t>meses</t>
  </si>
  <si>
    <t>INVIERSIÓN:</t>
  </si>
  <si>
    <t>INGRESOS</t>
  </si>
  <si>
    <t>UTILIDAD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</si>
  <si>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</si>
  <si>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</si>
  <si>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</si>
  <si>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</si>
  <si>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</si>
  <si>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</si>
  <si>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</si>
  <si>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</si>
  <si>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</si>
  <si>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</si>
  <si>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</si>
  <si>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</si>
  <si>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Total ingresos</t>
  </si>
  <si>
    <t>Total egresos</t>
  </si>
  <si>
    <t>TIR</t>
  </si>
  <si>
    <t>VPN</t>
  </si>
  <si>
    <t>Impuestos (30%)</t>
  </si>
  <si>
    <t>Director del proyecto</t>
  </si>
  <si>
    <t>Coordinara financiera</t>
  </si>
  <si>
    <t>Coordinara comercial</t>
  </si>
  <si>
    <t>Total vacunas/Semestre</t>
  </si>
  <si>
    <t>Togal Purga/año</t>
  </si>
  <si>
    <t>Total purga/Trimestre</t>
  </si>
  <si>
    <t>SAL CAMPOGAN 8% (40Kg)</t>
  </si>
  <si>
    <t>MANNA PELET  (40 Kg)</t>
  </si>
  <si>
    <t>GANAZUFRE (40 Kg)</t>
  </si>
  <si>
    <t>https://www.ceba.com.co/tienda/producto/ganazufre/</t>
  </si>
  <si>
    <t>https://www.ceba.com.co/tienda/producto/sal-campogan-8/</t>
  </si>
  <si>
    <t>https://www.ceba.com.co/tienda/producto/manna-pelet-40kg/</t>
  </si>
  <si>
    <t>Promedio Cotizaciones</t>
  </si>
  <si>
    <t>COTIZACIONES</t>
  </si>
  <si>
    <t>VALOR</t>
  </si>
  <si>
    <t>TOMADO DE:</t>
  </si>
  <si>
    <t>https://www.agronegocios.co/ganaderia/precio-de-la-vacuna-contra-la-aftosa-subio-25-y-esta-en-1064-2861822</t>
  </si>
  <si>
    <t>TOMADO DE AGRONEGOCIOS SEGÚN EL MINISTRO DE AGRICULTURA</t>
  </si>
  <si>
    <t>AMITRAZ E.C 20.8% (1000cc)</t>
  </si>
  <si>
    <t>https://www.ceba.com.co/tienda/producto/amitraz-e-c-20-8/</t>
  </si>
  <si>
    <t>https://www.homecenter.com.co/homecenter-co/product/240770/Motobomba-Gasolina-de-163cc-5.5hp-36m3-h.-2plg-x-2plg/240770</t>
  </si>
  <si>
    <t>https://articulo.mercadolibre.com.co/MCO-454997255-bebederos-para-ganado-durabebederos-ganaderia-extensiva-_JM#position=10&amp;type=item&amp;tracking_id=c6e053dd-026b-48e0-8700-5a437c4e5038</t>
  </si>
  <si>
    <t>Mes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</si>
</sst>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[$$-240A]\ * #,##0.00_-;\-[$$-240A]\ * #,##0.00_-;_-[$$-240A]\ * &quot;-&quot;??_-;_-@_-"/>
    <numFmt numFmtId="166" formatCode="_-[$$-240A]\ * #,##0_-;\-[$$-240A]\ * #,##0_-;_-[$$-240A]\ * &quot;-&quot;??_-;_-@_-"/>
    <numFmt numFmtId="167" formatCode="0.0%"/>
    <numFmt numFmtId="168" formatCode="_-* #,##0_-;\-* #,##0_-;_-* &quot;-&quot;??_-;_-@_-"/>
    <numFmt numFmtId="170" formatCode="_-* #,##0.0_-;\-* #,##0.0_-;_-* &quot;-&quot;??_-;_-@_-"/>
    <numFmt numFmtId="178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0" fillId="0" borderId="0" xfId="0" applyAlignment="1">
      <alignment horizontal="left" indent="1"/>
    </xf>
    <xf numFmtId="43" fontId="0" fillId="0" borderId="0" xfId="1" applyFont="1"/>
    <xf numFmtId="165" fontId="0" fillId="0" borderId="0" xfId="1" applyNumberFormat="1" applyFont="1"/>
    <xf numFmtId="43" fontId="0" fillId="0" borderId="0" xfId="0" applyNumberFormat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1" fillId="2" borderId="2" xfId="0" applyFont="1" applyFill="1" applyBorder="1"/>
    <xf numFmtId="9" fontId="0" fillId="0" borderId="0" xfId="0" applyNumberFormat="1"/>
    <xf numFmtId="0" fontId="0" fillId="0" borderId="4" xfId="0" applyFill="1" applyBorder="1" applyAlignment="1">
      <alignment horizontal="left" indent="1"/>
    </xf>
    <xf numFmtId="43" fontId="0" fillId="0" borderId="4" xfId="0" applyNumberFormat="1" applyBorder="1"/>
    <xf numFmtId="0" fontId="0" fillId="0" borderId="4" xfId="0" applyBorder="1"/>
    <xf numFmtId="43" fontId="0" fillId="0" borderId="4" xfId="1" applyFont="1" applyBorder="1"/>
    <xf numFmtId="0" fontId="1" fillId="0" borderId="5" xfId="0" applyFont="1" applyBorder="1"/>
    <xf numFmtId="0" fontId="0" fillId="0" borderId="5" xfId="0" applyBorder="1"/>
    <xf numFmtId="0" fontId="0" fillId="0" borderId="0" xfId="0" applyFill="1" applyBorder="1" applyAlignment="1">
      <alignment horizontal="left" indent="1"/>
    </xf>
    <xf numFmtId="43" fontId="0" fillId="0" borderId="0" xfId="1" applyFont="1" applyBorder="1"/>
    <xf numFmtId="43" fontId="0" fillId="0" borderId="0" xfId="0" applyNumberFormat="1" applyBorder="1"/>
    <xf numFmtId="0" fontId="0" fillId="0" borderId="0" xfId="0" applyBorder="1"/>
    <xf numFmtId="0" fontId="0" fillId="0" borderId="6" xfId="0" applyFill="1" applyBorder="1" applyAlignment="1">
      <alignment horizontal="left" indent="1"/>
    </xf>
    <xf numFmtId="0" fontId="0" fillId="0" borderId="6" xfId="0" applyBorder="1"/>
    <xf numFmtId="0" fontId="1" fillId="0" borderId="7" xfId="0" applyFont="1" applyBorder="1"/>
    <xf numFmtId="0" fontId="0" fillId="0" borderId="0" xfId="0" applyBorder="1" applyAlignment="1">
      <alignment horizontal="left" indent="1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8" xfId="0" applyFont="1" applyBorder="1" applyAlignment="1"/>
    <xf numFmtId="0" fontId="1" fillId="0" borderId="0" xfId="0" applyFont="1" applyBorder="1"/>
    <xf numFmtId="0" fontId="1" fillId="0" borderId="2" xfId="0" applyFont="1" applyBorder="1"/>
    <xf numFmtId="0" fontId="1" fillId="0" borderId="12" xfId="0" applyFont="1" applyBorder="1"/>
    <xf numFmtId="43" fontId="0" fillId="0" borderId="0" xfId="1" applyFont="1" applyFill="1" applyBorder="1"/>
    <xf numFmtId="0" fontId="0" fillId="0" borderId="0" xfId="0" applyAlignment="1"/>
    <xf numFmtId="0" fontId="1" fillId="0" borderId="2" xfId="0" applyFont="1" applyBorder="1" applyAlignment="1"/>
    <xf numFmtId="43" fontId="1" fillId="0" borderId="2" xfId="0" applyNumberFormat="1" applyFont="1" applyBorder="1" applyAlignment="1"/>
    <xf numFmtId="164" fontId="1" fillId="0" borderId="2" xfId="0" applyNumberFormat="1" applyFont="1" applyBorder="1" applyAlignment="1"/>
    <xf numFmtId="9" fontId="1" fillId="0" borderId="2" xfId="2" applyFont="1" applyBorder="1"/>
    <xf numFmtId="166" fontId="0" fillId="0" borderId="0" xfId="1" applyNumberFormat="1" applyFont="1"/>
    <xf numFmtId="0" fontId="0" fillId="0" borderId="15" xfId="0" applyFill="1" applyBorder="1"/>
    <xf numFmtId="42" fontId="1" fillId="0" borderId="16" xfId="4" applyFont="1" applyFill="1" applyBorder="1" applyAlignment="1">
      <alignment horizontal="center"/>
    </xf>
    <xf numFmtId="0" fontId="0" fillId="0" borderId="0" xfId="0" applyFill="1"/>
    <xf numFmtId="0" fontId="1" fillId="0" borderId="17" xfId="0" applyFont="1" applyFill="1" applyBorder="1"/>
    <xf numFmtId="42" fontId="3" fillId="0" borderId="1" xfId="4" applyFont="1" applyFill="1" applyBorder="1"/>
    <xf numFmtId="0" fontId="1" fillId="0" borderId="0" xfId="0" applyFont="1" applyFill="1"/>
    <xf numFmtId="0" fontId="0" fillId="0" borderId="17" xfId="0" applyFill="1" applyBorder="1"/>
    <xf numFmtId="42" fontId="0" fillId="0" borderId="1" xfId="4" applyFont="1" applyFill="1" applyBorder="1"/>
    <xf numFmtId="0" fontId="0" fillId="0" borderId="18" xfId="0" applyFill="1" applyBorder="1"/>
    <xf numFmtId="42" fontId="0" fillId="0" borderId="19" xfId="4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42" fontId="0" fillId="0" borderId="21" xfId="4" applyFont="1" applyFill="1" applyBorder="1"/>
    <xf numFmtId="42" fontId="0" fillId="0" borderId="0" xfId="4" applyFont="1" applyFill="1"/>
    <xf numFmtId="6" fontId="0" fillId="0" borderId="0" xfId="4" applyNumberFormat="1" applyFont="1" applyFill="1"/>
    <xf numFmtId="167" fontId="0" fillId="0" borderId="0" xfId="2" applyNumberFormat="1" applyFont="1" applyFill="1"/>
    <xf numFmtId="168" fontId="0" fillId="0" borderId="2" xfId="1" applyNumberFormat="1" applyFont="1" applyBorder="1" applyAlignment="1">
      <alignment horizontal="center" vertical="center"/>
    </xf>
    <xf numFmtId="6" fontId="0" fillId="0" borderId="1" xfId="4" applyNumberFormat="1" applyFont="1" applyFill="1" applyBorder="1"/>
    <xf numFmtId="0" fontId="1" fillId="0" borderId="1" xfId="0" applyFont="1" applyFill="1" applyBorder="1"/>
    <xf numFmtId="0" fontId="1" fillId="0" borderId="2" xfId="0" applyFont="1" applyBorder="1" applyAlignment="1">
      <alignment horizontal="center" vertical="center"/>
    </xf>
    <xf numFmtId="170" fontId="0" fillId="0" borderId="0" xfId="1" applyNumberFormat="1" applyFont="1"/>
    <xf numFmtId="168" fontId="0" fillId="0" borderId="0" xfId="1" applyNumberFormat="1" applyFont="1"/>
    <xf numFmtId="0" fontId="0" fillId="0" borderId="2" xfId="0" applyBorder="1"/>
    <xf numFmtId="6" fontId="0" fillId="0" borderId="2" xfId="0" applyNumberFormat="1" applyBorder="1"/>
    <xf numFmtId="6" fontId="1" fillId="0" borderId="2" xfId="0" applyNumberFormat="1" applyFont="1" applyBorder="1"/>
    <xf numFmtId="165" fontId="0" fillId="0" borderId="0" xfId="0" applyNumberFormat="1"/>
    <xf numFmtId="42" fontId="0" fillId="0" borderId="0" xfId="4" applyFont="1" applyAlignment="1">
      <alignment horizontal="left"/>
    </xf>
    <xf numFmtId="41" fontId="0" fillId="0" borderId="0" xfId="3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3" xfId="0" applyBorder="1" applyAlignment="1">
      <alignment horizontal="center"/>
    </xf>
    <xf numFmtId="178" fontId="0" fillId="0" borderId="1" xfId="2" applyNumberFormat="1" applyFont="1" applyFill="1" applyBorder="1"/>
  </cellXfs>
  <cellStyles count="5">
    <cellStyle name="Millares" xfId="1" builtinId="3"/>
    <cellStyle name="Millares [0]" xfId="3" builtinId="6"/>
    <cellStyle name="Moneda [0]" xfId="4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7</xdr:row>
      <xdr:rowOff>38100</xdr:rowOff>
    </xdr:from>
    <xdr:to>
      <xdr:col>3</xdr:col>
      <xdr:colOff>695325</xdr:colOff>
      <xdr:row>7</xdr:row>
      <xdr:rowOff>180975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46A1155B-B458-4B3B-A2B8-517829E68E76}"/>
            </a:ext>
          </a:extLst>
        </xdr:cNvPr>
        <xdr:cNvSpPr/>
      </xdr:nvSpPr>
      <xdr:spPr>
        <a:xfrm>
          <a:off x="3838575" y="1371600"/>
          <a:ext cx="600075" cy="142875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111287</xdr:colOff>
      <xdr:row>33</xdr:row>
      <xdr:rowOff>16317</xdr:rowOff>
    </xdr:from>
    <xdr:to>
      <xdr:col>3</xdr:col>
      <xdr:colOff>711362</xdr:colOff>
      <xdr:row>33</xdr:row>
      <xdr:rowOff>142319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44AFC5E9-8EC2-47A1-9E1D-0F473018C104}"/>
            </a:ext>
          </a:extLst>
        </xdr:cNvPr>
        <xdr:cNvSpPr/>
      </xdr:nvSpPr>
      <xdr:spPr>
        <a:xfrm rot="1142078">
          <a:off x="3854612" y="6302817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120813</xdr:colOff>
      <xdr:row>35</xdr:row>
      <xdr:rowOff>168718</xdr:rowOff>
    </xdr:from>
    <xdr:to>
      <xdr:col>3</xdr:col>
      <xdr:colOff>720888</xdr:colOff>
      <xdr:row>36</xdr:row>
      <xdr:rowOff>104220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4FD346AF-01C0-47E0-808B-5A2D23C3AC04}"/>
            </a:ext>
          </a:extLst>
        </xdr:cNvPr>
        <xdr:cNvSpPr/>
      </xdr:nvSpPr>
      <xdr:spPr>
        <a:xfrm rot="19816760">
          <a:off x="3864138" y="6836218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180975</xdr:colOff>
      <xdr:row>56</xdr:row>
      <xdr:rowOff>66675</xdr:rowOff>
    </xdr:from>
    <xdr:to>
      <xdr:col>3</xdr:col>
      <xdr:colOff>781050</xdr:colOff>
      <xdr:row>57</xdr:row>
      <xdr:rowOff>2177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4E14774D-70C8-47F7-ADEB-B7430D6CCD23}"/>
            </a:ext>
          </a:extLst>
        </xdr:cNvPr>
        <xdr:cNvSpPr/>
      </xdr:nvSpPr>
      <xdr:spPr>
        <a:xfrm>
          <a:off x="3924300" y="10734675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3</xdr:col>
      <xdr:colOff>714374</xdr:colOff>
      <xdr:row>91</xdr:row>
      <xdr:rowOff>57151</xdr:rowOff>
    </xdr:from>
    <xdr:to>
      <xdr:col>6</xdr:col>
      <xdr:colOff>1618375</xdr:colOff>
      <xdr:row>102</xdr:row>
      <xdr:rowOff>161393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BC207F2-AB9A-47CE-AF38-5BAD0E44F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7699" y="17392651"/>
          <a:ext cx="4352051" cy="2199742"/>
        </a:xfrm>
        <a:prstGeom prst="rect">
          <a:avLst/>
        </a:prstGeom>
      </xdr:spPr>
    </xdr:pic>
    <xdr:clientData/>
  </xdr:twoCellAnchor>
  <xdr:twoCellAnchor editAs="oneCell">
    <xdr:from>
      <xdr:col>6</xdr:col>
      <xdr:colOff>1609726</xdr:colOff>
      <xdr:row>89</xdr:row>
      <xdr:rowOff>161925</xdr:rowOff>
    </xdr:from>
    <xdr:to>
      <xdr:col>10</xdr:col>
      <xdr:colOff>304801</xdr:colOff>
      <xdr:row>103</xdr:row>
      <xdr:rowOff>15626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C9C90D8-E609-4EB9-A9CE-AF5F728B4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1101" y="17116425"/>
          <a:ext cx="4895850" cy="2520701"/>
        </a:xfrm>
        <a:prstGeom prst="rect">
          <a:avLst/>
        </a:prstGeom>
      </xdr:spPr>
    </xdr:pic>
    <xdr:clientData/>
  </xdr:twoCellAnchor>
  <xdr:twoCellAnchor editAs="oneCell">
    <xdr:from>
      <xdr:col>10</xdr:col>
      <xdr:colOff>419100</xdr:colOff>
      <xdr:row>90</xdr:row>
      <xdr:rowOff>104775</xdr:rowOff>
    </xdr:from>
    <xdr:to>
      <xdr:col>16</xdr:col>
      <xdr:colOff>272688</xdr:colOff>
      <xdr:row>102</xdr:row>
      <xdr:rowOff>28575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A5CC291-5901-482F-8CF5-308F27E8B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11250" y="17249775"/>
          <a:ext cx="4425588" cy="22098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95</xdr:row>
      <xdr:rowOff>142875</xdr:rowOff>
    </xdr:from>
    <xdr:to>
      <xdr:col>3</xdr:col>
      <xdr:colOff>638175</xdr:colOff>
      <xdr:row>96</xdr:row>
      <xdr:rowOff>78377</xdr:rowOff>
    </xdr:to>
    <xdr:sp macro="" textlink="">
      <xdr:nvSpPr>
        <xdr:cNvPr id="14" name="Flecha: a la derecha 13">
          <a:extLst>
            <a:ext uri="{FF2B5EF4-FFF2-40B4-BE49-F238E27FC236}">
              <a16:creationId xmlns:a16="http://schemas.microsoft.com/office/drawing/2014/main" id="{61DD12D8-D134-4291-B7E2-1B01CDC00D48}"/>
            </a:ext>
          </a:extLst>
        </xdr:cNvPr>
        <xdr:cNvSpPr/>
      </xdr:nvSpPr>
      <xdr:spPr>
        <a:xfrm>
          <a:off x="3781425" y="18240375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142875</xdr:colOff>
      <xdr:row>108</xdr:row>
      <xdr:rowOff>66675</xdr:rowOff>
    </xdr:from>
    <xdr:to>
      <xdr:col>3</xdr:col>
      <xdr:colOff>742950</xdr:colOff>
      <xdr:row>109</xdr:row>
      <xdr:rowOff>2177</xdr:rowOff>
    </xdr:to>
    <xdr:sp macro="" textlink="">
      <xdr:nvSpPr>
        <xdr:cNvPr id="15" name="Flecha: a la derecha 14">
          <a:extLst>
            <a:ext uri="{FF2B5EF4-FFF2-40B4-BE49-F238E27FC236}">
              <a16:creationId xmlns:a16="http://schemas.microsoft.com/office/drawing/2014/main" id="{B042A046-79E1-4680-B0D3-1B142F04C8EC}"/>
            </a:ext>
          </a:extLst>
        </xdr:cNvPr>
        <xdr:cNvSpPr/>
      </xdr:nvSpPr>
      <xdr:spPr>
        <a:xfrm>
          <a:off x="3886200" y="20640675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J24" sqref="J24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4" sqref="J24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zoomScaleNormal="100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C10" sqref="C10"/>
    </sheetView>
  </sheetViews>
  <sheetFormatPr baseColWidth="10" defaultColWidth="18.5703125" defaultRowHeight="15" x14ac:dyDescent="0.25"/>
  <cols>
    <col min="1" max="1" width="31.5703125" style="43" bestFit="1" customWidth="1"/>
    <col min="2" max="2" width="15.140625" style="54" bestFit="1" customWidth="1"/>
    <col min="3" max="3" width="14.5703125" style="54" customWidth="1"/>
    <col min="4" max="7" width="13.85546875" style="54" bestFit="1" customWidth="1"/>
    <col min="8" max="8" width="16.5703125" style="54" bestFit="1" customWidth="1"/>
    <col min="9" max="12" width="13.85546875" style="54" bestFit="1" customWidth="1"/>
    <col min="13" max="13" width="15.5703125" style="54" bestFit="1" customWidth="1"/>
    <col min="14" max="14" width="16.5703125" style="54" bestFit="1" customWidth="1"/>
    <col min="15" max="16384" width="18.5703125" style="43"/>
  </cols>
  <sheetData>
    <row r="1" spans="1:14" x14ac:dyDescent="0.25">
      <c r="A1" s="41"/>
      <c r="B1" s="42" t="s">
        <v>160</v>
      </c>
      <c r="C1" s="42" t="s">
        <v>121</v>
      </c>
      <c r="D1" s="42" t="s">
        <v>122</v>
      </c>
      <c r="E1" s="42" t="s">
        <v>123</v>
      </c>
      <c r="F1" s="42" t="s">
        <v>124</v>
      </c>
      <c r="G1" s="42" t="s">
        <v>125</v>
      </c>
      <c r="H1" s="42" t="s">
        <v>126</v>
      </c>
      <c r="I1" s="42" t="s">
        <v>127</v>
      </c>
      <c r="J1" s="42" t="s">
        <v>128</v>
      </c>
      <c r="K1" s="42" t="s">
        <v>129</v>
      </c>
      <c r="L1" s="42" t="s">
        <v>130</v>
      </c>
      <c r="M1" s="42" t="s">
        <v>131</v>
      </c>
      <c r="N1" s="42" t="s">
        <v>132</v>
      </c>
    </row>
    <row r="2" spans="1:14" s="46" customFormat="1" x14ac:dyDescent="0.25">
      <c r="A2" s="44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7" t="s">
        <v>13</v>
      </c>
      <c r="B3" s="48"/>
      <c r="C3" s="48"/>
      <c r="D3" s="48"/>
      <c r="E3" s="48"/>
      <c r="F3" s="48"/>
      <c r="G3" s="48"/>
      <c r="H3" s="48">
        <f>+INGRESOS!F3</f>
        <v>55000000</v>
      </c>
      <c r="I3" s="48"/>
      <c r="J3" s="48"/>
      <c r="K3" s="48"/>
      <c r="L3" s="48"/>
      <c r="M3" s="48"/>
      <c r="N3" s="48">
        <f>+INGRESOS!F3</f>
        <v>55000000</v>
      </c>
    </row>
    <row r="4" spans="1:14" x14ac:dyDescent="0.25">
      <c r="A4" s="44" t="s">
        <v>15</v>
      </c>
      <c r="B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x14ac:dyDescent="0.25">
      <c r="A5" s="47" t="s">
        <v>17</v>
      </c>
      <c r="B5" s="48"/>
      <c r="C5" s="48">
        <f>-EGRESOS!C13+-EGRESOS!C24</f>
        <v>-211000</v>
      </c>
      <c r="D5" s="48">
        <f>+C5</f>
        <v>-211000</v>
      </c>
      <c r="E5" s="48">
        <f t="shared" ref="E5:N5" si="0">+D5</f>
        <v>-211000</v>
      </c>
      <c r="F5" s="48">
        <f t="shared" si="0"/>
        <v>-211000</v>
      </c>
      <c r="G5" s="48">
        <f t="shared" si="0"/>
        <v>-211000</v>
      </c>
      <c r="H5" s="48">
        <f t="shared" si="0"/>
        <v>-211000</v>
      </c>
      <c r="I5" s="48">
        <f t="shared" si="0"/>
        <v>-211000</v>
      </c>
      <c r="J5" s="48">
        <f t="shared" si="0"/>
        <v>-211000</v>
      </c>
      <c r="K5" s="48">
        <f t="shared" si="0"/>
        <v>-211000</v>
      </c>
      <c r="L5" s="48">
        <f t="shared" si="0"/>
        <v>-211000</v>
      </c>
      <c r="M5" s="48">
        <f t="shared" si="0"/>
        <v>-211000</v>
      </c>
      <c r="N5" s="48">
        <f t="shared" si="0"/>
        <v>-211000</v>
      </c>
    </row>
    <row r="6" spans="1:14" x14ac:dyDescent="0.25">
      <c r="A6" s="47" t="s">
        <v>46</v>
      </c>
      <c r="B6" s="48"/>
      <c r="C6" s="48">
        <f>-EGRESOS!C52-EGRESOS!C62</f>
        <v>-56000</v>
      </c>
      <c r="D6" s="48"/>
      <c r="E6" s="48"/>
      <c r="F6" s="48">
        <f>+C6</f>
        <v>-56000</v>
      </c>
      <c r="G6" s="48"/>
      <c r="H6" s="48">
        <f>+-EGRESOS!C33-EGRESOS!C42</f>
        <v>-37280</v>
      </c>
      <c r="I6" s="48">
        <f>+F6</f>
        <v>-56000</v>
      </c>
      <c r="J6" s="48"/>
      <c r="K6" s="48"/>
      <c r="L6" s="48">
        <f>+I6</f>
        <v>-56000</v>
      </c>
      <c r="M6" s="48"/>
      <c r="N6" s="48">
        <f>+-EGRESOS!C33-EGRESOS!C42</f>
        <v>-37280</v>
      </c>
    </row>
    <row r="7" spans="1:14" x14ac:dyDescent="0.25">
      <c r="A7" s="47" t="s">
        <v>69</v>
      </c>
      <c r="B7" s="48"/>
      <c r="C7" s="48">
        <f>-EGRESOS!C80</f>
        <v>-828116</v>
      </c>
      <c r="D7" s="48">
        <f>+C7</f>
        <v>-828116</v>
      </c>
      <c r="E7" s="48">
        <f t="shared" ref="E7:N7" si="1">+D7</f>
        <v>-828116</v>
      </c>
      <c r="F7" s="48">
        <f t="shared" si="1"/>
        <v>-828116</v>
      </c>
      <c r="G7" s="48">
        <f t="shared" si="1"/>
        <v>-828116</v>
      </c>
      <c r="H7" s="48">
        <f t="shared" si="1"/>
        <v>-828116</v>
      </c>
      <c r="I7" s="48">
        <f t="shared" si="1"/>
        <v>-828116</v>
      </c>
      <c r="J7" s="48">
        <f t="shared" si="1"/>
        <v>-828116</v>
      </c>
      <c r="K7" s="48">
        <f t="shared" si="1"/>
        <v>-828116</v>
      </c>
      <c r="L7" s="48">
        <f t="shared" si="1"/>
        <v>-828116</v>
      </c>
      <c r="M7" s="48">
        <f t="shared" si="1"/>
        <v>-828116</v>
      </c>
      <c r="N7" s="48">
        <f t="shared" si="1"/>
        <v>-828116</v>
      </c>
    </row>
    <row r="8" spans="1:14" x14ac:dyDescent="0.25">
      <c r="A8" s="47" t="s">
        <v>16</v>
      </c>
      <c r="B8" s="48"/>
      <c r="C8" s="48">
        <f>-EGRESOS!C87</f>
        <v>-660000</v>
      </c>
      <c r="D8" s="48">
        <f>+C8</f>
        <v>-660000</v>
      </c>
      <c r="E8" s="48">
        <f t="shared" ref="E8:N9" si="2">+D8</f>
        <v>-660000</v>
      </c>
      <c r="F8" s="48">
        <f t="shared" si="2"/>
        <v>-660000</v>
      </c>
      <c r="G8" s="48">
        <f t="shared" si="2"/>
        <v>-660000</v>
      </c>
      <c r="H8" s="48">
        <f t="shared" si="2"/>
        <v>-660000</v>
      </c>
      <c r="I8" s="48">
        <f t="shared" si="2"/>
        <v>-660000</v>
      </c>
      <c r="J8" s="48">
        <f t="shared" si="2"/>
        <v>-660000</v>
      </c>
      <c r="K8" s="48">
        <f t="shared" si="2"/>
        <v>-660000</v>
      </c>
      <c r="L8" s="48">
        <f t="shared" si="2"/>
        <v>-660000</v>
      </c>
      <c r="M8" s="48">
        <f t="shared" si="2"/>
        <v>-660000</v>
      </c>
      <c r="N8" s="48">
        <f t="shared" si="2"/>
        <v>-660000</v>
      </c>
    </row>
    <row r="9" spans="1:14" x14ac:dyDescent="0.25">
      <c r="A9" s="47" t="s">
        <v>19</v>
      </c>
      <c r="B9" s="48"/>
      <c r="C9" s="48">
        <f>-EGRESOS!C91</f>
        <v>-350000</v>
      </c>
      <c r="D9" s="48">
        <f>+C9</f>
        <v>-350000</v>
      </c>
      <c r="E9" s="48">
        <f t="shared" si="2"/>
        <v>-350000</v>
      </c>
      <c r="F9" s="48">
        <f t="shared" si="2"/>
        <v>-350000</v>
      </c>
      <c r="G9" s="48">
        <f t="shared" si="2"/>
        <v>-350000</v>
      </c>
      <c r="H9" s="48">
        <f t="shared" si="2"/>
        <v>-350000</v>
      </c>
      <c r="I9" s="48">
        <f t="shared" si="2"/>
        <v>-350000</v>
      </c>
      <c r="J9" s="48">
        <f t="shared" si="2"/>
        <v>-350000</v>
      </c>
      <c r="K9" s="48">
        <f t="shared" si="2"/>
        <v>-350000</v>
      </c>
      <c r="L9" s="48">
        <f t="shared" si="2"/>
        <v>-350000</v>
      </c>
      <c r="M9" s="48">
        <f t="shared" si="2"/>
        <v>-350000</v>
      </c>
      <c r="N9" s="48">
        <f t="shared" si="2"/>
        <v>-350000</v>
      </c>
    </row>
    <row r="10" spans="1:14" x14ac:dyDescent="0.25">
      <c r="A10" s="47" t="s">
        <v>20</v>
      </c>
      <c r="B10" s="48">
        <f>-EGRESOS!C99</f>
        <v>-29000000</v>
      </c>
      <c r="C10" s="48"/>
      <c r="D10" s="48"/>
      <c r="E10" s="48"/>
      <c r="F10" s="48"/>
      <c r="G10" s="48"/>
      <c r="H10" s="48">
        <f>-EGRESOS!C99</f>
        <v>-29000000</v>
      </c>
      <c r="I10" s="48"/>
      <c r="J10" s="48"/>
      <c r="K10" s="48"/>
      <c r="L10" s="48"/>
      <c r="M10" s="48"/>
      <c r="N10" s="48"/>
    </row>
    <row r="11" spans="1:14" x14ac:dyDescent="0.25">
      <c r="A11" s="47" t="s">
        <v>21</v>
      </c>
      <c r="B11" s="48">
        <f>-EGRESOS!C107</f>
        <v>-2133333.333333333</v>
      </c>
      <c r="C11" s="48"/>
      <c r="D11" s="48"/>
      <c r="E11" s="48"/>
      <c r="F11" s="48"/>
      <c r="G11" s="48"/>
      <c r="H11" s="48">
        <f>-EGRESOS!C107</f>
        <v>-2133333.333333333</v>
      </c>
      <c r="I11" s="48"/>
      <c r="J11" s="48"/>
      <c r="K11" s="48"/>
      <c r="L11" s="48"/>
      <c r="M11" s="48"/>
      <c r="N11" s="48">
        <f>-EGRESOS!C107</f>
        <v>-2133333.333333333</v>
      </c>
    </row>
    <row r="12" spans="1:14" x14ac:dyDescent="0.25">
      <c r="A12" s="44" t="s">
        <v>137</v>
      </c>
      <c r="B12" s="48"/>
      <c r="C12" s="48"/>
      <c r="D12" s="48"/>
      <c r="E12" s="48"/>
      <c r="F12" s="48"/>
      <c r="G12" s="48"/>
      <c r="H12" s="48">
        <f>+-SUM(H3:H11)*30%</f>
        <v>-6534081.2000000002</v>
      </c>
      <c r="I12" s="48"/>
      <c r="J12" s="48"/>
      <c r="K12" s="48"/>
      <c r="L12" s="48"/>
      <c r="M12" s="48"/>
      <c r="N12" s="48">
        <f>+-SUM(N3:N11)*30%</f>
        <v>-15234081.199999999</v>
      </c>
    </row>
    <row r="13" spans="1:14" x14ac:dyDescent="0.25">
      <c r="A13" s="44" t="s">
        <v>103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4" x14ac:dyDescent="0.25">
      <c r="A14" s="47" t="s">
        <v>22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14" x14ac:dyDescent="0.25">
      <c r="A15" s="47" t="s">
        <v>73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14" x14ac:dyDescent="0.25">
      <c r="A16" s="47" t="s">
        <v>74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4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4" x14ac:dyDescent="0.25">
      <c r="A18" s="51" t="s">
        <v>133</v>
      </c>
      <c r="B18" s="50">
        <f>+SUM(B3:B3)</f>
        <v>0</v>
      </c>
      <c r="C18" s="50">
        <f>+SUM(C3:C3)</f>
        <v>0</v>
      </c>
      <c r="D18" s="50">
        <f>+SUM(D3:D3)</f>
        <v>0</v>
      </c>
      <c r="E18" s="50">
        <f>+SUM(E3:E3)</f>
        <v>0</v>
      </c>
      <c r="F18" s="50">
        <f>+SUM(F3:F3)</f>
        <v>0</v>
      </c>
      <c r="G18" s="50">
        <f>+SUM(G3:G3)</f>
        <v>0</v>
      </c>
      <c r="H18" s="50">
        <f>+SUM(H3:H3)</f>
        <v>55000000</v>
      </c>
      <c r="I18" s="50">
        <f>+SUM(I3:I3)</f>
        <v>0</v>
      </c>
      <c r="J18" s="50">
        <f>+SUM(J3:J3)</f>
        <v>0</v>
      </c>
      <c r="K18" s="50">
        <f>+SUM(K3:K3)</f>
        <v>0</v>
      </c>
      <c r="L18" s="50">
        <f>+SUM(L3:L3)</f>
        <v>0</v>
      </c>
      <c r="M18" s="50">
        <f>+SUM(M3:M3)</f>
        <v>0</v>
      </c>
      <c r="N18" s="50">
        <f>+SUM(N3:N3)</f>
        <v>55000000</v>
      </c>
    </row>
    <row r="19" spans="1:14" x14ac:dyDescent="0.25">
      <c r="A19" s="51" t="s">
        <v>134</v>
      </c>
      <c r="B19" s="50">
        <f>SUM(B5:B16)</f>
        <v>-31133333.333333332</v>
      </c>
      <c r="C19" s="50">
        <f t="shared" ref="C19:N19" si="3">SUM(C5:C16)</f>
        <v>-2105116</v>
      </c>
      <c r="D19" s="50">
        <f t="shared" si="3"/>
        <v>-2049116</v>
      </c>
      <c r="E19" s="50">
        <f t="shared" si="3"/>
        <v>-2049116</v>
      </c>
      <c r="F19" s="50">
        <f t="shared" si="3"/>
        <v>-2105116</v>
      </c>
      <c r="G19" s="50">
        <f t="shared" si="3"/>
        <v>-2049116</v>
      </c>
      <c r="H19" s="50">
        <f t="shared" si="3"/>
        <v>-39753810.533333331</v>
      </c>
      <c r="I19" s="50">
        <f t="shared" si="3"/>
        <v>-2105116</v>
      </c>
      <c r="J19" s="50">
        <f t="shared" si="3"/>
        <v>-2049116</v>
      </c>
      <c r="K19" s="50">
        <f t="shared" si="3"/>
        <v>-2049116</v>
      </c>
      <c r="L19" s="50">
        <f t="shared" si="3"/>
        <v>-2105116</v>
      </c>
      <c r="M19" s="50">
        <f t="shared" si="3"/>
        <v>-2049116</v>
      </c>
      <c r="N19" s="50">
        <f t="shared" si="3"/>
        <v>-19453810.533333331</v>
      </c>
    </row>
    <row r="20" spans="1:14" ht="15.75" thickBot="1" x14ac:dyDescent="0.3">
      <c r="A20" s="52" t="s">
        <v>104</v>
      </c>
      <c r="B20" s="53">
        <f>+B18+B19</f>
        <v>-31133333.333333332</v>
      </c>
      <c r="C20" s="53">
        <f t="shared" ref="C20:N20" si="4">+C18+C19</f>
        <v>-2105116</v>
      </c>
      <c r="D20" s="53">
        <f t="shared" si="4"/>
        <v>-2049116</v>
      </c>
      <c r="E20" s="53">
        <f t="shared" si="4"/>
        <v>-2049116</v>
      </c>
      <c r="F20" s="53">
        <f t="shared" si="4"/>
        <v>-2105116</v>
      </c>
      <c r="G20" s="53">
        <f t="shared" si="4"/>
        <v>-2049116</v>
      </c>
      <c r="H20" s="53">
        <f t="shared" si="4"/>
        <v>15246189.466666669</v>
      </c>
      <c r="I20" s="53">
        <f t="shared" si="4"/>
        <v>-2105116</v>
      </c>
      <c r="J20" s="53">
        <f t="shared" si="4"/>
        <v>-2049116</v>
      </c>
      <c r="K20" s="53">
        <f t="shared" si="4"/>
        <v>-2049116</v>
      </c>
      <c r="L20" s="53">
        <f t="shared" si="4"/>
        <v>-2105116</v>
      </c>
      <c r="M20" s="53">
        <f t="shared" si="4"/>
        <v>-2049116</v>
      </c>
      <c r="N20" s="53">
        <f t="shared" si="4"/>
        <v>35546189.466666669</v>
      </c>
    </row>
    <row r="22" spans="1:14" x14ac:dyDescent="0.25">
      <c r="A22" s="59" t="s">
        <v>135</v>
      </c>
      <c r="B22" s="77">
        <f>+IRR(B20:N20)</f>
        <v>-2.6360489485111049E-3</v>
      </c>
    </row>
    <row r="23" spans="1:14" x14ac:dyDescent="0.25">
      <c r="A23" s="59" t="s">
        <v>136</v>
      </c>
      <c r="B23" s="58">
        <f>+NPV(2%,B20:N20)</f>
        <v>-7846455.2147731697</v>
      </c>
    </row>
    <row r="24" spans="1:14" x14ac:dyDescent="0.25">
      <c r="A24" s="46"/>
      <c r="B24" s="55"/>
    </row>
    <row r="25" spans="1:14" x14ac:dyDescent="0.25">
      <c r="B25" s="5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2"/>
  <sheetViews>
    <sheetView topLeftCell="A19" zoomScaleNormal="100" workbookViewId="0">
      <selection activeCell="K39" sqref="K39"/>
    </sheetView>
  </sheetViews>
  <sheetFormatPr baseColWidth="10" defaultColWidth="13.42578125" defaultRowHeight="15" x14ac:dyDescent="0.25"/>
  <cols>
    <col min="2" max="2" width="31.42578125" bestFit="1" customWidth="1"/>
    <col min="3" max="3" width="18.7109375" bestFit="1" customWidth="1"/>
    <col min="4" max="4" width="20.7109375" bestFit="1" customWidth="1"/>
    <col min="5" max="5" width="20" bestFit="1" customWidth="1"/>
    <col min="6" max="6" width="24.85546875" bestFit="1" customWidth="1"/>
    <col min="7" max="7" width="20" bestFit="1" customWidth="1"/>
    <col min="8" max="9" width="20.28515625" bestFit="1" customWidth="1"/>
    <col min="10" max="10" width="20" bestFit="1" customWidth="1"/>
    <col min="11" max="11" width="20.28515625" bestFit="1" customWidth="1"/>
    <col min="12" max="14" width="20" bestFit="1" customWidth="1"/>
    <col min="15" max="15" width="20.28515625" bestFit="1" customWidth="1"/>
    <col min="16" max="16" width="18.28515625" bestFit="1" customWidth="1"/>
    <col min="17" max="17" width="18.7109375" bestFit="1" customWidth="1"/>
    <col min="18" max="18" width="18.28515625" bestFit="1" customWidth="1"/>
    <col min="19" max="20" width="18.7109375" bestFit="1" customWidth="1"/>
    <col min="21" max="21" width="20.28515625" bestFit="1" customWidth="1"/>
    <col min="22" max="24" width="18.28515625" bestFit="1" customWidth="1"/>
    <col min="25" max="26" width="18.7109375" bestFit="1" customWidth="1"/>
    <col min="27" max="27" width="20.28515625" bestFit="1" customWidth="1"/>
  </cols>
  <sheetData>
    <row r="2" spans="2:27" x14ac:dyDescent="0.25">
      <c r="B2" t="s">
        <v>108</v>
      </c>
      <c r="E2" s="36" t="s">
        <v>118</v>
      </c>
      <c r="F2" s="37">
        <f>SUM(D15:AA27)</f>
        <v>-401482463.99999946</v>
      </c>
      <c r="G2" s="35"/>
      <c r="H2" s="35"/>
    </row>
    <row r="3" spans="2:27" x14ac:dyDescent="0.25">
      <c r="B3" t="s">
        <v>97</v>
      </c>
      <c r="C3" s="5">
        <f>((D23+D24)/24)*-1</f>
        <v>235416.66666666666</v>
      </c>
      <c r="E3" s="36" t="s">
        <v>119</v>
      </c>
      <c r="F3" s="37">
        <f>SUM(D13:AA13)</f>
        <v>220000000</v>
      </c>
      <c r="G3" s="35"/>
      <c r="H3" s="35"/>
    </row>
    <row r="4" spans="2:27" x14ac:dyDescent="0.25">
      <c r="B4" t="s">
        <v>117</v>
      </c>
      <c r="C4">
        <v>24</v>
      </c>
      <c r="E4" s="36"/>
      <c r="F4" s="36"/>
      <c r="G4" s="35"/>
      <c r="H4" s="35"/>
    </row>
    <row r="5" spans="2:27" x14ac:dyDescent="0.25">
      <c r="E5" s="36" t="s">
        <v>120</v>
      </c>
      <c r="F5" s="38">
        <f>+F3+F2</f>
        <v>-181482463.99999946</v>
      </c>
      <c r="G5" s="35"/>
      <c r="H5" s="35"/>
    </row>
    <row r="6" spans="2:27" x14ac:dyDescent="0.25">
      <c r="B6" t="s">
        <v>100</v>
      </c>
      <c r="C6" s="13">
        <v>0.3</v>
      </c>
      <c r="E6" s="32"/>
      <c r="F6" s="39">
        <f>+(F5/F2)*-1</f>
        <v>-0.4520308613030723</v>
      </c>
    </row>
    <row r="7" spans="2:27" x14ac:dyDescent="0.25">
      <c r="B7" t="s">
        <v>106</v>
      </c>
      <c r="C7" s="13">
        <v>0.1</v>
      </c>
    </row>
    <row r="8" spans="2:27" ht="15.75" thickBot="1" x14ac:dyDescent="0.3"/>
    <row r="9" spans="2:27" ht="15.75" thickBot="1" x14ac:dyDescent="0.3">
      <c r="C9" s="30"/>
      <c r="D9" s="69" t="s">
        <v>7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  <c r="P9" s="69" t="s">
        <v>8</v>
      </c>
      <c r="Q9" s="70"/>
      <c r="R9" s="70"/>
      <c r="S9" s="70"/>
      <c r="T9" s="70"/>
      <c r="U9" s="70"/>
      <c r="V9" s="70"/>
      <c r="W9" s="70"/>
      <c r="X9" s="70"/>
      <c r="Y9" s="70"/>
      <c r="Z9" s="70"/>
      <c r="AA9" s="71"/>
    </row>
    <row r="10" spans="2:27" x14ac:dyDescent="0.25">
      <c r="C10" s="26">
        <v>0</v>
      </c>
      <c r="D10" s="33">
        <v>1</v>
      </c>
      <c r="E10" s="33">
        <v>2</v>
      </c>
      <c r="F10" s="33">
        <v>3</v>
      </c>
      <c r="G10" s="33">
        <v>4</v>
      </c>
      <c r="H10" s="33">
        <v>5</v>
      </c>
      <c r="I10" s="33">
        <v>6</v>
      </c>
      <c r="J10" s="33">
        <v>7</v>
      </c>
      <c r="K10" s="33">
        <v>8</v>
      </c>
      <c r="L10" s="33">
        <v>9</v>
      </c>
      <c r="M10" s="33">
        <v>10</v>
      </c>
      <c r="N10" s="33">
        <v>11</v>
      </c>
      <c r="O10" s="33">
        <v>12</v>
      </c>
      <c r="P10" s="33">
        <v>1</v>
      </c>
      <c r="Q10" s="33">
        <v>2</v>
      </c>
      <c r="R10" s="33">
        <v>3</v>
      </c>
      <c r="S10" s="33">
        <v>4</v>
      </c>
      <c r="T10" s="33">
        <v>5</v>
      </c>
      <c r="U10" s="33">
        <v>6</v>
      </c>
      <c r="V10" s="33">
        <v>7</v>
      </c>
      <c r="W10" s="33">
        <v>8</v>
      </c>
      <c r="X10" s="33">
        <v>9</v>
      </c>
      <c r="Y10" s="33">
        <v>10</v>
      </c>
      <c r="Z10" s="33">
        <v>11</v>
      </c>
      <c r="AA10" s="33">
        <v>12</v>
      </c>
    </row>
    <row r="11" spans="2:27" x14ac:dyDescent="0.25">
      <c r="C11" s="18"/>
      <c r="D11" s="31"/>
      <c r="E11" s="31"/>
      <c r="F11" s="31"/>
      <c r="G11" s="31"/>
      <c r="H11" s="31"/>
    </row>
    <row r="12" spans="2:27" x14ac:dyDescent="0.25">
      <c r="B12" s="18" t="s">
        <v>14</v>
      </c>
      <c r="C12" s="19"/>
      <c r="D12" s="21"/>
      <c r="E12" s="21"/>
      <c r="F12" s="21"/>
      <c r="G12" s="21"/>
      <c r="H12" s="2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x14ac:dyDescent="0.25">
      <c r="B13" s="27" t="s">
        <v>13</v>
      </c>
      <c r="C13" s="23"/>
      <c r="D13" s="21"/>
      <c r="E13" s="21"/>
      <c r="F13" s="21"/>
      <c r="G13" s="21"/>
      <c r="H13" s="21"/>
      <c r="I13" s="5">
        <f>+INGRESOS!F3</f>
        <v>55000000</v>
      </c>
      <c r="J13" s="5"/>
      <c r="K13" s="5"/>
      <c r="L13" s="5"/>
      <c r="M13" s="5"/>
      <c r="N13" s="5"/>
      <c r="O13" s="5">
        <f>+INGRESOS!F3</f>
        <v>55000000</v>
      </c>
      <c r="P13" s="5"/>
      <c r="Q13" s="5"/>
      <c r="R13" s="5"/>
      <c r="S13" s="5"/>
      <c r="T13" s="5"/>
      <c r="U13" s="5">
        <f>+INGRESOS!F3</f>
        <v>55000000</v>
      </c>
      <c r="V13" s="5"/>
      <c r="W13" s="5"/>
      <c r="X13" s="5"/>
      <c r="Y13" s="5"/>
      <c r="Z13" s="5"/>
      <c r="AA13" s="5">
        <f>+INGRESOS!F3</f>
        <v>55000000</v>
      </c>
    </row>
    <row r="14" spans="2:27" x14ac:dyDescent="0.25">
      <c r="B14" s="18" t="s">
        <v>15</v>
      </c>
      <c r="C14" s="19"/>
      <c r="D14" s="21"/>
      <c r="E14" s="21"/>
      <c r="F14" s="21"/>
      <c r="G14" s="21"/>
      <c r="H14" s="2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2:27" x14ac:dyDescent="0.25">
      <c r="B15" s="20" t="s">
        <v>17</v>
      </c>
      <c r="C15" s="21"/>
      <c r="D15" s="21">
        <f>-EGRESOS!C13+-EGRESOS!C24</f>
        <v>-211000</v>
      </c>
      <c r="E15" s="21">
        <f>+D15</f>
        <v>-211000</v>
      </c>
      <c r="F15" s="21">
        <f t="shared" ref="F15:AA15" si="0">+E15</f>
        <v>-211000</v>
      </c>
      <c r="G15" s="21">
        <f t="shared" si="0"/>
        <v>-211000</v>
      </c>
      <c r="H15" s="21">
        <f t="shared" si="0"/>
        <v>-211000</v>
      </c>
      <c r="I15" s="21">
        <f t="shared" si="0"/>
        <v>-211000</v>
      </c>
      <c r="J15" s="21">
        <f t="shared" si="0"/>
        <v>-211000</v>
      </c>
      <c r="K15" s="21">
        <f t="shared" si="0"/>
        <v>-211000</v>
      </c>
      <c r="L15" s="21">
        <f t="shared" si="0"/>
        <v>-211000</v>
      </c>
      <c r="M15" s="21">
        <f t="shared" si="0"/>
        <v>-211000</v>
      </c>
      <c r="N15" s="21">
        <f t="shared" si="0"/>
        <v>-211000</v>
      </c>
      <c r="O15" s="21">
        <f t="shared" si="0"/>
        <v>-211000</v>
      </c>
      <c r="P15" s="21">
        <f t="shared" si="0"/>
        <v>-211000</v>
      </c>
      <c r="Q15" s="21">
        <f t="shared" si="0"/>
        <v>-211000</v>
      </c>
      <c r="R15" s="21">
        <f t="shared" si="0"/>
        <v>-211000</v>
      </c>
      <c r="S15" s="21">
        <f t="shared" si="0"/>
        <v>-211000</v>
      </c>
      <c r="T15" s="21">
        <f t="shared" si="0"/>
        <v>-211000</v>
      </c>
      <c r="U15" s="21">
        <f t="shared" si="0"/>
        <v>-211000</v>
      </c>
      <c r="V15" s="21">
        <f t="shared" si="0"/>
        <v>-211000</v>
      </c>
      <c r="W15" s="21">
        <f t="shared" si="0"/>
        <v>-211000</v>
      </c>
      <c r="X15" s="21">
        <f t="shared" si="0"/>
        <v>-211000</v>
      </c>
      <c r="Y15" s="21">
        <f t="shared" si="0"/>
        <v>-211000</v>
      </c>
      <c r="Z15" s="21">
        <f t="shared" si="0"/>
        <v>-211000</v>
      </c>
      <c r="AA15" s="21">
        <f t="shared" si="0"/>
        <v>-211000</v>
      </c>
    </row>
    <row r="16" spans="2:27" x14ac:dyDescent="0.25">
      <c r="B16" s="20" t="s">
        <v>46</v>
      </c>
      <c r="C16" s="21"/>
      <c r="D16" s="21">
        <f>-EGRESOS!C53-EGRESOS!C62</f>
        <v>-116000</v>
      </c>
      <c r="E16" s="21"/>
      <c r="F16" s="21"/>
      <c r="G16" s="21">
        <f>+D16</f>
        <v>-116000</v>
      </c>
      <c r="H16" s="21"/>
      <c r="I16" s="5">
        <f>-EGRESOS!C34-EGRESOS!C43</f>
        <v>-74560</v>
      </c>
      <c r="J16" s="5"/>
      <c r="K16" s="5">
        <f>+G16</f>
        <v>-116000</v>
      </c>
      <c r="L16" s="5"/>
      <c r="M16" s="5"/>
      <c r="N16" s="5"/>
      <c r="O16" s="5">
        <f>-EGRESOS!C34-EGRESOS!C43+K16</f>
        <v>-190560</v>
      </c>
      <c r="P16" s="5"/>
      <c r="Q16" s="5"/>
      <c r="R16" s="5"/>
      <c r="S16" s="5">
        <f>+K16</f>
        <v>-116000</v>
      </c>
      <c r="T16" s="5"/>
      <c r="U16" s="5">
        <f>-EGRESOS!C34-EGRESOS!C43</f>
        <v>-74560</v>
      </c>
      <c r="V16" s="5"/>
      <c r="W16" s="5">
        <f>+S16</f>
        <v>-116000</v>
      </c>
      <c r="X16" s="5"/>
      <c r="Y16" s="5"/>
      <c r="Z16" s="5"/>
      <c r="AA16" s="5"/>
    </row>
    <row r="17" spans="2:27" x14ac:dyDescent="0.25">
      <c r="B17" s="20" t="s">
        <v>18</v>
      </c>
      <c r="C17" s="21"/>
      <c r="D17" s="21">
        <f>-EGRESOS!C68</f>
        <v>-7500000</v>
      </c>
      <c r="E17" s="21">
        <f>+D17</f>
        <v>-7500000</v>
      </c>
      <c r="F17" s="21">
        <f t="shared" ref="F17:AA17" si="1">+E17</f>
        <v>-7500000</v>
      </c>
      <c r="G17" s="21">
        <f t="shared" si="1"/>
        <v>-7500000</v>
      </c>
      <c r="H17" s="21">
        <f t="shared" si="1"/>
        <v>-7500000</v>
      </c>
      <c r="I17" s="21">
        <f t="shared" si="1"/>
        <v>-7500000</v>
      </c>
      <c r="J17" s="21">
        <f t="shared" si="1"/>
        <v>-7500000</v>
      </c>
      <c r="K17" s="21">
        <f t="shared" si="1"/>
        <v>-7500000</v>
      </c>
      <c r="L17" s="21">
        <f t="shared" si="1"/>
        <v>-7500000</v>
      </c>
      <c r="M17" s="21">
        <f t="shared" si="1"/>
        <v>-7500000</v>
      </c>
      <c r="N17" s="21">
        <f t="shared" si="1"/>
        <v>-7500000</v>
      </c>
      <c r="O17" s="21">
        <f t="shared" si="1"/>
        <v>-7500000</v>
      </c>
      <c r="P17" s="21">
        <f t="shared" si="1"/>
        <v>-7500000</v>
      </c>
      <c r="Q17" s="21">
        <f t="shared" si="1"/>
        <v>-7500000</v>
      </c>
      <c r="R17" s="21">
        <f t="shared" si="1"/>
        <v>-7500000</v>
      </c>
      <c r="S17" s="21">
        <f t="shared" si="1"/>
        <v>-7500000</v>
      </c>
      <c r="T17" s="21">
        <f t="shared" si="1"/>
        <v>-7500000</v>
      </c>
      <c r="U17" s="21">
        <f t="shared" si="1"/>
        <v>-7500000</v>
      </c>
      <c r="V17" s="21">
        <f t="shared" si="1"/>
        <v>-7500000</v>
      </c>
      <c r="W17" s="21">
        <f t="shared" si="1"/>
        <v>-7500000</v>
      </c>
      <c r="X17" s="21">
        <f t="shared" si="1"/>
        <v>-7500000</v>
      </c>
      <c r="Y17" s="21">
        <f t="shared" si="1"/>
        <v>-7500000</v>
      </c>
      <c r="Z17" s="21">
        <f t="shared" si="1"/>
        <v>-7500000</v>
      </c>
      <c r="AA17" s="21">
        <f t="shared" si="1"/>
        <v>-7500000</v>
      </c>
    </row>
    <row r="18" spans="2:27" x14ac:dyDescent="0.25">
      <c r="B18" s="20" t="s">
        <v>69</v>
      </c>
      <c r="C18" s="21"/>
      <c r="D18" s="21">
        <f>-EGRESOS!C80</f>
        <v>-828116</v>
      </c>
      <c r="E18" s="21">
        <f>+D18</f>
        <v>-828116</v>
      </c>
      <c r="F18" s="21">
        <f t="shared" ref="F18:AA18" si="2">+E18</f>
        <v>-828116</v>
      </c>
      <c r="G18" s="21">
        <f t="shared" si="2"/>
        <v>-828116</v>
      </c>
      <c r="H18" s="21">
        <f t="shared" si="2"/>
        <v>-828116</v>
      </c>
      <c r="I18" s="21">
        <f t="shared" si="2"/>
        <v>-828116</v>
      </c>
      <c r="J18" s="21">
        <f t="shared" si="2"/>
        <v>-828116</v>
      </c>
      <c r="K18" s="21">
        <f t="shared" si="2"/>
        <v>-828116</v>
      </c>
      <c r="L18" s="21">
        <f t="shared" si="2"/>
        <v>-828116</v>
      </c>
      <c r="M18" s="21">
        <f t="shared" si="2"/>
        <v>-828116</v>
      </c>
      <c r="N18" s="21">
        <f t="shared" si="2"/>
        <v>-828116</v>
      </c>
      <c r="O18" s="21">
        <f t="shared" si="2"/>
        <v>-828116</v>
      </c>
      <c r="P18" s="21">
        <f t="shared" si="2"/>
        <v>-828116</v>
      </c>
      <c r="Q18" s="21">
        <f t="shared" si="2"/>
        <v>-828116</v>
      </c>
      <c r="R18" s="21">
        <f t="shared" si="2"/>
        <v>-828116</v>
      </c>
      <c r="S18" s="21">
        <f t="shared" si="2"/>
        <v>-828116</v>
      </c>
      <c r="T18" s="21">
        <f t="shared" si="2"/>
        <v>-828116</v>
      </c>
      <c r="U18" s="21">
        <f t="shared" si="2"/>
        <v>-828116</v>
      </c>
      <c r="V18" s="21">
        <f t="shared" si="2"/>
        <v>-828116</v>
      </c>
      <c r="W18" s="21">
        <f t="shared" si="2"/>
        <v>-828116</v>
      </c>
      <c r="X18" s="21">
        <f t="shared" si="2"/>
        <v>-828116</v>
      </c>
      <c r="Y18" s="21">
        <f t="shared" si="2"/>
        <v>-828116</v>
      </c>
      <c r="Z18" s="21">
        <f t="shared" si="2"/>
        <v>-828116</v>
      </c>
      <c r="AA18" s="21">
        <f t="shared" si="2"/>
        <v>-828116</v>
      </c>
    </row>
    <row r="19" spans="2:27" x14ac:dyDescent="0.25">
      <c r="B19" s="20" t="s">
        <v>16</v>
      </c>
      <c r="C19" s="21"/>
      <c r="D19" s="21">
        <f>-EGRESOS!C87</f>
        <v>-660000</v>
      </c>
      <c r="E19" s="21">
        <f>+D19</f>
        <v>-660000</v>
      </c>
      <c r="F19" s="21">
        <f t="shared" ref="F19:AA19" si="3">+E19</f>
        <v>-660000</v>
      </c>
      <c r="G19" s="21">
        <f t="shared" si="3"/>
        <v>-660000</v>
      </c>
      <c r="H19" s="21">
        <f t="shared" si="3"/>
        <v>-660000</v>
      </c>
      <c r="I19" s="21">
        <f t="shared" si="3"/>
        <v>-660000</v>
      </c>
      <c r="J19" s="21">
        <f t="shared" si="3"/>
        <v>-660000</v>
      </c>
      <c r="K19" s="21">
        <f t="shared" si="3"/>
        <v>-660000</v>
      </c>
      <c r="L19" s="21">
        <f t="shared" si="3"/>
        <v>-660000</v>
      </c>
      <c r="M19" s="21">
        <f t="shared" si="3"/>
        <v>-660000</v>
      </c>
      <c r="N19" s="21">
        <f t="shared" si="3"/>
        <v>-660000</v>
      </c>
      <c r="O19" s="21">
        <f t="shared" si="3"/>
        <v>-660000</v>
      </c>
      <c r="P19" s="21">
        <f t="shared" si="3"/>
        <v>-660000</v>
      </c>
      <c r="Q19" s="21">
        <f t="shared" si="3"/>
        <v>-660000</v>
      </c>
      <c r="R19" s="21">
        <f t="shared" si="3"/>
        <v>-660000</v>
      </c>
      <c r="S19" s="21">
        <f t="shared" si="3"/>
        <v>-660000</v>
      </c>
      <c r="T19" s="21">
        <f t="shared" si="3"/>
        <v>-660000</v>
      </c>
      <c r="U19" s="21">
        <f t="shared" si="3"/>
        <v>-660000</v>
      </c>
      <c r="V19" s="21">
        <f t="shared" si="3"/>
        <v>-660000</v>
      </c>
      <c r="W19" s="21">
        <f t="shared" si="3"/>
        <v>-660000</v>
      </c>
      <c r="X19" s="21">
        <f t="shared" si="3"/>
        <v>-660000</v>
      </c>
      <c r="Y19" s="21">
        <f t="shared" si="3"/>
        <v>-660000</v>
      </c>
      <c r="Z19" s="21">
        <f t="shared" si="3"/>
        <v>-660000</v>
      </c>
      <c r="AA19" s="21">
        <f t="shared" si="3"/>
        <v>-660000</v>
      </c>
    </row>
    <row r="20" spans="2:27" x14ac:dyDescent="0.25">
      <c r="B20" s="20" t="s">
        <v>19</v>
      </c>
      <c r="C20" s="21"/>
      <c r="D20" s="21">
        <f>-EGRESOS!C91</f>
        <v>-350000</v>
      </c>
      <c r="E20" s="21">
        <f>+D20</f>
        <v>-350000</v>
      </c>
      <c r="F20" s="21">
        <f t="shared" ref="F20:AA20" si="4">+E20</f>
        <v>-350000</v>
      </c>
      <c r="G20" s="21">
        <f t="shared" si="4"/>
        <v>-350000</v>
      </c>
      <c r="H20" s="21">
        <f t="shared" si="4"/>
        <v>-350000</v>
      </c>
      <c r="I20" s="21">
        <f t="shared" si="4"/>
        <v>-350000</v>
      </c>
      <c r="J20" s="21">
        <f t="shared" si="4"/>
        <v>-350000</v>
      </c>
      <c r="K20" s="21">
        <f t="shared" si="4"/>
        <v>-350000</v>
      </c>
      <c r="L20" s="21">
        <f t="shared" si="4"/>
        <v>-350000</v>
      </c>
      <c r="M20" s="21">
        <f t="shared" si="4"/>
        <v>-350000</v>
      </c>
      <c r="N20" s="21">
        <f t="shared" si="4"/>
        <v>-350000</v>
      </c>
      <c r="O20" s="21">
        <f t="shared" si="4"/>
        <v>-350000</v>
      </c>
      <c r="P20" s="21">
        <f t="shared" si="4"/>
        <v>-350000</v>
      </c>
      <c r="Q20" s="21">
        <f t="shared" si="4"/>
        <v>-350000</v>
      </c>
      <c r="R20" s="21">
        <f t="shared" si="4"/>
        <v>-350000</v>
      </c>
      <c r="S20" s="21">
        <f t="shared" si="4"/>
        <v>-350000</v>
      </c>
      <c r="T20" s="21">
        <f t="shared" si="4"/>
        <v>-350000</v>
      </c>
      <c r="U20" s="21">
        <f t="shared" si="4"/>
        <v>-350000</v>
      </c>
      <c r="V20" s="21">
        <f t="shared" si="4"/>
        <v>-350000</v>
      </c>
      <c r="W20" s="21">
        <f t="shared" si="4"/>
        <v>-350000</v>
      </c>
      <c r="X20" s="21">
        <f t="shared" si="4"/>
        <v>-350000</v>
      </c>
      <c r="Y20" s="21">
        <f t="shared" si="4"/>
        <v>-350000</v>
      </c>
      <c r="Z20" s="21">
        <f t="shared" si="4"/>
        <v>-350000</v>
      </c>
      <c r="AA20" s="21">
        <f t="shared" si="4"/>
        <v>-350000</v>
      </c>
    </row>
    <row r="21" spans="2:27" x14ac:dyDescent="0.25">
      <c r="B21" s="20" t="s">
        <v>20</v>
      </c>
      <c r="C21" s="22"/>
      <c r="D21" s="21">
        <f>-EGRESOS!C99</f>
        <v>-29000000</v>
      </c>
      <c r="E21" s="21"/>
      <c r="F21" s="21"/>
      <c r="G21" s="21"/>
      <c r="H21" s="21"/>
      <c r="I21" s="5">
        <f>+D21</f>
        <v>-29000000</v>
      </c>
      <c r="J21" s="34"/>
      <c r="K21" s="34"/>
      <c r="L21" s="34"/>
      <c r="M21" s="34"/>
      <c r="N21" s="34"/>
      <c r="O21" s="34">
        <f>+I21</f>
        <v>-29000000</v>
      </c>
      <c r="P21" s="34"/>
      <c r="Q21" s="34"/>
      <c r="R21" s="34"/>
      <c r="S21" s="34"/>
      <c r="T21" s="34"/>
      <c r="U21" s="34">
        <f>+O21</f>
        <v>-29000000</v>
      </c>
      <c r="V21" s="34"/>
      <c r="W21" s="34"/>
      <c r="X21" s="34"/>
      <c r="Y21" s="34"/>
      <c r="Z21" s="34">
        <f>+Y21</f>
        <v>0</v>
      </c>
    </row>
    <row r="22" spans="2:27" x14ac:dyDescent="0.25">
      <c r="B22" s="20" t="s">
        <v>21</v>
      </c>
      <c r="C22" s="21"/>
      <c r="D22" s="21">
        <v>-8000000</v>
      </c>
      <c r="E22" s="21"/>
      <c r="F22" s="21"/>
      <c r="G22" s="21"/>
      <c r="H22" s="21"/>
      <c r="I22" s="5">
        <f>-EGRESOS!C107</f>
        <v>-2133333.333333333</v>
      </c>
      <c r="J22" s="5"/>
      <c r="K22" s="5"/>
      <c r="L22" s="5"/>
      <c r="M22" s="5"/>
      <c r="N22" s="5"/>
      <c r="O22" s="34">
        <f>+I22</f>
        <v>-2133333.333333333</v>
      </c>
      <c r="P22" s="5"/>
      <c r="Q22" s="5"/>
      <c r="R22" s="5"/>
      <c r="S22" s="5"/>
      <c r="T22" s="5"/>
      <c r="U22" s="34">
        <f>+O22</f>
        <v>-2133333.333333333</v>
      </c>
      <c r="V22" s="5"/>
      <c r="W22" s="5"/>
      <c r="X22" s="5"/>
      <c r="Y22" s="5"/>
      <c r="Z22" s="5"/>
      <c r="AA22" s="5">
        <v>-40000000</v>
      </c>
    </row>
    <row r="23" spans="2:27" x14ac:dyDescent="0.25">
      <c r="B23" s="20" t="s">
        <v>73</v>
      </c>
      <c r="C23" s="21"/>
      <c r="D23" s="21">
        <f>-EGRESOS!C115</f>
        <v>-4400000</v>
      </c>
      <c r="E23" s="21"/>
      <c r="F23" s="21"/>
      <c r="G23" s="21"/>
      <c r="H23" s="2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2:27" x14ac:dyDescent="0.25">
      <c r="B24" s="20" t="s">
        <v>74</v>
      </c>
      <c r="C24" s="21"/>
      <c r="D24" s="21">
        <f>-EGRESOS!C124</f>
        <v>-1250000</v>
      </c>
      <c r="E24" s="21"/>
      <c r="F24" s="21"/>
      <c r="G24" s="21"/>
      <c r="H24" s="2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7" x14ac:dyDescent="0.25">
      <c r="B25" s="20" t="s">
        <v>109</v>
      </c>
      <c r="C25" s="21"/>
      <c r="D25" s="21"/>
      <c r="E25" s="21"/>
      <c r="F25" s="21"/>
      <c r="G25" s="21"/>
      <c r="H25" s="2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2:27" x14ac:dyDescent="0.25">
      <c r="B26" s="20" t="s">
        <v>22</v>
      </c>
      <c r="C26" s="21"/>
      <c r="D26" s="21">
        <f>-EGRESOS!C131</f>
        <v>-984000</v>
      </c>
      <c r="E26" s="21"/>
      <c r="F26" s="21"/>
      <c r="G26" s="21"/>
      <c r="H26" s="2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2:27" ht="15.75" thickBot="1" x14ac:dyDescent="0.3">
      <c r="B27" s="24" t="s">
        <v>98</v>
      </c>
      <c r="C27" s="25"/>
      <c r="D27" s="21">
        <f>+C3</f>
        <v>235416.66666666666</v>
      </c>
      <c r="E27" s="22">
        <f>+D27</f>
        <v>235416.66666666666</v>
      </c>
      <c r="F27" s="22">
        <f t="shared" ref="F27:AA27" si="5">+E27</f>
        <v>235416.66666666666</v>
      </c>
      <c r="G27" s="22">
        <f t="shared" si="5"/>
        <v>235416.66666666666</v>
      </c>
      <c r="H27" s="22">
        <f t="shared" si="5"/>
        <v>235416.66666666666</v>
      </c>
      <c r="I27" s="22">
        <f t="shared" si="5"/>
        <v>235416.66666666666</v>
      </c>
      <c r="J27" s="22">
        <f t="shared" si="5"/>
        <v>235416.66666666666</v>
      </c>
      <c r="K27" s="22">
        <f t="shared" si="5"/>
        <v>235416.66666666666</v>
      </c>
      <c r="L27" s="22">
        <f t="shared" si="5"/>
        <v>235416.66666666666</v>
      </c>
      <c r="M27" s="22">
        <f t="shared" si="5"/>
        <v>235416.66666666666</v>
      </c>
      <c r="N27" s="22">
        <f t="shared" si="5"/>
        <v>235416.66666666666</v>
      </c>
      <c r="O27" s="22">
        <f t="shared" si="5"/>
        <v>235416.66666666666</v>
      </c>
      <c r="P27" s="22">
        <f t="shared" si="5"/>
        <v>235416.66666666666</v>
      </c>
      <c r="Q27" s="22">
        <f t="shared" si="5"/>
        <v>235416.66666666666</v>
      </c>
      <c r="R27" s="22">
        <f t="shared" si="5"/>
        <v>235416.66666666666</v>
      </c>
      <c r="S27" s="22">
        <f t="shared" si="5"/>
        <v>235416.66666666666</v>
      </c>
      <c r="T27" s="22">
        <f t="shared" si="5"/>
        <v>235416.66666666666</v>
      </c>
      <c r="U27" s="22">
        <f t="shared" si="5"/>
        <v>235416.66666666666</v>
      </c>
      <c r="V27" s="22">
        <f t="shared" si="5"/>
        <v>235416.66666666666</v>
      </c>
      <c r="W27" s="22">
        <f t="shared" si="5"/>
        <v>235416.66666666666</v>
      </c>
      <c r="X27" s="22">
        <f t="shared" si="5"/>
        <v>235416.66666666666</v>
      </c>
      <c r="Y27" s="22">
        <f t="shared" si="5"/>
        <v>235416.66666666666</v>
      </c>
      <c r="Z27" s="22">
        <f t="shared" si="5"/>
        <v>235416.66666666666</v>
      </c>
      <c r="AA27" s="22">
        <f t="shared" si="5"/>
        <v>235416.66666666666</v>
      </c>
    </row>
    <row r="28" spans="2:27" x14ac:dyDescent="0.25">
      <c r="D28" s="23"/>
      <c r="E28" s="23"/>
      <c r="F28" s="23"/>
      <c r="G28" s="23"/>
      <c r="H28" s="23"/>
    </row>
    <row r="29" spans="2:27" ht="15.75" thickBot="1" x14ac:dyDescent="0.3">
      <c r="B29" s="14" t="s">
        <v>99</v>
      </c>
      <c r="C29" s="15">
        <f>+C13+C15+C16+C17+C18+C19+C20+C21+C22+C23+C24+C26+C27</f>
        <v>0</v>
      </c>
      <c r="D29" s="22">
        <f>SUM(D13:D27)</f>
        <v>-53063699.333333336</v>
      </c>
      <c r="E29" s="22">
        <f t="shared" ref="E29:AA29" si="6">SUM(E13:E27)</f>
        <v>-9313699.333333334</v>
      </c>
      <c r="F29" s="22">
        <f t="shared" si="6"/>
        <v>-9313699.333333334</v>
      </c>
      <c r="G29" s="22">
        <f t="shared" si="6"/>
        <v>-9429699.333333334</v>
      </c>
      <c r="H29" s="22">
        <f t="shared" si="6"/>
        <v>-9313699.333333334</v>
      </c>
      <c r="I29" s="22">
        <f>SUM(I13:I27)</f>
        <v>14478407.333333334</v>
      </c>
      <c r="J29" s="22">
        <f t="shared" si="6"/>
        <v>-9313699.333333334</v>
      </c>
      <c r="K29" s="22">
        <f t="shared" si="6"/>
        <v>-9429699.333333334</v>
      </c>
      <c r="L29" s="22">
        <f t="shared" si="6"/>
        <v>-9313699.333333334</v>
      </c>
      <c r="M29" s="22">
        <f t="shared" si="6"/>
        <v>-9313699.333333334</v>
      </c>
      <c r="N29" s="22">
        <f t="shared" si="6"/>
        <v>-9313699.333333334</v>
      </c>
      <c r="O29" s="22">
        <f>SUM(O13:O27)</f>
        <v>14362407.333333334</v>
      </c>
      <c r="P29" s="22">
        <f t="shared" si="6"/>
        <v>-9313699.333333334</v>
      </c>
      <c r="Q29" s="22">
        <f t="shared" si="6"/>
        <v>-9313699.333333334</v>
      </c>
      <c r="R29" s="22">
        <f t="shared" si="6"/>
        <v>-9313699.333333334</v>
      </c>
      <c r="S29" s="22">
        <f t="shared" si="6"/>
        <v>-9429699.333333334</v>
      </c>
      <c r="T29" s="22">
        <f t="shared" si="6"/>
        <v>-9313699.333333334</v>
      </c>
      <c r="U29" s="22">
        <f t="shared" si="6"/>
        <v>14478407.333333334</v>
      </c>
      <c r="V29" s="22">
        <f t="shared" si="6"/>
        <v>-9313699.333333334</v>
      </c>
      <c r="W29" s="22">
        <f t="shared" si="6"/>
        <v>-9429699.333333334</v>
      </c>
      <c r="X29" s="22">
        <f t="shared" si="6"/>
        <v>-9313699.333333334</v>
      </c>
      <c r="Y29" s="22">
        <f t="shared" si="6"/>
        <v>-9313699.333333334</v>
      </c>
      <c r="Z29" s="22">
        <f t="shared" si="6"/>
        <v>-9313699.333333334</v>
      </c>
      <c r="AA29" s="22">
        <f t="shared" si="6"/>
        <v>5686300.666666667</v>
      </c>
    </row>
    <row r="30" spans="2:27" x14ac:dyDescent="0.25">
      <c r="D30" s="23"/>
      <c r="E30" s="23"/>
      <c r="F30" s="23"/>
      <c r="G30" s="23"/>
      <c r="H30" s="23"/>
    </row>
    <row r="31" spans="2:27" ht="15.75" thickBot="1" x14ac:dyDescent="0.3">
      <c r="B31" s="14" t="s">
        <v>100</v>
      </c>
      <c r="C31" s="16"/>
      <c r="D31" s="21"/>
      <c r="E31" s="21"/>
      <c r="F31" s="21"/>
      <c r="G31" s="21"/>
      <c r="H31" s="21"/>
      <c r="I31" s="21">
        <f>-I29*$C$6</f>
        <v>-4343522.2</v>
      </c>
      <c r="J31" s="21"/>
      <c r="K31" s="21"/>
      <c r="L31" s="21"/>
      <c r="M31" s="21"/>
      <c r="N31" s="21"/>
      <c r="O31" s="21">
        <f t="shared" ref="O31:AA31" si="7">-O29*$C$6</f>
        <v>-4308722.2</v>
      </c>
      <c r="P31" s="21"/>
      <c r="Q31" s="21"/>
      <c r="R31" s="21"/>
      <c r="S31" s="21"/>
      <c r="T31" s="21"/>
      <c r="U31" s="21">
        <f t="shared" si="7"/>
        <v>-4343522.2</v>
      </c>
      <c r="V31" s="21"/>
      <c r="W31" s="21"/>
      <c r="X31" s="21"/>
      <c r="Y31" s="21"/>
      <c r="Z31" s="21"/>
      <c r="AA31" s="21">
        <f t="shared" si="7"/>
        <v>-1705890.2</v>
      </c>
    </row>
    <row r="32" spans="2:27" x14ac:dyDescent="0.25">
      <c r="D32" s="23"/>
      <c r="E32" s="23"/>
      <c r="F32" s="23"/>
      <c r="G32" s="23"/>
      <c r="H32" s="23"/>
    </row>
    <row r="33" spans="2:27" ht="15.75" thickBot="1" x14ac:dyDescent="0.3">
      <c r="B33" s="16" t="s">
        <v>101</v>
      </c>
      <c r="C33" s="16"/>
      <c r="D33" s="22">
        <f>+D29+D31</f>
        <v>-53063699.333333336</v>
      </c>
      <c r="E33" s="22">
        <f>+E29+E31</f>
        <v>-9313699.333333334</v>
      </c>
      <c r="F33" s="22">
        <f t="shared" ref="F33:AA33" si="8">+F29+F31</f>
        <v>-9313699.333333334</v>
      </c>
      <c r="G33" s="22">
        <f t="shared" si="8"/>
        <v>-9429699.333333334</v>
      </c>
      <c r="H33" s="22">
        <f t="shared" si="8"/>
        <v>-9313699.333333334</v>
      </c>
      <c r="I33" s="22">
        <f t="shared" si="8"/>
        <v>10134885.133333333</v>
      </c>
      <c r="J33" s="22">
        <f t="shared" si="8"/>
        <v>-9313699.333333334</v>
      </c>
      <c r="K33" s="22">
        <f t="shared" si="8"/>
        <v>-9429699.333333334</v>
      </c>
      <c r="L33" s="22">
        <f t="shared" si="8"/>
        <v>-9313699.333333334</v>
      </c>
      <c r="M33" s="22">
        <f t="shared" si="8"/>
        <v>-9313699.333333334</v>
      </c>
      <c r="N33" s="22">
        <f t="shared" si="8"/>
        <v>-9313699.333333334</v>
      </c>
      <c r="O33" s="22">
        <f t="shared" si="8"/>
        <v>10053685.133333333</v>
      </c>
      <c r="P33" s="22">
        <f t="shared" si="8"/>
        <v>-9313699.333333334</v>
      </c>
      <c r="Q33" s="22">
        <f t="shared" si="8"/>
        <v>-9313699.333333334</v>
      </c>
      <c r="R33" s="22">
        <f t="shared" si="8"/>
        <v>-9313699.333333334</v>
      </c>
      <c r="S33" s="22">
        <f t="shared" si="8"/>
        <v>-9429699.333333334</v>
      </c>
      <c r="T33" s="22">
        <f t="shared" si="8"/>
        <v>-9313699.333333334</v>
      </c>
      <c r="U33" s="22">
        <f t="shared" si="8"/>
        <v>10134885.133333333</v>
      </c>
      <c r="V33" s="22">
        <f t="shared" si="8"/>
        <v>-9313699.333333334</v>
      </c>
      <c r="W33" s="22">
        <f t="shared" si="8"/>
        <v>-9429699.333333334</v>
      </c>
      <c r="X33" s="22">
        <f t="shared" si="8"/>
        <v>-9313699.333333334</v>
      </c>
      <c r="Y33" s="22">
        <f t="shared" si="8"/>
        <v>-9313699.333333334</v>
      </c>
      <c r="Z33" s="22">
        <f t="shared" si="8"/>
        <v>-9313699.333333334</v>
      </c>
      <c r="AA33" s="22">
        <f t="shared" si="8"/>
        <v>3980410.4666666668</v>
      </c>
    </row>
    <row r="34" spans="2:27" x14ac:dyDescent="0.25">
      <c r="D34" s="23"/>
      <c r="E34" s="23"/>
      <c r="F34" s="23"/>
      <c r="G34" s="23"/>
      <c r="H34" s="23"/>
    </row>
    <row r="35" spans="2:27" ht="15.75" thickBot="1" x14ac:dyDescent="0.3">
      <c r="B35" s="16" t="s">
        <v>102</v>
      </c>
      <c r="C35" s="16"/>
      <c r="D35" s="22">
        <f>+D33+D27</f>
        <v>-52828282.666666672</v>
      </c>
      <c r="E35" s="22">
        <f t="shared" ref="E35:AA35" si="9">+E33+E27</f>
        <v>-9078282.6666666679</v>
      </c>
      <c r="F35" s="22">
        <f t="shared" si="9"/>
        <v>-9078282.6666666679</v>
      </c>
      <c r="G35" s="22">
        <f t="shared" si="9"/>
        <v>-9194282.6666666679</v>
      </c>
      <c r="H35" s="22">
        <f t="shared" si="9"/>
        <v>-9078282.6666666679</v>
      </c>
      <c r="I35" s="22">
        <f t="shared" si="9"/>
        <v>10370301.799999999</v>
      </c>
      <c r="J35" s="22">
        <f t="shared" si="9"/>
        <v>-9078282.6666666679</v>
      </c>
      <c r="K35" s="22">
        <f t="shared" si="9"/>
        <v>-9194282.6666666679</v>
      </c>
      <c r="L35" s="22">
        <f t="shared" si="9"/>
        <v>-9078282.6666666679</v>
      </c>
      <c r="M35" s="22">
        <f t="shared" si="9"/>
        <v>-9078282.6666666679</v>
      </c>
      <c r="N35" s="22">
        <f t="shared" si="9"/>
        <v>-9078282.6666666679</v>
      </c>
      <c r="O35" s="22">
        <f t="shared" si="9"/>
        <v>10289101.799999999</v>
      </c>
      <c r="P35" s="22">
        <f t="shared" si="9"/>
        <v>-9078282.6666666679</v>
      </c>
      <c r="Q35" s="22">
        <f t="shared" si="9"/>
        <v>-9078282.6666666679</v>
      </c>
      <c r="R35" s="22">
        <f t="shared" si="9"/>
        <v>-9078282.6666666679</v>
      </c>
      <c r="S35" s="22">
        <f t="shared" si="9"/>
        <v>-9194282.6666666679</v>
      </c>
      <c r="T35" s="22">
        <f t="shared" si="9"/>
        <v>-9078282.6666666679</v>
      </c>
      <c r="U35" s="22">
        <f t="shared" si="9"/>
        <v>10370301.799999999</v>
      </c>
      <c r="V35" s="22">
        <f t="shared" si="9"/>
        <v>-9078282.6666666679</v>
      </c>
      <c r="W35" s="22">
        <f t="shared" si="9"/>
        <v>-9194282.6666666679</v>
      </c>
      <c r="X35" s="22">
        <f t="shared" si="9"/>
        <v>-9078282.6666666679</v>
      </c>
      <c r="Y35" s="22">
        <f t="shared" si="9"/>
        <v>-9078282.6666666679</v>
      </c>
      <c r="Z35" s="22">
        <f t="shared" si="9"/>
        <v>-9078282.6666666679</v>
      </c>
      <c r="AA35" s="22">
        <f t="shared" si="9"/>
        <v>4215827.1333333338</v>
      </c>
    </row>
    <row r="36" spans="2:27" x14ac:dyDescent="0.25">
      <c r="B36" s="23"/>
      <c r="C36" s="23"/>
      <c r="D36" s="22"/>
      <c r="E36" s="22"/>
      <c r="F36" s="22"/>
      <c r="G36" s="22"/>
      <c r="H36" s="22"/>
    </row>
    <row r="37" spans="2:27" ht="15.75" thickBot="1" x14ac:dyDescent="0.3">
      <c r="B37" s="16" t="s">
        <v>103</v>
      </c>
      <c r="C37" s="17"/>
      <c r="D37" s="22"/>
      <c r="E37" s="22"/>
      <c r="F37" s="22"/>
      <c r="G37" s="22"/>
      <c r="H37" s="22"/>
    </row>
    <row r="38" spans="2:27" x14ac:dyDescent="0.25">
      <c r="D38" s="23"/>
      <c r="E38" s="23"/>
      <c r="F38" s="23"/>
      <c r="G38" s="23"/>
      <c r="H38" s="23"/>
    </row>
    <row r="39" spans="2:27" ht="15.75" thickBot="1" x14ac:dyDescent="0.3">
      <c r="B39" s="16" t="s">
        <v>104</v>
      </c>
      <c r="C39" s="15">
        <f>+C29+C37</f>
        <v>0</v>
      </c>
      <c r="D39" s="22">
        <f>+D35</f>
        <v>-52828282.666666672</v>
      </c>
      <c r="E39" s="22">
        <f t="shared" ref="E39:AA39" si="10">+E35</f>
        <v>-9078282.6666666679</v>
      </c>
      <c r="F39" s="22">
        <f t="shared" si="10"/>
        <v>-9078282.6666666679</v>
      </c>
      <c r="G39" s="22">
        <f t="shared" si="10"/>
        <v>-9194282.6666666679</v>
      </c>
      <c r="H39" s="22">
        <f t="shared" si="10"/>
        <v>-9078282.6666666679</v>
      </c>
      <c r="I39" s="22">
        <f>+I35</f>
        <v>10370301.799999999</v>
      </c>
      <c r="J39" s="22">
        <f t="shared" si="10"/>
        <v>-9078282.6666666679</v>
      </c>
      <c r="K39" s="22">
        <f t="shared" si="10"/>
        <v>-9194282.6666666679</v>
      </c>
      <c r="L39" s="22">
        <f t="shared" si="10"/>
        <v>-9078282.6666666679</v>
      </c>
      <c r="M39" s="22">
        <f t="shared" si="10"/>
        <v>-9078282.6666666679</v>
      </c>
      <c r="N39" s="22">
        <f t="shared" si="10"/>
        <v>-9078282.6666666679</v>
      </c>
      <c r="O39" s="22">
        <f t="shared" si="10"/>
        <v>10289101.799999999</v>
      </c>
      <c r="P39" s="22">
        <f t="shared" si="10"/>
        <v>-9078282.6666666679</v>
      </c>
      <c r="Q39" s="22">
        <f t="shared" si="10"/>
        <v>-9078282.6666666679</v>
      </c>
      <c r="R39" s="22">
        <f t="shared" si="10"/>
        <v>-9078282.6666666679</v>
      </c>
      <c r="S39" s="22">
        <f t="shared" si="10"/>
        <v>-9194282.6666666679</v>
      </c>
      <c r="T39" s="22">
        <f t="shared" si="10"/>
        <v>-9078282.6666666679</v>
      </c>
      <c r="U39" s="22">
        <f t="shared" si="10"/>
        <v>10370301.799999999</v>
      </c>
      <c r="V39" s="22">
        <f t="shared" si="10"/>
        <v>-9078282.6666666679</v>
      </c>
      <c r="W39" s="22">
        <f t="shared" si="10"/>
        <v>-9194282.6666666679</v>
      </c>
      <c r="X39" s="22">
        <f t="shared" si="10"/>
        <v>-9078282.6666666679</v>
      </c>
      <c r="Y39" s="22">
        <f t="shared" si="10"/>
        <v>-9078282.6666666679</v>
      </c>
      <c r="Z39" s="22">
        <f t="shared" si="10"/>
        <v>-9078282.6666666679</v>
      </c>
      <c r="AA39" s="22">
        <f t="shared" si="10"/>
        <v>4215827.1333333338</v>
      </c>
    </row>
    <row r="40" spans="2:27" x14ac:dyDescent="0.25">
      <c r="B40" t="s">
        <v>105</v>
      </c>
      <c r="C40" s="7">
        <f>+C39</f>
        <v>0</v>
      </c>
      <c r="D40" s="22">
        <f>+C40+D39</f>
        <v>-52828282.666666672</v>
      </c>
      <c r="E40" s="22">
        <f t="shared" ref="E40:AA40" si="11">+D40+E39</f>
        <v>-61906565.333333343</v>
      </c>
      <c r="F40" s="22">
        <f t="shared" si="11"/>
        <v>-70984848.000000015</v>
      </c>
      <c r="G40" s="22">
        <f t="shared" si="11"/>
        <v>-80179130.666666687</v>
      </c>
      <c r="H40" s="22">
        <f t="shared" si="11"/>
        <v>-89257413.333333358</v>
      </c>
      <c r="I40" s="22">
        <f t="shared" si="11"/>
        <v>-78887111.533333361</v>
      </c>
      <c r="J40" s="22">
        <f t="shared" si="11"/>
        <v>-87965394.200000033</v>
      </c>
      <c r="K40" s="22">
        <f t="shared" si="11"/>
        <v>-97159676.866666704</v>
      </c>
      <c r="L40" s="22">
        <f t="shared" si="11"/>
        <v>-106237959.53333338</v>
      </c>
      <c r="M40" s="22">
        <f t="shared" si="11"/>
        <v>-115316242.20000005</v>
      </c>
      <c r="N40" s="22">
        <f t="shared" si="11"/>
        <v>-124394524.86666672</v>
      </c>
      <c r="O40" s="22">
        <f>+N40+O39</f>
        <v>-114105423.06666672</v>
      </c>
      <c r="P40" s="22">
        <f t="shared" si="11"/>
        <v>-123183705.73333339</v>
      </c>
      <c r="Q40" s="22">
        <f t="shared" si="11"/>
        <v>-132261988.40000007</v>
      </c>
      <c r="R40" s="22">
        <f t="shared" si="11"/>
        <v>-141340271.06666672</v>
      </c>
      <c r="S40" s="22">
        <f t="shared" si="11"/>
        <v>-150534553.73333338</v>
      </c>
      <c r="T40" s="22">
        <f t="shared" si="11"/>
        <v>-159612836.40000004</v>
      </c>
      <c r="U40" s="22">
        <f t="shared" si="11"/>
        <v>-149242534.60000002</v>
      </c>
      <c r="V40" s="22">
        <f t="shared" si="11"/>
        <v>-158320817.26666668</v>
      </c>
      <c r="W40" s="22">
        <f t="shared" si="11"/>
        <v>-167515099.93333334</v>
      </c>
      <c r="X40" s="22">
        <f t="shared" si="11"/>
        <v>-176593382.59999999</v>
      </c>
      <c r="Y40" s="22">
        <f t="shared" si="11"/>
        <v>-185671665.26666665</v>
      </c>
      <c r="Z40" s="22">
        <f t="shared" si="11"/>
        <v>-194749947.93333331</v>
      </c>
      <c r="AA40" s="22">
        <f t="shared" si="11"/>
        <v>-190534120.79999998</v>
      </c>
    </row>
    <row r="41" spans="2:27" x14ac:dyDescent="0.25">
      <c r="D41" s="23"/>
      <c r="E41" s="23"/>
      <c r="F41" s="23"/>
      <c r="G41" s="23"/>
      <c r="H41" s="23"/>
    </row>
    <row r="42" spans="2:27" x14ac:dyDescent="0.25">
      <c r="D42" s="13"/>
    </row>
  </sheetData>
  <mergeCells count="2">
    <mergeCell ref="P9:AA9"/>
    <mergeCell ref="D9:O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5"/>
  <sheetViews>
    <sheetView zoomScale="70" zoomScaleNormal="70" workbookViewId="0">
      <selection activeCell="K39" sqref="K39"/>
    </sheetView>
  </sheetViews>
  <sheetFormatPr baseColWidth="10" defaultColWidth="13.42578125" defaultRowHeight="15" x14ac:dyDescent="0.25"/>
  <cols>
    <col min="1" max="1" width="6.7109375" customWidth="1"/>
    <col min="2" max="2" width="31.42578125" bestFit="1" customWidth="1"/>
    <col min="3" max="3" width="18.7109375" bestFit="1" customWidth="1"/>
    <col min="4" max="4" width="19.28515625" bestFit="1" customWidth="1"/>
    <col min="5" max="5" width="20" bestFit="1" customWidth="1"/>
    <col min="6" max="6" width="24.42578125" bestFit="1" customWidth="1"/>
    <col min="7" max="7" width="20" bestFit="1" customWidth="1"/>
    <col min="8" max="9" width="20.28515625" bestFit="1" customWidth="1"/>
    <col min="10" max="12" width="18.28515625" bestFit="1" customWidth="1"/>
    <col min="13" max="14" width="18.7109375" bestFit="1" customWidth="1"/>
    <col min="15" max="15" width="20.28515625" bestFit="1" customWidth="1"/>
  </cols>
  <sheetData>
    <row r="2" spans="2:15" x14ac:dyDescent="0.25">
      <c r="B2" t="s">
        <v>108</v>
      </c>
      <c r="E2" s="36" t="s">
        <v>118</v>
      </c>
      <c r="F2" s="37">
        <f>SUM(D15:AA27)</f>
        <v>-105821089.3333333</v>
      </c>
    </row>
    <row r="3" spans="2:15" x14ac:dyDescent="0.25">
      <c r="B3" t="s">
        <v>97</v>
      </c>
      <c r="C3" s="5">
        <f>((D23+D24)/24)*-1</f>
        <v>235416.66666666666</v>
      </c>
      <c r="E3" s="36" t="s">
        <v>119</v>
      </c>
      <c r="F3" s="37">
        <f>SUM(D13:AA13)</f>
        <v>55000000</v>
      </c>
    </row>
    <row r="4" spans="2:15" x14ac:dyDescent="0.25">
      <c r="B4" t="s">
        <v>117</v>
      </c>
      <c r="C4">
        <v>24</v>
      </c>
      <c r="E4" s="36"/>
      <c r="F4" s="36"/>
    </row>
    <row r="5" spans="2:15" x14ac:dyDescent="0.25">
      <c r="E5" s="36" t="s">
        <v>120</v>
      </c>
      <c r="F5" s="38">
        <f>+F3+F2</f>
        <v>-50821089.333333299</v>
      </c>
    </row>
    <row r="6" spans="2:15" x14ac:dyDescent="0.25">
      <c r="B6" t="s">
        <v>100</v>
      </c>
      <c r="C6" s="13">
        <v>0.3</v>
      </c>
      <c r="E6" s="32"/>
      <c r="F6" s="39">
        <f>+(F5/F2)*-1</f>
        <v>-0.48025483061555313</v>
      </c>
    </row>
    <row r="7" spans="2:15" x14ac:dyDescent="0.25">
      <c r="B7" t="s">
        <v>106</v>
      </c>
      <c r="C7" s="13">
        <v>0.1</v>
      </c>
    </row>
    <row r="8" spans="2:15" ht="15.75" thickBot="1" x14ac:dyDescent="0.3"/>
    <row r="9" spans="2:15" ht="15.75" thickBot="1" x14ac:dyDescent="0.3">
      <c r="C9" s="30"/>
      <c r="D9" s="69" t="s">
        <v>7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</row>
    <row r="10" spans="2:15" x14ac:dyDescent="0.25">
      <c r="C10" s="26">
        <v>0</v>
      </c>
      <c r="D10" s="33">
        <v>1</v>
      </c>
      <c r="E10" s="33">
        <v>2</v>
      </c>
      <c r="F10" s="33">
        <v>3</v>
      </c>
      <c r="G10" s="33">
        <v>4</v>
      </c>
      <c r="H10" s="33">
        <v>5</v>
      </c>
      <c r="I10" s="33">
        <v>6</v>
      </c>
      <c r="J10" s="33">
        <v>7</v>
      </c>
      <c r="K10" s="33">
        <v>8</v>
      </c>
      <c r="L10" s="33">
        <v>9</v>
      </c>
      <c r="M10" s="33">
        <v>10</v>
      </c>
      <c r="N10" s="33">
        <v>11</v>
      </c>
      <c r="O10" s="33">
        <v>12</v>
      </c>
    </row>
    <row r="11" spans="2:15" x14ac:dyDescent="0.25">
      <c r="C11" s="18"/>
      <c r="D11" s="31"/>
      <c r="E11" s="31"/>
      <c r="F11" s="31"/>
      <c r="G11" s="31"/>
      <c r="H11" s="31"/>
    </row>
    <row r="12" spans="2:15" x14ac:dyDescent="0.25">
      <c r="B12" s="18" t="s">
        <v>14</v>
      </c>
      <c r="C12" s="19"/>
      <c r="D12" s="21"/>
      <c r="E12" s="21"/>
      <c r="F12" s="21"/>
      <c r="G12" s="21"/>
      <c r="H12" s="21"/>
      <c r="I12" s="5"/>
      <c r="J12" s="5"/>
      <c r="K12" s="5"/>
      <c r="L12" s="5"/>
      <c r="M12" s="5"/>
      <c r="N12" s="5"/>
      <c r="O12" s="5"/>
    </row>
    <row r="13" spans="2:15" x14ac:dyDescent="0.25">
      <c r="B13" s="27" t="s">
        <v>13</v>
      </c>
      <c r="C13" s="23"/>
      <c r="D13" s="21"/>
      <c r="E13" s="21"/>
      <c r="F13" s="21"/>
      <c r="G13" s="21"/>
      <c r="H13" s="21"/>
      <c r="I13" s="5">
        <f>+INGRESOS!F3</f>
        <v>55000000</v>
      </c>
      <c r="J13" s="5"/>
      <c r="K13" s="5"/>
      <c r="L13" s="5"/>
      <c r="M13" s="5"/>
      <c r="N13" s="5"/>
      <c r="O13" s="5"/>
    </row>
    <row r="14" spans="2:15" x14ac:dyDescent="0.25">
      <c r="B14" s="18" t="s">
        <v>15</v>
      </c>
      <c r="C14" s="19"/>
      <c r="D14" s="21"/>
      <c r="E14" s="21"/>
      <c r="F14" s="21"/>
      <c r="G14" s="21"/>
      <c r="H14" s="21"/>
      <c r="I14" s="5"/>
      <c r="J14" s="5"/>
      <c r="K14" s="5"/>
      <c r="L14" s="5"/>
      <c r="M14" s="5"/>
      <c r="N14" s="5"/>
      <c r="O14" s="5"/>
    </row>
    <row r="15" spans="2:15" x14ac:dyDescent="0.25">
      <c r="B15" s="20" t="s">
        <v>17</v>
      </c>
      <c r="C15" s="21"/>
      <c r="D15" s="21">
        <f>-EGRESOS!C13+-EGRESOS!C24</f>
        <v>-211000</v>
      </c>
      <c r="E15" s="21"/>
      <c r="F15" s="21"/>
      <c r="G15" s="21"/>
      <c r="H15" s="21"/>
      <c r="I15" s="5"/>
      <c r="J15" s="5"/>
      <c r="K15" s="5"/>
      <c r="L15" s="5"/>
      <c r="M15" s="5"/>
      <c r="N15" s="5"/>
      <c r="O15" s="5"/>
    </row>
    <row r="16" spans="2:15" x14ac:dyDescent="0.25">
      <c r="B16" s="20" t="s">
        <v>46</v>
      </c>
      <c r="C16" s="21"/>
      <c r="D16" s="21">
        <f>-EGRESOS!C53-EGRESOS!C62</f>
        <v>-116000</v>
      </c>
      <c r="E16" s="21"/>
      <c r="F16" s="21"/>
      <c r="G16" s="21">
        <f>+D16</f>
        <v>-116000</v>
      </c>
      <c r="H16" s="21"/>
      <c r="I16" s="5">
        <f>-EGRESOS!C34-EGRESOS!C43</f>
        <v>-74560</v>
      </c>
      <c r="J16" s="5"/>
      <c r="K16" s="5"/>
      <c r="L16" s="5"/>
      <c r="M16" s="5"/>
      <c r="N16" s="5"/>
      <c r="O16" s="5"/>
    </row>
    <row r="17" spans="2:15" x14ac:dyDescent="0.25">
      <c r="B17" s="20" t="s">
        <v>18</v>
      </c>
      <c r="C17" s="21"/>
      <c r="D17" s="21">
        <f>-EGRESOS!C68</f>
        <v>-7500000</v>
      </c>
      <c r="E17" s="21">
        <f>+D17</f>
        <v>-7500000</v>
      </c>
      <c r="F17" s="21">
        <f t="shared" ref="F17:H20" si="0">+E17</f>
        <v>-7500000</v>
      </c>
      <c r="G17" s="21">
        <f t="shared" si="0"/>
        <v>-7500000</v>
      </c>
      <c r="H17" s="21">
        <f t="shared" si="0"/>
        <v>-7500000</v>
      </c>
      <c r="I17" s="21">
        <f>+H17</f>
        <v>-7500000</v>
      </c>
      <c r="J17" s="21"/>
      <c r="K17" s="21"/>
      <c r="L17" s="21"/>
      <c r="M17" s="21"/>
      <c r="N17" s="21"/>
      <c r="O17" s="21"/>
    </row>
    <row r="18" spans="2:15" x14ac:dyDescent="0.25">
      <c r="B18" s="20" t="s">
        <v>69</v>
      </c>
      <c r="C18" s="21"/>
      <c r="D18" s="21">
        <f>-EGRESOS!C80</f>
        <v>-828116</v>
      </c>
      <c r="E18" s="21">
        <f>+D18</f>
        <v>-828116</v>
      </c>
      <c r="F18" s="21">
        <f t="shared" si="0"/>
        <v>-828116</v>
      </c>
      <c r="G18" s="21">
        <f t="shared" si="0"/>
        <v>-828116</v>
      </c>
      <c r="H18" s="21">
        <f t="shared" si="0"/>
        <v>-828116</v>
      </c>
      <c r="I18" s="21">
        <f>+H18</f>
        <v>-828116</v>
      </c>
      <c r="J18" s="21"/>
      <c r="K18" s="21"/>
      <c r="L18" s="21"/>
      <c r="M18" s="21"/>
      <c r="N18" s="21"/>
      <c r="O18" s="21"/>
    </row>
    <row r="19" spans="2:15" x14ac:dyDescent="0.25">
      <c r="B19" s="20" t="s">
        <v>16</v>
      </c>
      <c r="C19" s="21"/>
      <c r="D19" s="21">
        <f>-EGRESOS!C87</f>
        <v>-660000</v>
      </c>
      <c r="E19" s="21">
        <f>+D19</f>
        <v>-660000</v>
      </c>
      <c r="F19" s="21">
        <f t="shared" si="0"/>
        <v>-660000</v>
      </c>
      <c r="G19" s="21">
        <f t="shared" si="0"/>
        <v>-660000</v>
      </c>
      <c r="H19" s="21">
        <f t="shared" si="0"/>
        <v>-660000</v>
      </c>
      <c r="I19" s="21">
        <f>+H19</f>
        <v>-660000</v>
      </c>
      <c r="J19" s="21"/>
      <c r="K19" s="21"/>
      <c r="L19" s="21"/>
      <c r="M19" s="21"/>
      <c r="N19" s="21"/>
      <c r="O19" s="21"/>
    </row>
    <row r="20" spans="2:15" x14ac:dyDescent="0.25">
      <c r="B20" s="20" t="s">
        <v>19</v>
      </c>
      <c r="C20" s="21"/>
      <c r="D20" s="21">
        <f>-EGRESOS!C91</f>
        <v>-350000</v>
      </c>
      <c r="E20" s="21">
        <f>+D20</f>
        <v>-350000</v>
      </c>
      <c r="F20" s="21">
        <f t="shared" si="0"/>
        <v>-350000</v>
      </c>
      <c r="G20" s="21">
        <f t="shared" si="0"/>
        <v>-350000</v>
      </c>
      <c r="H20" s="21">
        <f t="shared" si="0"/>
        <v>-350000</v>
      </c>
      <c r="I20" s="21">
        <f>+H20</f>
        <v>-350000</v>
      </c>
      <c r="J20" s="21"/>
      <c r="K20" s="21"/>
      <c r="L20" s="21"/>
      <c r="M20" s="21"/>
      <c r="N20" s="21"/>
      <c r="O20" s="21"/>
    </row>
    <row r="21" spans="2:15" x14ac:dyDescent="0.25">
      <c r="B21" s="20" t="s">
        <v>20</v>
      </c>
      <c r="C21" s="22"/>
      <c r="D21" s="21">
        <f>-EGRESOS!C99</f>
        <v>-29000000</v>
      </c>
      <c r="E21" s="21"/>
      <c r="F21" s="21"/>
      <c r="G21" s="21"/>
      <c r="H21" s="21"/>
      <c r="I21" s="34"/>
      <c r="J21" s="34"/>
      <c r="K21" s="34"/>
      <c r="L21" s="34"/>
      <c r="M21" s="34"/>
      <c r="N21" s="34"/>
    </row>
    <row r="22" spans="2:15" x14ac:dyDescent="0.25">
      <c r="B22" s="20" t="s">
        <v>21</v>
      </c>
      <c r="C22" s="21"/>
      <c r="D22" s="21">
        <v>-8000000</v>
      </c>
      <c r="E22" s="21"/>
      <c r="F22" s="21"/>
      <c r="G22" s="21"/>
      <c r="H22" s="21"/>
      <c r="I22" s="34">
        <f>-EGRESOS!C107</f>
        <v>-2133333.333333333</v>
      </c>
      <c r="J22" s="5"/>
      <c r="K22" s="5"/>
      <c r="L22" s="5"/>
      <c r="M22" s="5"/>
      <c r="N22" s="5"/>
      <c r="O22" s="5"/>
    </row>
    <row r="23" spans="2:15" x14ac:dyDescent="0.25">
      <c r="B23" s="20" t="s">
        <v>73</v>
      </c>
      <c r="C23" s="21"/>
      <c r="D23" s="21">
        <f>-EGRESOS!C115</f>
        <v>-4400000</v>
      </c>
      <c r="E23" s="21"/>
      <c r="F23" s="21"/>
      <c r="G23" s="21"/>
      <c r="H23" s="21"/>
      <c r="I23" s="5"/>
      <c r="J23" s="5"/>
      <c r="K23" s="5"/>
      <c r="L23" s="5"/>
      <c r="M23" s="5"/>
      <c r="N23" s="5"/>
      <c r="O23" s="5"/>
    </row>
    <row r="24" spans="2:15" x14ac:dyDescent="0.25">
      <c r="B24" s="20" t="s">
        <v>74</v>
      </c>
      <c r="C24" s="21"/>
      <c r="D24" s="21">
        <f>-EGRESOS!C124</f>
        <v>-1250000</v>
      </c>
      <c r="E24" s="21"/>
      <c r="F24" s="21"/>
      <c r="G24" s="21"/>
      <c r="H24" s="21"/>
      <c r="I24" s="5"/>
      <c r="J24" s="5"/>
      <c r="K24" s="5"/>
      <c r="L24" s="5"/>
      <c r="M24" s="5"/>
      <c r="N24" s="5"/>
      <c r="O24" s="5"/>
    </row>
    <row r="25" spans="2:15" x14ac:dyDescent="0.25">
      <c r="B25" s="20" t="s">
        <v>109</v>
      </c>
      <c r="C25" s="21"/>
      <c r="D25" s="21"/>
      <c r="E25" s="21"/>
      <c r="F25" s="21"/>
      <c r="G25" s="21"/>
      <c r="H25" s="21"/>
      <c r="I25" s="5"/>
      <c r="J25" s="5"/>
      <c r="K25" s="5"/>
      <c r="L25" s="5"/>
      <c r="M25" s="5"/>
      <c r="N25" s="5"/>
      <c r="O25" s="5"/>
    </row>
    <row r="26" spans="2:15" x14ac:dyDescent="0.25">
      <c r="B26" s="20" t="s">
        <v>22</v>
      </c>
      <c r="C26" s="21"/>
      <c r="D26" s="21">
        <f>-EGRESOS!C131</f>
        <v>-984000</v>
      </c>
      <c r="E26" s="21">
        <f>+D26</f>
        <v>-984000</v>
      </c>
      <c r="F26" s="21">
        <f t="shared" ref="F26:O26" si="1">+E26</f>
        <v>-984000</v>
      </c>
      <c r="G26" s="21">
        <f t="shared" si="1"/>
        <v>-984000</v>
      </c>
      <c r="H26" s="21">
        <f t="shared" si="1"/>
        <v>-984000</v>
      </c>
      <c r="I26" s="21">
        <f t="shared" si="1"/>
        <v>-984000</v>
      </c>
      <c r="J26" s="21"/>
      <c r="K26" s="21"/>
      <c r="L26" s="21"/>
      <c r="M26" s="21"/>
      <c r="N26" s="21"/>
      <c r="O26" s="21">
        <f t="shared" si="1"/>
        <v>0</v>
      </c>
    </row>
    <row r="27" spans="2:15" ht="15.75" thickBot="1" x14ac:dyDescent="0.3">
      <c r="B27" s="24" t="s">
        <v>98</v>
      </c>
      <c r="C27" s="25"/>
      <c r="D27" s="21">
        <f>+C3</f>
        <v>235416.66666666666</v>
      </c>
      <c r="E27" s="22">
        <f>+D27</f>
        <v>235416.66666666666</v>
      </c>
      <c r="F27" s="22">
        <f t="shared" ref="F27:O27" si="2">+E27</f>
        <v>235416.66666666666</v>
      </c>
      <c r="G27" s="22">
        <f t="shared" si="2"/>
        <v>235416.66666666666</v>
      </c>
      <c r="H27" s="22">
        <f t="shared" si="2"/>
        <v>235416.66666666666</v>
      </c>
      <c r="I27" s="22">
        <f t="shared" si="2"/>
        <v>235416.66666666666</v>
      </c>
      <c r="J27" s="22"/>
      <c r="K27" s="22"/>
      <c r="L27" s="22"/>
      <c r="M27" s="22"/>
      <c r="N27" s="22"/>
      <c r="O27" s="22">
        <f t="shared" si="2"/>
        <v>0</v>
      </c>
    </row>
    <row r="28" spans="2:15" x14ac:dyDescent="0.25">
      <c r="D28" s="23"/>
      <c r="E28" s="23"/>
      <c r="F28" s="23"/>
      <c r="G28" s="23"/>
      <c r="H28" s="23"/>
    </row>
    <row r="29" spans="2:15" ht="15.75" thickBot="1" x14ac:dyDescent="0.3">
      <c r="B29" s="14" t="s">
        <v>99</v>
      </c>
      <c r="C29" s="15">
        <f>+C13+C15+C16+C17+C18+C19+C20+C21+C22+C23+C24+C26+C27</f>
        <v>0</v>
      </c>
      <c r="D29" s="22">
        <f>SUM(D13:D27)</f>
        <v>-53063699.333333336</v>
      </c>
      <c r="E29" s="22">
        <f t="shared" ref="E29:O29" si="3">SUM(E13:E27)</f>
        <v>-10086699.333333334</v>
      </c>
      <c r="F29" s="22">
        <f t="shared" si="3"/>
        <v>-10086699.333333334</v>
      </c>
      <c r="G29" s="22">
        <f t="shared" si="3"/>
        <v>-10202699.333333334</v>
      </c>
      <c r="H29" s="22">
        <f t="shared" si="3"/>
        <v>-10086699.333333334</v>
      </c>
      <c r="I29" s="22">
        <f t="shared" si="3"/>
        <v>42705407.333333328</v>
      </c>
      <c r="J29" s="22">
        <f t="shared" si="3"/>
        <v>0</v>
      </c>
      <c r="K29" s="22">
        <f t="shared" si="3"/>
        <v>0</v>
      </c>
      <c r="L29" s="22">
        <f t="shared" si="3"/>
        <v>0</v>
      </c>
      <c r="M29" s="22">
        <f t="shared" si="3"/>
        <v>0</v>
      </c>
      <c r="N29" s="22">
        <f t="shared" si="3"/>
        <v>0</v>
      </c>
      <c r="O29" s="22">
        <f t="shared" si="3"/>
        <v>0</v>
      </c>
    </row>
    <row r="30" spans="2:15" x14ac:dyDescent="0.25">
      <c r="D30" s="23"/>
      <c r="E30" s="23"/>
      <c r="F30" s="23"/>
      <c r="G30" s="23"/>
      <c r="H30" s="23"/>
    </row>
    <row r="31" spans="2:15" ht="15.75" thickBot="1" x14ac:dyDescent="0.3">
      <c r="B31" s="14" t="s">
        <v>100</v>
      </c>
      <c r="C31" s="16"/>
      <c r="D31" s="21"/>
      <c r="E31" s="21"/>
      <c r="F31" s="21"/>
      <c r="G31" s="21"/>
      <c r="H31" s="21"/>
      <c r="I31" s="21">
        <f t="shared" ref="I31:O31" si="4">-I29*$C$6</f>
        <v>-12811622.199999997</v>
      </c>
      <c r="J31" s="21"/>
      <c r="K31" s="21"/>
      <c r="L31" s="21"/>
      <c r="M31" s="21"/>
      <c r="N31" s="21"/>
      <c r="O31" s="21">
        <f t="shared" si="4"/>
        <v>0</v>
      </c>
    </row>
    <row r="32" spans="2:15" x14ac:dyDescent="0.25">
      <c r="D32" s="23"/>
      <c r="E32" s="23"/>
      <c r="F32" s="23"/>
      <c r="G32" s="23"/>
      <c r="H32" s="23"/>
    </row>
    <row r="33" spans="2:15" ht="15.75" thickBot="1" x14ac:dyDescent="0.3">
      <c r="B33" s="16" t="s">
        <v>101</v>
      </c>
      <c r="C33" s="16"/>
      <c r="D33" s="22">
        <f>+D29+D31</f>
        <v>-53063699.333333336</v>
      </c>
      <c r="E33" s="22">
        <f>+E29+E31</f>
        <v>-10086699.333333334</v>
      </c>
      <c r="F33" s="22">
        <f t="shared" ref="F33:O33" si="5">+F29+F31</f>
        <v>-10086699.333333334</v>
      </c>
      <c r="G33" s="22">
        <f t="shared" si="5"/>
        <v>-10202699.333333334</v>
      </c>
      <c r="H33" s="22">
        <f t="shared" si="5"/>
        <v>-10086699.333333334</v>
      </c>
      <c r="I33" s="22">
        <f t="shared" si="5"/>
        <v>29893785.133333333</v>
      </c>
      <c r="J33" s="22">
        <f t="shared" si="5"/>
        <v>0</v>
      </c>
      <c r="K33" s="22">
        <f t="shared" si="5"/>
        <v>0</v>
      </c>
      <c r="L33" s="22">
        <f t="shared" si="5"/>
        <v>0</v>
      </c>
      <c r="M33" s="22">
        <f t="shared" si="5"/>
        <v>0</v>
      </c>
      <c r="N33" s="22">
        <f t="shared" si="5"/>
        <v>0</v>
      </c>
      <c r="O33" s="22">
        <f t="shared" si="5"/>
        <v>0</v>
      </c>
    </row>
    <row r="34" spans="2:15" x14ac:dyDescent="0.25">
      <c r="D34" s="23"/>
      <c r="E34" s="23"/>
      <c r="F34" s="23"/>
      <c r="G34" s="23"/>
      <c r="H34" s="23"/>
    </row>
    <row r="35" spans="2:15" ht="15.75" thickBot="1" x14ac:dyDescent="0.3">
      <c r="B35" s="16" t="s">
        <v>102</v>
      </c>
      <c r="C35" s="16"/>
      <c r="D35" s="22">
        <f>+D33+D27</f>
        <v>-52828282.666666672</v>
      </c>
      <c r="E35" s="22">
        <f t="shared" ref="E35:O35" si="6">+E33+E27</f>
        <v>-9851282.6666666679</v>
      </c>
      <c r="F35" s="22">
        <f t="shared" si="6"/>
        <v>-9851282.6666666679</v>
      </c>
      <c r="G35" s="22">
        <f t="shared" si="6"/>
        <v>-9967282.6666666679</v>
      </c>
      <c r="H35" s="22">
        <f t="shared" si="6"/>
        <v>-9851282.6666666679</v>
      </c>
      <c r="I35" s="22">
        <f t="shared" si="6"/>
        <v>30129201.800000001</v>
      </c>
      <c r="J35" s="22">
        <f t="shared" si="6"/>
        <v>0</v>
      </c>
      <c r="K35" s="22">
        <f t="shared" si="6"/>
        <v>0</v>
      </c>
      <c r="L35" s="22">
        <f t="shared" si="6"/>
        <v>0</v>
      </c>
      <c r="M35" s="22">
        <f t="shared" si="6"/>
        <v>0</v>
      </c>
      <c r="N35" s="22">
        <f t="shared" si="6"/>
        <v>0</v>
      </c>
      <c r="O35" s="22">
        <f t="shared" si="6"/>
        <v>0</v>
      </c>
    </row>
    <row r="36" spans="2:15" x14ac:dyDescent="0.25">
      <c r="B36" s="23"/>
      <c r="C36" s="23"/>
      <c r="D36" s="22"/>
      <c r="E36" s="22"/>
      <c r="F36" s="22"/>
      <c r="G36" s="22"/>
      <c r="H36" s="22"/>
    </row>
    <row r="37" spans="2:15" ht="15.75" thickBot="1" x14ac:dyDescent="0.3">
      <c r="B37" s="16" t="s">
        <v>103</v>
      </c>
      <c r="C37" s="17"/>
      <c r="D37" s="22"/>
      <c r="E37" s="22"/>
      <c r="F37" s="22"/>
      <c r="G37" s="22"/>
      <c r="H37" s="22"/>
    </row>
    <row r="38" spans="2:15" x14ac:dyDescent="0.25">
      <c r="D38" s="23"/>
      <c r="E38" s="23"/>
      <c r="F38" s="23"/>
      <c r="G38" s="23"/>
      <c r="H38" s="23"/>
    </row>
    <row r="39" spans="2:15" ht="15.75" thickBot="1" x14ac:dyDescent="0.3">
      <c r="B39" s="16" t="s">
        <v>104</v>
      </c>
      <c r="C39" s="15">
        <f>+C29+C37</f>
        <v>0</v>
      </c>
      <c r="D39" s="22">
        <f>+D35</f>
        <v>-52828282.666666672</v>
      </c>
      <c r="E39" s="22">
        <f t="shared" ref="E39:O39" si="7">+E35</f>
        <v>-9851282.6666666679</v>
      </c>
      <c r="F39" s="22">
        <f t="shared" si="7"/>
        <v>-9851282.6666666679</v>
      </c>
      <c r="G39" s="22">
        <f t="shared" si="7"/>
        <v>-9967282.6666666679</v>
      </c>
      <c r="H39" s="22">
        <f t="shared" si="7"/>
        <v>-9851282.6666666679</v>
      </c>
      <c r="I39" s="22">
        <f t="shared" si="7"/>
        <v>30129201.800000001</v>
      </c>
      <c r="J39" s="22">
        <f t="shared" si="7"/>
        <v>0</v>
      </c>
      <c r="K39" s="22">
        <f t="shared" si="7"/>
        <v>0</v>
      </c>
      <c r="L39" s="22">
        <f t="shared" si="7"/>
        <v>0</v>
      </c>
      <c r="M39" s="22">
        <f t="shared" si="7"/>
        <v>0</v>
      </c>
      <c r="N39" s="22">
        <f t="shared" si="7"/>
        <v>0</v>
      </c>
      <c r="O39" s="22">
        <f t="shared" si="7"/>
        <v>0</v>
      </c>
    </row>
    <row r="40" spans="2:15" x14ac:dyDescent="0.25">
      <c r="B40" t="s">
        <v>105</v>
      </c>
      <c r="C40" s="7">
        <f>+C39</f>
        <v>0</v>
      </c>
      <c r="D40" s="22">
        <f>+C40+D39</f>
        <v>-52828282.666666672</v>
      </c>
      <c r="E40" s="22">
        <f t="shared" ref="E40:I40" si="8">+D40+E39</f>
        <v>-62679565.333333343</v>
      </c>
      <c r="F40" s="22">
        <f t="shared" si="8"/>
        <v>-72530848.000000015</v>
      </c>
      <c r="G40" s="22">
        <f t="shared" si="8"/>
        <v>-82498130.666666687</v>
      </c>
      <c r="H40" s="22">
        <f t="shared" si="8"/>
        <v>-92349413.333333358</v>
      </c>
      <c r="I40" s="22">
        <f t="shared" si="8"/>
        <v>-62220211.533333361</v>
      </c>
      <c r="J40" s="22"/>
      <c r="K40" s="22"/>
      <c r="L40" s="22"/>
      <c r="M40" s="22"/>
      <c r="N40" s="22"/>
      <c r="O40" s="22"/>
    </row>
    <row r="41" spans="2:15" x14ac:dyDescent="0.25">
      <c r="D41" s="23"/>
      <c r="E41" s="23"/>
      <c r="F41" s="23"/>
      <c r="G41" s="23"/>
      <c r="H41" s="23"/>
    </row>
    <row r="42" spans="2:15" x14ac:dyDescent="0.25">
      <c r="D42" s="23"/>
      <c r="E42" s="22"/>
      <c r="F42" s="23"/>
      <c r="G42" s="23"/>
      <c r="H42" s="23"/>
    </row>
    <row r="43" spans="2:15" x14ac:dyDescent="0.25">
      <c r="C43" s="5"/>
      <c r="D43" s="21">
        <f>SUM(D14:I27)</f>
        <v>-105821089.3333333</v>
      </c>
      <c r="E43" s="21">
        <v>0</v>
      </c>
      <c r="F43" s="21">
        <v>0</v>
      </c>
      <c r="G43" s="21">
        <v>0</v>
      </c>
      <c r="H43" s="34">
        <v>0</v>
      </c>
      <c r="I43" s="5">
        <f>+I13</f>
        <v>55000000</v>
      </c>
    </row>
    <row r="45" spans="2:15" x14ac:dyDescent="0.25">
      <c r="E45" s="13"/>
    </row>
  </sheetData>
  <mergeCells count="1">
    <mergeCell ref="D9:O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14"/>
  <sheetViews>
    <sheetView workbookViewId="0">
      <selection activeCell="P20" sqref="P20"/>
    </sheetView>
  </sheetViews>
  <sheetFormatPr baseColWidth="10" defaultRowHeight="15" x14ac:dyDescent="0.25"/>
  <cols>
    <col min="1" max="1" width="2.5703125" customWidth="1"/>
    <col min="3" max="3" width="11" bestFit="1" customWidth="1"/>
    <col min="4" max="39" width="4" bestFit="1" customWidth="1"/>
  </cols>
  <sheetData>
    <row r="2" spans="2:39" x14ac:dyDescent="0.25">
      <c r="D2" s="73" t="s">
        <v>7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 t="s">
        <v>8</v>
      </c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 t="s">
        <v>9</v>
      </c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</row>
    <row r="3" spans="2:39" x14ac:dyDescent="0.25">
      <c r="C3" s="1" t="s">
        <v>3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1">
        <v>8</v>
      </c>
      <c r="L3" s="1">
        <v>9</v>
      </c>
      <c r="M3" s="1">
        <v>10</v>
      </c>
      <c r="N3" s="1">
        <v>11</v>
      </c>
      <c r="O3" s="1">
        <v>12</v>
      </c>
      <c r="P3" s="1">
        <v>1</v>
      </c>
      <c r="Q3" s="1">
        <v>2</v>
      </c>
      <c r="R3" s="1">
        <v>3</v>
      </c>
      <c r="S3" s="1">
        <v>4</v>
      </c>
      <c r="T3" s="1">
        <v>5</v>
      </c>
      <c r="U3" s="1">
        <v>6</v>
      </c>
      <c r="V3" s="1">
        <v>7</v>
      </c>
      <c r="W3" s="1">
        <v>8</v>
      </c>
      <c r="X3" s="1">
        <v>9</v>
      </c>
      <c r="Y3" s="1">
        <v>10</v>
      </c>
      <c r="Z3" s="1">
        <v>11</v>
      </c>
      <c r="AA3" s="1">
        <v>12</v>
      </c>
      <c r="AB3" s="1">
        <v>1</v>
      </c>
      <c r="AC3" s="1">
        <v>2</v>
      </c>
      <c r="AD3" s="1">
        <v>3</v>
      </c>
      <c r="AE3" s="1">
        <v>4</v>
      </c>
      <c r="AF3" s="1">
        <v>5</v>
      </c>
      <c r="AG3" s="1">
        <v>6</v>
      </c>
      <c r="AH3" s="1">
        <v>7</v>
      </c>
      <c r="AI3" s="1">
        <v>8</v>
      </c>
      <c r="AJ3" s="1">
        <v>9</v>
      </c>
      <c r="AK3" s="1">
        <v>10</v>
      </c>
      <c r="AL3" s="1">
        <v>11</v>
      </c>
      <c r="AM3" s="1">
        <v>12</v>
      </c>
    </row>
    <row r="4" spans="2:39" x14ac:dyDescent="0.25">
      <c r="B4" s="72" t="s">
        <v>12</v>
      </c>
      <c r="C4" s="2" t="s">
        <v>4</v>
      </c>
      <c r="D4">
        <v>600</v>
      </c>
      <c r="I4">
        <v>600</v>
      </c>
      <c r="O4">
        <v>600</v>
      </c>
      <c r="U4">
        <v>600</v>
      </c>
    </row>
    <row r="5" spans="2:39" x14ac:dyDescent="0.25">
      <c r="B5" s="72"/>
      <c r="C5" s="3" t="s">
        <v>5</v>
      </c>
      <c r="I5">
        <v>600</v>
      </c>
      <c r="O5">
        <v>600</v>
      </c>
      <c r="U5">
        <v>600</v>
      </c>
      <c r="AA5">
        <v>600</v>
      </c>
    </row>
    <row r="6" spans="2:39" x14ac:dyDescent="0.25">
      <c r="B6" s="72"/>
      <c r="C6" s="1"/>
    </row>
    <row r="7" spans="2:39" x14ac:dyDescent="0.25">
      <c r="B7" s="72"/>
      <c r="C7" s="1" t="s">
        <v>6</v>
      </c>
      <c r="D7">
        <f>+D4-D5</f>
        <v>600</v>
      </c>
      <c r="E7">
        <f>+D7+E4-E5</f>
        <v>600</v>
      </c>
      <c r="F7">
        <f t="shared" ref="F7:AM7" si="0">+E7+F4-F5</f>
        <v>600</v>
      </c>
      <c r="G7">
        <f t="shared" si="0"/>
        <v>600</v>
      </c>
      <c r="H7">
        <f t="shared" si="0"/>
        <v>600</v>
      </c>
      <c r="I7">
        <f t="shared" si="0"/>
        <v>600</v>
      </c>
      <c r="J7">
        <f t="shared" si="0"/>
        <v>600</v>
      </c>
      <c r="K7">
        <f t="shared" si="0"/>
        <v>600</v>
      </c>
      <c r="L7">
        <f t="shared" si="0"/>
        <v>600</v>
      </c>
      <c r="M7">
        <f t="shared" si="0"/>
        <v>600</v>
      </c>
      <c r="N7">
        <f t="shared" si="0"/>
        <v>600</v>
      </c>
      <c r="O7">
        <f t="shared" si="0"/>
        <v>600</v>
      </c>
      <c r="P7">
        <f t="shared" si="0"/>
        <v>600</v>
      </c>
      <c r="Q7">
        <f t="shared" si="0"/>
        <v>600</v>
      </c>
      <c r="R7">
        <f t="shared" si="0"/>
        <v>600</v>
      </c>
      <c r="S7">
        <f t="shared" si="0"/>
        <v>600</v>
      </c>
      <c r="T7">
        <f t="shared" si="0"/>
        <v>600</v>
      </c>
      <c r="U7">
        <f t="shared" si="0"/>
        <v>600</v>
      </c>
      <c r="V7">
        <f t="shared" si="0"/>
        <v>600</v>
      </c>
      <c r="W7">
        <f t="shared" si="0"/>
        <v>600</v>
      </c>
      <c r="X7">
        <f t="shared" si="0"/>
        <v>600</v>
      </c>
      <c r="Y7">
        <f t="shared" si="0"/>
        <v>600</v>
      </c>
      <c r="Z7">
        <f t="shared" si="0"/>
        <v>600</v>
      </c>
      <c r="AA7">
        <f t="shared" si="0"/>
        <v>0</v>
      </c>
      <c r="AB7">
        <f t="shared" si="0"/>
        <v>0</v>
      </c>
      <c r="AC7">
        <f t="shared" si="0"/>
        <v>0</v>
      </c>
      <c r="AD7">
        <f t="shared" si="0"/>
        <v>0</v>
      </c>
      <c r="AE7">
        <f t="shared" si="0"/>
        <v>0</v>
      </c>
      <c r="AF7">
        <f t="shared" si="0"/>
        <v>0</v>
      </c>
      <c r="AG7">
        <f t="shared" si="0"/>
        <v>0</v>
      </c>
      <c r="AH7">
        <f t="shared" si="0"/>
        <v>0</v>
      </c>
      <c r="AI7">
        <f t="shared" si="0"/>
        <v>0</v>
      </c>
      <c r="AJ7">
        <f t="shared" si="0"/>
        <v>0</v>
      </c>
      <c r="AK7">
        <f t="shared" si="0"/>
        <v>0</v>
      </c>
      <c r="AL7">
        <f t="shared" si="0"/>
        <v>0</v>
      </c>
      <c r="AM7">
        <f t="shared" si="0"/>
        <v>0</v>
      </c>
    </row>
    <row r="9" spans="2:39" x14ac:dyDescent="0.25">
      <c r="D9" s="73" t="s">
        <v>10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 t="s">
        <v>11</v>
      </c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</row>
    <row r="10" spans="2:39" x14ac:dyDescent="0.25">
      <c r="C10" s="1" t="s">
        <v>3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</v>
      </c>
      <c r="Q10" s="1">
        <v>2</v>
      </c>
      <c r="R10" s="1">
        <v>3</v>
      </c>
      <c r="S10" s="1">
        <v>4</v>
      </c>
      <c r="T10" s="1">
        <v>5</v>
      </c>
      <c r="U10" s="1">
        <v>6</v>
      </c>
      <c r="V10" s="1">
        <v>7</v>
      </c>
      <c r="W10" s="1">
        <v>8</v>
      </c>
      <c r="X10" s="1">
        <v>9</v>
      </c>
      <c r="Y10" s="1">
        <v>10</v>
      </c>
      <c r="Z10" s="1">
        <v>11</v>
      </c>
      <c r="AA10" s="1">
        <v>12</v>
      </c>
    </row>
    <row r="11" spans="2:39" x14ac:dyDescent="0.25">
      <c r="B11" s="72" t="s">
        <v>12</v>
      </c>
      <c r="C11" s="2" t="s">
        <v>4</v>
      </c>
    </row>
    <row r="12" spans="2:39" x14ac:dyDescent="0.25">
      <c r="B12" s="72"/>
      <c r="C12" s="3" t="s">
        <v>5</v>
      </c>
    </row>
    <row r="13" spans="2:39" x14ac:dyDescent="0.25">
      <c r="B13" s="72"/>
      <c r="C13" s="1"/>
    </row>
    <row r="14" spans="2:39" x14ac:dyDescent="0.25">
      <c r="B14" s="72"/>
      <c r="C14" s="1" t="s">
        <v>6</v>
      </c>
      <c r="D14">
        <f>+AM7+D11-D12</f>
        <v>0</v>
      </c>
      <c r="E14">
        <f>+D14+E11-E12</f>
        <v>0</v>
      </c>
      <c r="F14">
        <f t="shared" ref="F14:AA14" si="1">+E14+F11-F12</f>
        <v>0</v>
      </c>
      <c r="G14">
        <f t="shared" si="1"/>
        <v>0</v>
      </c>
      <c r="H14">
        <f t="shared" si="1"/>
        <v>0</v>
      </c>
      <c r="I14">
        <f t="shared" si="1"/>
        <v>0</v>
      </c>
      <c r="J14">
        <f t="shared" si="1"/>
        <v>0</v>
      </c>
      <c r="K14">
        <f t="shared" si="1"/>
        <v>0</v>
      </c>
      <c r="L14">
        <f t="shared" si="1"/>
        <v>0</v>
      </c>
      <c r="M14">
        <f t="shared" si="1"/>
        <v>0</v>
      </c>
      <c r="N14">
        <f t="shared" si="1"/>
        <v>0</v>
      </c>
      <c r="O14">
        <f t="shared" si="1"/>
        <v>0</v>
      </c>
      <c r="P14">
        <f t="shared" si="1"/>
        <v>0</v>
      </c>
      <c r="Q14">
        <f t="shared" si="1"/>
        <v>0</v>
      </c>
      <c r="R14">
        <f t="shared" si="1"/>
        <v>0</v>
      </c>
      <c r="S14">
        <f t="shared" si="1"/>
        <v>0</v>
      </c>
      <c r="T14">
        <f t="shared" si="1"/>
        <v>0</v>
      </c>
      <c r="U14">
        <f t="shared" si="1"/>
        <v>0</v>
      </c>
      <c r="V14">
        <f t="shared" si="1"/>
        <v>0</v>
      </c>
      <c r="W14">
        <f t="shared" si="1"/>
        <v>0</v>
      </c>
      <c r="X14">
        <f t="shared" si="1"/>
        <v>0</v>
      </c>
      <c r="Y14">
        <f t="shared" si="1"/>
        <v>0</v>
      </c>
      <c r="Z14">
        <f t="shared" si="1"/>
        <v>0</v>
      </c>
      <c r="AA14">
        <f t="shared" si="1"/>
        <v>0</v>
      </c>
    </row>
  </sheetData>
  <mergeCells count="7">
    <mergeCell ref="B11:B14"/>
    <mergeCell ref="D2:O2"/>
    <mergeCell ref="P2:AA2"/>
    <mergeCell ref="AB2:AM2"/>
    <mergeCell ref="D9:O9"/>
    <mergeCell ref="P9:AA9"/>
    <mergeCell ref="B4:B7"/>
  </mergeCells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1"/>
  <sheetViews>
    <sheetView showGridLines="0" topLeftCell="A95" workbookViewId="0">
      <selection activeCell="C107" sqref="C107"/>
    </sheetView>
  </sheetViews>
  <sheetFormatPr baseColWidth="10" defaultRowHeight="15" x14ac:dyDescent="0.25"/>
  <cols>
    <col min="2" max="2" width="29.140625" bestFit="1" customWidth="1"/>
    <col min="3" max="3" width="15.5703125" bestFit="1" customWidth="1"/>
    <col min="4" max="4" width="13.140625" bestFit="1" customWidth="1"/>
    <col min="5" max="5" width="27.140625" bestFit="1" customWidth="1"/>
    <col min="7" max="7" width="58.7109375" bestFit="1" customWidth="1"/>
  </cols>
  <sheetData>
    <row r="2" spans="2:7" x14ac:dyDescent="0.25">
      <c r="E2" s="1" t="s">
        <v>111</v>
      </c>
    </row>
    <row r="3" spans="2:7" x14ac:dyDescent="0.25">
      <c r="B3" s="76"/>
      <c r="C3" s="76"/>
      <c r="E3" s="1" t="s">
        <v>12</v>
      </c>
      <c r="F3">
        <v>20</v>
      </c>
    </row>
    <row r="4" spans="2:7" x14ac:dyDescent="0.25">
      <c r="B4" s="73" t="s">
        <v>23</v>
      </c>
      <c r="C4" s="73"/>
      <c r="E4" s="1"/>
    </row>
    <row r="5" spans="2:7" x14ac:dyDescent="0.25">
      <c r="B5" s="1" t="s">
        <v>24</v>
      </c>
    </row>
    <row r="6" spans="2:7" x14ac:dyDescent="0.25">
      <c r="B6" t="s">
        <v>110</v>
      </c>
      <c r="C6" s="5">
        <v>0.15</v>
      </c>
      <c r="E6" s="60" t="s">
        <v>151</v>
      </c>
      <c r="F6" s="60" t="s">
        <v>152</v>
      </c>
      <c r="G6" s="60" t="s">
        <v>153</v>
      </c>
    </row>
    <row r="7" spans="2:7" x14ac:dyDescent="0.25">
      <c r="B7" t="s">
        <v>25</v>
      </c>
      <c r="C7" s="62">
        <f>+F3</f>
        <v>20</v>
      </c>
      <c r="E7" s="63" t="s">
        <v>144</v>
      </c>
      <c r="F7" s="64">
        <v>46900</v>
      </c>
      <c r="G7" s="63" t="s">
        <v>148</v>
      </c>
    </row>
    <row r="8" spans="2:7" x14ac:dyDescent="0.25">
      <c r="B8" t="s">
        <v>112</v>
      </c>
      <c r="C8" s="5">
        <v>30</v>
      </c>
      <c r="E8" s="63" t="s">
        <v>145</v>
      </c>
      <c r="F8" s="64">
        <v>68900</v>
      </c>
      <c r="G8" s="63" t="s">
        <v>149</v>
      </c>
    </row>
    <row r="9" spans="2:7" x14ac:dyDescent="0.25">
      <c r="B9" t="s">
        <v>113</v>
      </c>
      <c r="C9" s="5">
        <f>+C8*C7*C6</f>
        <v>90</v>
      </c>
      <c r="E9" s="63" t="s">
        <v>146</v>
      </c>
      <c r="F9" s="64">
        <v>61900</v>
      </c>
      <c r="G9" s="63" t="s">
        <v>147</v>
      </c>
    </row>
    <row r="10" spans="2:7" x14ac:dyDescent="0.25">
      <c r="B10" t="s">
        <v>26</v>
      </c>
      <c r="C10" s="5">
        <v>40</v>
      </c>
      <c r="E10" s="32" t="s">
        <v>150</v>
      </c>
      <c r="F10" s="65">
        <f>+AVERAGE(F7:F9)</f>
        <v>59233.333333333336</v>
      </c>
      <c r="G10" s="63"/>
    </row>
    <row r="11" spans="2:7" x14ac:dyDescent="0.25">
      <c r="B11" t="s">
        <v>114</v>
      </c>
      <c r="C11" s="61">
        <f>+C9/C10</f>
        <v>2.25</v>
      </c>
    </row>
    <row r="12" spans="2:7" x14ac:dyDescent="0.25">
      <c r="B12" t="s">
        <v>30</v>
      </c>
      <c r="C12" s="6">
        <v>60000</v>
      </c>
    </row>
    <row r="13" spans="2:7" x14ac:dyDescent="0.25">
      <c r="B13" t="s">
        <v>27</v>
      </c>
      <c r="C13" s="6">
        <f>+C12*C11</f>
        <v>135000</v>
      </c>
    </row>
    <row r="15" spans="2:7" x14ac:dyDescent="0.25">
      <c r="B15" s="1"/>
    </row>
    <row r="16" spans="2:7" x14ac:dyDescent="0.25">
      <c r="B16" s="1" t="s">
        <v>28</v>
      </c>
    </row>
    <row r="17" spans="2:3" x14ac:dyDescent="0.25">
      <c r="B17" t="s">
        <v>110</v>
      </c>
      <c r="C17" s="5">
        <v>6.6666666666666666E-2</v>
      </c>
    </row>
    <row r="18" spans="2:3" x14ac:dyDescent="0.25">
      <c r="B18" t="s">
        <v>25</v>
      </c>
      <c r="C18" s="5">
        <f>+F3</f>
        <v>20</v>
      </c>
    </row>
    <row r="19" spans="2:3" x14ac:dyDescent="0.25">
      <c r="B19" t="s">
        <v>112</v>
      </c>
      <c r="C19" s="5">
        <v>30</v>
      </c>
    </row>
    <row r="20" spans="2:3" x14ac:dyDescent="0.25">
      <c r="B20" t="s">
        <v>115</v>
      </c>
      <c r="C20" s="5">
        <f>+C19*C18*C17</f>
        <v>40</v>
      </c>
    </row>
    <row r="21" spans="2:3" x14ac:dyDescent="0.25">
      <c r="B21" t="s">
        <v>26</v>
      </c>
      <c r="C21" s="5">
        <v>20</v>
      </c>
    </row>
    <row r="22" spans="2:3" x14ac:dyDescent="0.25">
      <c r="B22" t="s">
        <v>114</v>
      </c>
      <c r="C22" s="5">
        <f>+(C20/20)</f>
        <v>2</v>
      </c>
    </row>
    <row r="23" spans="2:3" x14ac:dyDescent="0.25">
      <c r="B23" t="s">
        <v>30</v>
      </c>
      <c r="C23" s="6">
        <v>38000</v>
      </c>
    </row>
    <row r="24" spans="2:3" x14ac:dyDescent="0.25">
      <c r="B24" t="s">
        <v>29</v>
      </c>
      <c r="C24" s="6">
        <f>+C23*C22</f>
        <v>76000</v>
      </c>
    </row>
    <row r="26" spans="2:3" x14ac:dyDescent="0.25">
      <c r="B26" s="73" t="s">
        <v>45</v>
      </c>
      <c r="C26" s="73"/>
    </row>
    <row r="27" spans="2:3" x14ac:dyDescent="0.25">
      <c r="B27" s="1" t="s">
        <v>31</v>
      </c>
    </row>
    <row r="28" spans="2:3" x14ac:dyDescent="0.25">
      <c r="B28" t="s">
        <v>32</v>
      </c>
    </row>
    <row r="29" spans="2:3" x14ac:dyDescent="0.25">
      <c r="B29" t="s">
        <v>33</v>
      </c>
      <c r="C29">
        <v>2</v>
      </c>
    </row>
    <row r="30" spans="2:3" x14ac:dyDescent="0.25">
      <c r="B30" t="s">
        <v>34</v>
      </c>
      <c r="C30">
        <f>+F3</f>
        <v>20</v>
      </c>
    </row>
    <row r="31" spans="2:3" x14ac:dyDescent="0.25">
      <c r="B31" t="s">
        <v>35</v>
      </c>
      <c r="C31">
        <f>+C30*C29</f>
        <v>40</v>
      </c>
    </row>
    <row r="32" spans="2:3" x14ac:dyDescent="0.25">
      <c r="B32" t="s">
        <v>36</v>
      </c>
      <c r="C32" s="6">
        <v>1064</v>
      </c>
    </row>
    <row r="33" spans="2:5" x14ac:dyDescent="0.25">
      <c r="B33" t="s">
        <v>141</v>
      </c>
      <c r="C33" s="6">
        <f>+C30*C32</f>
        <v>21280</v>
      </c>
    </row>
    <row r="34" spans="2:5" x14ac:dyDescent="0.25">
      <c r="B34" t="s">
        <v>35</v>
      </c>
      <c r="C34" s="6">
        <f>+C32*C31</f>
        <v>42560</v>
      </c>
    </row>
    <row r="35" spans="2:5" x14ac:dyDescent="0.25">
      <c r="C35" s="5"/>
      <c r="E35" s="1" t="s">
        <v>155</v>
      </c>
    </row>
    <row r="36" spans="2:5" x14ac:dyDescent="0.25">
      <c r="B36" s="1" t="s">
        <v>80</v>
      </c>
      <c r="E36" t="s">
        <v>154</v>
      </c>
    </row>
    <row r="37" spans="2:5" x14ac:dyDescent="0.25">
      <c r="B37" t="s">
        <v>32</v>
      </c>
    </row>
    <row r="38" spans="2:5" x14ac:dyDescent="0.25">
      <c r="B38" t="s">
        <v>33</v>
      </c>
      <c r="C38">
        <v>2</v>
      </c>
      <c r="E38" s="66"/>
    </row>
    <row r="39" spans="2:5" x14ac:dyDescent="0.25">
      <c r="B39" t="s">
        <v>34</v>
      </c>
      <c r="C39">
        <f>+F3</f>
        <v>20</v>
      </c>
    </row>
    <row r="40" spans="2:5" x14ac:dyDescent="0.25">
      <c r="B40" t="s">
        <v>35</v>
      </c>
      <c r="C40">
        <f>+C39*C38</f>
        <v>40</v>
      </c>
    </row>
    <row r="41" spans="2:5" x14ac:dyDescent="0.25">
      <c r="B41" t="s">
        <v>36</v>
      </c>
      <c r="C41" s="6">
        <v>800</v>
      </c>
    </row>
    <row r="42" spans="2:5" x14ac:dyDescent="0.25">
      <c r="B42" t="s">
        <v>141</v>
      </c>
      <c r="C42" s="6">
        <f>+C39*C41</f>
        <v>16000</v>
      </c>
    </row>
    <row r="43" spans="2:5" x14ac:dyDescent="0.25">
      <c r="B43" t="s">
        <v>35</v>
      </c>
      <c r="C43" s="6">
        <f>+C41*C40</f>
        <v>32000</v>
      </c>
    </row>
    <row r="45" spans="2:5" x14ac:dyDescent="0.25">
      <c r="B45" s="1" t="s">
        <v>47</v>
      </c>
    </row>
    <row r="46" spans="2:5" x14ac:dyDescent="0.25">
      <c r="B46" t="s">
        <v>37</v>
      </c>
    </row>
    <row r="47" spans="2:5" x14ac:dyDescent="0.25">
      <c r="B47" t="s">
        <v>38</v>
      </c>
    </row>
    <row r="48" spans="2:5" x14ac:dyDescent="0.25">
      <c r="B48" t="s">
        <v>39</v>
      </c>
      <c r="C48">
        <v>4</v>
      </c>
    </row>
    <row r="49" spans="2:7" x14ac:dyDescent="0.25">
      <c r="B49" t="s">
        <v>34</v>
      </c>
      <c r="C49">
        <f>+F3</f>
        <v>20</v>
      </c>
    </row>
    <row r="50" spans="2:7" x14ac:dyDescent="0.25">
      <c r="B50" t="s">
        <v>40</v>
      </c>
      <c r="C50">
        <f>+C48*C49</f>
        <v>80</v>
      </c>
    </row>
    <row r="51" spans="2:7" x14ac:dyDescent="0.25">
      <c r="B51" t="s">
        <v>41</v>
      </c>
      <c r="C51" s="6">
        <v>1000</v>
      </c>
    </row>
    <row r="52" spans="2:7" x14ac:dyDescent="0.25">
      <c r="B52" t="s">
        <v>143</v>
      </c>
      <c r="C52" s="6">
        <f>+C49*C51</f>
        <v>20000</v>
      </c>
    </row>
    <row r="53" spans="2:7" x14ac:dyDescent="0.25">
      <c r="B53" t="s">
        <v>142</v>
      </c>
      <c r="C53" s="6">
        <f>+C51*C50</f>
        <v>80000</v>
      </c>
    </row>
    <row r="55" spans="2:7" x14ac:dyDescent="0.25">
      <c r="B55" s="1" t="s">
        <v>48</v>
      </c>
    </row>
    <row r="56" spans="2:7" x14ac:dyDescent="0.25">
      <c r="B56" t="s">
        <v>42</v>
      </c>
    </row>
    <row r="57" spans="2:7" x14ac:dyDescent="0.25">
      <c r="B57" t="s">
        <v>38</v>
      </c>
      <c r="E57" s="60" t="s">
        <v>151</v>
      </c>
      <c r="F57" s="60" t="s">
        <v>152</v>
      </c>
      <c r="G57" s="60" t="s">
        <v>153</v>
      </c>
    </row>
    <row r="58" spans="2:7" x14ac:dyDescent="0.25">
      <c r="B58" t="s">
        <v>39</v>
      </c>
      <c r="C58">
        <v>4</v>
      </c>
      <c r="E58" s="63" t="s">
        <v>156</v>
      </c>
      <c r="F58" s="64">
        <v>14500</v>
      </c>
      <c r="G58" s="63" t="s">
        <v>157</v>
      </c>
    </row>
    <row r="59" spans="2:7" x14ac:dyDescent="0.25">
      <c r="B59" t="s">
        <v>34</v>
      </c>
      <c r="C59">
        <f>+F3</f>
        <v>20</v>
      </c>
    </row>
    <row r="60" spans="2:7" x14ac:dyDescent="0.25">
      <c r="B60" t="s">
        <v>40</v>
      </c>
      <c r="C60">
        <f>+C59/10</f>
        <v>2</v>
      </c>
    </row>
    <row r="61" spans="2:7" x14ac:dyDescent="0.25">
      <c r="B61" t="s">
        <v>43</v>
      </c>
      <c r="C61" s="6">
        <v>18000</v>
      </c>
    </row>
    <row r="62" spans="2:7" x14ac:dyDescent="0.25">
      <c r="B62" t="s">
        <v>44</v>
      </c>
      <c r="C62" s="6">
        <f>+C61*C60</f>
        <v>36000</v>
      </c>
    </row>
    <row r="65" spans="2:4" x14ac:dyDescent="0.25">
      <c r="B65" s="73" t="s">
        <v>49</v>
      </c>
      <c r="C65" s="73"/>
    </row>
    <row r="66" spans="2:4" x14ac:dyDescent="0.25">
      <c r="B66" t="s">
        <v>50</v>
      </c>
      <c r="C66">
        <v>300</v>
      </c>
    </row>
    <row r="67" spans="2:4" x14ac:dyDescent="0.25">
      <c r="B67" t="s">
        <v>51</v>
      </c>
      <c r="C67" s="40">
        <v>25000</v>
      </c>
    </row>
    <row r="68" spans="2:4" x14ac:dyDescent="0.25">
      <c r="B68" t="s">
        <v>52</v>
      </c>
      <c r="C68" s="40">
        <f>+C67*C66</f>
        <v>7500000</v>
      </c>
    </row>
    <row r="71" spans="2:4" x14ac:dyDescent="0.25">
      <c r="B71" s="73" t="s">
        <v>53</v>
      </c>
      <c r="C71" s="73"/>
    </row>
    <row r="72" spans="2:4" x14ac:dyDescent="0.25">
      <c r="B72" t="s">
        <v>54</v>
      </c>
    </row>
    <row r="73" spans="2:4" x14ac:dyDescent="0.25">
      <c r="B73" t="s">
        <v>107</v>
      </c>
      <c r="C73" s="5"/>
    </row>
    <row r="74" spans="2:4" x14ac:dyDescent="0.25">
      <c r="B74" s="8" t="s">
        <v>55</v>
      </c>
      <c r="C74" s="5"/>
    </row>
    <row r="75" spans="2:4" x14ac:dyDescent="0.25">
      <c r="B75" s="8" t="s">
        <v>56</v>
      </c>
      <c r="C75" s="5">
        <f>828116</f>
        <v>828116</v>
      </c>
    </row>
    <row r="76" spans="2:4" x14ac:dyDescent="0.25">
      <c r="B76" s="8" t="s">
        <v>138</v>
      </c>
      <c r="C76" s="5"/>
    </row>
    <row r="77" spans="2:4" x14ac:dyDescent="0.25">
      <c r="B77" s="8" t="s">
        <v>139</v>
      </c>
      <c r="C77" s="5"/>
    </row>
    <row r="78" spans="2:4" x14ac:dyDescent="0.25">
      <c r="B78" s="8" t="s">
        <v>140</v>
      </c>
      <c r="C78" s="5"/>
      <c r="D78" s="5"/>
    </row>
    <row r="80" spans="2:4" x14ac:dyDescent="0.25">
      <c r="B80" t="s">
        <v>57</v>
      </c>
      <c r="C80" s="7">
        <f>SUM(C73:C78)</f>
        <v>828116</v>
      </c>
    </row>
    <row r="82" spans="2:7" x14ac:dyDescent="0.25">
      <c r="B82" s="73" t="s">
        <v>70</v>
      </c>
      <c r="C82" s="73"/>
    </row>
    <row r="83" spans="2:7" x14ac:dyDescent="0.25">
      <c r="B83" t="s">
        <v>71</v>
      </c>
      <c r="C83" s="5">
        <v>30000</v>
      </c>
    </row>
    <row r="84" spans="2:7" x14ac:dyDescent="0.25">
      <c r="B84" s="8" t="s">
        <v>72</v>
      </c>
      <c r="C84" s="5"/>
    </row>
    <row r="85" spans="2:7" x14ac:dyDescent="0.25">
      <c r="B85" s="4" t="s">
        <v>91</v>
      </c>
      <c r="C85" s="5">
        <v>22</v>
      </c>
    </row>
    <row r="86" spans="2:7" x14ac:dyDescent="0.25">
      <c r="C86" s="7"/>
    </row>
    <row r="87" spans="2:7" x14ac:dyDescent="0.25">
      <c r="B87" t="s">
        <v>57</v>
      </c>
      <c r="C87" s="5">
        <f>+C85*C83</f>
        <v>660000</v>
      </c>
    </row>
    <row r="89" spans="2:7" x14ac:dyDescent="0.25">
      <c r="C89" s="7"/>
    </row>
    <row r="90" spans="2:7" x14ac:dyDescent="0.25">
      <c r="B90" s="73" t="s">
        <v>58</v>
      </c>
      <c r="C90" s="73"/>
    </row>
    <row r="91" spans="2:7" x14ac:dyDescent="0.25">
      <c r="B91" t="s">
        <v>59</v>
      </c>
      <c r="C91" s="5">
        <f>350000</f>
        <v>350000</v>
      </c>
    </row>
    <row r="93" spans="2:7" x14ac:dyDescent="0.25">
      <c r="B93" t="s">
        <v>60</v>
      </c>
      <c r="C93" s="7">
        <f>SUM(C91:C92)</f>
        <v>350000</v>
      </c>
    </row>
    <row r="95" spans="2:7" x14ac:dyDescent="0.25">
      <c r="B95" s="73" t="s">
        <v>61</v>
      </c>
      <c r="C95" s="73"/>
    </row>
    <row r="96" spans="2:7" x14ac:dyDescent="0.25">
      <c r="B96" t="s">
        <v>116</v>
      </c>
      <c r="C96" s="29">
        <f>+F3</f>
        <v>20</v>
      </c>
      <c r="E96" s="7"/>
      <c r="G96" s="67"/>
    </row>
    <row r="97" spans="2:8" x14ac:dyDescent="0.25">
      <c r="B97" t="s">
        <v>62</v>
      </c>
      <c r="C97" s="5">
        <v>1450000</v>
      </c>
    </row>
    <row r="99" spans="2:8" x14ac:dyDescent="0.25">
      <c r="B99" t="s">
        <v>60</v>
      </c>
      <c r="C99" s="5">
        <f>+C97*C96</f>
        <v>29000000</v>
      </c>
    </row>
    <row r="101" spans="2:8" x14ac:dyDescent="0.25">
      <c r="B101" s="73" t="s">
        <v>63</v>
      </c>
      <c r="C101" s="73"/>
    </row>
    <row r="102" spans="2:8" x14ac:dyDescent="0.25">
      <c r="B102" t="s">
        <v>64</v>
      </c>
      <c r="C102">
        <f>+F3/15</f>
        <v>1.3333333333333333</v>
      </c>
    </row>
    <row r="103" spans="2:8" x14ac:dyDescent="0.25">
      <c r="B103" t="s">
        <v>65</v>
      </c>
      <c r="C103">
        <f>+F3/15</f>
        <v>1.3333333333333333</v>
      </c>
    </row>
    <row r="104" spans="2:8" x14ac:dyDescent="0.25">
      <c r="B104" t="s">
        <v>66</v>
      </c>
      <c r="C104" s="5">
        <v>200000</v>
      </c>
    </row>
    <row r="105" spans="2:8" x14ac:dyDescent="0.25">
      <c r="B105" t="s">
        <v>67</v>
      </c>
      <c r="C105" s="5">
        <v>1400000</v>
      </c>
    </row>
    <row r="107" spans="2:8" x14ac:dyDescent="0.25">
      <c r="B107" t="s">
        <v>68</v>
      </c>
      <c r="C107" s="5">
        <f>+(C105*C103)+(C104*C102)</f>
        <v>2133333.333333333</v>
      </c>
      <c r="H107" s="68"/>
    </row>
    <row r="108" spans="2:8" x14ac:dyDescent="0.25">
      <c r="C108" s="5"/>
    </row>
    <row r="109" spans="2:8" x14ac:dyDescent="0.25">
      <c r="B109" s="73" t="s">
        <v>75</v>
      </c>
      <c r="C109" s="73"/>
      <c r="E109" t="s">
        <v>153</v>
      </c>
    </row>
    <row r="110" spans="2:8" x14ac:dyDescent="0.25">
      <c r="B110" t="s">
        <v>76</v>
      </c>
      <c r="C110" s="5">
        <v>500000</v>
      </c>
      <c r="E110" t="s">
        <v>158</v>
      </c>
    </row>
    <row r="111" spans="2:8" x14ac:dyDescent="0.25">
      <c r="B111" t="s">
        <v>77</v>
      </c>
      <c r="C111" s="5">
        <f>1700000</f>
        <v>1700000</v>
      </c>
    </row>
    <row r="112" spans="2:8" x14ac:dyDescent="0.25">
      <c r="B112" t="s">
        <v>78</v>
      </c>
      <c r="C112" s="5">
        <f>250000*4</f>
        <v>1000000</v>
      </c>
      <c r="E112" t="s">
        <v>159</v>
      </c>
    </row>
    <row r="113" spans="2:3" x14ac:dyDescent="0.25">
      <c r="B113" t="s">
        <v>79</v>
      </c>
      <c r="C113" s="5">
        <f>300000*4</f>
        <v>1200000</v>
      </c>
    </row>
    <row r="115" spans="2:3" x14ac:dyDescent="0.25">
      <c r="B115" t="s">
        <v>57</v>
      </c>
      <c r="C115" s="7">
        <f>SUM(C110:C113)</f>
        <v>4400000</v>
      </c>
    </row>
    <row r="117" spans="2:3" x14ac:dyDescent="0.25">
      <c r="B117" s="74" t="s">
        <v>81</v>
      </c>
      <c r="C117" s="75"/>
    </row>
    <row r="118" spans="2:3" x14ac:dyDescent="0.25">
      <c r="B118" t="s">
        <v>82</v>
      </c>
      <c r="C118" s="5">
        <v>400000</v>
      </c>
    </row>
    <row r="119" spans="2:3" x14ac:dyDescent="0.25">
      <c r="B119" t="s">
        <v>83</v>
      </c>
      <c r="C119" s="5">
        <v>200000</v>
      </c>
    </row>
    <row r="120" spans="2:3" x14ac:dyDescent="0.25">
      <c r="B120" t="s">
        <v>84</v>
      </c>
      <c r="C120" s="5">
        <v>450000</v>
      </c>
    </row>
    <row r="121" spans="2:3" x14ac:dyDescent="0.25">
      <c r="B121" t="s">
        <v>85</v>
      </c>
      <c r="C121" s="5">
        <v>100000</v>
      </c>
    </row>
    <row r="122" spans="2:3" x14ac:dyDescent="0.25">
      <c r="B122" t="s">
        <v>86</v>
      </c>
      <c r="C122" s="5">
        <v>100000</v>
      </c>
    </row>
    <row r="123" spans="2:3" x14ac:dyDescent="0.25">
      <c r="C123" s="5"/>
    </row>
    <row r="124" spans="2:3" x14ac:dyDescent="0.25">
      <c r="B124" t="s">
        <v>57</v>
      </c>
      <c r="C124" s="7">
        <f>SUM(C118:C122)</f>
        <v>1250000</v>
      </c>
    </row>
    <row r="126" spans="2:3" x14ac:dyDescent="0.25">
      <c r="B126" s="73" t="s">
        <v>87</v>
      </c>
      <c r="C126" s="73"/>
    </row>
    <row r="127" spans="2:3" x14ac:dyDescent="0.25">
      <c r="B127" t="s">
        <v>88</v>
      </c>
      <c r="C127" s="5">
        <f>50000*12</f>
        <v>600000</v>
      </c>
    </row>
    <row r="128" spans="2:3" x14ac:dyDescent="0.25">
      <c r="B128" t="s">
        <v>89</v>
      </c>
      <c r="C128" s="5">
        <f>17000*12</f>
        <v>204000</v>
      </c>
    </row>
    <row r="129" spans="2:3" x14ac:dyDescent="0.25">
      <c r="B129" t="s">
        <v>90</v>
      </c>
      <c r="C129" s="5">
        <f>20*9000</f>
        <v>180000</v>
      </c>
    </row>
    <row r="130" spans="2:3" x14ac:dyDescent="0.25">
      <c r="C130" s="5"/>
    </row>
    <row r="131" spans="2:3" x14ac:dyDescent="0.25">
      <c r="B131" t="s">
        <v>57</v>
      </c>
      <c r="C131" s="7">
        <f>SUM(C127:C130)</f>
        <v>984000</v>
      </c>
    </row>
  </sheetData>
  <mergeCells count="12">
    <mergeCell ref="B109:C109"/>
    <mergeCell ref="B117:C117"/>
    <mergeCell ref="B126:C126"/>
    <mergeCell ref="B3:C3"/>
    <mergeCell ref="B65:C65"/>
    <mergeCell ref="B71:C71"/>
    <mergeCell ref="B90:C90"/>
    <mergeCell ref="B95:C95"/>
    <mergeCell ref="B101:C101"/>
    <mergeCell ref="B82:C82"/>
    <mergeCell ref="B26:C26"/>
    <mergeCell ref="B4:C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"/>
  <sheetViews>
    <sheetView workbookViewId="0">
      <selection activeCell="C5" sqref="C5"/>
    </sheetView>
  </sheetViews>
  <sheetFormatPr baseColWidth="10" defaultRowHeight="15" x14ac:dyDescent="0.25"/>
  <cols>
    <col min="1" max="1" width="5.5703125" customWidth="1"/>
    <col min="2" max="2" width="5.140625" bestFit="1" customWidth="1"/>
    <col min="3" max="3" width="15.42578125" bestFit="1" customWidth="1"/>
    <col min="4" max="4" width="12.140625" bestFit="1" customWidth="1"/>
    <col min="5" max="5" width="10.7109375" bestFit="1" customWidth="1"/>
    <col min="6" max="6" width="16.85546875" bestFit="1" customWidth="1"/>
  </cols>
  <sheetData>
    <row r="2" spans="2:6" x14ac:dyDescent="0.25">
      <c r="B2" s="12" t="s">
        <v>92</v>
      </c>
      <c r="C2" s="12" t="s">
        <v>93</v>
      </c>
      <c r="D2" s="12" t="s">
        <v>94</v>
      </c>
      <c r="E2" s="12" t="s">
        <v>95</v>
      </c>
      <c r="F2" s="12" t="s">
        <v>96</v>
      </c>
    </row>
    <row r="3" spans="2:6" x14ac:dyDescent="0.25">
      <c r="B3" s="9">
        <v>1</v>
      </c>
      <c r="C3" s="10">
        <v>20</v>
      </c>
      <c r="D3" s="10">
        <v>550</v>
      </c>
      <c r="E3" s="57">
        <v>5000</v>
      </c>
      <c r="F3" s="11">
        <f>+E3*D3*C3</f>
        <v>55000000</v>
      </c>
    </row>
    <row r="4" spans="2:6" x14ac:dyDescent="0.25">
      <c r="B4" s="28">
        <v>2</v>
      </c>
      <c r="C4" s="10">
        <v>20</v>
      </c>
      <c r="D4" s="10">
        <v>550</v>
      </c>
      <c r="E4" s="57">
        <v>5200</v>
      </c>
      <c r="F4" s="11">
        <f>+E4*D4*C4</f>
        <v>57200000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Linea Base</vt:lpstr>
      <vt:lpstr>Arbol de desición</vt:lpstr>
      <vt:lpstr>Flujo de caja</vt:lpstr>
      <vt:lpstr>FLUJO DE CAJA MENSUAL 2 años</vt:lpstr>
      <vt:lpstr>FLUJO DE CAJA MENSUAL 6 meses</vt:lpstr>
      <vt:lpstr>CICLO PRODUCTIVO</vt:lpstr>
      <vt:lpstr>EGRESOS</vt:lpstr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Alarcon</dc:creator>
  <cp:lastModifiedBy>Jimenez Uva, Cesar Andres, Enel Colombia</cp:lastModifiedBy>
  <dcterms:created xsi:type="dcterms:W3CDTF">2019-10-02T23:30:12Z</dcterms:created>
  <dcterms:modified xsi:type="dcterms:W3CDTF">2020-06-03T02:59:29Z</dcterms:modified>
</cp:coreProperties>
</file>