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0cd08698c97f69/Escritorio/ENTREGA FINAL CON ANEXOS/"/>
    </mc:Choice>
  </mc:AlternateContent>
  <xr:revisionPtr revIDLastSave="8" documentId="8_{7C6597C3-845C-47F1-8C23-B32FF66A65D2}" xr6:coauthVersionLast="47" xr6:coauthVersionMax="47" xr10:uidLastSave="{43ED2287-DAED-433C-89F7-7AA10862D13B}"/>
  <bookViews>
    <workbookView xWindow="-110" yWindow="-110" windowWidth="19420" windowHeight="10300" xr2:uid="{6A54148C-1839-4719-8D93-5E7AF3D20825}"/>
  </bookViews>
  <sheets>
    <sheet name="Info Bonos" sheetId="15" r:id="rId1"/>
    <sheet name="Ficha 3.1 Bono pob. certificada" sheetId="16" r:id="rId2"/>
    <sheet name="Ficha 3.2 Bono Pob. Solicitante" sheetId="17" r:id="rId3"/>
    <sheet name="Evidencia Fotografica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6" l="1"/>
  <c r="D39" i="16"/>
  <c r="G137" i="17"/>
  <c r="G138" i="17"/>
  <c r="G139" i="17"/>
  <c r="G140" i="17"/>
  <c r="G141" i="17"/>
  <c r="F137" i="17"/>
  <c r="F138" i="17"/>
  <c r="F139" i="17"/>
  <c r="F140" i="17"/>
  <c r="F141" i="17"/>
  <c r="D123" i="17"/>
  <c r="D124" i="17"/>
  <c r="D125" i="17"/>
  <c r="D126" i="17"/>
  <c r="D127" i="17"/>
  <c r="D93" i="17"/>
  <c r="D94" i="17"/>
  <c r="D95" i="17"/>
  <c r="D96" i="17"/>
  <c r="D97" i="17"/>
  <c r="D79" i="17"/>
  <c r="D80" i="17"/>
  <c r="D81" i="17"/>
  <c r="D82" i="17"/>
  <c r="D83" i="17"/>
  <c r="D50" i="17"/>
  <c r="D51" i="17"/>
  <c r="D52" i="17"/>
  <c r="D53" i="17"/>
  <c r="D54" i="17"/>
  <c r="D38" i="17"/>
  <c r="D39" i="17"/>
  <c r="D40" i="17"/>
  <c r="D41" i="17"/>
  <c r="E39" i="17" s="1"/>
  <c r="D82" i="16"/>
  <c r="D78" i="16"/>
  <c r="D79" i="16"/>
  <c r="D80" i="16"/>
  <c r="D81" i="16"/>
  <c r="D119" i="16"/>
  <c r="D120" i="16"/>
  <c r="D121" i="16"/>
  <c r="D122" i="16"/>
  <c r="D123" i="16"/>
  <c r="D91" i="16"/>
  <c r="D92" i="16"/>
  <c r="D93" i="16"/>
  <c r="D94" i="16"/>
  <c r="D95" i="16"/>
  <c r="D48" i="16"/>
  <c r="D49" i="16"/>
  <c r="D50" i="16"/>
  <c r="D51" i="16"/>
  <c r="D52" i="16"/>
  <c r="C39" i="16"/>
  <c r="C40" i="16"/>
  <c r="C37" i="16"/>
  <c r="C38" i="16"/>
  <c r="F93" i="17"/>
  <c r="E139" i="17"/>
  <c r="F52" i="17"/>
  <c r="F95" i="17"/>
  <c r="F96" i="17"/>
  <c r="D90" i="16"/>
  <c r="D77" i="16"/>
  <c r="G149" i="17" l="1"/>
  <c r="F149" i="17"/>
  <c r="E149" i="17"/>
  <c r="D149" i="17"/>
  <c r="C149" i="17"/>
  <c r="B149" i="17"/>
  <c r="G148" i="17"/>
  <c r="F148" i="17"/>
  <c r="E148" i="17"/>
  <c r="D148" i="17"/>
  <c r="C148" i="17"/>
  <c r="B148" i="17"/>
  <c r="G147" i="17"/>
  <c r="F147" i="17"/>
  <c r="E147" i="17"/>
  <c r="D147" i="17"/>
  <c r="C147" i="17"/>
  <c r="B147" i="17"/>
  <c r="G146" i="17"/>
  <c r="F146" i="17"/>
  <c r="E146" i="17"/>
  <c r="D146" i="17"/>
  <c r="C146" i="17"/>
  <c r="B146" i="17"/>
  <c r="E141" i="17"/>
  <c r="D141" i="17"/>
  <c r="C141" i="17"/>
  <c r="B141" i="17"/>
  <c r="E140" i="17"/>
  <c r="D140" i="17"/>
  <c r="C140" i="17"/>
  <c r="B140" i="17"/>
  <c r="D139" i="17"/>
  <c r="C139" i="17"/>
  <c r="B139" i="17"/>
  <c r="E138" i="17"/>
  <c r="D138" i="17"/>
  <c r="C138" i="17"/>
  <c r="B138" i="17"/>
  <c r="E137" i="17"/>
  <c r="D137" i="17"/>
  <c r="C137" i="17"/>
  <c r="B137" i="17"/>
  <c r="E136" i="17"/>
  <c r="D136" i="17"/>
  <c r="C136" i="17"/>
  <c r="B136" i="17"/>
  <c r="C128" i="17"/>
  <c r="B128" i="17"/>
  <c r="D122" i="17"/>
  <c r="E98" i="17"/>
  <c r="C98" i="17"/>
  <c r="B98" i="17"/>
  <c r="F97" i="17"/>
  <c r="F94" i="17"/>
  <c r="F92" i="17"/>
  <c r="D92" i="17"/>
  <c r="C84" i="17"/>
  <c r="B84" i="17"/>
  <c r="D78" i="17"/>
  <c r="E55" i="17"/>
  <c r="G52" i="17" s="1"/>
  <c r="C55" i="17"/>
  <c r="B55" i="17"/>
  <c r="F54" i="17"/>
  <c r="F53" i="17"/>
  <c r="F51" i="17"/>
  <c r="F50" i="17"/>
  <c r="F49" i="17"/>
  <c r="D49" i="17"/>
  <c r="E41" i="17"/>
  <c r="D37" i="17"/>
  <c r="D47" i="16"/>
  <c r="C124" i="16"/>
  <c r="D124" i="16" s="1"/>
  <c r="D118" i="16"/>
  <c r="C96" i="16"/>
  <c r="B96" i="16"/>
  <c r="C83" i="16"/>
  <c r="H18" i="15"/>
  <c r="H21" i="15"/>
  <c r="H22" i="15"/>
  <c r="C36" i="16"/>
  <c r="H20" i="15"/>
  <c r="E91" i="16" l="1"/>
  <c r="E95" i="16"/>
  <c r="E94" i="16"/>
  <c r="E92" i="16"/>
  <c r="E90" i="16"/>
  <c r="E93" i="16"/>
  <c r="E38" i="17"/>
  <c r="H50" i="17"/>
  <c r="H51" i="17"/>
  <c r="H52" i="17"/>
  <c r="H53" i="17"/>
  <c r="H49" i="17"/>
  <c r="H54" i="17"/>
  <c r="H95" i="17"/>
  <c r="H96" i="17"/>
  <c r="H97" i="17"/>
  <c r="H92" i="17"/>
  <c r="H94" i="17"/>
  <c r="H93" i="17"/>
  <c r="G94" i="17"/>
  <c r="G96" i="17"/>
  <c r="G97" i="17"/>
  <c r="G95" i="17"/>
  <c r="G98" i="17"/>
  <c r="G93" i="17"/>
  <c r="G92" i="17"/>
  <c r="D98" i="17"/>
  <c r="E37" i="17"/>
  <c r="E40" i="17"/>
  <c r="D84" i="17"/>
  <c r="G50" i="17"/>
  <c r="F136" i="17"/>
  <c r="G136" i="17"/>
  <c r="F98" i="17"/>
  <c r="D128" i="17"/>
  <c r="B142" i="17"/>
  <c r="C142" i="17"/>
  <c r="F55" i="17"/>
  <c r="G51" i="17"/>
  <c r="G55" i="17"/>
  <c r="G49" i="17"/>
  <c r="G54" i="17"/>
  <c r="D142" i="17"/>
  <c r="D55" i="17"/>
  <c r="E142" i="17"/>
  <c r="G53" i="17"/>
  <c r="D96" i="16"/>
  <c r="H19" i="15"/>
  <c r="I22" i="15"/>
  <c r="H23" i="15"/>
  <c r="H49" i="15"/>
  <c r="H51" i="15"/>
  <c r="E28" i="15"/>
  <c r="E36" i="15"/>
  <c r="G37" i="15"/>
  <c r="G38" i="15"/>
  <c r="G39" i="15"/>
  <c r="G36" i="15"/>
  <c r="C42" i="15"/>
  <c r="G40" i="15" s="1"/>
  <c r="E39" i="15"/>
  <c r="E38" i="15"/>
  <c r="E37" i="15"/>
  <c r="E32" i="15"/>
  <c r="D72" i="15"/>
  <c r="E72" i="15" s="1"/>
  <c r="D71" i="15"/>
  <c r="E71" i="15" s="1"/>
  <c r="D70" i="15"/>
  <c r="D69" i="15"/>
  <c r="E69" i="15" s="1"/>
  <c r="D68" i="15"/>
  <c r="E68" i="15" s="1"/>
  <c r="D67" i="15"/>
  <c r="E67" i="15" s="1"/>
  <c r="D63" i="15"/>
  <c r="E63" i="15" s="1"/>
  <c r="C73" i="15"/>
  <c r="G68" i="15" s="1"/>
  <c r="C64" i="15"/>
  <c r="C62" i="15"/>
  <c r="D62" i="15" s="1"/>
  <c r="C61" i="15"/>
  <c r="D61" i="15" s="1"/>
  <c r="C60" i="15"/>
  <c r="D60" i="15" s="1"/>
  <c r="E60" i="15" s="1"/>
  <c r="C59" i="15"/>
  <c r="D59" i="15" s="1"/>
  <c r="H48" i="15" s="1"/>
  <c r="F22" i="15"/>
  <c r="C54" i="15"/>
  <c r="C24" i="15"/>
  <c r="D24" i="15"/>
  <c r="E23" i="15"/>
  <c r="G23" i="15" s="1"/>
  <c r="G22" i="15"/>
  <c r="E21" i="15"/>
  <c r="E20" i="15"/>
  <c r="G20" i="15" s="1"/>
  <c r="E19" i="15"/>
  <c r="G19" i="15" s="1"/>
  <c r="E18" i="15"/>
  <c r="D83" i="16"/>
  <c r="C53" i="16"/>
  <c r="E49" i="16" s="1"/>
  <c r="B53" i="16"/>
  <c r="E53" i="15"/>
  <c r="E52" i="15"/>
  <c r="E51" i="15"/>
  <c r="G51" i="15" s="1"/>
  <c r="E50" i="15"/>
  <c r="F50" i="15" s="1"/>
  <c r="E49" i="15"/>
  <c r="F49" i="15" s="1"/>
  <c r="E48" i="15"/>
  <c r="I9" i="15"/>
  <c r="I5" i="15"/>
  <c r="E12" i="15"/>
  <c r="D12" i="15"/>
  <c r="C12" i="15"/>
  <c r="I8" i="15"/>
  <c r="I4" i="15"/>
  <c r="C11" i="15"/>
  <c r="E11" i="15"/>
  <c r="D11" i="15"/>
  <c r="E48" i="16" l="1"/>
  <c r="D38" i="16"/>
  <c r="F142" i="17"/>
  <c r="G142" i="17"/>
  <c r="H50" i="15"/>
  <c r="I19" i="15"/>
  <c r="G18" i="15"/>
  <c r="G21" i="15"/>
  <c r="I21" i="15"/>
  <c r="G41" i="15"/>
  <c r="G42" i="15" s="1"/>
  <c r="H52" i="15"/>
  <c r="I52" i="15" s="1"/>
  <c r="I20" i="15"/>
  <c r="E50" i="16"/>
  <c r="E51" i="16"/>
  <c r="E47" i="16"/>
  <c r="E52" i="16"/>
  <c r="D53" i="16"/>
  <c r="D37" i="16"/>
  <c r="C34" i="15"/>
  <c r="D42" i="15"/>
  <c r="E31" i="15"/>
  <c r="E33" i="15"/>
  <c r="E41" i="15"/>
  <c r="E40" i="15"/>
  <c r="E29" i="15"/>
  <c r="E61" i="15"/>
  <c r="E62" i="15"/>
  <c r="G72" i="15"/>
  <c r="E70" i="15"/>
  <c r="I48" i="15"/>
  <c r="E59" i="15"/>
  <c r="I49" i="15"/>
  <c r="G67" i="15"/>
  <c r="G71" i="15"/>
  <c r="D64" i="15"/>
  <c r="H53" i="15" s="1"/>
  <c r="I53" i="15" s="1"/>
  <c r="G70" i="15"/>
  <c r="G69" i="15"/>
  <c r="F51" i="15"/>
  <c r="F21" i="15"/>
  <c r="F18" i="15"/>
  <c r="G49" i="15"/>
  <c r="G53" i="15"/>
  <c r="F20" i="15"/>
  <c r="F53" i="15"/>
  <c r="H24" i="15"/>
  <c r="J22" i="15" s="1"/>
  <c r="F23" i="15"/>
  <c r="F19" i="15"/>
  <c r="G48" i="15"/>
  <c r="G52" i="15"/>
  <c r="I23" i="15"/>
  <c r="I51" i="15"/>
  <c r="F48" i="15"/>
  <c r="F52" i="15"/>
  <c r="C65" i="15"/>
  <c r="D54" i="15"/>
  <c r="I18" i="15"/>
  <c r="I50" i="15"/>
  <c r="G50" i="15"/>
  <c r="E24" i="15"/>
  <c r="K18" i="15" s="1"/>
  <c r="E54" i="15"/>
  <c r="F54" i="15" s="1"/>
  <c r="D73" i="15"/>
  <c r="E73" i="15"/>
  <c r="H54" i="15" l="1"/>
  <c r="J51" i="15" s="1"/>
  <c r="J19" i="15"/>
  <c r="C43" i="15"/>
  <c r="G33" i="15"/>
  <c r="G29" i="15"/>
  <c r="G30" i="15"/>
  <c r="G31" i="15"/>
  <c r="G32" i="15"/>
  <c r="G28" i="15"/>
  <c r="F41" i="15"/>
  <c r="F36" i="15"/>
  <c r="F37" i="15"/>
  <c r="F38" i="15"/>
  <c r="F39" i="15"/>
  <c r="F40" i="15"/>
  <c r="F72" i="15"/>
  <c r="G64" i="15"/>
  <c r="F71" i="15"/>
  <c r="D34" i="15"/>
  <c r="F32" i="15" s="1"/>
  <c r="E30" i="15"/>
  <c r="E42" i="15"/>
  <c r="J49" i="15"/>
  <c r="K48" i="15"/>
  <c r="J48" i="15"/>
  <c r="E64" i="15"/>
  <c r="E65" i="15" s="1"/>
  <c r="E74" i="15" s="1"/>
  <c r="C74" i="15"/>
  <c r="G63" i="15"/>
  <c r="G59" i="15"/>
  <c r="G60" i="15"/>
  <c r="G62" i="15"/>
  <c r="G73" i="15"/>
  <c r="F69" i="15"/>
  <c r="F67" i="15"/>
  <c r="F68" i="15"/>
  <c r="G61" i="15"/>
  <c r="F70" i="15"/>
  <c r="J21" i="15"/>
  <c r="J24" i="15"/>
  <c r="J18" i="15"/>
  <c r="J23" i="15"/>
  <c r="F24" i="15"/>
  <c r="J20" i="15"/>
  <c r="J50" i="15"/>
  <c r="J53" i="15"/>
  <c r="J54" i="15"/>
  <c r="J52" i="15"/>
  <c r="G54" i="15"/>
  <c r="K54" i="15"/>
  <c r="K50" i="15"/>
  <c r="K53" i="15"/>
  <c r="K49" i="15"/>
  <c r="K52" i="15"/>
  <c r="K51" i="15"/>
  <c r="I54" i="15"/>
  <c r="G24" i="15"/>
  <c r="K22" i="15"/>
  <c r="K24" i="15"/>
  <c r="K23" i="15"/>
  <c r="K21" i="15"/>
  <c r="K20" i="15"/>
  <c r="K19" i="15"/>
  <c r="D65" i="15"/>
  <c r="D43" i="15" l="1"/>
  <c r="F29" i="15"/>
  <c r="F30" i="15"/>
  <c r="F31" i="15"/>
  <c r="F33" i="15"/>
  <c r="F28" i="15"/>
  <c r="F42" i="15"/>
  <c r="G34" i="15"/>
  <c r="E34" i="15"/>
  <c r="E43" i="15" s="1"/>
  <c r="F73" i="15"/>
  <c r="D74" i="15"/>
  <c r="F60" i="15"/>
  <c r="F61" i="15"/>
  <c r="F59" i="15"/>
  <c r="F63" i="15"/>
  <c r="F62" i="15"/>
  <c r="G65" i="15"/>
  <c r="F64" i="15"/>
  <c r="F34" i="15" l="1"/>
  <c r="F65" i="15"/>
</calcChain>
</file>

<file path=xl/sharedStrings.xml><?xml version="1.0" encoding="utf-8"?>
<sst xmlns="http://schemas.openxmlformats.org/spreadsheetml/2006/main" count="349" uniqueCount="136">
  <si>
    <t>CUIDADORES</t>
  </si>
  <si>
    <t>USUARIOS</t>
  </si>
  <si>
    <t xml:space="preserve">PORCENTAJE EJECUCION </t>
  </si>
  <si>
    <t>FISICA</t>
  </si>
  <si>
    <t>TOTAL</t>
  </si>
  <si>
    <t>INTELECTUAL</t>
  </si>
  <si>
    <t>PSICOSOCIAL</t>
  </si>
  <si>
    <t>MULTIPLE</t>
  </si>
  <si>
    <t>AUDITIVA</t>
  </si>
  <si>
    <t>VISUAL</t>
  </si>
  <si>
    <t>ENTREGA DE BONO 2023 - 2024</t>
  </si>
  <si>
    <t xml:space="preserve">SOLICITUDES </t>
  </si>
  <si>
    <t>BENEFICIARIOS</t>
  </si>
  <si>
    <t>ENTREGA DE BONO 2025 - 2026</t>
  </si>
  <si>
    <t xml:space="preserve">DISCAPACIDAD </t>
  </si>
  <si>
    <t>TIPO DE DISCAPACIDAD</t>
  </si>
  <si>
    <t>2025 - 2026</t>
  </si>
  <si>
    <t xml:space="preserve">BONOS USUARIOS </t>
  </si>
  <si>
    <t>BONOS CUIDADORES</t>
  </si>
  <si>
    <t>TOTAL USUARIOS</t>
  </si>
  <si>
    <t>TOTAL CUIDAD.</t>
  </si>
  <si>
    <t>PRESUPUESTO EJECUTADO POR TIPO DE DISCAPACIDAD</t>
  </si>
  <si>
    <t>Nombre del indicador</t>
  </si>
  <si>
    <t>Tipo de indicador</t>
  </si>
  <si>
    <t>Definición</t>
  </si>
  <si>
    <t>Unidad de medida</t>
  </si>
  <si>
    <t>Porcentaje (%)</t>
  </si>
  <si>
    <t>Fórmula</t>
  </si>
  <si>
    <t>Fuente de información</t>
  </si>
  <si>
    <t>Año</t>
  </si>
  <si>
    <t>Interpretación</t>
  </si>
  <si>
    <t>Campo</t>
  </si>
  <si>
    <t>Contenido</t>
  </si>
  <si>
    <t>Objetivo</t>
  </si>
  <si>
    <t>Dimensión</t>
  </si>
  <si>
    <t>Resultado / Cobertura</t>
  </si>
  <si>
    <t>Eficacia – Cobertura</t>
  </si>
  <si>
    <t>Frecuencia de medición</t>
  </si>
  <si>
    <t>Anual</t>
  </si>
  <si>
    <t>Responsable</t>
  </si>
  <si>
    <t>Secretaría de Salud / Secretaría de Desarrollo Social – Municipio de Funza</t>
  </si>
  <si>
    <t>Línea de política</t>
  </si>
  <si>
    <t>Discapacidad e inclusión social</t>
  </si>
  <si>
    <t>Meta</t>
  </si>
  <si>
    <t>≥ 80 % de cobertura</t>
  </si>
  <si>
    <t>Desagregación</t>
  </si>
  <si>
    <t>Tipo de discapacidad, vigencia</t>
  </si>
  <si>
    <t>Uso del indicador</t>
  </si>
  <si>
    <t>Planeación, seguimiento presupuestal y ajustes de la política pública</t>
  </si>
  <si>
    <t>Observaciones</t>
  </si>
  <si>
    <t>Registros administrativos municipio de Funza; registros administrativos de la Gobernación de Cundinamarca</t>
  </si>
  <si>
    <t>Año de línea base</t>
  </si>
  <si>
    <t>Valor actualizado</t>
  </si>
  <si>
    <t>Año actualización</t>
  </si>
  <si>
    <t>Brecha</t>
  </si>
  <si>
    <t>Metodología</t>
  </si>
  <si>
    <t>Fuente:</t>
  </si>
  <si>
    <t>Detalle:</t>
  </si>
  <si>
    <t>Meta 2027</t>
  </si>
  <si>
    <t>CÁLCULOS</t>
  </si>
  <si>
    <t>Línea base Agregada</t>
  </si>
  <si>
    <t>% BRECHA</t>
  </si>
  <si>
    <t>POBLACIÓN TOTAL CERTIFICADA</t>
  </si>
  <si>
    <t>PERSONASCON DISCAPACIDAD CERTIFICADAS POR LA GOBERNACION</t>
  </si>
  <si>
    <t>Meta de referencia</t>
  </si>
  <si>
    <t>Interpretación del indicador (Semáforo)</t>
  </si>
  <si>
    <t>% DE DE COBERTURA</t>
  </si>
  <si>
    <t>AÑO</t>
  </si>
  <si>
    <t>VALOR PROYECCIÓN</t>
  </si>
  <si>
    <t>VALOR EJECUCIÓN</t>
  </si>
  <si>
    <t xml:space="preserve">TIPO DE DISCAPACIDAD </t>
  </si>
  <si>
    <t>Pob. Beneficiaria del Bono</t>
  </si>
  <si>
    <t>COBERTURA BONOS USUARIOS - CUIDADORES</t>
  </si>
  <si>
    <t>2023 - 2024</t>
  </si>
  <si>
    <t>Pob. Solicita el Bono</t>
  </si>
  <si>
    <t>Ejecución presupuestal</t>
  </si>
  <si>
    <t>% Presupuesto Ejecutado / Pob. Beneficiaria</t>
  </si>
  <si>
    <t>% Participación de recursos por tipo de discapacidad</t>
  </si>
  <si>
    <t>% Participación de población beneficiaria por tipo de discapacidad</t>
  </si>
  <si>
    <t xml:space="preserve">Pob. Certificada con Discapacidad </t>
  </si>
  <si>
    <t>Cobertura Bonos pob solicita (Pob. Solicita Bono Vs Población Beneficiaria del Bono)</t>
  </si>
  <si>
    <t>Este indicador expresa la relación entre la población con discapacidad que solicita el beneficio de bonos y aquella que efectivamente lo recibe, permitiendo evaluar la capacidad institucional del municipio para responder a la demanda real y la eficiencia en la asignación y uso de los recursos financieros destinados a este programa. Desde el enfoque de derechos, el indicador permite identificar brechas de acceso y posibles exclusiones en la implementación de la política pública de discapacidad.</t>
  </si>
  <si>
    <t>Presupuesto Ejecutado / Pob. Beneficiaria</t>
  </si>
  <si>
    <t>Cobertura Bonos pob certificada (Pob. Certificada Vs Población Beneficiaria del Bono)</t>
  </si>
  <si>
    <t>SERIE COBERTURA AGREGADA (POBLACIÓN CERTIFICADA Vs BENFICIADA POR BONO)</t>
  </si>
  <si>
    <t>SERIE COBERTURA AGREGADA (POBLACIÓN SOLICITA BONO Vs BENEFICIADA POR BONO)</t>
  </si>
  <si>
    <t xml:space="preserve"> % COBERTURA EN BONO</t>
  </si>
  <si>
    <t>POBLACIÓN BENEFICIADA</t>
  </si>
  <si>
    <t xml:space="preserve"> % COBERTURA EN BONOS</t>
  </si>
  <si>
    <t>POBLACIÓN QUE SOLICITA BONO</t>
  </si>
  <si>
    <t>PERSONAS QUE SOLICITAN BONO</t>
  </si>
  <si>
    <t xml:space="preserve">PERSONAS BENEFICIADAS </t>
  </si>
  <si>
    <t>% SOLICITUDES  VS BENEFICIADOS</t>
  </si>
  <si>
    <t>% DE PARTICIPACIÓN PRESUPUESTO EJECUTADO Vs presupuesto total por tipo de discapacidad</t>
  </si>
  <si>
    <t>PERSONAS BENEFICIADAS POR BONO</t>
  </si>
  <si>
    <t>2023 - 2024 Solicita</t>
  </si>
  <si>
    <t>2025 - 2026 Solicita</t>
  </si>
  <si>
    <t>2023 -2024 Beneficiada</t>
  </si>
  <si>
    <t>2025 - 2026 Beneficiada</t>
  </si>
  <si>
    <t>2025 -2026</t>
  </si>
  <si>
    <t>CONCLUSION APOYO ECONOMICA 2023 - 2024 Y 2025 - 2026</t>
  </si>
  <si>
    <t xml:space="preserve">2023 - 2024 </t>
  </si>
  <si>
    <t>SERIE COBERTURA POR TIPO DE ATENCIÓN (POBLACIÓN SOLICITA BONO Vs BENEFICIADA POR BONO) 2025 - 2026</t>
  </si>
  <si>
    <t>Pob. Solicita Bono 2023-2024</t>
  </si>
  <si>
    <t>Pob. Solicita Bono 2025 - 2026</t>
  </si>
  <si>
    <t>Pob. Beneficiada 2023 - 2024</t>
  </si>
  <si>
    <t>Pob.  Beneficiada 2025 - 2026</t>
  </si>
  <si>
    <t>% cobertura 2023-2024</t>
  </si>
  <si>
    <t>% cobertura 2025 - 2026</t>
  </si>
  <si>
    <t>Indicador tipo semáforo:
Verde: ≥80% cobertura
Amarillo: 60–79%
Rojo: &lt;60%</t>
  </si>
  <si>
    <t>Objetivo de politica publica, Aumentando o manteniendo</t>
  </si>
  <si>
    <t xml:space="preserve">Cobertura efectiva del programa de apoyo Economico (Bonos) para personas con discapacidad de la poblacion certificada </t>
  </si>
  <si>
    <t xml:space="preserve">Cobertura efectiva del programa de apoyo Economico (Bonos) para personas con discapacidad de la poblacion solicitante. </t>
  </si>
  <si>
    <t>% POBLACION CERTIFICADA VS ATENCIÓN</t>
  </si>
  <si>
    <t>SERIE COBERTURA POR TIPO DE ATENCIÓN (POBLACIÓN SOLICITA BONO Vs BENEFICIADA POR BONO) 2023 - 2024</t>
  </si>
  <si>
    <t>SERIE COBERTURA POR TIPO DE ATENCIÓN (POBLACIÓN CERTIFICADA Vs BENEFICIADA POR BONO) 2023 - 2024</t>
  </si>
  <si>
    <t>HOJA DE VIDA DEL INDICADOR APOYO ECONOMICO (BONO)</t>
  </si>
  <si>
    <t>OBSERVACIONES</t>
  </si>
  <si>
    <t>Datos Observados</t>
  </si>
  <si>
    <t>Datos Proyectados</t>
  </si>
  <si>
    <t>Mide el porcentaje de personas  con discapacidad que reciben el apoyo economico por medio de bonos frente al total de personas certificadas en una vigencia determinada</t>
  </si>
  <si>
    <t>(Personas  Beneficiadas del Bono/ Personas certificadas) * 100</t>
  </si>
  <si>
    <t>Valores bajos indican brechas de acceso a apoyos economicos; valores altos reflejan mayor efectividad cubriendo la necesidad de apoyos economicos solicitados.</t>
  </si>
  <si>
    <t>*Puede complementarse con costo per cápita y costo por terapia para análisis de eficiencia.
El indicador se desagrega por beneficiario de bono según su Tipo de discapacidad (física, intelectual, psicosocial, múltiple, auditiva y visual).</t>
  </si>
  <si>
    <t>Objetivo de politica publica, Aumentando o manteniendo para lograr progresivamente el 100%</t>
  </si>
  <si>
    <t>Este indicador miden el porcentaje de personas certificadas en condición de discapacidad y las solicitantes que reciben apoyo economico durante una vigencia determinada en el municipio. Permite identificar el nivel de acceso efectivo a los servicios financiados especificamente el apoyo economico y de esa manera establecer brechas entre la población potencial y la población beneficiada.</t>
  </si>
  <si>
    <t>Meta a alcanzar 68,75% Para aumentar y/o Mantener</t>
  </si>
  <si>
    <t xml:space="preserve">Alcanzar o superar una cobertura del 68,75% de beneficiarios de apoyo economico sobre la población certificada de las personas con discapacidad en el municipio de funza. </t>
  </si>
  <si>
    <t>Mide el porcentaje de las personas con discapacidad que reciben el apoyo economico por medio de bonos frente a las personas solicitantes del apoyo economico</t>
  </si>
  <si>
    <t>(Personas solicitan Beneficio / Personas Beneficiadas)*100</t>
  </si>
  <si>
    <t>Puede complementarse con costo per cápita y costo por terapia para análisis de eficiencia.
El indicador se desagrega por beneficiario de bono según su Tipo de discapacidad (física, intelectual, psicosocial, múltiple, auditiva y visual).</t>
  </si>
  <si>
    <t>Este indicador expresa la relación entre la población certificada con discapacidad y aquella que recibe el apoyo economico (Bono), permitiendo evaluar la capacidad institucional del municipio para responder a la demanda censada y la eficiencia en la asignación y uso de los recursos financieros destinados a este programa y su concordancia con el censo de la gobernacion. Desde el enfoque de derechos, el indicador permite identificar brechas de acceso y posibles exclusiones en la implementación de la política pública de discapacidad.</t>
  </si>
  <si>
    <t>≥ 68,75 % de cobertura</t>
  </si>
  <si>
    <t>Meta a alcanzar 83,96% Para aumentar y/o Mantener</t>
  </si>
  <si>
    <t>Este indicador miden el porcentaje de personas con discapacidad y las solicitantes que reciben apoyo economico durante una vigencia determinada en el municipio. Permite identificar el nivel de acceso efectivo a los servicios financiados especificamente el apoyo economico y de esa manera establecer brechas entre la población potencial y la población beneficiada.</t>
  </si>
  <si>
    <t xml:space="preserve">Alcanzar o superar una cobertura del 83,96% de beneficiarios de apoyo economico sobre la población que solicita el beneficio en el municipio de funza.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</si>
</sst>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3"/>
      <color rgb="FFC00000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rgb="FFD6DCE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4">
    <xf numFmtId="0" fontId="0" fillId="0" borderId="0" xfId="0"/>
    <xf numFmtId="0" fontId="0" fillId="0" borderId="23" xfId="0" applyBorder="1"/>
    <xf numFmtId="0" fontId="2" fillId="0" borderId="1" xfId="0" applyFont="1" applyBorder="1"/>
    <xf numFmtId="6" fontId="0" fillId="0" borderId="11" xfId="0" applyNumberFormat="1" applyBorder="1"/>
    <xf numFmtId="0" fontId="0" fillId="0" borderId="25" xfId="0" applyBorder="1"/>
    <xf numFmtId="0" fontId="0" fillId="0" borderId="26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/>
    </xf>
    <xf numFmtId="6" fontId="0" fillId="0" borderId="0" xfId="0" applyNumberFormat="1" applyBorder="1"/>
    <xf numFmtId="164" fontId="0" fillId="0" borderId="12" xfId="0" applyNumberFormat="1" applyBorder="1"/>
    <xf numFmtId="0" fontId="0" fillId="0" borderId="28" xfId="0" applyBorder="1"/>
    <xf numFmtId="0" fontId="0" fillId="0" borderId="3" xfId="0" applyBorder="1"/>
    <xf numFmtId="0" fontId="0" fillId="0" borderId="5" xfId="0" applyBorder="1"/>
    <xf numFmtId="0" fontId="0" fillId="0" borderId="29" xfId="0" applyBorder="1"/>
    <xf numFmtId="0" fontId="0" fillId="0" borderId="30" xfId="0" applyBorder="1"/>
    <xf numFmtId="0" fontId="0" fillId="0" borderId="2" xfId="0" applyBorder="1"/>
    <xf numFmtId="0" fontId="0" fillId="0" borderId="31" xfId="0" applyBorder="1"/>
    <xf numFmtId="0" fontId="0" fillId="0" borderId="4" xfId="0" applyBorder="1"/>
    <xf numFmtId="164" fontId="0" fillId="0" borderId="21" xfId="2" applyNumberFormat="1" applyFont="1" applyBorder="1"/>
    <xf numFmtId="164" fontId="0" fillId="0" borderId="10" xfId="2" applyNumberFormat="1" applyFont="1" applyBorder="1"/>
    <xf numFmtId="164" fontId="0" fillId="0" borderId="22" xfId="2" applyNumberFormat="1" applyFont="1" applyBorder="1"/>
    <xf numFmtId="164" fontId="0" fillId="0" borderId="23" xfId="2" applyNumberFormat="1" applyFont="1" applyBorder="1"/>
    <xf numFmtId="0" fontId="0" fillId="0" borderId="34" xfId="0" applyBorder="1"/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0" borderId="40" xfId="0" applyBorder="1"/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1" xfId="0" applyFont="1" applyFill="1" applyBorder="1"/>
    <xf numFmtId="0" fontId="2" fillId="2" borderId="20" xfId="0" applyFont="1" applyFill="1" applyBorder="1"/>
    <xf numFmtId="0" fontId="2" fillId="2" borderId="24" xfId="0" applyFont="1" applyFill="1" applyBorder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0" fillId="0" borderId="43" xfId="0" applyBorder="1"/>
    <xf numFmtId="0" fontId="0" fillId="0" borderId="34" xfId="0" applyFill="1" applyBorder="1"/>
    <xf numFmtId="0" fontId="0" fillId="0" borderId="44" xfId="0" applyBorder="1"/>
    <xf numFmtId="0" fontId="2" fillId="4" borderId="6" xfId="0" applyFont="1" applyFill="1" applyBorder="1"/>
    <xf numFmtId="0" fontId="0" fillId="4" borderId="1" xfId="0" applyFill="1" applyBorder="1"/>
    <xf numFmtId="0" fontId="2" fillId="5" borderId="6" xfId="0" applyFont="1" applyFill="1" applyBorder="1"/>
    <xf numFmtId="0" fontId="0" fillId="5" borderId="1" xfId="0" applyFill="1" applyBorder="1"/>
    <xf numFmtId="0" fontId="2" fillId="4" borderId="1" xfId="0" applyFont="1" applyFill="1" applyBorder="1"/>
    <xf numFmtId="0" fontId="0" fillId="0" borderId="18" xfId="0" applyBorder="1"/>
    <xf numFmtId="0" fontId="0" fillId="0" borderId="18" xfId="0" applyFill="1" applyBorder="1"/>
    <xf numFmtId="0" fontId="0" fillId="0" borderId="45" xfId="0" applyBorder="1"/>
    <xf numFmtId="0" fontId="0" fillId="0" borderId="32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5" borderId="27" xfId="0" applyFill="1" applyBorder="1"/>
    <xf numFmtId="0" fontId="0" fillId="5" borderId="16" xfId="0" applyFill="1" applyBorder="1"/>
    <xf numFmtId="0" fontId="0" fillId="0" borderId="2" xfId="0" applyFill="1" applyBorder="1"/>
    <xf numFmtId="0" fontId="0" fillId="0" borderId="31" xfId="0" applyFill="1" applyBorder="1"/>
    <xf numFmtId="165" fontId="0" fillId="0" borderId="30" xfId="1" applyNumberFormat="1" applyFont="1" applyBorder="1"/>
    <xf numFmtId="165" fontId="0" fillId="0" borderId="48" xfId="1" applyNumberFormat="1" applyFont="1" applyBorder="1"/>
    <xf numFmtId="165" fontId="0" fillId="0" borderId="29" xfId="1" applyNumberFormat="1" applyFont="1" applyBorder="1"/>
    <xf numFmtId="165" fontId="2" fillId="5" borderId="12" xfId="1" applyNumberFormat="1" applyFont="1" applyFill="1" applyBorder="1"/>
    <xf numFmtId="0" fontId="2" fillId="7" borderId="6" xfId="0" applyFont="1" applyFill="1" applyBorder="1"/>
    <xf numFmtId="165" fontId="2" fillId="7" borderId="41" xfId="1" applyNumberFormat="1" applyFont="1" applyFill="1" applyBorder="1"/>
    <xf numFmtId="0" fontId="2" fillId="8" borderId="6" xfId="0" applyFont="1" applyFill="1" applyBorder="1"/>
    <xf numFmtId="165" fontId="2" fillId="8" borderId="41" xfId="1" applyNumberFormat="1" applyFont="1" applyFill="1" applyBorder="1"/>
    <xf numFmtId="165" fontId="0" fillId="0" borderId="11" xfId="0" applyNumberFormat="1" applyBorder="1"/>
    <xf numFmtId="0" fontId="0" fillId="0" borderId="0" xfId="0" applyFill="1"/>
    <xf numFmtId="0" fontId="0" fillId="0" borderId="48" xfId="0" applyBorder="1"/>
    <xf numFmtId="165" fontId="0" fillId="0" borderId="18" xfId="0" applyNumberFormat="1" applyBorder="1" applyAlignment="1"/>
    <xf numFmtId="165" fontId="0" fillId="0" borderId="45" xfId="0" applyNumberFormat="1" applyBorder="1" applyAlignment="1"/>
    <xf numFmtId="165" fontId="2" fillId="7" borderId="1" xfId="1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5" borderId="9" xfId="0" applyFont="1" applyFill="1" applyBorder="1"/>
    <xf numFmtId="0" fontId="2" fillId="3" borderId="1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166" fontId="0" fillId="0" borderId="38" xfId="3" applyNumberFormat="1" applyFont="1" applyBorder="1"/>
    <xf numFmtId="10" fontId="0" fillId="0" borderId="38" xfId="3" applyNumberFormat="1" applyFont="1" applyBorder="1"/>
    <xf numFmtId="166" fontId="2" fillId="3" borderId="1" xfId="3" applyNumberFormat="1" applyFont="1" applyFill="1" applyBorder="1"/>
    <xf numFmtId="166" fontId="0" fillId="0" borderId="17" xfId="3" applyNumberFormat="1" applyFont="1" applyBorder="1"/>
    <xf numFmtId="0" fontId="0" fillId="0" borderId="17" xfId="0" applyBorder="1"/>
    <xf numFmtId="165" fontId="0" fillId="0" borderId="17" xfId="1" applyNumberFormat="1" applyFont="1" applyBorder="1"/>
    <xf numFmtId="0" fontId="3" fillId="0" borderId="0" xfId="0" applyFont="1" applyBorder="1" applyAlignment="1">
      <alignment horizontal="right" vertical="center"/>
    </xf>
    <xf numFmtId="166" fontId="3" fillId="0" borderId="0" xfId="0" applyNumberFormat="1" applyFont="1" applyBorder="1"/>
    <xf numFmtId="0" fontId="3" fillId="0" borderId="53" xfId="0" applyFont="1" applyBorder="1" applyAlignment="1">
      <alignment horizontal="right" vertical="center"/>
    </xf>
    <xf numFmtId="166" fontId="0" fillId="0" borderId="40" xfId="0" applyNumberFormat="1" applyBorder="1"/>
    <xf numFmtId="0" fontId="5" fillId="9" borderId="11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3" fillId="0" borderId="34" xfId="0" applyFont="1" applyBorder="1" applyAlignment="1">
      <alignment horizontal="right"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4" borderId="7" xfId="0" applyFont="1" applyFill="1" applyBorder="1"/>
    <xf numFmtId="0" fontId="5" fillId="9" borderId="1" xfId="0" applyFont="1" applyFill="1" applyBorder="1" applyAlignment="1">
      <alignment horizontal="center" wrapText="1"/>
    </xf>
    <xf numFmtId="9" fontId="2" fillId="4" borderId="33" xfId="3" applyFont="1" applyFill="1" applyBorder="1"/>
    <xf numFmtId="0" fontId="5" fillId="9" borderId="10" xfId="0" applyFont="1" applyFill="1" applyBorder="1" applyAlignment="1">
      <alignment horizontal="center" wrapText="1"/>
    </xf>
    <xf numFmtId="165" fontId="5" fillId="9" borderId="1" xfId="1" applyNumberFormat="1" applyFont="1" applyFill="1" applyBorder="1" applyAlignment="1">
      <alignment horizontal="center" wrapText="1"/>
    </xf>
    <xf numFmtId="165" fontId="0" fillId="0" borderId="18" xfId="1" applyNumberFormat="1" applyFont="1" applyBorder="1"/>
    <xf numFmtId="165" fontId="0" fillId="0" borderId="18" xfId="1" applyNumberFormat="1" applyFont="1" applyFill="1" applyBorder="1"/>
    <xf numFmtId="165" fontId="0" fillId="0" borderId="45" xfId="1" applyNumberFormat="1" applyFont="1" applyBorder="1"/>
    <xf numFmtId="165" fontId="2" fillId="4" borderId="33" xfId="1" applyNumberFormat="1" applyFont="1" applyFill="1" applyBorder="1"/>
    <xf numFmtId="0" fontId="2" fillId="4" borderId="27" xfId="0" applyFont="1" applyFill="1" applyBorder="1"/>
    <xf numFmtId="165" fontId="2" fillId="4" borderId="27" xfId="1" applyNumberFormat="1" applyFont="1" applyFill="1" applyBorder="1"/>
    <xf numFmtId="0" fontId="6" fillId="0" borderId="0" xfId="0" applyFont="1"/>
    <xf numFmtId="0" fontId="2" fillId="3" borderId="10" xfId="0" applyFont="1" applyFill="1" applyBorder="1" applyAlignment="1">
      <alignment horizontal="center" vertical="center" wrapText="1"/>
    </xf>
    <xf numFmtId="166" fontId="2" fillId="3" borderId="12" xfId="3" applyNumberFormat="1" applyFont="1" applyFill="1" applyBorder="1"/>
    <xf numFmtId="166" fontId="0" fillId="0" borderId="1" xfId="3" applyNumberFormat="1" applyFont="1" applyBorder="1"/>
    <xf numFmtId="164" fontId="0" fillId="0" borderId="57" xfId="0" applyNumberFormat="1" applyBorder="1"/>
    <xf numFmtId="164" fontId="0" fillId="0" borderId="58" xfId="0" applyNumberFormat="1" applyBorder="1"/>
    <xf numFmtId="164" fontId="0" fillId="0" borderId="59" xfId="0" applyNumberFormat="1" applyBorder="1"/>
    <xf numFmtId="166" fontId="0" fillId="0" borderId="4" xfId="3" applyNumberFormat="1" applyFont="1" applyBorder="1"/>
    <xf numFmtId="166" fontId="0" fillId="0" borderId="35" xfId="3" applyNumberFormat="1" applyFont="1" applyBorder="1"/>
    <xf numFmtId="166" fontId="0" fillId="0" borderId="5" xfId="3" applyNumberFormat="1" applyFont="1" applyBorder="1"/>
    <xf numFmtId="0" fontId="2" fillId="4" borderId="9" xfId="0" applyFont="1" applyFill="1" applyBorder="1" applyAlignment="1"/>
    <xf numFmtId="0" fontId="2" fillId="4" borderId="16" xfId="0" applyFont="1" applyFill="1" applyBorder="1" applyAlignment="1"/>
    <xf numFmtId="0" fontId="2" fillId="4" borderId="27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166" fontId="0" fillId="0" borderId="0" xfId="3" applyNumberFormat="1" applyFont="1" applyBorder="1"/>
    <xf numFmtId="9" fontId="0" fillId="0" borderId="46" xfId="3" applyFont="1" applyBorder="1" applyAlignment="1"/>
    <xf numFmtId="9" fontId="0" fillId="14" borderId="46" xfId="3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 wrapText="1"/>
    </xf>
    <xf numFmtId="9" fontId="0" fillId="0" borderId="46" xfId="3" applyFont="1" applyFill="1" applyBorder="1" applyAlignment="1"/>
    <xf numFmtId="165" fontId="2" fillId="5" borderId="41" xfId="1" applyNumberFormat="1" applyFont="1" applyFill="1" applyBorder="1"/>
    <xf numFmtId="165" fontId="2" fillId="5" borderId="33" xfId="1" applyNumberFormat="1" applyFont="1" applyFill="1" applyBorder="1"/>
    <xf numFmtId="9" fontId="2" fillId="5" borderId="1" xfId="3" applyFont="1" applyFill="1" applyBorder="1"/>
    <xf numFmtId="165" fontId="2" fillId="5" borderId="1" xfId="1" applyNumberFormat="1" applyFont="1" applyFill="1" applyBorder="1"/>
    <xf numFmtId="166" fontId="2" fillId="5" borderId="1" xfId="3" applyNumberFormat="1" applyFont="1" applyFill="1" applyBorder="1"/>
    <xf numFmtId="0" fontId="2" fillId="5" borderId="9" xfId="0" applyFont="1" applyFill="1" applyBorder="1" applyAlignment="1"/>
    <xf numFmtId="0" fontId="2" fillId="5" borderId="16" xfId="0" applyFont="1" applyFill="1" applyBorder="1" applyAlignment="1"/>
    <xf numFmtId="0" fontId="2" fillId="5" borderId="27" xfId="0" applyFont="1" applyFill="1" applyBorder="1" applyAlignment="1"/>
    <xf numFmtId="165" fontId="2" fillId="5" borderId="1" xfId="0" applyNumberFormat="1" applyFont="1" applyFill="1" applyBorder="1"/>
    <xf numFmtId="165" fontId="2" fillId="5" borderId="9" xfId="1" applyNumberFormat="1" applyFont="1" applyFill="1" applyBorder="1"/>
    <xf numFmtId="0" fontId="2" fillId="0" borderId="9" xfId="0" applyFont="1" applyFill="1" applyBorder="1" applyAlignment="1">
      <alignment horizontal="center" vertical="center" wrapText="1"/>
    </xf>
    <xf numFmtId="165" fontId="2" fillId="8" borderId="33" xfId="1" applyNumberFormat="1" applyFont="1" applyFill="1" applyBorder="1"/>
    <xf numFmtId="166" fontId="0" fillId="0" borderId="0" xfId="3" applyNumberFormat="1" applyFont="1"/>
    <xf numFmtId="165" fontId="2" fillId="8" borderId="1" xfId="1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 wrapText="1"/>
    </xf>
    <xf numFmtId="166" fontId="0" fillId="0" borderId="14" xfId="3" applyNumberFormat="1" applyFont="1" applyBorder="1"/>
    <xf numFmtId="166" fontId="0" fillId="0" borderId="60" xfId="3" applyNumberFormat="1" applyFont="1" applyBorder="1"/>
    <xf numFmtId="166" fontId="0" fillId="0" borderId="11" xfId="3" applyNumberFormat="1" applyFont="1" applyBorder="1"/>
    <xf numFmtId="166" fontId="0" fillId="0" borderId="12" xfId="3" applyNumberFormat="1" applyFont="1" applyBorder="1"/>
    <xf numFmtId="0" fontId="2" fillId="8" borderId="61" xfId="0" applyFont="1" applyFill="1" applyBorder="1"/>
    <xf numFmtId="165" fontId="2" fillId="8" borderId="62" xfId="1" applyNumberFormat="1" applyFont="1" applyFill="1" applyBorder="1"/>
    <xf numFmtId="165" fontId="2" fillId="8" borderId="63" xfId="0" applyNumberFormat="1" applyFont="1" applyFill="1" applyBorder="1"/>
    <xf numFmtId="9" fontId="2" fillId="8" borderId="16" xfId="0" applyNumberFormat="1" applyFont="1" applyFill="1" applyBorder="1"/>
    <xf numFmtId="166" fontId="2" fillId="8" borderId="1" xfId="0" applyNumberFormat="1" applyFont="1" applyFill="1" applyBorder="1"/>
    <xf numFmtId="9" fontId="2" fillId="8" borderId="9" xfId="0" applyNumberFormat="1" applyFont="1" applyFill="1" applyBorder="1"/>
    <xf numFmtId="9" fontId="2" fillId="8" borderId="1" xfId="0" applyNumberFormat="1" applyFont="1" applyFill="1" applyBorder="1"/>
    <xf numFmtId="165" fontId="0" fillId="0" borderId="17" xfId="1" applyNumberFormat="1" applyFont="1" applyFill="1" applyBorder="1"/>
    <xf numFmtId="166" fontId="0" fillId="0" borderId="17" xfId="3" applyNumberFormat="1" applyFont="1" applyFill="1" applyBorder="1" applyAlignment="1"/>
    <xf numFmtId="166" fontId="0" fillId="0" borderId="38" xfId="3" applyNumberFormat="1" applyFont="1" applyFill="1" applyBorder="1" applyAlignment="1"/>
    <xf numFmtId="165" fontId="0" fillId="0" borderId="19" xfId="1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1" applyNumberFormat="1" applyFont="1" applyFill="1" applyBorder="1"/>
    <xf numFmtId="0" fontId="0" fillId="0" borderId="0" xfId="0" applyFill="1" applyBorder="1"/>
    <xf numFmtId="165" fontId="2" fillId="4" borderId="41" xfId="1" applyNumberFormat="1" applyFont="1" applyFill="1" applyBorder="1"/>
    <xf numFmtId="9" fontId="2" fillId="4" borderId="1" xfId="3" applyFont="1" applyFill="1" applyBorder="1"/>
    <xf numFmtId="165" fontId="2" fillId="4" borderId="1" xfId="1" applyNumberFormat="1" applyFont="1" applyFill="1" applyBorder="1"/>
    <xf numFmtId="166" fontId="2" fillId="4" borderId="1" xfId="3" applyNumberFormat="1" applyFont="1" applyFill="1" applyBorder="1"/>
    <xf numFmtId="0" fontId="2" fillId="7" borderId="61" xfId="0" applyFont="1" applyFill="1" applyBorder="1"/>
    <xf numFmtId="165" fontId="2" fillId="7" borderId="62" xfId="1" applyNumberFormat="1" applyFont="1" applyFill="1" applyBorder="1"/>
    <xf numFmtId="9" fontId="2" fillId="7" borderId="16" xfId="0" applyNumberFormat="1" applyFont="1" applyFill="1" applyBorder="1"/>
    <xf numFmtId="165" fontId="2" fillId="4" borderId="1" xfId="0" applyNumberFormat="1" applyFont="1" applyFill="1" applyBorder="1"/>
    <xf numFmtId="165" fontId="2" fillId="4" borderId="9" xfId="1" applyNumberFormat="1" applyFont="1" applyFill="1" applyBorder="1"/>
    <xf numFmtId="166" fontId="2" fillId="7" borderId="12" xfId="0" applyNumberFormat="1" applyFont="1" applyFill="1" applyBorder="1"/>
    <xf numFmtId="166" fontId="0" fillId="0" borderId="18" xfId="3" applyNumberFormat="1" applyFont="1" applyBorder="1"/>
    <xf numFmtId="166" fontId="0" fillId="0" borderId="19" xfId="3" applyNumberFormat="1" applyFont="1" applyBorder="1"/>
    <xf numFmtId="166" fontId="0" fillId="0" borderId="46" xfId="3" applyNumberFormat="1" applyFont="1" applyFill="1" applyBorder="1" applyAlignment="1"/>
    <xf numFmtId="165" fontId="0" fillId="0" borderId="50" xfId="1" applyNumberFormat="1" applyFont="1" applyFill="1" applyBorder="1"/>
    <xf numFmtId="165" fontId="0" fillId="0" borderId="51" xfId="1" applyNumberFormat="1" applyFont="1" applyFill="1" applyBorder="1"/>
    <xf numFmtId="165" fontId="0" fillId="0" borderId="52" xfId="1" applyNumberFormat="1" applyFont="1" applyFill="1" applyBorder="1"/>
    <xf numFmtId="165" fontId="2" fillId="4" borderId="64" xfId="1" applyNumberFormat="1" applyFont="1" applyFill="1" applyBorder="1"/>
    <xf numFmtId="166" fontId="0" fillId="0" borderId="42" xfId="3" applyNumberFormat="1" applyFont="1" applyBorder="1"/>
    <xf numFmtId="0" fontId="2" fillId="4" borderId="21" xfId="0" applyFont="1" applyFill="1" applyBorder="1" applyAlignment="1"/>
    <xf numFmtId="165" fontId="2" fillId="7" borderId="49" xfId="1" applyNumberFormat="1" applyFont="1" applyFill="1" applyBorder="1"/>
    <xf numFmtId="165" fontId="0" fillId="0" borderId="19" xfId="1" applyNumberFormat="1" applyFont="1" applyBorder="1"/>
    <xf numFmtId="165" fontId="0" fillId="0" borderId="65" xfId="0" applyNumberFormat="1" applyBorder="1" applyAlignment="1"/>
    <xf numFmtId="165" fontId="0" fillId="0" borderId="51" xfId="0" applyNumberFormat="1" applyBorder="1" applyAlignment="1"/>
    <xf numFmtId="165" fontId="0" fillId="0" borderId="66" xfId="0" applyNumberFormat="1" applyBorder="1" applyAlignment="1"/>
    <xf numFmtId="0" fontId="2" fillId="0" borderId="20" xfId="0" applyFont="1" applyFill="1" applyBorder="1" applyAlignment="1">
      <alignment horizontal="center" vertical="center" wrapText="1"/>
    </xf>
    <xf numFmtId="165" fontId="2" fillId="7" borderId="64" xfId="1" applyNumberFormat="1" applyFont="1" applyFill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9" fontId="2" fillId="7" borderId="12" xfId="0" applyNumberFormat="1" applyFont="1" applyFill="1" applyBorder="1"/>
    <xf numFmtId="165" fontId="2" fillId="7" borderId="67" xfId="0" applyNumberFormat="1" applyFont="1" applyFill="1" applyBorder="1"/>
    <xf numFmtId="165" fontId="2" fillId="4" borderId="9" xfId="0" applyNumberFormat="1" applyFont="1" applyFill="1" applyBorder="1"/>
    <xf numFmtId="0" fontId="5" fillId="9" borderId="54" xfId="0" applyFont="1" applyFill="1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9" borderId="55" xfId="0" applyFont="1" applyFill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3" fillId="9" borderId="68" xfId="0" applyFont="1" applyFill="1" applyBorder="1" applyAlignment="1">
      <alignment horizontal="left" vertical="center"/>
    </xf>
    <xf numFmtId="0" fontId="3" fillId="9" borderId="69" xfId="0" applyFont="1" applyFill="1" applyBorder="1" applyAlignment="1">
      <alignment vertical="center"/>
    </xf>
    <xf numFmtId="0" fontId="3" fillId="9" borderId="70" xfId="0" applyFont="1" applyFill="1" applyBorder="1" applyAlignment="1">
      <alignment vertical="center"/>
    </xf>
    <xf numFmtId="0" fontId="3" fillId="9" borderId="2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vertical="center"/>
    </xf>
    <xf numFmtId="0" fontId="3" fillId="9" borderId="31" xfId="0" applyFont="1" applyFill="1" applyBorder="1" applyAlignment="1">
      <alignment horizontal="left" vertical="center"/>
    </xf>
    <xf numFmtId="0" fontId="5" fillId="9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6" fontId="2" fillId="3" borderId="9" xfId="3" applyNumberFormat="1" applyFont="1" applyFill="1" applyBorder="1"/>
    <xf numFmtId="43" fontId="0" fillId="0" borderId="18" xfId="1" applyNumberFormat="1" applyFont="1" applyBorder="1"/>
    <xf numFmtId="43" fontId="0" fillId="0" borderId="45" xfId="1" applyNumberFormat="1" applyFont="1" applyBorder="1"/>
    <xf numFmtId="43" fontId="2" fillId="4" borderId="1" xfId="0" applyNumberFormat="1" applyFont="1" applyFill="1" applyBorder="1"/>
    <xf numFmtId="43" fontId="0" fillId="0" borderId="17" xfId="1" applyNumberFormat="1" applyFont="1" applyBorder="1"/>
    <xf numFmtId="43" fontId="0" fillId="0" borderId="11" xfId="1" applyFont="1" applyBorder="1"/>
    <xf numFmtId="10" fontId="0" fillId="0" borderId="17" xfId="3" applyNumberFormat="1" applyFont="1" applyBorder="1" applyAlignment="1">
      <alignment horizontal="center"/>
    </xf>
    <xf numFmtId="43" fontId="2" fillId="3" borderId="1" xfId="0" applyNumberFormat="1" applyFont="1" applyFill="1" applyBorder="1"/>
    <xf numFmtId="10" fontId="0" fillId="0" borderId="8" xfId="3" applyNumberFormat="1" applyFont="1" applyBorder="1" applyAlignment="1">
      <alignment horizontal="center"/>
    </xf>
    <xf numFmtId="0" fontId="0" fillId="3" borderId="12" xfId="0" applyFill="1" applyBorder="1"/>
    <xf numFmtId="10" fontId="0" fillId="0" borderId="18" xfId="3" applyNumberFormat="1" applyFont="1" applyBorder="1" applyAlignment="1">
      <alignment horizontal="center"/>
    </xf>
    <xf numFmtId="10" fontId="0" fillId="0" borderId="19" xfId="3" applyNumberFormat="1" applyFont="1" applyBorder="1" applyAlignment="1">
      <alignment horizontal="center"/>
    </xf>
    <xf numFmtId="0" fontId="2" fillId="0" borderId="38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0" fillId="0" borderId="3" xfId="0" applyFill="1" applyBorder="1"/>
    <xf numFmtId="0" fontId="0" fillId="0" borderId="5" xfId="0" applyFill="1" applyBorder="1"/>
    <xf numFmtId="0" fontId="0" fillId="0" borderId="0" xfId="0" applyFill="1" applyAlignment="1">
      <alignment vertical="center"/>
    </xf>
    <xf numFmtId="0" fontId="0" fillId="0" borderId="40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2" fillId="6" borderId="7" xfId="0" applyFont="1" applyFill="1" applyBorder="1"/>
    <xf numFmtId="9" fontId="2" fillId="6" borderId="7" xfId="3" applyFont="1" applyFill="1" applyBorder="1"/>
    <xf numFmtId="0" fontId="2" fillId="6" borderId="9" xfId="0" applyFont="1" applyFill="1" applyBorder="1" applyAlignment="1">
      <alignment horizontal="center" vertical="center"/>
    </xf>
    <xf numFmtId="0" fontId="0" fillId="0" borderId="42" xfId="0" applyFill="1" applyBorder="1"/>
    <xf numFmtId="0" fontId="0" fillId="0" borderId="65" xfId="0" applyFill="1" applyBorder="1"/>
    <xf numFmtId="0" fontId="2" fillId="0" borderId="45" xfId="0" applyFont="1" applyFill="1" applyBorder="1" applyAlignment="1">
      <alignment vertical="center"/>
    </xf>
    <xf numFmtId="0" fontId="0" fillId="0" borderId="44" xfId="0" applyFill="1" applyBorder="1"/>
    <xf numFmtId="0" fontId="0" fillId="0" borderId="38" xfId="0" applyFill="1" applyBorder="1"/>
    <xf numFmtId="0" fontId="0" fillId="0" borderId="46" xfId="0" applyFill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2" fillId="6" borderId="62" xfId="0" applyFont="1" applyFill="1" applyBorder="1" applyAlignment="1">
      <alignment horizontal="center"/>
    </xf>
    <xf numFmtId="0" fontId="2" fillId="6" borderId="63" xfId="0" applyFont="1" applyFill="1" applyBorder="1" applyAlignment="1">
      <alignment horizontal="center"/>
    </xf>
    <xf numFmtId="0" fontId="0" fillId="0" borderId="57" xfId="0" applyFill="1" applyBorder="1"/>
    <xf numFmtId="0" fontId="0" fillId="0" borderId="58" xfId="0" applyFill="1" applyBorder="1"/>
    <xf numFmtId="0" fontId="0" fillId="0" borderId="59" xfId="0" applyFill="1" applyBorder="1"/>
    <xf numFmtId="0" fontId="0" fillId="0" borderId="4" xfId="0" applyFill="1" applyBorder="1"/>
    <xf numFmtId="0" fontId="0" fillId="0" borderId="35" xfId="0" applyFill="1" applyBorder="1"/>
    <xf numFmtId="0" fontId="3" fillId="9" borderId="24" xfId="0" applyFont="1" applyFill="1" applyBorder="1" applyAlignment="1">
      <alignment vertical="center" wrapText="1"/>
    </xf>
    <xf numFmtId="0" fontId="5" fillId="9" borderId="24" xfId="0" applyFont="1" applyFill="1" applyBorder="1" applyAlignment="1">
      <alignment horizontal="center" vertical="center"/>
    </xf>
    <xf numFmtId="10" fontId="0" fillId="0" borderId="38" xfId="3" applyNumberFormat="1" applyFont="1" applyBorder="1" applyAlignment="1">
      <alignment horizontal="center"/>
    </xf>
    <xf numFmtId="165" fontId="5" fillId="9" borderId="9" xfId="1" applyNumberFormat="1" applyFont="1" applyFill="1" applyBorder="1" applyAlignment="1">
      <alignment horizontal="center" wrapText="1"/>
    </xf>
    <xf numFmtId="165" fontId="0" fillId="0" borderId="46" xfId="0" applyNumberFormat="1" applyBorder="1"/>
    <xf numFmtId="10" fontId="0" fillId="0" borderId="50" xfId="3" applyNumberFormat="1" applyFont="1" applyBorder="1" applyAlignment="1">
      <alignment horizontal="center"/>
    </xf>
    <xf numFmtId="10" fontId="0" fillId="0" borderId="51" xfId="3" applyNumberFormat="1" applyFont="1" applyBorder="1" applyAlignment="1">
      <alignment horizontal="center"/>
    </xf>
    <xf numFmtId="10" fontId="0" fillId="0" borderId="52" xfId="3" applyNumberFormat="1" applyFont="1" applyBorder="1" applyAlignment="1">
      <alignment horizontal="center"/>
    </xf>
    <xf numFmtId="10" fontId="0" fillId="0" borderId="47" xfId="3" applyNumberFormat="1" applyFont="1" applyBorder="1" applyAlignment="1">
      <alignment horizontal="center"/>
    </xf>
    <xf numFmtId="10" fontId="0" fillId="0" borderId="56" xfId="3" applyNumberFormat="1" applyFont="1" applyBorder="1" applyAlignment="1">
      <alignment horizontal="center"/>
    </xf>
    <xf numFmtId="0" fontId="5" fillId="9" borderId="9" xfId="0" applyFont="1" applyFill="1" applyBorder="1" applyAlignment="1">
      <alignment horizontal="center" vertical="center" wrapText="1"/>
    </xf>
    <xf numFmtId="0" fontId="2" fillId="4" borderId="33" xfId="0" applyFont="1" applyFill="1" applyBorder="1"/>
    <xf numFmtId="0" fontId="0" fillId="0" borderId="19" xfId="0" applyBorder="1"/>
    <xf numFmtId="43" fontId="2" fillId="3" borderId="9" xfId="0" applyNumberFormat="1" applyFont="1" applyFill="1" applyBorder="1"/>
    <xf numFmtId="0" fontId="0" fillId="3" borderId="26" xfId="0" applyFill="1" applyBorder="1"/>
    <xf numFmtId="10" fontId="0" fillId="0" borderId="45" xfId="3" applyNumberFormat="1" applyFont="1" applyBorder="1" applyAlignment="1">
      <alignment horizontal="center"/>
    </xf>
    <xf numFmtId="10" fontId="0" fillId="3" borderId="1" xfId="3" applyNumberFormat="1" applyFont="1" applyFill="1" applyBorder="1" applyAlignment="1">
      <alignment horizontal="center"/>
    </xf>
    <xf numFmtId="0" fontId="2" fillId="0" borderId="17" xfId="0" applyFont="1" applyBorder="1" applyAlignment="1">
      <alignment vertical="center"/>
    </xf>
    <xf numFmtId="0" fontId="0" fillId="0" borderId="13" xfId="0" applyBorder="1"/>
    <xf numFmtId="165" fontId="0" fillId="0" borderId="8" xfId="0" applyNumberFormat="1" applyBorder="1"/>
    <xf numFmtId="9" fontId="2" fillId="4" borderId="7" xfId="3" applyFont="1" applyFill="1" applyBorder="1"/>
    <xf numFmtId="0" fontId="5" fillId="13" borderId="44" xfId="0" applyFont="1" applyFill="1" applyBorder="1" applyAlignment="1">
      <alignment horizontal="left" vertical="center"/>
    </xf>
    <xf numFmtId="0" fontId="5" fillId="13" borderId="44" xfId="0" applyFont="1" applyFill="1" applyBorder="1" applyAlignment="1">
      <alignment horizontal="left"/>
    </xf>
    <xf numFmtId="166" fontId="0" fillId="0" borderId="29" xfId="0" applyNumberFormat="1" applyBorder="1"/>
    <xf numFmtId="166" fontId="0" fillId="0" borderId="30" xfId="0" applyNumberFormat="1" applyBorder="1"/>
    <xf numFmtId="166" fontId="0" fillId="0" borderId="17" xfId="0" applyNumberFormat="1" applyBorder="1"/>
    <xf numFmtId="166" fontId="0" fillId="0" borderId="18" xfId="0" applyNumberFormat="1" applyBorder="1"/>
    <xf numFmtId="166" fontId="0" fillId="0" borderId="19" xfId="0" applyNumberFormat="1" applyBorder="1"/>
    <xf numFmtId="166" fontId="0" fillId="0" borderId="30" xfId="0" applyNumberFormat="1" applyFill="1" applyBorder="1"/>
    <xf numFmtId="10" fontId="2" fillId="0" borderId="42" xfId="3" applyNumberFormat="1" applyFont="1" applyBorder="1"/>
    <xf numFmtId="0" fontId="3" fillId="9" borderId="7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4" borderId="27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5" fillId="9" borderId="27" xfId="0" applyFont="1" applyFill="1" applyBorder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3" fillId="0" borderId="3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0" fillId="11" borderId="34" xfId="0" applyFill="1" applyBorder="1" applyAlignment="1">
      <alignment horizontal="right" vertical="center" wrapText="1"/>
    </xf>
    <xf numFmtId="0" fontId="0" fillId="11" borderId="3" xfId="0" applyFill="1" applyBorder="1" applyAlignment="1">
      <alignment horizontal="right" vertical="center" wrapText="1"/>
    </xf>
    <xf numFmtId="166" fontId="0" fillId="11" borderId="35" xfId="0" applyNumberFormat="1" applyFill="1" applyBorder="1" applyAlignment="1">
      <alignment horizontal="right" vertical="center" wrapText="1"/>
    </xf>
    <xf numFmtId="166" fontId="0" fillId="11" borderId="5" xfId="0" applyNumberFormat="1" applyFill="1" applyBorder="1" applyAlignment="1">
      <alignment horizontal="right" vertical="center" wrapText="1"/>
    </xf>
    <xf numFmtId="0" fontId="4" fillId="12" borderId="9" xfId="0" applyFont="1" applyFill="1" applyBorder="1" applyAlignment="1">
      <alignment horizontal="left" vertical="center"/>
    </xf>
    <xf numFmtId="0" fontId="4" fillId="12" borderId="16" xfId="0" applyFont="1" applyFill="1" applyBorder="1" applyAlignment="1">
      <alignment horizontal="left" vertical="center"/>
    </xf>
    <xf numFmtId="0" fontId="4" fillId="12" borderId="27" xfId="0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0" fillId="11" borderId="30" xfId="0" applyFill="1" applyBorder="1" applyAlignment="1">
      <alignment horizontal="left" vertical="center" wrapText="1"/>
    </xf>
    <xf numFmtId="0" fontId="0" fillId="11" borderId="14" xfId="0" applyFill="1" applyBorder="1" applyAlignment="1">
      <alignment horizontal="left" vertical="center" wrapText="1"/>
    </xf>
    <xf numFmtId="0" fontId="0" fillId="11" borderId="51" xfId="0" applyFill="1" applyBorder="1" applyAlignment="1">
      <alignment horizontal="left" vertical="center" wrapText="1"/>
    </xf>
    <xf numFmtId="0" fontId="0" fillId="11" borderId="34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10" fontId="0" fillId="11" borderId="34" xfId="0" applyNumberFormat="1" applyFill="1" applyBorder="1" applyAlignment="1">
      <alignment horizontal="right" vertical="center" wrapText="1"/>
    </xf>
    <xf numFmtId="9" fontId="0" fillId="11" borderId="34" xfId="0" applyNumberFormat="1" applyFill="1" applyBorder="1" applyAlignment="1">
      <alignment horizontal="right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0" fillId="11" borderId="58" xfId="0" applyFill="1" applyBorder="1" applyAlignment="1">
      <alignment horizontal="left" vertical="center" wrapText="1"/>
    </xf>
    <xf numFmtId="0" fontId="0" fillId="11" borderId="59" xfId="0" applyFill="1" applyBorder="1" applyAlignment="1">
      <alignment horizontal="left" vertical="center" wrapText="1"/>
    </xf>
    <xf numFmtId="0" fontId="5" fillId="9" borderId="24" xfId="0" applyFont="1" applyFill="1" applyBorder="1" applyAlignment="1">
      <alignment horizontal="center"/>
    </xf>
    <xf numFmtId="0" fontId="5" fillId="9" borderId="25" xfId="0" applyFont="1" applyFill="1" applyBorder="1" applyAlignment="1">
      <alignment horizontal="center"/>
    </xf>
    <xf numFmtId="0" fontId="2" fillId="4" borderId="0" xfId="0" applyFont="1" applyFill="1" applyAlignment="1">
      <alignment horizontal="left" vertical="center"/>
    </xf>
    <xf numFmtId="0" fontId="0" fillId="11" borderId="35" xfId="0" applyFill="1" applyBorder="1" applyAlignment="1">
      <alignment horizontal="right" vertical="center" wrapText="1"/>
    </xf>
    <xf numFmtId="0" fontId="0" fillId="11" borderId="5" xfId="0" applyFill="1" applyBorder="1" applyAlignment="1">
      <alignment horizontal="right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DFEEC"/>
      <color rgb="FFEBF3FF"/>
      <color rgb="FFFCF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COBERTURA EN</a:t>
            </a:r>
            <a:r>
              <a:rPr lang="es-CO" baseline="0"/>
              <a:t> APOYO ECONOMICO</a:t>
            </a:r>
            <a:r>
              <a:rPr lang="es-CO" sz="1100" baseline="0"/>
              <a:t> </a:t>
            </a:r>
          </a:p>
          <a:p>
            <a:pPr>
              <a:defRPr/>
            </a:pPr>
            <a:r>
              <a:rPr lang="es-CO" sz="1100" baseline="0"/>
              <a:t>(Pob. Certificada Vs  Pob. beneficiada)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5.1124764018308955E-2"/>
          <c:y val="0.18978989454621606"/>
          <c:w val="0.89556222352742865"/>
          <c:h val="0.669804601766481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'Ficha 3.1 Bono pob. certificada'!$B$35</c:f>
              <c:strCache>
                <c:ptCount val="1"/>
                <c:pt idx="0">
                  <c:v>POBLACIÓN BENEFICIADA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8C-462D-BC89-A6D678A1711C}"/>
                </c:ext>
              </c:extLst>
            </c:dLbl>
            <c:dLbl>
              <c:idx val="2"/>
              <c:layout>
                <c:manualLayout>
                  <c:x val="0"/>
                  <c:y val="0.101851851851851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8C-462D-BC89-A6D678A1711C}"/>
                </c:ext>
              </c:extLst>
            </c:dLbl>
            <c:dLbl>
              <c:idx val="3"/>
              <c:layout>
                <c:manualLayout>
                  <c:x val="0"/>
                  <c:y val="0.11111111111111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8C-462D-BC89-A6D678A1711C}"/>
                </c:ext>
              </c:extLst>
            </c:dLbl>
            <c:dLbl>
              <c:idx val="4"/>
              <c:layout>
                <c:manualLayout>
                  <c:x val="-2.7777777777777779E-3"/>
                  <c:y val="0.13888888888888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8C-462D-BC89-A6D678A171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'Ficha 3.1 Bono pob. certificada'!$A$36:$A$40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3.1 Bono pob. certificada'!$B$36:$B$40</c:f>
              <c:numCache>
                <c:formatCode>General</c:formatCode>
                <c:ptCount val="5"/>
                <c:pt idx="0">
                  <c:v>395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8C-462D-BC89-A6D678A17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9513759"/>
        <c:axId val="1759510015"/>
      </c:barChart>
      <c:lineChart>
        <c:grouping val="standard"/>
        <c:varyColors val="0"/>
        <c:ser>
          <c:idx val="2"/>
          <c:order val="1"/>
          <c:tx>
            <c:strRef>
              <c:f>'Ficha 3.1 Bono pob. certificada'!$C$35</c:f>
              <c:strCache>
                <c:ptCount val="1"/>
                <c:pt idx="0">
                  <c:v> % COBERTURA EN BONO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748869670550999E-2"/>
                  <c:y val="-4.1308096965246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8C-462D-BC89-A6D678A1711C}"/>
                </c:ext>
              </c:extLst>
            </c:dLbl>
            <c:dLbl>
              <c:idx val="1"/>
              <c:layout>
                <c:manualLayout>
                  <c:x val="-4.7173078439936698E-2"/>
                  <c:y val="-4.1308096965246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8C-462D-BC89-A6D678A1711C}"/>
                </c:ext>
              </c:extLst>
            </c:dLbl>
            <c:dLbl>
              <c:idx val="2"/>
              <c:layout>
                <c:manualLayout>
                  <c:x val="-4.9947965406991847E-2"/>
                  <c:y val="-3.6718308413552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8C-462D-BC89-A6D678A1711C}"/>
                </c:ext>
              </c:extLst>
            </c:dLbl>
            <c:dLbl>
              <c:idx val="3"/>
              <c:layout>
                <c:manualLayout>
                  <c:x val="-3.3298643604661199E-2"/>
                  <c:y val="-5.048767406863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88C-462D-BC89-A6D678A171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8C-462D-BC89-A6D678A171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'Ficha 3.1 Bono pob. certificada'!$A$36:$A$40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3.1 Bono pob. certificada'!$C$36:$C$40</c:f>
              <c:numCache>
                <c:formatCode>0.00%</c:formatCode>
                <c:ptCount val="5"/>
                <c:pt idx="0">
                  <c:v>0.49375000000000002</c:v>
                </c:pt>
                <c:pt idx="1">
                  <c:v>0.49375000000000002</c:v>
                </c:pt>
                <c:pt idx="2">
                  <c:v>0.5</c:v>
                </c:pt>
                <c:pt idx="3">
                  <c:v>0.5</c:v>
                </c:pt>
                <c:pt idx="4">
                  <c:v>0.6875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88C-462D-BC89-A6D678A1711C}"/>
            </c:ext>
          </c:extLst>
        </c:ser>
        <c:ser>
          <c:idx val="3"/>
          <c:order val="2"/>
          <c:tx>
            <c:strRef>
              <c:f>'Ficha 3.1 Bono pob. certificada'!$D$35</c:f>
              <c:strCache>
                <c:ptCount val="1"/>
                <c:pt idx="0">
                  <c:v>% BRECHA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8.3246609011652737E-3"/>
                  <c:y val="1.3769365655082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8C-462D-BC89-A6D678A1711C}"/>
                </c:ext>
              </c:extLst>
            </c:dLbl>
            <c:dLbl>
              <c:idx val="1"/>
              <c:layout>
                <c:manualLayout>
                  <c:x val="5.5497739341101998E-3"/>
                  <c:y val="1.3769365655082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88C-462D-BC89-A6D678A1711C}"/>
                </c:ext>
              </c:extLst>
            </c:dLbl>
            <c:dLbl>
              <c:idx val="2"/>
              <c:layout>
                <c:manualLayout>
                  <c:x val="5.5497739341101998E-3"/>
                  <c:y val="3.6718308413552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88C-462D-BC89-A6D678A1711C}"/>
                </c:ext>
              </c:extLst>
            </c:dLbl>
            <c:dLbl>
              <c:idx val="3"/>
              <c:layout>
                <c:manualLayout>
                  <c:x val="5.5497739341100983E-3"/>
                  <c:y val="1.3769365655082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88C-462D-BC89-A6D678A171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88C-462D-BC89-A6D678A171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'Ficha 3.1 Bono pob. certificada'!$A$36:$A$40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3.1 Bono pob. certificada'!$D$36:$D$40</c:f>
              <c:numCache>
                <c:formatCode>0.0%</c:formatCode>
                <c:ptCount val="5"/>
                <c:pt idx="0">
                  <c:v>-0.19374999999999998</c:v>
                </c:pt>
                <c:pt idx="1">
                  <c:v>-0.19374999999999998</c:v>
                </c:pt>
                <c:pt idx="2">
                  <c:v>-0.1875</c:v>
                </c:pt>
                <c:pt idx="3">
                  <c:v>-0.1875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88C-462D-BC89-A6D678A17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9510431"/>
        <c:axId val="1759508767"/>
      </c:lineChart>
      <c:catAx>
        <c:axId val="1759513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9510015"/>
        <c:crosses val="autoZero"/>
        <c:auto val="1"/>
        <c:lblAlgn val="ctr"/>
        <c:lblOffset val="100"/>
        <c:noMultiLvlLbl val="0"/>
      </c:catAx>
      <c:valAx>
        <c:axId val="17595100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9513759"/>
        <c:crosses val="autoZero"/>
        <c:crossBetween val="between"/>
      </c:valAx>
      <c:valAx>
        <c:axId val="1759508767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9510431"/>
        <c:crosses val="max"/>
        <c:crossBetween val="between"/>
      </c:valAx>
      <c:catAx>
        <c:axId val="17595104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5950876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Población Certificada </a:t>
            </a:r>
          </a:p>
          <a:p>
            <a:pPr>
              <a:defRPr/>
            </a:pPr>
            <a:r>
              <a:rPr lang="es-CO"/>
              <a:t>VS BENEFICIADOS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2.4282556485624014E-2"/>
          <c:y val="0.15193029003779848"/>
          <c:w val="0.91894756437310332"/>
          <c:h val="0.546666050907859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3.1 Bono pob. certificada'!$B$46</c:f>
              <c:strCache>
                <c:ptCount val="1"/>
                <c:pt idx="0">
                  <c:v>PERSONASCON DISCAPACIDAD CERTIFICADAS POR LA GOBERNACION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certificada'!$B$47:$B$53</c:f>
              <c:numCache>
                <c:formatCode>General</c:formatCode>
                <c:ptCount val="7"/>
                <c:pt idx="0">
                  <c:v>214</c:v>
                </c:pt>
                <c:pt idx="1">
                  <c:v>139</c:v>
                </c:pt>
                <c:pt idx="2">
                  <c:v>60</c:v>
                </c:pt>
                <c:pt idx="3">
                  <c:v>318</c:v>
                </c:pt>
                <c:pt idx="4">
                  <c:v>31</c:v>
                </c:pt>
                <c:pt idx="5">
                  <c:v>38</c:v>
                </c:pt>
                <c:pt idx="6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C-47B8-B5AD-28140349D208}"/>
            </c:ext>
          </c:extLst>
        </c:ser>
        <c:ser>
          <c:idx val="1"/>
          <c:order val="1"/>
          <c:tx>
            <c:strRef>
              <c:f>'Ficha 3.1 Bono pob. certificada'!#REF!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8C-47B8-B5AD-28140349D208}"/>
            </c:ext>
          </c:extLst>
        </c:ser>
        <c:ser>
          <c:idx val="2"/>
          <c:order val="2"/>
          <c:tx>
            <c:strRef>
              <c:f>'Ficha 3.1 Bono pob. certificada'!$C$46</c:f>
              <c:strCache>
                <c:ptCount val="1"/>
                <c:pt idx="0">
                  <c:v>PERSONAS BENEFICIADAS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certificada'!$C$47:$C$53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8C-47B8-B5AD-28140349D2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10323695"/>
        <c:axId val="1810323279"/>
      </c:barChart>
      <c:catAx>
        <c:axId val="1810323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3279"/>
        <c:crosses val="autoZero"/>
        <c:auto val="1"/>
        <c:lblAlgn val="ctr"/>
        <c:lblOffset val="100"/>
        <c:noMultiLvlLbl val="0"/>
      </c:catAx>
      <c:valAx>
        <c:axId val="1810323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10323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2.4304886410920004E-2"/>
          <c:y val="0.81016236867239733"/>
          <c:w val="0.9684487378111466"/>
          <c:h val="0.17239867939143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% De</a:t>
            </a:r>
            <a:r>
              <a:rPr lang="es-CO" baseline="0"/>
              <a:t> cobertura Pob. Certificada Vs Pob. beneficiada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9927195925172075E-2"/>
          <c:y val="0.16398039101329345"/>
          <c:w val="0.87184962575567182"/>
          <c:h val="0.666113912249687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3.1 Bono pob. certificada'!$B$76</c:f>
              <c:strCache>
                <c:ptCount val="1"/>
                <c:pt idx="0">
                  <c:v> PERSONASCON DISCAPACIDAD CERTIFICADAS POR LA GOBERNACION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certificada'!$B$77:$B$83</c:f>
              <c:numCache>
                <c:formatCode>_-* #,##0_-;\-* #,##0_-;_-* "-"??_-;_-@_-</c:formatCode>
                <c:ptCount val="7"/>
                <c:pt idx="0">
                  <c:v>214</c:v>
                </c:pt>
                <c:pt idx="1">
                  <c:v>139</c:v>
                </c:pt>
                <c:pt idx="2">
                  <c:v>60</c:v>
                </c:pt>
                <c:pt idx="3">
                  <c:v>318</c:v>
                </c:pt>
                <c:pt idx="4">
                  <c:v>31</c:v>
                </c:pt>
                <c:pt idx="5">
                  <c:v>38</c:v>
                </c:pt>
                <c:pt idx="6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1-4DA5-89D5-6F011B634D90}"/>
            </c:ext>
          </c:extLst>
        </c:ser>
        <c:ser>
          <c:idx val="1"/>
          <c:order val="1"/>
          <c:tx>
            <c:strRef>
              <c:f>'Ficha 3.1 Bono pob. certificada'!$C$76</c:f>
              <c:strCache>
                <c:ptCount val="1"/>
                <c:pt idx="0">
                  <c:v> PERSONAS BENEFICIADAS POR BONO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certificada'!$C$77:$C$83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 formatCode="_-* #,##0_-;\-* #,##0_-;_-* &quot;-&quot;??_-;_-@_-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1-4DA5-89D5-6F011B634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0332015"/>
        <c:axId val="1810319535"/>
      </c:barChart>
      <c:lineChart>
        <c:grouping val="standard"/>
        <c:varyColors val="0"/>
        <c:ser>
          <c:idx val="2"/>
          <c:order val="2"/>
          <c:tx>
            <c:strRef>
              <c:f>'Ficha 3.1 Bono pob. certificada'!$D$76</c:f>
              <c:strCache>
                <c:ptCount val="1"/>
                <c:pt idx="0">
                  <c:v>% DE DE COBERTURA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certificada'!$D$77:$D$83</c:f>
              <c:numCache>
                <c:formatCode>0.00%</c:formatCode>
                <c:ptCount val="7"/>
                <c:pt idx="0">
                  <c:v>0.49065420560747663</c:v>
                </c:pt>
                <c:pt idx="1">
                  <c:v>0.45323741007194246</c:v>
                </c:pt>
                <c:pt idx="2">
                  <c:v>0.33333333333333331</c:v>
                </c:pt>
                <c:pt idx="3">
                  <c:v>0.54088050314465408</c:v>
                </c:pt>
                <c:pt idx="4">
                  <c:v>0.45161290322580644</c:v>
                </c:pt>
                <c:pt idx="5">
                  <c:v>0.55263157894736847</c:v>
                </c:pt>
                <c:pt idx="6" formatCode="0%">
                  <c:v>0.49375000000000002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51-4DA5-89D5-6F011B634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327855"/>
        <c:axId val="1810326191"/>
      </c:lineChart>
      <c:catAx>
        <c:axId val="181033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19535"/>
        <c:crosses val="autoZero"/>
        <c:auto val="1"/>
        <c:lblAlgn val="ctr"/>
        <c:lblOffset val="100"/>
        <c:noMultiLvlLbl val="0"/>
      </c:catAx>
      <c:valAx>
        <c:axId val="1810319535"/>
        <c:scaling>
          <c:orientation val="minMax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32015"/>
        <c:crosses val="autoZero"/>
        <c:crossBetween val="between"/>
      </c:valAx>
      <c:valAx>
        <c:axId val="1810326191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7855"/>
        <c:crosses val="max"/>
        <c:crossBetween val="between"/>
      </c:valAx>
      <c:catAx>
        <c:axId val="18103278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103261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Población Certificada</a:t>
            </a:r>
            <a:r>
              <a:rPr lang="es-CO" baseline="0"/>
              <a:t> </a:t>
            </a:r>
          </a:p>
          <a:p>
            <a:pPr>
              <a:defRPr/>
            </a:pPr>
            <a:r>
              <a:rPr lang="es-CO"/>
              <a:t>VS BENEFICIADOS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2.4282556485624014E-2"/>
          <c:y val="0.15193029003779848"/>
          <c:w val="0.91894756437310332"/>
          <c:h val="0.546666050907859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3.1 Bono pob. certificada'!$B$46</c:f>
              <c:strCache>
                <c:ptCount val="1"/>
                <c:pt idx="0">
                  <c:v>PERSONASCON DISCAPACIDAD CERTIFICADAS POR LA GOBERNACION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certificada'!$B$47:$B$53</c:f>
              <c:numCache>
                <c:formatCode>General</c:formatCode>
                <c:ptCount val="7"/>
                <c:pt idx="0">
                  <c:v>214</c:v>
                </c:pt>
                <c:pt idx="1">
                  <c:v>139</c:v>
                </c:pt>
                <c:pt idx="2">
                  <c:v>60</c:v>
                </c:pt>
                <c:pt idx="3">
                  <c:v>318</c:v>
                </c:pt>
                <c:pt idx="4">
                  <c:v>31</c:v>
                </c:pt>
                <c:pt idx="5">
                  <c:v>38</c:v>
                </c:pt>
                <c:pt idx="6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6-4652-A9EE-48D5E61E4227}"/>
            </c:ext>
          </c:extLst>
        </c:ser>
        <c:ser>
          <c:idx val="1"/>
          <c:order val="1"/>
          <c:tx>
            <c:strRef>
              <c:f>'Ficha 3.1 Bono pob. certificada'!#REF!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6-4652-A9EE-48D5E61E4227}"/>
            </c:ext>
          </c:extLst>
        </c:ser>
        <c:ser>
          <c:idx val="2"/>
          <c:order val="2"/>
          <c:tx>
            <c:strRef>
              <c:f>'Ficha 3.1 Bono pob. certificada'!$C$46</c:f>
              <c:strCache>
                <c:ptCount val="1"/>
                <c:pt idx="0">
                  <c:v>PERSONAS BENEFICIADAS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certificada'!$A$47:$A$53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certificada'!$C$47:$C$53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F6-4652-A9EE-48D5E61E42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10323695"/>
        <c:axId val="1810323279"/>
      </c:barChart>
      <c:catAx>
        <c:axId val="1810323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3279"/>
        <c:crosses val="autoZero"/>
        <c:auto val="1"/>
        <c:lblAlgn val="ctr"/>
        <c:lblOffset val="100"/>
        <c:noMultiLvlLbl val="0"/>
      </c:catAx>
      <c:valAx>
        <c:axId val="1810323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10323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2.4304886410920004E-2"/>
          <c:y val="0.81016236867239733"/>
          <c:w val="0.9684487378111466"/>
          <c:h val="0.17239867939143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% De</a:t>
            </a:r>
            <a:r>
              <a:rPr lang="es-CO" baseline="0"/>
              <a:t> cobertura Pob. Certificada Vs Pob. beneficiada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6307568073324788E-2"/>
          <c:y val="0.15890724508146226"/>
          <c:w val="0.87184962575567182"/>
          <c:h val="0.666113912249687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3.1 Bono pob. certificada'!$B$76</c:f>
              <c:strCache>
                <c:ptCount val="1"/>
                <c:pt idx="0">
                  <c:v> PERSONASCON DISCAPACIDAD CERTIFICADAS POR LA GOBERNACION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certificada'!$B$77:$B$83</c:f>
              <c:numCache>
                <c:formatCode>_-* #,##0_-;\-* #,##0_-;_-* "-"??_-;_-@_-</c:formatCode>
                <c:ptCount val="7"/>
                <c:pt idx="0">
                  <c:v>214</c:v>
                </c:pt>
                <c:pt idx="1">
                  <c:v>139</c:v>
                </c:pt>
                <c:pt idx="2">
                  <c:v>60</c:v>
                </c:pt>
                <c:pt idx="3">
                  <c:v>318</c:v>
                </c:pt>
                <c:pt idx="4">
                  <c:v>31</c:v>
                </c:pt>
                <c:pt idx="5">
                  <c:v>38</c:v>
                </c:pt>
                <c:pt idx="6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6-4866-885B-5E6310769777}"/>
            </c:ext>
          </c:extLst>
        </c:ser>
        <c:ser>
          <c:idx val="1"/>
          <c:order val="1"/>
          <c:tx>
            <c:strRef>
              <c:f>'Ficha 3.1 Bono pob. certificada'!$C$76</c:f>
              <c:strCache>
                <c:ptCount val="1"/>
                <c:pt idx="0">
                  <c:v> PERSONAS BENEFICIADAS POR BONO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certificada'!$C$77:$C$83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 formatCode="_-* #,##0_-;\-* #,##0_-;_-* &quot;-&quot;??_-;_-@_-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56-4866-885B-5E6310769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0332015"/>
        <c:axId val="1810319535"/>
      </c:barChart>
      <c:lineChart>
        <c:grouping val="standard"/>
        <c:varyColors val="0"/>
        <c:ser>
          <c:idx val="2"/>
          <c:order val="2"/>
          <c:tx>
            <c:strRef>
              <c:f>'Ficha 3.1 Bono pob. certificada'!$D$76</c:f>
              <c:strCache>
                <c:ptCount val="1"/>
                <c:pt idx="0">
                  <c:v>% DE DE COBERTURA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3.1 Bono pob. certificada'!$A$77:$A$83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3.1 Bono pob. certificada'!$D$77:$D$83</c:f>
              <c:numCache>
                <c:formatCode>0.00%</c:formatCode>
                <c:ptCount val="7"/>
                <c:pt idx="0">
                  <c:v>0.49065420560747663</c:v>
                </c:pt>
                <c:pt idx="1">
                  <c:v>0.45323741007194246</c:v>
                </c:pt>
                <c:pt idx="2">
                  <c:v>0.33333333333333331</c:v>
                </c:pt>
                <c:pt idx="3">
                  <c:v>0.54088050314465408</c:v>
                </c:pt>
                <c:pt idx="4">
                  <c:v>0.45161290322580644</c:v>
                </c:pt>
                <c:pt idx="5">
                  <c:v>0.55263157894736847</c:v>
                </c:pt>
                <c:pt idx="6" formatCode="0%">
                  <c:v>0.49375000000000002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56-4866-885B-5E6310769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327855"/>
        <c:axId val="1810326191"/>
      </c:lineChart>
      <c:catAx>
        <c:axId val="181033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19535"/>
        <c:crosses val="autoZero"/>
        <c:auto val="1"/>
        <c:lblAlgn val="ctr"/>
        <c:lblOffset val="100"/>
        <c:noMultiLvlLbl val="0"/>
      </c:catAx>
      <c:valAx>
        <c:axId val="1810319535"/>
        <c:scaling>
          <c:orientation val="minMax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32015"/>
        <c:crosses val="autoZero"/>
        <c:crossBetween val="between"/>
      </c:valAx>
      <c:valAx>
        <c:axId val="1810326191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7855"/>
        <c:crosses val="max"/>
        <c:crossBetween val="between"/>
      </c:valAx>
      <c:catAx>
        <c:axId val="18103278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103261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baseline="0">
                <a:effectLst/>
              </a:rPr>
              <a:t>COBERTURA EN APOYO ECONOMICO </a:t>
            </a:r>
          </a:p>
          <a:p>
            <a:pPr>
              <a:defRPr/>
            </a:pPr>
            <a:r>
              <a:rPr lang="es-CO" sz="1400" b="0" i="0" baseline="0">
                <a:effectLst/>
              </a:rPr>
              <a:t>(Pob. que solicita bono Vs Pob. beneficiada de bono)</a:t>
            </a:r>
            <a:endParaRPr lang="es-CO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'Ficha 3.2 Bono Pob. Solicitante'!$B$36</c:f>
              <c:strCache>
                <c:ptCount val="1"/>
                <c:pt idx="0">
                  <c:v>POBLACIÓN QUE SOLICITA BONO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'Ficha 3.2 Bono Pob. Solicitante'!$A$37:$A$41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3.2 Bono Pob. Solicitante'!$B$37:$B$41</c:f>
              <c:numCache>
                <c:formatCode>General</c:formatCode>
                <c:ptCount val="5"/>
                <c:pt idx="0">
                  <c:v>430</c:v>
                </c:pt>
                <c:pt idx="1">
                  <c:v>430</c:v>
                </c:pt>
                <c:pt idx="2">
                  <c:v>491</c:v>
                </c:pt>
                <c:pt idx="3">
                  <c:v>491</c:v>
                </c:pt>
                <c:pt idx="4">
                  <c:v>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6-4D4D-825A-B2BDA0866862}"/>
            </c:ext>
          </c:extLst>
        </c:ser>
        <c:ser>
          <c:idx val="1"/>
          <c:order val="1"/>
          <c:tx>
            <c:strRef>
              <c:f>'Ficha 3.2 Bono Pob. Solicitante'!$C$36</c:f>
              <c:strCache>
                <c:ptCount val="1"/>
                <c:pt idx="0">
                  <c:v>POBLACIÓN BENEFICIADA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'Ficha 3.2 Bono Pob. Solicitante'!$A$37:$A$41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3.2 Bono Pob. Solicitante'!$C$37:$C$41</c:f>
              <c:numCache>
                <c:formatCode>General</c:formatCode>
                <c:ptCount val="5"/>
                <c:pt idx="0">
                  <c:v>395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6-4D4D-825A-B2BDA0866862}"/>
            </c:ext>
          </c:extLst>
        </c:ser>
        <c:ser>
          <c:idx val="2"/>
          <c:order val="2"/>
          <c:tx>
            <c:strRef>
              <c:f>'Ficha 3.2 Bono Pob. Solicitante'!$D$36</c:f>
              <c:strCache>
                <c:ptCount val="1"/>
                <c:pt idx="0">
                  <c:v> % COBERTURA EN BONOS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'Ficha 3.2 Bono Pob. Solicitante'!$A$37:$A$41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3.2 Bono Pob. Solicitante'!$D$37:$D$41</c:f>
              <c:numCache>
                <c:formatCode>0.00%</c:formatCode>
                <c:ptCount val="5"/>
                <c:pt idx="0">
                  <c:v>0.91860465116279066</c:v>
                </c:pt>
                <c:pt idx="1">
                  <c:v>0.91860465116279066</c:v>
                </c:pt>
                <c:pt idx="2">
                  <c:v>0.81466395112016299</c:v>
                </c:pt>
                <c:pt idx="3">
                  <c:v>0.81466395112016299</c:v>
                </c:pt>
                <c:pt idx="4">
                  <c:v>0.83958020989505244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6-4D4D-825A-B2BDA0866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8206623"/>
        <c:axId val="1318204127"/>
      </c:barChart>
      <c:lineChart>
        <c:grouping val="standard"/>
        <c:varyColors val="0"/>
        <c:ser>
          <c:idx val="3"/>
          <c:order val="3"/>
          <c:tx>
            <c:strRef>
              <c:f>'Ficha 3.2 Bono Pob. Solicitante'!$E$36</c:f>
              <c:strCache>
                <c:ptCount val="1"/>
                <c:pt idx="0">
                  <c:v>% BRECHA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'Ficha 3.2 Bono Pob. Solicitante'!$A$37:$A$41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'Ficha 3.2 Bono Pob. Solicitante'!$E$37:$E$41</c:f>
              <c:numCache>
                <c:formatCode>0.0%</c:formatCode>
                <c:ptCount val="5"/>
                <c:pt idx="0">
                  <c:v>7.9024441267738221E-2</c:v>
                </c:pt>
                <c:pt idx="1">
                  <c:v>7.9024441267738221E-2</c:v>
                </c:pt>
                <c:pt idx="2">
                  <c:v>-2.4916258774889455E-2</c:v>
                </c:pt>
                <c:pt idx="3">
                  <c:v>-2.4916258774889455E-2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A6-4D4D-825A-B2BDA0866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204543"/>
        <c:axId val="1318203295"/>
      </c:lineChart>
      <c:catAx>
        <c:axId val="1318206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18204127"/>
        <c:crosses val="autoZero"/>
        <c:auto val="1"/>
        <c:lblAlgn val="ctr"/>
        <c:lblOffset val="100"/>
        <c:noMultiLvlLbl val="0"/>
      </c:catAx>
      <c:valAx>
        <c:axId val="13182041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18206623"/>
        <c:crosses val="autoZero"/>
        <c:crossBetween val="between"/>
      </c:valAx>
      <c:valAx>
        <c:axId val="1318203295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18204543"/>
        <c:crosses val="max"/>
        <c:crossBetween val="between"/>
      </c:valAx>
      <c:catAx>
        <c:axId val="131820454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18203295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Población SOLICITANTE BONO VS BENEFICIADOS BONO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2.4282556485624014E-2"/>
          <c:y val="0.15193029003779848"/>
          <c:w val="0.91894756437310332"/>
          <c:h val="0.546666050907859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3.2 Bono Pob. Solicitante'!#REF!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6-454E-8B21-0298FF55DBD4}"/>
            </c:ext>
          </c:extLst>
        </c:ser>
        <c:ser>
          <c:idx val="1"/>
          <c:order val="1"/>
          <c:tx>
            <c:strRef>
              <c:f>'Ficha 3.2 Bono Pob. Solicitante'!$B$48</c:f>
              <c:strCache>
                <c:ptCount val="1"/>
                <c:pt idx="0">
                  <c:v>PERSONAS QUE SOLICITAN BONO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Solicitante'!$B$49:$B$55</c:f>
              <c:numCache>
                <c:formatCode>General</c:formatCode>
                <c:ptCount val="7"/>
                <c:pt idx="0">
                  <c:v>115</c:v>
                </c:pt>
                <c:pt idx="1">
                  <c:v>73</c:v>
                </c:pt>
                <c:pt idx="2">
                  <c:v>21</c:v>
                </c:pt>
                <c:pt idx="3">
                  <c:v>179</c:v>
                </c:pt>
                <c:pt idx="4">
                  <c:v>19</c:v>
                </c:pt>
                <c:pt idx="5">
                  <c:v>23</c:v>
                </c:pt>
                <c:pt idx="6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B6-454E-8B21-0298FF55DBD4}"/>
            </c:ext>
          </c:extLst>
        </c:ser>
        <c:ser>
          <c:idx val="2"/>
          <c:order val="2"/>
          <c:tx>
            <c:strRef>
              <c:f>'Ficha 3.2 Bono Pob. Solicitante'!$C$48</c:f>
              <c:strCache>
                <c:ptCount val="1"/>
                <c:pt idx="0">
                  <c:v>PERSONAS BENEFICIADAS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Solicitante'!$C$49:$C$55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B6-454E-8B21-0298FF55DB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10323695"/>
        <c:axId val="1810323279"/>
      </c:barChart>
      <c:catAx>
        <c:axId val="1810323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3279"/>
        <c:crosses val="autoZero"/>
        <c:auto val="1"/>
        <c:lblAlgn val="ctr"/>
        <c:lblOffset val="100"/>
        <c:noMultiLvlLbl val="0"/>
      </c:catAx>
      <c:valAx>
        <c:axId val="1810323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10323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2.4304886410920004E-2"/>
          <c:y val="0.81016236867239733"/>
          <c:w val="0.9684487378111466"/>
          <c:h val="0.17239867939143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% De</a:t>
            </a:r>
            <a:r>
              <a:rPr lang="es-CO" baseline="0"/>
              <a:t> cobertura Poblacion solicito bono Vs Pob. beneficiada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Solicitante'!$B$78:$B$84</c:f>
              <c:numCache>
                <c:formatCode>General</c:formatCode>
                <c:ptCount val="7"/>
                <c:pt idx="0">
                  <c:v>115</c:v>
                </c:pt>
                <c:pt idx="1">
                  <c:v>73</c:v>
                </c:pt>
                <c:pt idx="2">
                  <c:v>21</c:v>
                </c:pt>
                <c:pt idx="3">
                  <c:v>179</c:v>
                </c:pt>
                <c:pt idx="4">
                  <c:v>19</c:v>
                </c:pt>
                <c:pt idx="5">
                  <c:v>23</c:v>
                </c:pt>
                <c:pt idx="6">
                  <c:v>430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6F1-4A97-9E4B-9C731616553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Solicitante'!$C$78:$C$84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6F1-4A97-9E4B-9C731616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0332015"/>
        <c:axId val="1810319535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Solicitante'!$D$78:$D$84</c:f>
              <c:numCache>
                <c:formatCode>0.00%</c:formatCode>
                <c:ptCount val="7"/>
                <c:pt idx="0">
                  <c:v>0.91304347826086951</c:v>
                </c:pt>
                <c:pt idx="1">
                  <c:v>0.86301369863013699</c:v>
                </c:pt>
                <c:pt idx="2">
                  <c:v>0.95238095238095233</c:v>
                </c:pt>
                <c:pt idx="3">
                  <c:v>0.96089385474860334</c:v>
                </c:pt>
                <c:pt idx="4">
                  <c:v>0.73684210526315785</c:v>
                </c:pt>
                <c:pt idx="5">
                  <c:v>0.91304347826086951</c:v>
                </c:pt>
                <c:pt idx="6" formatCode="0%">
                  <c:v>0.91860465116279066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C6F1-4A97-9E4B-9C731616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327855"/>
        <c:axId val="1810326191"/>
      </c:lineChart>
      <c:catAx>
        <c:axId val="181033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19535"/>
        <c:crosses val="autoZero"/>
        <c:auto val="1"/>
        <c:lblAlgn val="ctr"/>
        <c:lblOffset val="100"/>
        <c:noMultiLvlLbl val="0"/>
      </c:catAx>
      <c:valAx>
        <c:axId val="1810319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32015"/>
        <c:crosses val="autoZero"/>
        <c:crossBetween val="between"/>
      </c:valAx>
      <c:valAx>
        <c:axId val="1810326191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7855"/>
        <c:crosses val="max"/>
        <c:crossBetween val="between"/>
      </c:valAx>
      <c:catAx>
        <c:axId val="18103278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103261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POBLACION</a:t>
            </a:r>
            <a:r>
              <a:rPr lang="es-CO" baseline="0"/>
              <a:t> QUE RECIBE BENEFICIO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'Ficha 3.2 Bono Pob. Solicitante'!$B$145</c:f>
              <c:strCache>
                <c:ptCount val="1"/>
                <c:pt idx="0">
                  <c:v>FISICA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Solicitante'!$B$148:$B$149</c:f>
              <c:numCache>
                <c:formatCode>General</c:formatCode>
                <c:ptCount val="2"/>
                <c:pt idx="0">
                  <c:v>105</c:v>
                </c:pt>
                <c:pt idx="1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F-42DE-8E91-149753B249B2}"/>
            </c:ext>
          </c:extLst>
        </c:ser>
        <c:ser>
          <c:idx val="1"/>
          <c:order val="1"/>
          <c:tx>
            <c:strRef>
              <c:f>'Ficha 3.2 Bono Pob. Solicitante'!$C$145</c:f>
              <c:strCache>
                <c:ptCount val="1"/>
                <c:pt idx="0">
                  <c:v>INTELECTUAL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Solicitante'!$C$148:$C$149</c:f>
              <c:numCache>
                <c:formatCode>General</c:formatCode>
                <c:ptCount val="2"/>
                <c:pt idx="0">
                  <c:v>63</c:v>
                </c:pt>
                <c:pt idx="1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4F-42DE-8E91-149753B249B2}"/>
            </c:ext>
          </c:extLst>
        </c:ser>
        <c:ser>
          <c:idx val="2"/>
          <c:order val="2"/>
          <c:tx>
            <c:strRef>
              <c:f>'Ficha 3.2 Bono Pob. Solicitante'!$D$145</c:f>
              <c:strCache>
                <c:ptCount val="1"/>
                <c:pt idx="0">
                  <c:v>PSICOSOCIAL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Solicitante'!$D$148:$D$149</c:f>
              <c:numCache>
                <c:formatCode>General</c:formatCode>
                <c:ptCount val="2"/>
                <c:pt idx="0">
                  <c:v>20</c:v>
                </c:pt>
                <c:pt idx="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F-42DE-8E91-149753B249B2}"/>
            </c:ext>
          </c:extLst>
        </c:ser>
        <c:ser>
          <c:idx val="3"/>
          <c:order val="3"/>
          <c:tx>
            <c:strRef>
              <c:f>'Ficha 3.2 Bono Pob. Solicitante'!$E$145</c:f>
              <c:strCache>
                <c:ptCount val="1"/>
                <c:pt idx="0">
                  <c:v>MULTIPLE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Solicitante'!$E$148:$E$149</c:f>
              <c:numCache>
                <c:formatCode>General</c:formatCode>
                <c:ptCount val="2"/>
                <c:pt idx="0">
                  <c:v>172</c:v>
                </c:pt>
                <c:pt idx="1">
                  <c:v>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4F-42DE-8E91-149753B249B2}"/>
            </c:ext>
          </c:extLst>
        </c:ser>
        <c:ser>
          <c:idx val="4"/>
          <c:order val="4"/>
          <c:tx>
            <c:strRef>
              <c:f>'Ficha 3.2 Bono Pob. Solicitante'!$F$145</c:f>
              <c:strCache>
                <c:ptCount val="1"/>
                <c:pt idx="0">
                  <c:v>AUDITIVA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Solicitante'!$F$148:$F$149</c:f>
              <c:numCache>
                <c:formatCode>General</c:formatCode>
                <c:ptCount val="2"/>
                <c:pt idx="0">
                  <c:v>14</c:v>
                </c:pt>
                <c:pt idx="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F-42DE-8E91-149753B249B2}"/>
            </c:ext>
          </c:extLst>
        </c:ser>
        <c:ser>
          <c:idx val="5"/>
          <c:order val="5"/>
          <c:tx>
            <c:strRef>
              <c:f>'Ficha 3.2 Bono Pob. Solicitante'!$G$145</c:f>
              <c:strCache>
                <c:ptCount val="1"/>
                <c:pt idx="0">
                  <c:v>VISUAL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'Ficha 3.2 Bono Pob. Solicitante'!$A$148:$A$149</c:f>
              <c:strCache>
                <c:ptCount val="2"/>
                <c:pt idx="0">
                  <c:v>2023 -2024 Beneficiada</c:v>
                </c:pt>
                <c:pt idx="1">
                  <c:v>2025 - 2026 Beneficiada</c:v>
                </c:pt>
              </c:strCache>
            </c:strRef>
          </c:cat>
          <c:val>
            <c:numRef>
              <c:f>'Ficha 3.2 Bono Pob. Solicitante'!$G$148:$G$149</c:f>
              <c:numCache>
                <c:formatCode>General</c:formatCode>
                <c:ptCount val="2"/>
                <c:pt idx="0">
                  <c:v>21</c:v>
                </c:pt>
                <c:pt idx="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4F-42DE-8E91-149753B2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7418207"/>
        <c:axId val="1897406975"/>
      </c:lineChart>
      <c:catAx>
        <c:axId val="1897418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97406975"/>
        <c:crosses val="autoZero"/>
        <c:auto val="1"/>
        <c:lblAlgn val="ctr"/>
        <c:lblOffset val="100"/>
        <c:noMultiLvlLbl val="0"/>
      </c:catAx>
      <c:valAx>
        <c:axId val="18974069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97418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Población SOLICITUD BONO VS BENEFICIADOS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2.4282556485624014E-2"/>
          <c:y val="0.15193029003779848"/>
          <c:w val="0.91894756437310332"/>
          <c:h val="0.546666050907859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'Ficha 3.2 Bono Pob. Solicitante'!#REF!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79-4826-82B1-B09A35717DDA}"/>
            </c:ext>
          </c:extLst>
        </c:ser>
        <c:ser>
          <c:idx val="1"/>
          <c:order val="1"/>
          <c:tx>
            <c:strRef>
              <c:f>'Ficha 3.2 Bono Pob. Solicitante'!$B$48</c:f>
              <c:strCache>
                <c:ptCount val="1"/>
                <c:pt idx="0">
                  <c:v>PERSONAS QUE SOLICITAN BONO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Solicitante'!$B$49:$B$55</c:f>
              <c:numCache>
                <c:formatCode>General</c:formatCode>
                <c:ptCount val="7"/>
                <c:pt idx="0">
                  <c:v>115</c:v>
                </c:pt>
                <c:pt idx="1">
                  <c:v>73</c:v>
                </c:pt>
                <c:pt idx="2">
                  <c:v>21</c:v>
                </c:pt>
                <c:pt idx="3">
                  <c:v>179</c:v>
                </c:pt>
                <c:pt idx="4">
                  <c:v>19</c:v>
                </c:pt>
                <c:pt idx="5">
                  <c:v>23</c:v>
                </c:pt>
                <c:pt idx="6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79-4826-82B1-B09A35717DDA}"/>
            </c:ext>
          </c:extLst>
        </c:ser>
        <c:ser>
          <c:idx val="2"/>
          <c:order val="2"/>
          <c:tx>
            <c:strRef>
              <c:f>'Ficha 3.2 Bono Pob. Solicitante'!$C$48</c:f>
              <c:strCache>
                <c:ptCount val="1"/>
                <c:pt idx="0">
                  <c:v>PERSONAS BENEFICIADAS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Solicitante'!$A$49:$A$55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Solicitante'!$C$49:$C$55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79-4826-82B1-B09A35717D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10323695"/>
        <c:axId val="1810323279"/>
      </c:barChart>
      <c:catAx>
        <c:axId val="1810323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3279"/>
        <c:crosses val="autoZero"/>
        <c:auto val="1"/>
        <c:lblAlgn val="ctr"/>
        <c:lblOffset val="100"/>
        <c:noMultiLvlLbl val="0"/>
      </c:catAx>
      <c:valAx>
        <c:axId val="1810323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10323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2.4304886410920004E-2"/>
          <c:y val="0.81016236867239733"/>
          <c:w val="0.9684487378111466"/>
          <c:h val="0.17239867939143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% De</a:t>
            </a:r>
            <a:r>
              <a:rPr lang="es-CO" baseline="0"/>
              <a:t> cobertura Pob. solicita bono Vs Pob. Atebeneficiada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Solicitante'!$B$78:$B$84</c:f>
              <c:numCache>
                <c:formatCode>General</c:formatCode>
                <c:ptCount val="7"/>
                <c:pt idx="0">
                  <c:v>115</c:v>
                </c:pt>
                <c:pt idx="1">
                  <c:v>73</c:v>
                </c:pt>
                <c:pt idx="2">
                  <c:v>21</c:v>
                </c:pt>
                <c:pt idx="3">
                  <c:v>179</c:v>
                </c:pt>
                <c:pt idx="4">
                  <c:v>19</c:v>
                </c:pt>
                <c:pt idx="5">
                  <c:v>23</c:v>
                </c:pt>
                <c:pt idx="6">
                  <c:v>430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BFD-4AC7-9C49-D7B388CF2A4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Solicitante'!$C$78:$C$84</c:f>
              <c:numCache>
                <c:formatCode>General</c:formatCode>
                <c:ptCount val="7"/>
                <c:pt idx="0">
                  <c:v>105</c:v>
                </c:pt>
                <c:pt idx="1">
                  <c:v>63</c:v>
                </c:pt>
                <c:pt idx="2">
                  <c:v>20</c:v>
                </c:pt>
                <c:pt idx="3">
                  <c:v>172</c:v>
                </c:pt>
                <c:pt idx="4">
                  <c:v>14</c:v>
                </c:pt>
                <c:pt idx="5">
                  <c:v>21</c:v>
                </c:pt>
                <c:pt idx="6">
                  <c:v>395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BFD-4AC7-9C49-D7B388CF2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0332015"/>
        <c:axId val="1810319535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'Ficha 3.2 Bono Pob. Solicitante'!$A$78:$A$84</c:f>
              <c:strCache>
                <c:ptCount val="7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  <c:pt idx="6">
                  <c:v>TOTAL</c:v>
                </c:pt>
              </c:strCache>
            </c:strRef>
          </c:cat>
          <c:val>
            <c:numRef>
              <c:f>'Ficha 3.2 Bono Pob. Solicitante'!$D$78:$D$84</c:f>
              <c:numCache>
                <c:formatCode>0.00%</c:formatCode>
                <c:ptCount val="7"/>
                <c:pt idx="0">
                  <c:v>0.91304347826086951</c:v>
                </c:pt>
                <c:pt idx="1">
                  <c:v>0.86301369863013699</c:v>
                </c:pt>
                <c:pt idx="2">
                  <c:v>0.95238095238095233</c:v>
                </c:pt>
                <c:pt idx="3">
                  <c:v>0.96089385474860334</c:v>
                </c:pt>
                <c:pt idx="4">
                  <c:v>0.73684210526315785</c:v>
                </c:pt>
                <c:pt idx="5">
                  <c:v>0.91304347826086951</c:v>
                </c:pt>
                <c:pt idx="6" formatCode="0%">
                  <c:v>0.91860465116279066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'Ficha 3.2 Bono Pob. Solicitante'!#REF!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CBFD-4AC7-9C49-D7B388CF2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327855"/>
        <c:axId val="1810326191"/>
      </c:lineChart>
      <c:catAx>
        <c:axId val="181033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19535"/>
        <c:crosses val="autoZero"/>
        <c:auto val="1"/>
        <c:lblAlgn val="ctr"/>
        <c:lblOffset val="100"/>
        <c:noMultiLvlLbl val="0"/>
      </c:catAx>
      <c:valAx>
        <c:axId val="1810319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32015"/>
        <c:crosses val="autoZero"/>
        <c:crossBetween val="between"/>
      </c:valAx>
      <c:valAx>
        <c:axId val="1810326191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0327855"/>
        <c:crosses val="max"/>
        <c:crossBetween val="between"/>
      </c:valAx>
      <c:catAx>
        <c:axId val="18103278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103261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POBLACION</a:t>
            </a:r>
            <a:r>
              <a:rPr lang="es-CO" baseline="0"/>
              <a:t> QUE SOLICITO BENEFICIO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'Ficha 3.2 Bono Pob. Solicitante'!$A$146</c:f>
              <c:strCache>
                <c:ptCount val="1"/>
                <c:pt idx="0">
                  <c:v>2023 - 2024 Solicita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'Ficha 3.2 Bono Pob. Solicitante'!$B$145:$G$145</c:f>
              <c:strCache>
                <c:ptCount val="6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</c:strCache>
            </c:strRef>
          </c:cat>
          <c:val>
            <c:numRef>
              <c:f>'Ficha 3.2 Bono Pob. Solicitante'!$B$146:$G$146</c:f>
              <c:numCache>
                <c:formatCode>General</c:formatCode>
                <c:ptCount val="6"/>
                <c:pt idx="0">
                  <c:v>115</c:v>
                </c:pt>
                <c:pt idx="1">
                  <c:v>73</c:v>
                </c:pt>
                <c:pt idx="2">
                  <c:v>21</c:v>
                </c:pt>
                <c:pt idx="3">
                  <c:v>179</c:v>
                </c:pt>
                <c:pt idx="4">
                  <c:v>19</c:v>
                </c:pt>
                <c:pt idx="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6-4772-957D-66298FF36D30}"/>
            </c:ext>
          </c:extLst>
        </c:ser>
        <c:ser>
          <c:idx val="1"/>
          <c:order val="1"/>
          <c:tx>
            <c:strRef>
              <c:f>'Ficha 3.2 Bono Pob. Solicitante'!$A$147</c:f>
              <c:strCache>
                <c:ptCount val="1"/>
                <c:pt idx="0">
                  <c:v>2025 - 2026 Solicita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'Ficha 3.2 Bono Pob. Solicitante'!$B$145:$G$145</c:f>
              <c:strCache>
                <c:ptCount val="6"/>
                <c:pt idx="0">
                  <c:v>FISICA</c:v>
                </c:pt>
                <c:pt idx="1">
                  <c:v>INTELECTUAL</c:v>
                </c:pt>
                <c:pt idx="2">
                  <c:v>PSICOSOCIAL</c:v>
                </c:pt>
                <c:pt idx="3">
                  <c:v>MULTIPLE</c:v>
                </c:pt>
                <c:pt idx="4">
                  <c:v>AUDITIVA</c:v>
                </c:pt>
                <c:pt idx="5">
                  <c:v>VISUAL</c:v>
                </c:pt>
              </c:strCache>
            </c:strRef>
          </c:cat>
          <c:val>
            <c:numRef>
              <c:f>'Ficha 3.2 Bono Pob. Solicitante'!$B$147:$G$147</c:f>
              <c:numCache>
                <c:formatCode>General</c:formatCode>
                <c:ptCount val="6"/>
                <c:pt idx="0">
                  <c:v>122</c:v>
                </c:pt>
                <c:pt idx="1">
                  <c:v>70</c:v>
                </c:pt>
                <c:pt idx="2">
                  <c:v>34</c:v>
                </c:pt>
                <c:pt idx="3">
                  <c:v>212</c:v>
                </c:pt>
                <c:pt idx="4">
                  <c:v>26</c:v>
                </c:pt>
                <c:pt idx="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66-4772-957D-66298FF36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4106368"/>
        <c:axId val="1384108448"/>
      </c:barChart>
      <c:catAx>
        <c:axId val="138410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84108448"/>
        <c:crosses val="autoZero"/>
        <c:auto val="1"/>
        <c:lblAlgn val="ctr"/>
        <c:lblOffset val="100"/>
        <c:noMultiLvlLbl val="0"/>
      </c:catAx>
      <c:valAx>
        <c:axId val="138410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8410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139843</xdr:colOff>
      <xdr:row>28</xdr:row>
      <xdr:rowOff>51666</xdr:rowOff>
    </xdr:from>
    <xdr:to>
      <xdr:col>12</xdr:col>
      <xdr:colOff>144606</xdr:colOff>
      <xdr:row>38</xdr:row>
      <xdr:rowOff>83847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A6AD67-8906-47A7-B386-94CC11413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293254</xdr:colOff>
      <xdr:row>53</xdr:row>
      <xdr:rowOff>144030</xdr:rowOff>
    </xdr:from>
    <xdr:to>
      <xdr:col>2</xdr:col>
      <xdr:colOff>357909</xdr:colOff>
      <xdr:row>73</xdr:row>
      <xdr:rowOff>173181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5324616-CC84-4B14-9521-914C242007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356755</xdr:colOff>
      <xdr:row>72</xdr:row>
      <xdr:rowOff>140710</xdr:rowOff>
    </xdr:from>
    <xdr:to>
      <xdr:col>8</xdr:col>
      <xdr:colOff>585355</xdr:colOff>
      <xdr:row>84</xdr:row>
      <xdr:rowOff>161779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873F8A2-D160-4123-9D03-5BC165B635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304799</xdr:colOff>
      <xdr:row>97</xdr:row>
      <xdr:rowOff>28575</xdr:rowOff>
    </xdr:from>
    <xdr:to>
      <xdr:col>1</xdr:col>
      <xdr:colOff>3495675</xdr:colOff>
      <xdr:row>114</xdr:row>
      <xdr:rowOff>114300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16272E5-1F64-4B06-9EC0-7359CA51F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299027</xdr:colOff>
      <xdr:row>111</xdr:row>
      <xdr:rowOff>36801</xdr:rowOff>
    </xdr:from>
    <xdr:to>
      <xdr:col>9</xdr:col>
      <xdr:colOff>230909</xdr:colOff>
      <xdr:row>126</xdr:row>
      <xdr:rowOff>57726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EE07230-5C8B-45F6-B729-3B8FDAB618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481814</xdr:colOff>
      <xdr:row>29</xdr:row>
      <xdr:rowOff>250702</xdr:rowOff>
    </xdr:from>
    <xdr:to>
      <xdr:col>12</xdr:col>
      <xdr:colOff>51954</xdr:colOff>
      <xdr:row>42</xdr:row>
      <xdr:rowOff>77437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4D352BC-AA8F-4033-8D8A-65C80607A3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304799</xdr:colOff>
      <xdr:row>56</xdr:row>
      <xdr:rowOff>28575</xdr:rowOff>
    </xdr:from>
    <xdr:to>
      <xdr:col>1</xdr:col>
      <xdr:colOff>3495675</xdr:colOff>
      <xdr:row>73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8262CBF-A3CC-48A7-B51A-6BAA85E50D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249094</xdr:colOff>
      <xdr:row>67</xdr:row>
      <xdr:rowOff>138545</xdr:rowOff>
    </xdr:from>
    <xdr:to>
      <xdr:col>7</xdr:col>
      <xdr:colOff>1373909</xdr:colOff>
      <xdr:row>85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531E95A-8189-4A5F-9F91-B0AAC654E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1695449</xdr:colOff>
      <xdr:row>150</xdr:row>
      <xdr:rowOff>28575</xdr:rowOff>
    </xdr:from>
    <xdr:to>
      <xdr:col>6</xdr:col>
      <xdr:colOff>138545</xdr:colOff>
      <xdr:row>167</xdr:row>
      <xdr:rowOff>69273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D6E5CB7-5C5F-4CAC-A0AC-8E76F7E65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304799</xdr:colOff>
      <xdr:row>99</xdr:row>
      <xdr:rowOff>28574</xdr:rowOff>
    </xdr:from>
    <xdr:to>
      <xdr:col>2</xdr:col>
      <xdr:colOff>635000</xdr:colOff>
      <xdr:row>118</xdr:row>
      <xdr:rowOff>115453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AE282C5-992E-424E-A6EB-6E7D5BDCA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249094</xdr:colOff>
      <xdr:row>110</xdr:row>
      <xdr:rowOff>57728</xdr:rowOff>
    </xdr:from>
    <xdr:to>
      <xdr:col>8</xdr:col>
      <xdr:colOff>635000</xdr:colOff>
      <xdr:row>130</xdr:row>
      <xdr:rowOff>46181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D5E4120-BB4D-451C-AD83-A6B458179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115454</xdr:colOff>
      <xdr:row>149</xdr:row>
      <xdr:rowOff>158173</xdr:rowOff>
    </xdr:from>
    <xdr:to>
      <xdr:col>2</xdr:col>
      <xdr:colOff>1316180</xdr:colOff>
      <xdr:row>167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B79D9D6-A2EE-44F7-A9FB-3F30AFB3E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769962C4-FBD4-4BBF-AB56-D2CA33DE4D8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F5ECE31C-E2DD-4B08-9897-9BA26F85BB0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130C2F05-75F5-438F-85D7-E7184F91174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596900</xdr:colOff>
      <xdr:row>0</xdr:row>
      <xdr:rowOff>56568</xdr:rowOff>
    </xdr:from>
    <xdr:to>
      <xdr:col>11</xdr:col>
      <xdr:colOff>25400</xdr:colOff>
      <xdr:row>16</xdr:row>
      <xdr:rowOff>40182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6C68E8-490B-4ADF-9224-5ADBAFE50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6900" y="56568"/>
          <a:ext cx="4000500" cy="29300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69850</xdr:rowOff>
    </xdr:from>
    <xdr:to>
      <xdr:col>5</xdr:col>
      <xdr:colOff>565933</xdr:colOff>
      <xdr:row>16</xdr:row>
      <xdr:rowOff>32526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914838-B09D-4D65-B6E4-6ABCB0CF6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69850"/>
          <a:ext cx="4318783" cy="290907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16</xdr:row>
      <xdr:rowOff>95250</xdr:rowOff>
    </xdr:from>
    <xdr:to>
      <xdr:col>5</xdr:col>
      <xdr:colOff>592597</xdr:colOff>
      <xdr:row>33</xdr:row>
      <xdr:rowOff>38860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2E3C91-F2E3-4816-8EAC-CD7BB2EB6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041650"/>
          <a:ext cx="4326397" cy="3074160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16</xdr:row>
      <xdr:rowOff>76200</xdr:rowOff>
    </xdr:from>
    <xdr:to>
      <xdr:col>11</xdr:col>
      <xdr:colOff>285750</xdr:colOff>
      <xdr:row>33</xdr:row>
      <xdr:rowOff>32321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DF0A18-6BD6-4074-9A35-FDC49979A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19600" y="3022600"/>
          <a:ext cx="4248150" cy="3086671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0</xdr:row>
      <xdr:rowOff>63499</xdr:rowOff>
    </xdr:from>
    <xdr:to>
      <xdr:col>15</xdr:col>
      <xdr:colOff>266700</xdr:colOff>
      <xdr:row>16</xdr:row>
      <xdr:rowOff>44082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78283F-40BE-44EE-B9F0-51822FB3E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6562"/>
        <a:stretch/>
      </xdr:blipFill>
      <xdr:spPr>
        <a:xfrm>
          <a:off x="8477250" y="63499"/>
          <a:ext cx="3219450" cy="2926983"/>
        </a:xfrm>
        <a:prstGeom prst="rect">
          <a:avLst/>
        </a:prstGeom>
      </xdr:spPr>
    </xdr:pic>
    <xdr:clientData/>
  </xdr:twoCellAnchor>
  <xdr:twoCellAnchor editAs="oneCell">
    <xdr:from>
      <xdr:col>11</xdr:col>
      <xdr:colOff>361950</xdr:colOff>
      <xdr:row>16</xdr:row>
      <xdr:rowOff>82551</xdr:rowOff>
    </xdr:from>
    <xdr:to>
      <xdr:col>14</xdr:col>
      <xdr:colOff>193081</xdr:colOff>
      <xdr:row>33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455A19C-7194-43EE-82F7-EBB7C10DD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43950" y="3028951"/>
          <a:ext cx="2117131" cy="3060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8D7B-E62C-4536-B36F-D9D9FA59EE43}">
  <dimension ref="B2:K74"/>
  <sheetViews>
    <sheetView tabSelected="1" zoomScale="85" zoomScaleNormal="85" workbookViewId="0">
      <selection activeCell="E13" sqref="E13"/>
    </sheetView>
  </sheetViews>
  <sheetFormatPr baseColWidth="10" defaultRowHeight="14.5" x14ac:dyDescent="0.35"/>
  <cols>
    <col min="2" max="2" width="22.81640625" bestFit="1" customWidth="1"/>
    <col min="3" max="3" width="24" customWidth="1"/>
    <col min="4" max="4" width="24.54296875" bestFit="1" customWidth="1"/>
    <col min="5" max="5" width="26.453125" customWidth="1"/>
    <col min="6" max="6" width="24.81640625" customWidth="1"/>
    <col min="7" max="7" width="24.1796875" customWidth="1"/>
    <col min="8" max="9" width="15.54296875" customWidth="1"/>
    <col min="10" max="10" width="13.54296875" customWidth="1"/>
    <col min="11" max="11" width="15.26953125" customWidth="1"/>
  </cols>
  <sheetData>
    <row r="2" spans="2:11" ht="15" thickBot="1" x14ac:dyDescent="0.4"/>
    <row r="3" spans="2:11" ht="15" thickBot="1" x14ac:dyDescent="0.4">
      <c r="B3" s="2"/>
      <c r="C3" s="69">
        <v>2023</v>
      </c>
      <c r="D3" s="33">
        <v>2024</v>
      </c>
      <c r="E3" s="70">
        <v>2025</v>
      </c>
      <c r="G3" s="273" t="s">
        <v>10</v>
      </c>
      <c r="H3" s="274"/>
      <c r="I3" s="275"/>
    </row>
    <row r="4" spans="2:11" ht="15" thickBot="1" x14ac:dyDescent="0.4">
      <c r="B4" s="27" t="s">
        <v>0</v>
      </c>
      <c r="C4" s="18">
        <v>140290</v>
      </c>
      <c r="D4" s="19">
        <v>140290</v>
      </c>
      <c r="E4" s="20">
        <v>153168</v>
      </c>
      <c r="G4" s="16" t="s">
        <v>11</v>
      </c>
      <c r="H4" s="10">
        <v>430</v>
      </c>
      <c r="I4" s="1">
        <f>H4-H5</f>
        <v>35</v>
      </c>
    </row>
    <row r="5" spans="2:11" ht="15" thickBot="1" x14ac:dyDescent="0.4">
      <c r="B5" s="28"/>
      <c r="C5" s="4">
        <v>95</v>
      </c>
      <c r="D5" s="6">
        <v>95</v>
      </c>
      <c r="E5" s="5">
        <v>100</v>
      </c>
      <c r="G5" s="17" t="s">
        <v>12</v>
      </c>
      <c r="H5" s="12">
        <v>395</v>
      </c>
      <c r="I5" s="100">
        <f>+H5/H4</f>
        <v>0.91860465116279066</v>
      </c>
    </row>
    <row r="6" spans="2:11" ht="15" thickBot="1" x14ac:dyDescent="0.4">
      <c r="B6" s="29" t="s">
        <v>1</v>
      </c>
      <c r="C6" s="8">
        <v>174000</v>
      </c>
      <c r="D6" s="3">
        <v>174000</v>
      </c>
      <c r="E6" s="21">
        <v>213525</v>
      </c>
    </row>
    <row r="7" spans="2:11" ht="15" thickBot="1" x14ac:dyDescent="0.4">
      <c r="B7" s="28"/>
      <c r="C7" s="4">
        <v>300</v>
      </c>
      <c r="D7" s="6">
        <v>300</v>
      </c>
      <c r="E7" s="5">
        <v>300</v>
      </c>
      <c r="G7" s="276" t="s">
        <v>13</v>
      </c>
      <c r="H7" s="277"/>
      <c r="I7" s="278"/>
    </row>
    <row r="8" spans="2:11" ht="15" thickBot="1" x14ac:dyDescent="0.4">
      <c r="B8" s="30" t="s">
        <v>68</v>
      </c>
      <c r="C8" s="19">
        <v>794748000</v>
      </c>
      <c r="D8" s="19">
        <v>787584789</v>
      </c>
      <c r="E8" s="19">
        <v>952491600</v>
      </c>
      <c r="G8" s="16" t="s">
        <v>11</v>
      </c>
      <c r="H8" s="10">
        <v>491</v>
      </c>
      <c r="I8" s="1">
        <f>H8-H9</f>
        <v>91</v>
      </c>
    </row>
    <row r="9" spans="2:11" ht="15" thickBot="1" x14ac:dyDescent="0.4">
      <c r="B9" s="31" t="s">
        <v>69</v>
      </c>
      <c r="C9" s="9">
        <v>786330600</v>
      </c>
      <c r="D9" s="9">
        <v>786330600</v>
      </c>
      <c r="E9" s="9">
        <v>952491600</v>
      </c>
      <c r="G9" s="17" t="s">
        <v>12</v>
      </c>
      <c r="H9" s="12">
        <v>400</v>
      </c>
      <c r="I9" s="100">
        <f>+H9/H8</f>
        <v>0.81466395112016299</v>
      </c>
    </row>
    <row r="10" spans="2:11" ht="15" thickBot="1" x14ac:dyDescent="0.4">
      <c r="B10" s="32"/>
    </row>
    <row r="11" spans="2:11" x14ac:dyDescent="0.35">
      <c r="B11" s="271" t="s">
        <v>2</v>
      </c>
      <c r="C11" s="101">
        <f>C8-C9</f>
        <v>8417400</v>
      </c>
      <c r="D11" s="102">
        <f>D8-D9</f>
        <v>1254189</v>
      </c>
      <c r="E11" s="103">
        <f>E8-E9</f>
        <v>0</v>
      </c>
    </row>
    <row r="12" spans="2:11" ht="15" thickBot="1" x14ac:dyDescent="0.4">
      <c r="B12" s="272"/>
      <c r="C12" s="104">
        <f>+C9/C8</f>
        <v>0.98940871823521415</v>
      </c>
      <c r="D12" s="105">
        <f>+D9/D8</f>
        <v>0.99840755050438135</v>
      </c>
      <c r="E12" s="106">
        <f>+E9/E8</f>
        <v>1</v>
      </c>
    </row>
    <row r="13" spans="2:11" x14ac:dyDescent="0.35">
      <c r="B13" s="115"/>
      <c r="C13" s="111"/>
      <c r="D13" s="111"/>
      <c r="E13" s="111"/>
    </row>
    <row r="15" spans="2:11" ht="21.5" thickBot="1" x14ac:dyDescent="0.55000000000000004">
      <c r="B15" s="97" t="s">
        <v>16</v>
      </c>
    </row>
    <row r="16" spans="2:11" ht="15" thickBot="1" x14ac:dyDescent="0.4">
      <c r="B16" s="281" t="s">
        <v>72</v>
      </c>
      <c r="C16" s="282"/>
      <c r="D16" s="282"/>
      <c r="E16" s="282"/>
      <c r="F16" s="282"/>
      <c r="G16" s="282"/>
      <c r="H16" s="282"/>
      <c r="I16" s="282"/>
      <c r="J16" s="282"/>
      <c r="K16" s="283"/>
    </row>
    <row r="17" spans="2:11" ht="78.75" customHeight="1" thickBot="1" x14ac:dyDescent="0.4">
      <c r="B17" s="114" t="s">
        <v>14</v>
      </c>
      <c r="C17" s="114" t="s">
        <v>79</v>
      </c>
      <c r="D17" s="114" t="s">
        <v>74</v>
      </c>
      <c r="E17" s="114" t="s">
        <v>71</v>
      </c>
      <c r="F17" s="114" t="s">
        <v>83</v>
      </c>
      <c r="G17" s="114" t="s">
        <v>80</v>
      </c>
      <c r="H17" s="116" t="s">
        <v>75</v>
      </c>
      <c r="I17" s="114" t="s">
        <v>82</v>
      </c>
      <c r="J17" s="114" t="s">
        <v>77</v>
      </c>
      <c r="K17" s="114" t="s">
        <v>78</v>
      </c>
    </row>
    <row r="18" spans="2:11" x14ac:dyDescent="0.35">
      <c r="B18" s="16" t="s">
        <v>3</v>
      </c>
      <c r="C18" s="76">
        <v>214</v>
      </c>
      <c r="D18" s="26">
        <v>122</v>
      </c>
      <c r="E18" s="26">
        <f>75+32</f>
        <v>107</v>
      </c>
      <c r="F18" s="112">
        <f>+E18/C18</f>
        <v>0.5</v>
      </c>
      <c r="G18" s="112">
        <f t="shared" ref="G18:G24" si="0">+E18/D18</f>
        <v>0.87704918032786883</v>
      </c>
      <c r="H18" s="144">
        <f>+D28+D36</f>
        <v>250989012</v>
      </c>
      <c r="I18" s="165">
        <f t="shared" ref="I18:I23" si="1">+H18/E18</f>
        <v>2345691.7009345796</v>
      </c>
      <c r="J18" s="164">
        <f t="shared" ref="J18:J24" si="2">+H18/$H$24</f>
        <v>0.26350784825818935</v>
      </c>
      <c r="K18" s="145">
        <f>+E18/$E$24</f>
        <v>0.26750000000000002</v>
      </c>
    </row>
    <row r="19" spans="2:11" x14ac:dyDescent="0.35">
      <c r="B19" s="15" t="s">
        <v>7</v>
      </c>
      <c r="C19" s="42">
        <v>318</v>
      </c>
      <c r="D19" s="22">
        <v>212</v>
      </c>
      <c r="E19" s="22">
        <f>131+40</f>
        <v>171</v>
      </c>
      <c r="F19" s="113">
        <f t="shared" ref="F19:F24" si="3">+E19/C19</f>
        <v>0.53773584905660377</v>
      </c>
      <c r="G19" s="112">
        <f t="shared" si="0"/>
        <v>0.80660377358490565</v>
      </c>
      <c r="H19" s="92">
        <f t="shared" ref="H19:H23" si="4">+D29+D37</f>
        <v>409181940</v>
      </c>
      <c r="I19" s="166">
        <f>+H19/E19</f>
        <v>2392876.8421052634</v>
      </c>
      <c r="J19" s="164">
        <f>+H19/$H$24</f>
        <v>0.42959112710285319</v>
      </c>
      <c r="K19" s="146">
        <f t="shared" ref="K19:K24" si="5">+E19/$E$24</f>
        <v>0.42749999999999999</v>
      </c>
    </row>
    <row r="20" spans="2:11" ht="13.5" customHeight="1" x14ac:dyDescent="0.35">
      <c r="B20" s="15" t="s">
        <v>5</v>
      </c>
      <c r="C20" s="42">
        <v>138</v>
      </c>
      <c r="D20" s="22">
        <v>70</v>
      </c>
      <c r="E20" s="22">
        <f>43+13</f>
        <v>56</v>
      </c>
      <c r="F20" s="112">
        <f t="shared" si="3"/>
        <v>0.40579710144927539</v>
      </c>
      <c r="G20" s="112">
        <f t="shared" si="0"/>
        <v>0.8</v>
      </c>
      <c r="H20" s="92">
        <f>+D30+D38</f>
        <v>134073108</v>
      </c>
      <c r="I20" s="166">
        <f>+H20/E20</f>
        <v>2394162.6428571427</v>
      </c>
      <c r="J20" s="164">
        <f t="shared" si="2"/>
        <v>0.14076040985558297</v>
      </c>
      <c r="K20" s="146">
        <f t="shared" si="5"/>
        <v>0.14000000000000001</v>
      </c>
    </row>
    <row r="21" spans="2:11" x14ac:dyDescent="0.35">
      <c r="B21" s="15" t="s">
        <v>6</v>
      </c>
      <c r="C21" s="43">
        <v>60</v>
      </c>
      <c r="D21" s="22">
        <v>34</v>
      </c>
      <c r="E21" s="22">
        <f>23+4</f>
        <v>27</v>
      </c>
      <c r="F21" s="112">
        <f t="shared" si="3"/>
        <v>0.45</v>
      </c>
      <c r="G21" s="112">
        <f t="shared" si="0"/>
        <v>0.79411764705882348</v>
      </c>
      <c r="H21" s="92">
        <f>+D31+D39</f>
        <v>66284964</v>
      </c>
      <c r="I21" s="166">
        <f>+H21/E21</f>
        <v>2454998.6666666665</v>
      </c>
      <c r="J21" s="164">
        <f t="shared" si="2"/>
        <v>6.9591127102853187E-2</v>
      </c>
      <c r="K21" s="146">
        <f t="shared" si="5"/>
        <v>6.7500000000000004E-2</v>
      </c>
    </row>
    <row r="22" spans="2:11" x14ac:dyDescent="0.35">
      <c r="B22" s="15" t="s">
        <v>8</v>
      </c>
      <c r="C22" s="43">
        <v>31</v>
      </c>
      <c r="D22" s="22">
        <v>26</v>
      </c>
      <c r="E22" s="22">
        <v>16</v>
      </c>
      <c r="F22" s="112">
        <f t="shared" si="3"/>
        <v>0.5161290322580645</v>
      </c>
      <c r="G22" s="112">
        <f t="shared" si="0"/>
        <v>0.61538461538461542</v>
      </c>
      <c r="H22" s="92">
        <f>+D32+D40</f>
        <v>36651096</v>
      </c>
      <c r="I22" s="166">
        <f t="shared" si="1"/>
        <v>2290693.5</v>
      </c>
      <c r="J22" s="164">
        <f t="shared" si="2"/>
        <v>3.8479180288834042E-2</v>
      </c>
      <c r="K22" s="146">
        <f t="shared" si="5"/>
        <v>0.04</v>
      </c>
    </row>
    <row r="23" spans="2:11" ht="15" thickBot="1" x14ac:dyDescent="0.4">
      <c r="B23" s="34" t="s">
        <v>9</v>
      </c>
      <c r="C23" s="44">
        <v>38</v>
      </c>
      <c r="D23" s="36">
        <v>27</v>
      </c>
      <c r="E23" s="36">
        <f>18+5</f>
        <v>23</v>
      </c>
      <c r="F23" s="112">
        <f t="shared" si="3"/>
        <v>0.60526315789473684</v>
      </c>
      <c r="G23" s="112">
        <f t="shared" si="0"/>
        <v>0.85185185185185186</v>
      </c>
      <c r="H23" s="147">
        <f t="shared" si="4"/>
        <v>55311480</v>
      </c>
      <c r="I23" s="167">
        <f t="shared" si="1"/>
        <v>2404846.9565217393</v>
      </c>
      <c r="J23" s="164">
        <f t="shared" si="2"/>
        <v>5.8070307391687233E-2</v>
      </c>
      <c r="K23" s="146">
        <f t="shared" si="5"/>
        <v>5.7500000000000002E-2</v>
      </c>
    </row>
    <row r="24" spans="2:11" ht="15" thickBot="1" x14ac:dyDescent="0.4">
      <c r="B24" s="37" t="s">
        <v>19</v>
      </c>
      <c r="C24" s="152">
        <f>SUM(C18:C23)</f>
        <v>799</v>
      </c>
      <c r="D24" s="152">
        <f>SUM(D18:D23)</f>
        <v>491</v>
      </c>
      <c r="E24" s="94">
        <f>SUM(E18:E23)</f>
        <v>400</v>
      </c>
      <c r="F24" s="153">
        <f t="shared" si="3"/>
        <v>0.50062578222778475</v>
      </c>
      <c r="G24" s="153">
        <f t="shared" si="0"/>
        <v>0.81466395112016299</v>
      </c>
      <c r="H24" s="168">
        <f>SUM(H18:H23)</f>
        <v>952491600</v>
      </c>
      <c r="I24" s="154"/>
      <c r="J24" s="155">
        <f t="shared" si="2"/>
        <v>1</v>
      </c>
      <c r="K24" s="155">
        <f t="shared" si="5"/>
        <v>1</v>
      </c>
    </row>
    <row r="25" spans="2:11" ht="15" thickBot="1" x14ac:dyDescent="0.4"/>
    <row r="26" spans="2:11" ht="15" thickBot="1" x14ac:dyDescent="0.4">
      <c r="B26" s="107" t="s">
        <v>17</v>
      </c>
      <c r="C26" s="108"/>
      <c r="D26" s="108"/>
      <c r="E26" s="108"/>
      <c r="F26" s="108"/>
      <c r="G26" s="109"/>
    </row>
    <row r="27" spans="2:11" ht="44" thickBot="1" x14ac:dyDescent="0.4">
      <c r="B27" s="7" t="s">
        <v>70</v>
      </c>
      <c r="C27" s="7" t="s">
        <v>71</v>
      </c>
      <c r="D27" s="176" t="s">
        <v>75</v>
      </c>
      <c r="E27" s="114" t="s">
        <v>76</v>
      </c>
      <c r="F27" s="114" t="s">
        <v>77</v>
      </c>
      <c r="G27" s="71" t="s">
        <v>78</v>
      </c>
    </row>
    <row r="28" spans="2:11" x14ac:dyDescent="0.35">
      <c r="B28" s="16" t="s">
        <v>3</v>
      </c>
      <c r="C28" s="13">
        <v>75</v>
      </c>
      <c r="D28" s="77">
        <v>192172500</v>
      </c>
      <c r="E28" s="173">
        <f t="shared" ref="E28:E33" si="6">D28/C28</f>
        <v>2562300</v>
      </c>
      <c r="F28" s="169">
        <f t="shared" ref="F28:F33" si="7">D28/$D$34</f>
        <v>0.25</v>
      </c>
      <c r="G28" s="75">
        <f t="shared" ref="G28:G32" si="8">C28/$C$34</f>
        <v>0.25</v>
      </c>
    </row>
    <row r="29" spans="2:11" x14ac:dyDescent="0.35">
      <c r="B29" s="15" t="s">
        <v>7</v>
      </c>
      <c r="C29" s="14">
        <v>131</v>
      </c>
      <c r="D29" s="91">
        <v>335661300</v>
      </c>
      <c r="E29" s="174">
        <f t="shared" si="6"/>
        <v>2562300</v>
      </c>
      <c r="F29" s="133">
        <f t="shared" si="7"/>
        <v>0.43666666666666665</v>
      </c>
      <c r="G29" s="162">
        <f t="shared" si="8"/>
        <v>0.43666666666666665</v>
      </c>
    </row>
    <row r="30" spans="2:11" x14ac:dyDescent="0.35">
      <c r="B30" s="15" t="s">
        <v>5</v>
      </c>
      <c r="C30" s="14">
        <v>43</v>
      </c>
      <c r="D30" s="91">
        <v>110178900</v>
      </c>
      <c r="E30" s="174">
        <f t="shared" si="6"/>
        <v>2562300</v>
      </c>
      <c r="F30" s="133">
        <f t="shared" si="7"/>
        <v>0.14333333333333334</v>
      </c>
      <c r="G30" s="162">
        <f t="shared" si="8"/>
        <v>0.14333333333333334</v>
      </c>
    </row>
    <row r="31" spans="2:11" x14ac:dyDescent="0.35">
      <c r="B31" s="15" t="s">
        <v>6</v>
      </c>
      <c r="C31" s="14">
        <v>23</v>
      </c>
      <c r="D31" s="91">
        <v>58932900</v>
      </c>
      <c r="E31" s="174">
        <f t="shared" si="6"/>
        <v>2562300</v>
      </c>
      <c r="F31" s="133">
        <f t="shared" si="7"/>
        <v>7.6666666666666661E-2</v>
      </c>
      <c r="G31" s="162">
        <f t="shared" si="8"/>
        <v>7.6666666666666661E-2</v>
      </c>
    </row>
    <row r="32" spans="2:11" x14ac:dyDescent="0.35">
      <c r="B32" s="15" t="s">
        <v>8</v>
      </c>
      <c r="C32" s="14">
        <v>10</v>
      </c>
      <c r="D32" s="91">
        <v>25623000</v>
      </c>
      <c r="E32" s="174">
        <f t="shared" si="6"/>
        <v>2562300</v>
      </c>
      <c r="F32" s="133">
        <f>D32/$D$34</f>
        <v>3.3333333333333333E-2</v>
      </c>
      <c r="G32" s="162">
        <f t="shared" si="8"/>
        <v>3.3333333333333333E-2</v>
      </c>
    </row>
    <row r="33" spans="2:11" ht="15" thickBot="1" x14ac:dyDescent="0.4">
      <c r="B33" s="34" t="s">
        <v>9</v>
      </c>
      <c r="C33" s="63">
        <v>18</v>
      </c>
      <c r="D33" s="172">
        <v>46121400</v>
      </c>
      <c r="E33" s="175">
        <f t="shared" si="6"/>
        <v>2562300</v>
      </c>
      <c r="F33" s="133">
        <f t="shared" si="7"/>
        <v>0.06</v>
      </c>
      <c r="G33" s="163">
        <f>C33/$C$34</f>
        <v>0.06</v>
      </c>
    </row>
    <row r="34" spans="2:11" ht="15" thickBot="1" x14ac:dyDescent="0.4">
      <c r="B34" s="57" t="s">
        <v>19</v>
      </c>
      <c r="C34" s="58">
        <f>SUM(C28:C33)</f>
        <v>300</v>
      </c>
      <c r="D34" s="177">
        <f>SUM(D28:D33)</f>
        <v>768690000</v>
      </c>
      <c r="E34" s="66">
        <f>SUM(E28:E33)</f>
        <v>15373800</v>
      </c>
      <c r="F34" s="158">
        <f>SUM(F28:F33)</f>
        <v>1</v>
      </c>
      <c r="G34" s="161">
        <f>SUM(G28:G33)</f>
        <v>1</v>
      </c>
    </row>
    <row r="35" spans="2:11" ht="15" thickBot="1" x14ac:dyDescent="0.4">
      <c r="B35" s="107" t="s">
        <v>18</v>
      </c>
      <c r="C35" s="108"/>
      <c r="D35" s="170"/>
      <c r="E35" s="170"/>
      <c r="F35" s="38"/>
      <c r="G35" s="38"/>
    </row>
    <row r="36" spans="2:11" x14ac:dyDescent="0.35">
      <c r="B36" s="52" t="s">
        <v>3</v>
      </c>
      <c r="C36" s="13">
        <v>32</v>
      </c>
      <c r="D36" s="77">
        <v>58816512</v>
      </c>
      <c r="E36" s="178">
        <f t="shared" ref="E36:E41" si="9">D36/C36</f>
        <v>1838016</v>
      </c>
      <c r="F36" s="72">
        <f t="shared" ref="F36:F41" si="10">D36/$D$42</f>
        <v>0.32</v>
      </c>
      <c r="G36" s="72">
        <f t="shared" ref="G36:G41" si="11">C36/$C$42</f>
        <v>0.32</v>
      </c>
    </row>
    <row r="37" spans="2:11" x14ac:dyDescent="0.35">
      <c r="B37" s="51" t="s">
        <v>7</v>
      </c>
      <c r="C37" s="14">
        <v>40</v>
      </c>
      <c r="D37" s="91">
        <v>73520640</v>
      </c>
      <c r="E37" s="179">
        <f t="shared" si="9"/>
        <v>1838016</v>
      </c>
      <c r="F37" s="162">
        <f t="shared" si="10"/>
        <v>0.4</v>
      </c>
      <c r="G37" s="162">
        <f t="shared" si="11"/>
        <v>0.4</v>
      </c>
    </row>
    <row r="38" spans="2:11" x14ac:dyDescent="0.35">
      <c r="B38" s="15" t="s">
        <v>5</v>
      </c>
      <c r="C38" s="14">
        <v>13</v>
      </c>
      <c r="D38" s="91">
        <v>23894208</v>
      </c>
      <c r="E38" s="179">
        <f t="shared" si="9"/>
        <v>1838016</v>
      </c>
      <c r="F38" s="162">
        <f t="shared" si="10"/>
        <v>0.13</v>
      </c>
      <c r="G38" s="162">
        <f t="shared" si="11"/>
        <v>0.13</v>
      </c>
    </row>
    <row r="39" spans="2:11" x14ac:dyDescent="0.35">
      <c r="B39" s="15" t="s">
        <v>6</v>
      </c>
      <c r="C39" s="14">
        <v>4</v>
      </c>
      <c r="D39" s="91">
        <v>7352064</v>
      </c>
      <c r="E39" s="179">
        <f t="shared" si="9"/>
        <v>1838016</v>
      </c>
      <c r="F39" s="162">
        <f t="shared" si="10"/>
        <v>0.04</v>
      </c>
      <c r="G39" s="162">
        <f t="shared" si="11"/>
        <v>0.04</v>
      </c>
    </row>
    <row r="40" spans="2:11" x14ac:dyDescent="0.35">
      <c r="B40" s="15" t="s">
        <v>8</v>
      </c>
      <c r="C40" s="14">
        <v>6</v>
      </c>
      <c r="D40" s="91">
        <v>11028096</v>
      </c>
      <c r="E40" s="179">
        <f t="shared" si="9"/>
        <v>1838016</v>
      </c>
      <c r="F40" s="162">
        <f t="shared" si="10"/>
        <v>0.06</v>
      </c>
      <c r="G40" s="162">
        <f t="shared" si="11"/>
        <v>0.06</v>
      </c>
    </row>
    <row r="41" spans="2:11" ht="15" thickBot="1" x14ac:dyDescent="0.4">
      <c r="B41" s="34" t="s">
        <v>9</v>
      </c>
      <c r="C41" s="63">
        <v>5</v>
      </c>
      <c r="D41" s="172">
        <v>9190080</v>
      </c>
      <c r="E41" s="180">
        <f t="shared" si="9"/>
        <v>1838016</v>
      </c>
      <c r="F41" s="162">
        <f t="shared" si="10"/>
        <v>0.05</v>
      </c>
      <c r="G41" s="162">
        <f t="shared" si="11"/>
        <v>0.05</v>
      </c>
    </row>
    <row r="42" spans="2:11" ht="15" thickBot="1" x14ac:dyDescent="0.4">
      <c r="B42" s="156" t="s">
        <v>20</v>
      </c>
      <c r="C42" s="157">
        <f>SUM(C36:C41)</f>
        <v>100</v>
      </c>
      <c r="D42" s="171">
        <f>SUM(D36:D41)</f>
        <v>183801600</v>
      </c>
      <c r="E42" s="182">
        <f>SUM(E36:E41)</f>
        <v>11028096</v>
      </c>
      <c r="F42" s="181">
        <f>SUM(F36:F41)</f>
        <v>1</v>
      </c>
      <c r="G42" s="181">
        <f>SUM(G36:G41)</f>
        <v>1</v>
      </c>
    </row>
    <row r="43" spans="2:11" ht="15" thickBot="1" x14ac:dyDescent="0.4">
      <c r="B43" s="67" t="s">
        <v>4</v>
      </c>
      <c r="C43" s="159">
        <f>+C34+C42</f>
        <v>400</v>
      </c>
      <c r="D43" s="160">
        <f>+D34+D42</f>
        <v>952491600</v>
      </c>
      <c r="E43" s="183">
        <f>+E34+E42</f>
        <v>26401896</v>
      </c>
      <c r="F43" s="38"/>
      <c r="G43" s="38"/>
    </row>
    <row r="44" spans="2:11" s="62" customFormat="1" x14ac:dyDescent="0.35">
      <c r="B44" s="148"/>
      <c r="C44" s="149"/>
      <c r="D44" s="150"/>
      <c r="E44" s="149"/>
      <c r="F44" s="151"/>
      <c r="G44" s="151"/>
    </row>
    <row r="45" spans="2:11" ht="21.5" thickBot="1" x14ac:dyDescent="0.55000000000000004">
      <c r="B45" s="97" t="s">
        <v>73</v>
      </c>
    </row>
    <row r="46" spans="2:11" ht="15" thickBot="1" x14ac:dyDescent="0.4">
      <c r="B46" s="279" t="s">
        <v>72</v>
      </c>
      <c r="C46" s="280"/>
      <c r="D46" s="280"/>
      <c r="E46" s="280"/>
      <c r="F46" s="280"/>
      <c r="G46" s="280"/>
      <c r="H46" s="50"/>
      <c r="I46" s="50"/>
      <c r="J46" s="50"/>
      <c r="K46" s="49"/>
    </row>
    <row r="47" spans="2:11" ht="72.75" customHeight="1" thickBot="1" x14ac:dyDescent="0.4">
      <c r="B47" s="114" t="s">
        <v>14</v>
      </c>
      <c r="C47" s="114" t="s">
        <v>79</v>
      </c>
      <c r="D47" s="114" t="s">
        <v>74</v>
      </c>
      <c r="E47" s="114" t="s">
        <v>71</v>
      </c>
      <c r="F47" s="114" t="s">
        <v>83</v>
      </c>
      <c r="G47" s="114" t="s">
        <v>80</v>
      </c>
      <c r="H47" s="116" t="s">
        <v>75</v>
      </c>
      <c r="I47" s="116" t="s">
        <v>76</v>
      </c>
      <c r="J47" s="114" t="s">
        <v>77</v>
      </c>
      <c r="K47" s="114" t="s">
        <v>78</v>
      </c>
    </row>
    <row r="48" spans="2:11" x14ac:dyDescent="0.35">
      <c r="B48" s="16" t="s">
        <v>3</v>
      </c>
      <c r="C48" s="76">
        <v>214</v>
      </c>
      <c r="D48" s="26">
        <v>115</v>
      </c>
      <c r="E48" s="13">
        <f>78+27</f>
        <v>105</v>
      </c>
      <c r="F48" s="112">
        <f t="shared" ref="F48:F54" si="12">+E48/C48</f>
        <v>0.49065420560747663</v>
      </c>
      <c r="G48" s="112">
        <f t="shared" ref="G48:G54" si="13">+E48/D48</f>
        <v>0.91304347826086951</v>
      </c>
      <c r="H48" s="144">
        <f>+D59+D67</f>
        <v>208317960</v>
      </c>
      <c r="I48" s="165">
        <f t="shared" ref="I48:I54" si="14">+H48/E48</f>
        <v>1983980.5714285714</v>
      </c>
      <c r="J48" s="145">
        <f t="shared" ref="J48:J54" si="15">+H48/$H$54</f>
        <v>0.26492414259345876</v>
      </c>
      <c r="K48" s="145">
        <f t="shared" ref="K48:K54" si="16">+E48/$E$54</f>
        <v>0.26582278481012656</v>
      </c>
    </row>
    <row r="49" spans="2:11" x14ac:dyDescent="0.35">
      <c r="B49" s="15" t="s">
        <v>7</v>
      </c>
      <c r="C49" s="42">
        <v>318</v>
      </c>
      <c r="D49" s="22">
        <v>179</v>
      </c>
      <c r="E49" s="14">
        <f>143+29</f>
        <v>172</v>
      </c>
      <c r="F49" s="117">
        <f t="shared" si="12"/>
        <v>0.54088050314465408</v>
      </c>
      <c r="G49" s="112">
        <f t="shared" si="13"/>
        <v>0.96089385474860334</v>
      </c>
      <c r="H49" s="92">
        <f t="shared" ref="H49:H53" si="17">+D60+D68</f>
        <v>347404920</v>
      </c>
      <c r="I49" s="166">
        <f t="shared" si="14"/>
        <v>2019796.046511628</v>
      </c>
      <c r="J49" s="146">
        <f t="shared" si="15"/>
        <v>0.44180516439268674</v>
      </c>
      <c r="K49" s="146">
        <f t="shared" si="16"/>
        <v>0.43544303797468353</v>
      </c>
    </row>
    <row r="50" spans="2:11" x14ac:dyDescent="0.35">
      <c r="B50" s="15" t="s">
        <v>5</v>
      </c>
      <c r="C50" s="42">
        <v>139</v>
      </c>
      <c r="D50" s="22">
        <v>73</v>
      </c>
      <c r="E50" s="14">
        <f>43+20</f>
        <v>63</v>
      </c>
      <c r="F50" s="117">
        <f t="shared" si="12"/>
        <v>0.45323741007194246</v>
      </c>
      <c r="G50" s="112">
        <f t="shared" si="13"/>
        <v>0.86301369863013699</v>
      </c>
      <c r="H50" s="92">
        <f t="shared" si="17"/>
        <v>123453600</v>
      </c>
      <c r="I50" s="166">
        <f t="shared" si="14"/>
        <v>1959580.9523809524</v>
      </c>
      <c r="J50" s="146">
        <f t="shared" si="15"/>
        <v>0.15699961313981675</v>
      </c>
      <c r="K50" s="146">
        <f t="shared" si="16"/>
        <v>0.15949367088607594</v>
      </c>
    </row>
    <row r="51" spans="2:11" x14ac:dyDescent="0.35">
      <c r="B51" s="15" t="s">
        <v>6</v>
      </c>
      <c r="C51" s="43">
        <v>60</v>
      </c>
      <c r="D51" s="22">
        <v>21</v>
      </c>
      <c r="E51" s="14">
        <f>13+7</f>
        <v>20</v>
      </c>
      <c r="F51" s="112">
        <f t="shared" si="12"/>
        <v>0.33333333333333331</v>
      </c>
      <c r="G51" s="112">
        <f>+E51/D51</f>
        <v>0.95238095238095233</v>
      </c>
      <c r="H51" s="92">
        <f t="shared" si="17"/>
        <v>38928360</v>
      </c>
      <c r="I51" s="166">
        <f t="shared" si="14"/>
        <v>1946418</v>
      </c>
      <c r="J51" s="146">
        <f t="shared" si="15"/>
        <v>4.9506352671509921E-2</v>
      </c>
      <c r="K51" s="146">
        <f t="shared" si="16"/>
        <v>5.0632911392405063E-2</v>
      </c>
    </row>
    <row r="52" spans="2:11" x14ac:dyDescent="0.35">
      <c r="B52" s="15" t="s">
        <v>8</v>
      </c>
      <c r="C52" s="43">
        <v>31</v>
      </c>
      <c r="D52" s="22">
        <v>19</v>
      </c>
      <c r="E52" s="14">
        <f>11+3</f>
        <v>14</v>
      </c>
      <c r="F52" s="112">
        <f t="shared" si="12"/>
        <v>0.45161290322580644</v>
      </c>
      <c r="G52" s="112">
        <f t="shared" si="13"/>
        <v>0.73684210526315785</v>
      </c>
      <c r="H52" s="92">
        <f t="shared" si="17"/>
        <v>28018440</v>
      </c>
      <c r="I52" s="166">
        <f t="shared" si="14"/>
        <v>2001317.142857143</v>
      </c>
      <c r="J52" s="146">
        <f t="shared" si="15"/>
        <v>3.5631883078186197E-2</v>
      </c>
      <c r="K52" s="146">
        <f t="shared" si="16"/>
        <v>3.5443037974683546E-2</v>
      </c>
    </row>
    <row r="53" spans="2:11" ht="15" thickBot="1" x14ac:dyDescent="0.4">
      <c r="B53" s="34" t="s">
        <v>9</v>
      </c>
      <c r="C53" s="44">
        <v>38</v>
      </c>
      <c r="D53" s="36">
        <v>23</v>
      </c>
      <c r="E53" s="63">
        <f>12+9</f>
        <v>21</v>
      </c>
      <c r="F53" s="112">
        <f t="shared" si="12"/>
        <v>0.55263157894736847</v>
      </c>
      <c r="G53" s="112">
        <f t="shared" si="13"/>
        <v>0.91304347826086951</v>
      </c>
      <c r="H53" s="147">
        <f t="shared" si="17"/>
        <v>40207320</v>
      </c>
      <c r="I53" s="167">
        <f t="shared" si="14"/>
        <v>1914634.2857142857</v>
      </c>
      <c r="J53" s="146">
        <f t="shared" si="15"/>
        <v>5.1132844124341596E-2</v>
      </c>
      <c r="K53" s="146">
        <f t="shared" si="16"/>
        <v>5.3164556962025315E-2</v>
      </c>
    </row>
    <row r="54" spans="2:11" ht="15" thickBot="1" x14ac:dyDescent="0.4">
      <c r="B54" s="39" t="s">
        <v>19</v>
      </c>
      <c r="C54" s="118">
        <f>SUM(C48:C53)</f>
        <v>800</v>
      </c>
      <c r="D54" s="118">
        <f>SUM(D48:D53)</f>
        <v>430</v>
      </c>
      <c r="E54" s="119">
        <f>SUM(E48:E53)</f>
        <v>395</v>
      </c>
      <c r="F54" s="120">
        <f t="shared" si="12"/>
        <v>0.49375000000000002</v>
      </c>
      <c r="G54" s="120">
        <f t="shared" si="13"/>
        <v>0.91860465116279066</v>
      </c>
      <c r="H54" s="56">
        <f>SUM(H48:H53)</f>
        <v>786330600</v>
      </c>
      <c r="I54" s="121">
        <f t="shared" si="14"/>
        <v>1990710.3797468354</v>
      </c>
      <c r="J54" s="122">
        <f t="shared" si="15"/>
        <v>1</v>
      </c>
      <c r="K54" s="122">
        <f t="shared" si="16"/>
        <v>1</v>
      </c>
    </row>
    <row r="56" spans="2:11" ht="15" thickBot="1" x14ac:dyDescent="0.4"/>
    <row r="57" spans="2:11" ht="15" thickBot="1" x14ac:dyDescent="0.4">
      <c r="B57" s="123" t="s">
        <v>17</v>
      </c>
      <c r="C57" s="124"/>
      <c r="D57" s="124"/>
      <c r="E57" s="124"/>
      <c r="F57" s="124"/>
      <c r="G57" s="125"/>
    </row>
    <row r="58" spans="2:11" ht="44" thickBot="1" x14ac:dyDescent="0.4">
      <c r="B58" s="7" t="s">
        <v>70</v>
      </c>
      <c r="C58" s="7" t="s">
        <v>71</v>
      </c>
      <c r="D58" s="128" t="s">
        <v>75</v>
      </c>
      <c r="E58" s="116" t="s">
        <v>76</v>
      </c>
      <c r="F58" s="132" t="s">
        <v>77</v>
      </c>
      <c r="G58" s="110" t="s">
        <v>78</v>
      </c>
    </row>
    <row r="59" spans="2:11" x14ac:dyDescent="0.35">
      <c r="B59" s="16" t="s">
        <v>3</v>
      </c>
      <c r="C59" s="26">
        <f>78</f>
        <v>78</v>
      </c>
      <c r="D59" s="53">
        <f t="shared" ref="D59:D64" si="18">174000*C59*12</f>
        <v>162864000</v>
      </c>
      <c r="E59" s="64">
        <f>D59/C59+E80</f>
        <v>2088000</v>
      </c>
      <c r="F59" s="133">
        <f t="shared" ref="F59:F64" si="19">D59/$D$65</f>
        <v>0.26</v>
      </c>
      <c r="G59" s="135">
        <f t="shared" ref="G59:G64" si="20">C59/$C$65</f>
        <v>0.26</v>
      </c>
    </row>
    <row r="60" spans="2:11" x14ac:dyDescent="0.35">
      <c r="B60" s="15" t="s">
        <v>7</v>
      </c>
      <c r="C60" s="22">
        <f>143</f>
        <v>143</v>
      </c>
      <c r="D60" s="53">
        <f t="shared" si="18"/>
        <v>298584000</v>
      </c>
      <c r="E60" s="64">
        <f>D60/C60</f>
        <v>2088000</v>
      </c>
      <c r="F60" s="133">
        <f t="shared" si="19"/>
        <v>0.47666666666666668</v>
      </c>
      <c r="G60" s="135">
        <f t="shared" si="20"/>
        <v>0.47666666666666668</v>
      </c>
    </row>
    <row r="61" spans="2:11" x14ac:dyDescent="0.35">
      <c r="B61" s="15" t="s">
        <v>5</v>
      </c>
      <c r="C61" s="22">
        <f>43</f>
        <v>43</v>
      </c>
      <c r="D61" s="53">
        <f t="shared" si="18"/>
        <v>89784000</v>
      </c>
      <c r="E61" s="64">
        <f>D61/C61</f>
        <v>2088000</v>
      </c>
      <c r="F61" s="133">
        <f t="shared" si="19"/>
        <v>0.14333333333333334</v>
      </c>
      <c r="G61" s="135">
        <f t="shared" si="20"/>
        <v>0.14333333333333334</v>
      </c>
    </row>
    <row r="62" spans="2:11" x14ac:dyDescent="0.35">
      <c r="B62" s="15" t="s">
        <v>6</v>
      </c>
      <c r="C62" s="22">
        <f>13</f>
        <v>13</v>
      </c>
      <c r="D62" s="53">
        <f t="shared" si="18"/>
        <v>27144000</v>
      </c>
      <c r="E62" s="64">
        <f>D62/C62</f>
        <v>2088000</v>
      </c>
      <c r="F62" s="133">
        <f t="shared" si="19"/>
        <v>4.3333333333333335E-2</v>
      </c>
      <c r="G62" s="135">
        <f t="shared" si="20"/>
        <v>4.3333333333333335E-2</v>
      </c>
    </row>
    <row r="63" spans="2:11" x14ac:dyDescent="0.35">
      <c r="B63" s="15" t="s">
        <v>8</v>
      </c>
      <c r="C63" s="22">
        <v>11</v>
      </c>
      <c r="D63" s="53">
        <f t="shared" si="18"/>
        <v>22968000</v>
      </c>
      <c r="E63" s="64">
        <f>D63/C63</f>
        <v>2088000</v>
      </c>
      <c r="F63" s="133">
        <f t="shared" si="19"/>
        <v>3.6666666666666667E-2</v>
      </c>
      <c r="G63" s="135">
        <f t="shared" si="20"/>
        <v>3.6666666666666667E-2</v>
      </c>
    </row>
    <row r="64" spans="2:11" ht="15" thickBot="1" x14ac:dyDescent="0.4">
      <c r="B64" s="34" t="s">
        <v>9</v>
      </c>
      <c r="C64" s="36">
        <f>12</f>
        <v>12</v>
      </c>
      <c r="D64" s="54">
        <f t="shared" si="18"/>
        <v>25056000</v>
      </c>
      <c r="E64" s="65">
        <f>D64/C64</f>
        <v>2088000</v>
      </c>
      <c r="F64" s="134">
        <f t="shared" si="19"/>
        <v>0.04</v>
      </c>
      <c r="G64" s="136">
        <f t="shared" si="20"/>
        <v>0.04</v>
      </c>
    </row>
    <row r="65" spans="2:7" ht="15" thickBot="1" x14ac:dyDescent="0.4">
      <c r="B65" s="59" t="s">
        <v>19</v>
      </c>
      <c r="C65" s="60">
        <f>SUM(C59:C64)</f>
        <v>300</v>
      </c>
      <c r="D65" s="129">
        <f>SUM(D59:D64)</f>
        <v>626400000</v>
      </c>
      <c r="E65" s="131">
        <f>SUM(E59:E64)</f>
        <v>12528000</v>
      </c>
      <c r="F65" s="140">
        <f>SUM(F59:F64)</f>
        <v>1</v>
      </c>
      <c r="G65" s="141">
        <f>SUM(G59:G64)</f>
        <v>1</v>
      </c>
    </row>
    <row r="66" spans="2:7" ht="15" thickBot="1" x14ac:dyDescent="0.4">
      <c r="B66" s="123" t="s">
        <v>18</v>
      </c>
      <c r="C66" s="124"/>
      <c r="D66" s="124"/>
      <c r="E66" s="125"/>
      <c r="F66" s="50"/>
      <c r="G66" s="40"/>
    </row>
    <row r="67" spans="2:7" x14ac:dyDescent="0.35">
      <c r="B67" s="52" t="s">
        <v>3</v>
      </c>
      <c r="C67" s="26">
        <v>27</v>
      </c>
      <c r="D67" s="55">
        <f t="shared" ref="D67:D72" si="21">140290*C67*12</f>
        <v>45453960</v>
      </c>
      <c r="E67" s="61">
        <f t="shared" ref="E67:E72" si="22">D67/C67</f>
        <v>1683480</v>
      </c>
      <c r="F67" s="130">
        <f t="shared" ref="F67:F72" si="23">D67/$D$73</f>
        <v>0.28421052631578947</v>
      </c>
      <c r="G67" s="135">
        <f t="shared" ref="G67:G72" si="24">C67/$C$73</f>
        <v>0.28421052631578947</v>
      </c>
    </row>
    <row r="68" spans="2:7" x14ac:dyDescent="0.35">
      <c r="B68" s="51" t="s">
        <v>7</v>
      </c>
      <c r="C68" s="22">
        <v>29</v>
      </c>
      <c r="D68" s="53">
        <f t="shared" si="21"/>
        <v>48820920</v>
      </c>
      <c r="E68" s="61">
        <f t="shared" si="22"/>
        <v>1683480</v>
      </c>
      <c r="F68" s="130">
        <f t="shared" si="23"/>
        <v>0.30526315789473685</v>
      </c>
      <c r="G68" s="135">
        <f t="shared" si="24"/>
        <v>0.30526315789473685</v>
      </c>
    </row>
    <row r="69" spans="2:7" x14ac:dyDescent="0.35">
      <c r="B69" s="15" t="s">
        <v>5</v>
      </c>
      <c r="C69" s="22">
        <v>20</v>
      </c>
      <c r="D69" s="53">
        <f t="shared" si="21"/>
        <v>33669600</v>
      </c>
      <c r="E69" s="61">
        <f t="shared" si="22"/>
        <v>1683480</v>
      </c>
      <c r="F69" s="130">
        <f t="shared" si="23"/>
        <v>0.21052631578947367</v>
      </c>
      <c r="G69" s="135">
        <f t="shared" si="24"/>
        <v>0.21052631578947367</v>
      </c>
    </row>
    <row r="70" spans="2:7" x14ac:dyDescent="0.35">
      <c r="B70" s="15" t="s">
        <v>6</v>
      </c>
      <c r="C70" s="22">
        <v>7</v>
      </c>
      <c r="D70" s="53">
        <f t="shared" si="21"/>
        <v>11784360</v>
      </c>
      <c r="E70" s="61">
        <f t="shared" si="22"/>
        <v>1683480</v>
      </c>
      <c r="F70" s="130">
        <f t="shared" si="23"/>
        <v>7.3684210526315783E-2</v>
      </c>
      <c r="G70" s="135">
        <f t="shared" si="24"/>
        <v>7.3684210526315783E-2</v>
      </c>
    </row>
    <row r="71" spans="2:7" x14ac:dyDescent="0.35">
      <c r="B71" s="15" t="s">
        <v>8</v>
      </c>
      <c r="C71" s="22">
        <v>3</v>
      </c>
      <c r="D71" s="53">
        <f t="shared" si="21"/>
        <v>5050440</v>
      </c>
      <c r="E71" s="61">
        <f t="shared" si="22"/>
        <v>1683480</v>
      </c>
      <c r="F71" s="130">
        <f t="shared" si="23"/>
        <v>3.1578947368421054E-2</v>
      </c>
      <c r="G71" s="135">
        <f t="shared" si="24"/>
        <v>3.1578947368421054E-2</v>
      </c>
    </row>
    <row r="72" spans="2:7" ht="15" thickBot="1" x14ac:dyDescent="0.4">
      <c r="B72" s="34" t="s">
        <v>9</v>
      </c>
      <c r="C72" s="36">
        <v>9</v>
      </c>
      <c r="D72" s="54">
        <f t="shared" si="21"/>
        <v>15151320</v>
      </c>
      <c r="E72" s="61">
        <f t="shared" si="22"/>
        <v>1683480</v>
      </c>
      <c r="F72" s="130">
        <f t="shared" si="23"/>
        <v>9.4736842105263161E-2</v>
      </c>
      <c r="G72" s="135">
        <f t="shared" si="24"/>
        <v>9.4736842105263161E-2</v>
      </c>
    </row>
    <row r="73" spans="2:7" ht="15" thickBot="1" x14ac:dyDescent="0.4">
      <c r="B73" s="137" t="s">
        <v>20</v>
      </c>
      <c r="C73" s="138">
        <f>SUM(C67:C72)</f>
        <v>95</v>
      </c>
      <c r="D73" s="138">
        <f>SUM(D67:D72)</f>
        <v>159930600</v>
      </c>
      <c r="E73" s="139">
        <f>SUM(E67:E72)</f>
        <v>10100880</v>
      </c>
      <c r="F73" s="142">
        <f>SUM(F67:F72)</f>
        <v>1</v>
      </c>
      <c r="G73" s="143">
        <f>SUM(G67:G72)</f>
        <v>1</v>
      </c>
    </row>
    <row r="74" spans="2:7" ht="15" thickBot="1" x14ac:dyDescent="0.4">
      <c r="B74" s="68" t="s">
        <v>4</v>
      </c>
      <c r="C74" s="126">
        <f>+C65+C73</f>
        <v>395</v>
      </c>
      <c r="D74" s="127">
        <f>+D65+D73</f>
        <v>786330600</v>
      </c>
      <c r="E74" s="126">
        <f>+E65+E73</f>
        <v>22628880</v>
      </c>
      <c r="F74" s="50"/>
      <c r="G74" s="40"/>
    </row>
  </sheetData>
  <mergeCells count="5">
    <mergeCell ref="B11:B12"/>
    <mergeCell ref="G3:I3"/>
    <mergeCell ref="G7:I7"/>
    <mergeCell ref="B46:G46"/>
    <mergeCell ref="B16:K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7403-E3A9-4340-8488-AFC16E3179B9}">
  <dimension ref="A1:E124"/>
  <sheetViews>
    <sheetView topLeftCell="A100" zoomScale="40" zoomScaleNormal="40" workbookViewId="0">
      <selection activeCell="I109" sqref="I109"/>
    </sheetView>
  </sheetViews>
  <sheetFormatPr baseColWidth="10" defaultRowHeight="14.5" x14ac:dyDescent="0.35"/>
  <cols>
    <col min="1" max="1" width="36.26953125" style="186" customWidth="1"/>
    <col min="2" max="2" width="38.54296875" customWidth="1"/>
    <col min="3" max="3" width="30.08984375" customWidth="1"/>
    <col min="4" max="4" width="29.26953125" bestFit="1" customWidth="1"/>
    <col min="5" max="5" width="29.453125" customWidth="1"/>
    <col min="6" max="6" width="24.54296875" customWidth="1"/>
    <col min="7" max="7" width="22.90625" customWidth="1"/>
    <col min="8" max="8" width="20.08984375" customWidth="1"/>
    <col min="9" max="9" width="23.90625" customWidth="1"/>
    <col min="10" max="10" width="21.7265625" customWidth="1"/>
    <col min="11" max="11" width="19.453125" customWidth="1"/>
  </cols>
  <sheetData>
    <row r="1" spans="1:4" ht="15" thickBot="1" x14ac:dyDescent="0.4">
      <c r="A1" s="284" t="s">
        <v>116</v>
      </c>
      <c r="B1" s="285"/>
      <c r="C1" s="285"/>
      <c r="D1" s="286"/>
    </row>
    <row r="2" spans="1:4" ht="15" thickBot="1" x14ac:dyDescent="0.4">
      <c r="A2" s="85" t="s">
        <v>31</v>
      </c>
      <c r="B2" s="314" t="s">
        <v>32</v>
      </c>
      <c r="C2" s="315"/>
      <c r="D2" s="316"/>
    </row>
    <row r="3" spans="1:4" ht="29" customHeight="1" x14ac:dyDescent="0.35">
      <c r="A3" s="270" t="s">
        <v>22</v>
      </c>
      <c r="B3" s="317" t="s">
        <v>111</v>
      </c>
      <c r="C3" s="317"/>
      <c r="D3" s="318"/>
    </row>
    <row r="4" spans="1:4" ht="94.5" customHeight="1" x14ac:dyDescent="0.35">
      <c r="A4" s="194" t="s">
        <v>33</v>
      </c>
      <c r="B4" s="310" t="s">
        <v>131</v>
      </c>
      <c r="C4" s="310"/>
      <c r="D4" s="311"/>
    </row>
    <row r="5" spans="1:4" ht="15.5" x14ac:dyDescent="0.35">
      <c r="A5" s="194" t="s">
        <v>34</v>
      </c>
      <c r="B5" s="307" t="s">
        <v>35</v>
      </c>
      <c r="C5" s="308"/>
      <c r="D5" s="309"/>
    </row>
    <row r="6" spans="1:4" ht="15.5" x14ac:dyDescent="0.35">
      <c r="A6" s="194" t="s">
        <v>23</v>
      </c>
      <c r="B6" s="307" t="s">
        <v>36</v>
      </c>
      <c r="C6" s="308"/>
      <c r="D6" s="309"/>
    </row>
    <row r="7" spans="1:4" ht="44" customHeight="1" x14ac:dyDescent="0.35">
      <c r="A7" s="194" t="s">
        <v>24</v>
      </c>
      <c r="B7" s="310" t="s">
        <v>120</v>
      </c>
      <c r="C7" s="310"/>
      <c r="D7" s="311"/>
    </row>
    <row r="8" spans="1:4" ht="30" customHeight="1" x14ac:dyDescent="0.35">
      <c r="A8" s="194" t="s">
        <v>27</v>
      </c>
      <c r="B8" s="310" t="s">
        <v>121</v>
      </c>
      <c r="C8" s="310"/>
      <c r="D8" s="311"/>
    </row>
    <row r="9" spans="1:4" ht="15.5" x14ac:dyDescent="0.35">
      <c r="A9" s="194" t="s">
        <v>25</v>
      </c>
      <c r="B9" s="307" t="s">
        <v>26</v>
      </c>
      <c r="C9" s="308"/>
      <c r="D9" s="309"/>
    </row>
    <row r="10" spans="1:4" ht="15.5" x14ac:dyDescent="0.35">
      <c r="A10" s="194" t="s">
        <v>37</v>
      </c>
      <c r="B10" s="307" t="s">
        <v>38</v>
      </c>
      <c r="C10" s="308"/>
      <c r="D10" s="309"/>
    </row>
    <row r="11" spans="1:4" ht="40" customHeight="1" x14ac:dyDescent="0.35">
      <c r="A11" s="194" t="s">
        <v>28</v>
      </c>
      <c r="B11" s="307" t="s">
        <v>50</v>
      </c>
      <c r="C11" s="308"/>
      <c r="D11" s="309"/>
    </row>
    <row r="12" spans="1:4" ht="43.5" customHeight="1" x14ac:dyDescent="0.35">
      <c r="A12" s="194" t="s">
        <v>39</v>
      </c>
      <c r="B12" s="307" t="s">
        <v>40</v>
      </c>
      <c r="C12" s="308"/>
      <c r="D12" s="309"/>
    </row>
    <row r="13" spans="1:4" ht="15.5" x14ac:dyDescent="0.35">
      <c r="A13" s="194" t="s">
        <v>41</v>
      </c>
      <c r="B13" s="307" t="s">
        <v>42</v>
      </c>
      <c r="C13" s="308"/>
      <c r="D13" s="309"/>
    </row>
    <row r="14" spans="1:4" ht="15.5" x14ac:dyDescent="0.35">
      <c r="A14" s="194" t="s">
        <v>43</v>
      </c>
      <c r="B14" s="307" t="s">
        <v>132</v>
      </c>
      <c r="C14" s="308"/>
      <c r="D14" s="309"/>
    </row>
    <row r="15" spans="1:4" ht="51.5" customHeight="1" x14ac:dyDescent="0.35">
      <c r="A15" s="194" t="s">
        <v>30</v>
      </c>
      <c r="B15" s="310" t="s">
        <v>122</v>
      </c>
      <c r="C15" s="310"/>
      <c r="D15" s="311"/>
    </row>
    <row r="16" spans="1:4" ht="15.5" x14ac:dyDescent="0.35">
      <c r="A16" s="194" t="s">
        <v>45</v>
      </c>
      <c r="B16" s="307" t="s">
        <v>46</v>
      </c>
      <c r="C16" s="308"/>
      <c r="D16" s="309"/>
    </row>
    <row r="17" spans="1:4" ht="43.5" customHeight="1" x14ac:dyDescent="0.35">
      <c r="A17" s="194" t="s">
        <v>47</v>
      </c>
      <c r="B17" s="307" t="s">
        <v>48</v>
      </c>
      <c r="C17" s="308"/>
      <c r="D17" s="309"/>
    </row>
    <row r="18" spans="1:4" ht="45.5" customHeight="1" x14ac:dyDescent="0.35">
      <c r="A18" s="194" t="s">
        <v>49</v>
      </c>
      <c r="B18" s="310" t="s">
        <v>130</v>
      </c>
      <c r="C18" s="310"/>
      <c r="D18" s="311"/>
    </row>
    <row r="19" spans="1:4" ht="31" customHeight="1" x14ac:dyDescent="0.35">
      <c r="A19" s="194" t="s">
        <v>60</v>
      </c>
      <c r="B19" s="312">
        <v>0.49380000000000002</v>
      </c>
      <c r="C19" s="298"/>
      <c r="D19" s="299"/>
    </row>
    <row r="20" spans="1:4" ht="32" customHeight="1" x14ac:dyDescent="0.35">
      <c r="A20" s="194" t="s">
        <v>52</v>
      </c>
      <c r="B20" s="313">
        <v>0.5</v>
      </c>
      <c r="C20" s="298"/>
      <c r="D20" s="299"/>
    </row>
    <row r="21" spans="1:4" ht="15.5" x14ac:dyDescent="0.35">
      <c r="A21" s="194" t="s">
        <v>58</v>
      </c>
      <c r="B21" s="312">
        <v>0.6875</v>
      </c>
      <c r="C21" s="298"/>
      <c r="D21" s="299"/>
    </row>
    <row r="22" spans="1:4" ht="15.5" x14ac:dyDescent="0.35">
      <c r="A22" s="195" t="s">
        <v>51</v>
      </c>
      <c r="B22" s="298">
        <v>2023</v>
      </c>
      <c r="C22" s="298"/>
      <c r="D22" s="299"/>
    </row>
    <row r="23" spans="1:4" ht="15.5" x14ac:dyDescent="0.35">
      <c r="A23" s="195" t="s">
        <v>53</v>
      </c>
      <c r="B23" s="298">
        <v>2025</v>
      </c>
      <c r="C23" s="298"/>
      <c r="D23" s="299"/>
    </row>
    <row r="24" spans="1:4" ht="28.5" customHeight="1" thickBot="1" x14ac:dyDescent="0.4">
      <c r="A24" s="196" t="s">
        <v>54</v>
      </c>
      <c r="B24" s="300">
        <v>-0.188</v>
      </c>
      <c r="C24" s="300"/>
      <c r="D24" s="301"/>
    </row>
    <row r="25" spans="1:4" ht="8" customHeight="1" thickBot="1" x14ac:dyDescent="0.4"/>
    <row r="26" spans="1:4" ht="17.5" thickBot="1" x14ac:dyDescent="0.4">
      <c r="A26" s="302" t="s">
        <v>59</v>
      </c>
      <c r="B26" s="303"/>
      <c r="C26" s="303"/>
      <c r="D26" s="304"/>
    </row>
    <row r="27" spans="1:4" ht="15.5" x14ac:dyDescent="0.35">
      <c r="A27" s="199" t="s">
        <v>55</v>
      </c>
      <c r="B27" s="305" t="s">
        <v>126</v>
      </c>
      <c r="C27" s="305"/>
      <c r="D27" s="306"/>
    </row>
    <row r="28" spans="1:4" ht="15.5" x14ac:dyDescent="0.35">
      <c r="A28" s="197" t="s">
        <v>56</v>
      </c>
      <c r="B28" s="291" t="s">
        <v>124</v>
      </c>
      <c r="C28" s="291"/>
      <c r="D28" s="292"/>
    </row>
    <row r="29" spans="1:4" ht="72.5" customHeight="1" x14ac:dyDescent="0.35">
      <c r="A29" s="198" t="s">
        <v>57</v>
      </c>
      <c r="B29" s="293" t="s">
        <v>125</v>
      </c>
      <c r="C29" s="293"/>
      <c r="D29" s="294"/>
    </row>
    <row r="30" spans="1:4" ht="41.5" customHeight="1" x14ac:dyDescent="0.35">
      <c r="A30" s="198" t="s">
        <v>64</v>
      </c>
      <c r="B30" s="293" t="s">
        <v>127</v>
      </c>
      <c r="C30" s="293"/>
      <c r="D30" s="294"/>
    </row>
    <row r="31" spans="1:4" ht="67" customHeight="1" thickBot="1" x14ac:dyDescent="0.4">
      <c r="A31" s="240" t="s">
        <v>65</v>
      </c>
      <c r="B31" s="295" t="s">
        <v>109</v>
      </c>
      <c r="C31" s="296"/>
      <c r="D31" s="297"/>
    </row>
    <row r="33" spans="1:5" ht="16" thickBot="1" x14ac:dyDescent="0.4">
      <c r="A33" s="261" t="s">
        <v>62</v>
      </c>
      <c r="B33" s="262">
        <v>800</v>
      </c>
    </row>
    <row r="34" spans="1:5" ht="16" thickBot="1" x14ac:dyDescent="0.4">
      <c r="A34" s="287" t="s">
        <v>84</v>
      </c>
      <c r="B34" s="288"/>
      <c r="C34" s="288"/>
      <c r="D34" s="288"/>
      <c r="E34" s="289"/>
    </row>
    <row r="35" spans="1:5" ht="16" thickBot="1" x14ac:dyDescent="0.4">
      <c r="A35" s="184" t="s">
        <v>29</v>
      </c>
      <c r="B35" s="82" t="s">
        <v>87</v>
      </c>
      <c r="C35" s="83" t="s">
        <v>86</v>
      </c>
      <c r="D35" s="83" t="s">
        <v>61</v>
      </c>
      <c r="E35" s="83" t="s">
        <v>117</v>
      </c>
    </row>
    <row r="36" spans="1:5" ht="15.5" x14ac:dyDescent="0.35">
      <c r="A36" s="80">
        <v>2023</v>
      </c>
      <c r="B36" s="22">
        <v>395</v>
      </c>
      <c r="C36" s="73">
        <f>+B36/$B$33</f>
        <v>0.49375000000000002</v>
      </c>
      <c r="D36" s="263">
        <f>+C36-$C$40</f>
        <v>-0.19374999999999998</v>
      </c>
      <c r="E36" s="265" t="s">
        <v>118</v>
      </c>
    </row>
    <row r="37" spans="1:5" ht="15.5" x14ac:dyDescent="0.35">
      <c r="A37" s="185">
        <v>2024</v>
      </c>
      <c r="B37" s="22">
        <v>395</v>
      </c>
      <c r="C37" s="73">
        <f t="shared" ref="C37:C40" si="0">+B37/$B$33</f>
        <v>0.49375000000000002</v>
      </c>
      <c r="D37" s="264">
        <f>+C37-$C$40</f>
        <v>-0.19374999999999998</v>
      </c>
      <c r="E37" s="266" t="s">
        <v>118</v>
      </c>
    </row>
    <row r="38" spans="1:5" ht="15.5" x14ac:dyDescent="0.35">
      <c r="A38" s="80">
        <v>2025</v>
      </c>
      <c r="B38" s="22">
        <v>400</v>
      </c>
      <c r="C38" s="73">
        <f t="shared" si="0"/>
        <v>0.5</v>
      </c>
      <c r="D38" s="264">
        <f>+C38-$C$40</f>
        <v>-0.1875</v>
      </c>
      <c r="E38" s="266" t="s">
        <v>118</v>
      </c>
    </row>
    <row r="39" spans="1:5" ht="15.5" x14ac:dyDescent="0.35">
      <c r="A39" s="185">
        <v>2026</v>
      </c>
      <c r="B39" s="35">
        <v>400</v>
      </c>
      <c r="C39" s="73">
        <f t="shared" si="0"/>
        <v>0.5</v>
      </c>
      <c r="D39" s="268">
        <f>+C39-$C$40</f>
        <v>-0.1875</v>
      </c>
      <c r="E39" s="266" t="s">
        <v>119</v>
      </c>
    </row>
    <row r="40" spans="1:5" ht="16" thickBot="1" x14ac:dyDescent="0.4">
      <c r="A40" s="80">
        <v>2027</v>
      </c>
      <c r="B40" s="35">
        <v>550</v>
      </c>
      <c r="C40" s="73">
        <f t="shared" si="0"/>
        <v>0.6875</v>
      </c>
      <c r="D40" s="268"/>
      <c r="E40" s="267" t="s">
        <v>119</v>
      </c>
    </row>
    <row r="41" spans="1:5" ht="15.5" x14ac:dyDescent="0.35">
      <c r="A41" s="78"/>
      <c r="B41" s="79"/>
    </row>
    <row r="43" spans="1:5" s="290" customFormat="1" ht="23.5" x14ac:dyDescent="0.35">
      <c r="A43" s="290" t="s">
        <v>101</v>
      </c>
    </row>
    <row r="44" spans="1:5" ht="15" thickBot="1" x14ac:dyDescent="0.4"/>
    <row r="45" spans="1:5" ht="16" thickBot="1" x14ac:dyDescent="0.4">
      <c r="A45" s="287" t="s">
        <v>115</v>
      </c>
      <c r="B45" s="288"/>
      <c r="C45" s="288"/>
      <c r="D45" s="288"/>
      <c r="E45" s="289"/>
    </row>
    <row r="46" spans="1:5" ht="63.75" customHeight="1" thickBot="1" x14ac:dyDescent="0.4">
      <c r="A46" s="189" t="s">
        <v>15</v>
      </c>
      <c r="B46" s="200" t="s">
        <v>63</v>
      </c>
      <c r="C46" s="189" t="s">
        <v>91</v>
      </c>
      <c r="D46" s="46" t="s">
        <v>113</v>
      </c>
      <c r="E46" s="98" t="s">
        <v>78</v>
      </c>
    </row>
    <row r="47" spans="1:5" x14ac:dyDescent="0.35">
      <c r="A47" s="190" t="s">
        <v>3</v>
      </c>
      <c r="B47" s="76">
        <v>214</v>
      </c>
      <c r="C47" s="10">
        <v>105</v>
      </c>
      <c r="D47" s="269">
        <f>+C47/B47</f>
        <v>0.49065420560747663</v>
      </c>
      <c r="E47" s="208">
        <f t="shared" ref="E47:E52" si="1">C47/$C$53</f>
        <v>0.26582278481012656</v>
      </c>
    </row>
    <row r="48" spans="1:5" x14ac:dyDescent="0.35">
      <c r="A48" s="191" t="s">
        <v>5</v>
      </c>
      <c r="B48" s="42">
        <v>139</v>
      </c>
      <c r="C48" s="11">
        <v>63</v>
      </c>
      <c r="D48" s="269">
        <f t="shared" ref="D48:D52" si="2">+C48/B48</f>
        <v>0.45323741007194246</v>
      </c>
      <c r="E48" s="212">
        <f t="shared" si="1"/>
        <v>0.15949367088607594</v>
      </c>
    </row>
    <row r="49" spans="1:5" x14ac:dyDescent="0.35">
      <c r="A49" s="191" t="s">
        <v>6</v>
      </c>
      <c r="B49" s="42">
        <v>60</v>
      </c>
      <c r="C49" s="11">
        <v>20</v>
      </c>
      <c r="D49" s="269">
        <f t="shared" si="2"/>
        <v>0.33333333333333331</v>
      </c>
      <c r="E49" s="212">
        <f t="shared" si="1"/>
        <v>5.0632911392405063E-2</v>
      </c>
    </row>
    <row r="50" spans="1:5" x14ac:dyDescent="0.35">
      <c r="A50" s="191" t="s">
        <v>7</v>
      </c>
      <c r="B50" s="43">
        <v>318</v>
      </c>
      <c r="C50" s="11">
        <v>172</v>
      </c>
      <c r="D50" s="269">
        <f t="shared" si="2"/>
        <v>0.54088050314465408</v>
      </c>
      <c r="E50" s="212">
        <f t="shared" si="1"/>
        <v>0.43544303797468353</v>
      </c>
    </row>
    <row r="51" spans="1:5" x14ac:dyDescent="0.35">
      <c r="A51" s="191" t="s">
        <v>8</v>
      </c>
      <c r="B51" s="43">
        <v>31</v>
      </c>
      <c r="C51" s="11">
        <v>14</v>
      </c>
      <c r="D51" s="269">
        <f t="shared" si="2"/>
        <v>0.45161290322580644</v>
      </c>
      <c r="E51" s="212">
        <f t="shared" si="1"/>
        <v>3.5443037974683546E-2</v>
      </c>
    </row>
    <row r="52" spans="1:5" ht="15" thickBot="1" x14ac:dyDescent="0.4">
      <c r="A52" s="192" t="s">
        <v>9</v>
      </c>
      <c r="B52" s="44">
        <v>38</v>
      </c>
      <c r="C52" s="12">
        <v>21</v>
      </c>
      <c r="D52" s="269">
        <f t="shared" si="2"/>
        <v>0.55263157894736847</v>
      </c>
      <c r="E52" s="213">
        <f t="shared" si="1"/>
        <v>5.3164556962025315E-2</v>
      </c>
    </row>
    <row r="53" spans="1:5" ht="16" thickBot="1" x14ac:dyDescent="0.4">
      <c r="A53" s="187" t="s">
        <v>4</v>
      </c>
      <c r="B53" s="86">
        <f>SUM(B47:B52)</f>
        <v>800</v>
      </c>
      <c r="C53" s="86">
        <f>SUM(C47:C52)</f>
        <v>395</v>
      </c>
      <c r="D53" s="74">
        <f>+C53/B53</f>
        <v>0.49375000000000002</v>
      </c>
      <c r="E53" s="211"/>
    </row>
    <row r="75" spans="1:4" ht="15" thickBot="1" x14ac:dyDescent="0.4"/>
    <row r="76" spans="1:4" ht="31.5" thickBot="1" x14ac:dyDescent="0.4">
      <c r="A76" s="189" t="s">
        <v>70</v>
      </c>
      <c r="B76" s="90" t="s">
        <v>63</v>
      </c>
      <c r="C76" s="243" t="s">
        <v>94</v>
      </c>
      <c r="D76" s="89" t="s">
        <v>66</v>
      </c>
    </row>
    <row r="77" spans="1:4" x14ac:dyDescent="0.35">
      <c r="A77" s="190" t="s">
        <v>3</v>
      </c>
      <c r="B77" s="77">
        <v>214</v>
      </c>
      <c r="C77" s="13">
        <v>105</v>
      </c>
      <c r="D77" s="73">
        <f>+C77/B77</f>
        <v>0.49065420560747663</v>
      </c>
    </row>
    <row r="78" spans="1:4" x14ac:dyDescent="0.35">
      <c r="A78" s="191" t="s">
        <v>5</v>
      </c>
      <c r="B78" s="91">
        <v>139</v>
      </c>
      <c r="C78" s="14">
        <v>63</v>
      </c>
      <c r="D78" s="73">
        <f t="shared" ref="D78:D81" si="3">+C78/B78</f>
        <v>0.45323741007194246</v>
      </c>
    </row>
    <row r="79" spans="1:4" x14ac:dyDescent="0.35">
      <c r="A79" s="191" t="s">
        <v>6</v>
      </c>
      <c r="B79" s="91">
        <v>60</v>
      </c>
      <c r="C79" s="14">
        <v>20</v>
      </c>
      <c r="D79" s="73">
        <f t="shared" si="3"/>
        <v>0.33333333333333331</v>
      </c>
    </row>
    <row r="80" spans="1:4" x14ac:dyDescent="0.35">
      <c r="A80" s="191" t="s">
        <v>7</v>
      </c>
      <c r="B80" s="92">
        <v>318</v>
      </c>
      <c r="C80" s="14">
        <v>172</v>
      </c>
      <c r="D80" s="73">
        <f t="shared" si="3"/>
        <v>0.54088050314465408</v>
      </c>
    </row>
    <row r="81" spans="1:5" x14ac:dyDescent="0.35">
      <c r="A81" s="191" t="s">
        <v>8</v>
      </c>
      <c r="B81" s="92">
        <v>31</v>
      </c>
      <c r="C81" s="14">
        <v>14</v>
      </c>
      <c r="D81" s="73">
        <f t="shared" si="3"/>
        <v>0.45161290322580644</v>
      </c>
    </row>
    <row r="82" spans="1:5" ht="15" thickBot="1" x14ac:dyDescent="0.4">
      <c r="A82" s="192" t="s">
        <v>9</v>
      </c>
      <c r="B82" s="93">
        <v>38</v>
      </c>
      <c r="C82" s="45">
        <v>21</v>
      </c>
      <c r="D82" s="73">
        <f>+C82/B82</f>
        <v>0.55263157894736847</v>
      </c>
    </row>
    <row r="83" spans="1:5" ht="16" thickBot="1" x14ac:dyDescent="0.4">
      <c r="A83" s="193" t="s">
        <v>4</v>
      </c>
      <c r="B83" s="96">
        <v>800</v>
      </c>
      <c r="C83" s="94">
        <f>SUM(C77:C82)</f>
        <v>395</v>
      </c>
      <c r="D83" s="153">
        <f t="shared" ref="D83" si="4">+C83/B83</f>
        <v>0.49375000000000002</v>
      </c>
    </row>
    <row r="86" spans="1:5" s="290" customFormat="1" ht="23.5" x14ac:dyDescent="0.35">
      <c r="A86" s="290" t="s">
        <v>99</v>
      </c>
    </row>
    <row r="87" spans="1:5" ht="15" thickBot="1" x14ac:dyDescent="0.4"/>
    <row r="88" spans="1:5" ht="16" thickBot="1" x14ac:dyDescent="0.4">
      <c r="A88" s="287" t="s">
        <v>102</v>
      </c>
      <c r="B88" s="288"/>
      <c r="C88" s="288"/>
      <c r="D88" s="288"/>
      <c r="E88" s="289"/>
    </row>
    <row r="89" spans="1:5" ht="44" thickBot="1" x14ac:dyDescent="0.4">
      <c r="A89" s="189" t="s">
        <v>15</v>
      </c>
      <c r="B89" s="200" t="s">
        <v>63</v>
      </c>
      <c r="C89" s="189" t="s">
        <v>91</v>
      </c>
      <c r="D89" s="201" t="s">
        <v>113</v>
      </c>
      <c r="E89" s="46" t="s">
        <v>78</v>
      </c>
    </row>
    <row r="90" spans="1:5" x14ac:dyDescent="0.35">
      <c r="A90" s="190" t="s">
        <v>3</v>
      </c>
      <c r="B90" s="76">
        <v>214</v>
      </c>
      <c r="C90" s="10">
        <v>107</v>
      </c>
      <c r="D90" s="269">
        <f>+C90/B90</f>
        <v>0.5</v>
      </c>
      <c r="E90" s="242">
        <f t="shared" ref="E90:E95" si="5">C90/$C$96</f>
        <v>0.26750000000000002</v>
      </c>
    </row>
    <row r="91" spans="1:5" x14ac:dyDescent="0.35">
      <c r="A91" s="191" t="s">
        <v>5</v>
      </c>
      <c r="B91" s="42">
        <v>139</v>
      </c>
      <c r="C91" s="11">
        <v>56</v>
      </c>
      <c r="D91" s="269">
        <f t="shared" ref="D91:D95" si="6">+C91/B91</f>
        <v>0.40287769784172661</v>
      </c>
      <c r="E91" s="212">
        <f t="shared" si="5"/>
        <v>0.14000000000000001</v>
      </c>
    </row>
    <row r="92" spans="1:5" x14ac:dyDescent="0.35">
      <c r="A92" s="191" t="s">
        <v>6</v>
      </c>
      <c r="B92" s="42">
        <v>60</v>
      </c>
      <c r="C92" s="11">
        <v>27</v>
      </c>
      <c r="D92" s="269">
        <f t="shared" si="6"/>
        <v>0.45</v>
      </c>
      <c r="E92" s="212">
        <f t="shared" si="5"/>
        <v>6.7500000000000004E-2</v>
      </c>
    </row>
    <row r="93" spans="1:5" x14ac:dyDescent="0.35">
      <c r="A93" s="191" t="s">
        <v>7</v>
      </c>
      <c r="B93" s="43">
        <v>318</v>
      </c>
      <c r="C93" s="11">
        <v>171</v>
      </c>
      <c r="D93" s="269">
        <f t="shared" si="6"/>
        <v>0.53773584905660377</v>
      </c>
      <c r="E93" s="212">
        <f t="shared" si="5"/>
        <v>0.42749999999999999</v>
      </c>
    </row>
    <row r="94" spans="1:5" x14ac:dyDescent="0.35">
      <c r="A94" s="191" t="s">
        <v>8</v>
      </c>
      <c r="B94" s="43">
        <v>31</v>
      </c>
      <c r="C94" s="11">
        <v>16</v>
      </c>
      <c r="D94" s="269">
        <f t="shared" si="6"/>
        <v>0.5161290322580645</v>
      </c>
      <c r="E94" s="212">
        <f t="shared" si="5"/>
        <v>0.04</v>
      </c>
    </row>
    <row r="95" spans="1:5" ht="15" thickBot="1" x14ac:dyDescent="0.4">
      <c r="A95" s="192" t="s">
        <v>9</v>
      </c>
      <c r="B95" s="44">
        <v>38</v>
      </c>
      <c r="C95" s="12">
        <v>23</v>
      </c>
      <c r="D95" s="269">
        <f t="shared" si="6"/>
        <v>0.60526315789473684</v>
      </c>
      <c r="E95" s="212">
        <f t="shared" si="5"/>
        <v>5.7500000000000002E-2</v>
      </c>
    </row>
    <row r="96" spans="1:5" ht="16" thickBot="1" x14ac:dyDescent="0.4">
      <c r="A96" s="193" t="s">
        <v>4</v>
      </c>
      <c r="B96" s="95">
        <f>SUM(B90:B95)</f>
        <v>800</v>
      </c>
      <c r="C96" s="86">
        <f>SUM(C90:C95)</f>
        <v>400</v>
      </c>
      <c r="D96" s="202">
        <f>+C96/B96</f>
        <v>0.5</v>
      </c>
      <c r="E96" s="211"/>
    </row>
    <row r="116" spans="1:4" ht="15" thickBot="1" x14ac:dyDescent="0.4"/>
    <row r="117" spans="1:4" ht="31.5" thickBot="1" x14ac:dyDescent="0.4">
      <c r="A117" s="189" t="s">
        <v>15</v>
      </c>
      <c r="B117" s="90" t="s">
        <v>63</v>
      </c>
      <c r="C117" s="90" t="s">
        <v>94</v>
      </c>
      <c r="D117" s="89" t="s">
        <v>66</v>
      </c>
    </row>
    <row r="118" spans="1:4" x14ac:dyDescent="0.35">
      <c r="A118" s="190" t="s">
        <v>3</v>
      </c>
      <c r="B118" s="77">
        <v>214</v>
      </c>
      <c r="C118" s="10">
        <v>107</v>
      </c>
      <c r="D118" s="73">
        <f>+C118/B118</f>
        <v>0.5</v>
      </c>
    </row>
    <row r="119" spans="1:4" x14ac:dyDescent="0.35">
      <c r="A119" s="191" t="s">
        <v>5</v>
      </c>
      <c r="B119" s="91">
        <v>139</v>
      </c>
      <c r="C119" s="11">
        <v>56</v>
      </c>
      <c r="D119" s="73">
        <f t="shared" ref="D119:D123" si="7">+C119/B119</f>
        <v>0.40287769784172661</v>
      </c>
    </row>
    <row r="120" spans="1:4" x14ac:dyDescent="0.35">
      <c r="A120" s="191" t="s">
        <v>6</v>
      </c>
      <c r="B120" s="91">
        <v>60</v>
      </c>
      <c r="C120" s="11">
        <v>27</v>
      </c>
      <c r="D120" s="73">
        <f t="shared" si="7"/>
        <v>0.45</v>
      </c>
    </row>
    <row r="121" spans="1:4" x14ac:dyDescent="0.35">
      <c r="A121" s="191" t="s">
        <v>7</v>
      </c>
      <c r="B121" s="92">
        <v>318</v>
      </c>
      <c r="C121" s="11">
        <v>171</v>
      </c>
      <c r="D121" s="73">
        <f t="shared" si="7"/>
        <v>0.53773584905660377</v>
      </c>
    </row>
    <row r="122" spans="1:4" x14ac:dyDescent="0.35">
      <c r="A122" s="191" t="s">
        <v>8</v>
      </c>
      <c r="B122" s="92">
        <v>31</v>
      </c>
      <c r="C122" s="11">
        <v>16</v>
      </c>
      <c r="D122" s="73">
        <f t="shared" si="7"/>
        <v>0.5161290322580645</v>
      </c>
    </row>
    <row r="123" spans="1:4" ht="15" thickBot="1" x14ac:dyDescent="0.4">
      <c r="A123" s="192" t="s">
        <v>9</v>
      </c>
      <c r="B123" s="93">
        <v>38</v>
      </c>
      <c r="C123" s="12">
        <v>23</v>
      </c>
      <c r="D123" s="73">
        <f t="shared" si="7"/>
        <v>0.60526315789473684</v>
      </c>
    </row>
    <row r="124" spans="1:4" ht="16" thickBot="1" x14ac:dyDescent="0.4">
      <c r="A124" s="193" t="s">
        <v>4</v>
      </c>
      <c r="B124" s="96">
        <v>800</v>
      </c>
      <c r="C124" s="94">
        <f>SUM(C118:C123)</f>
        <v>400</v>
      </c>
      <c r="D124" s="88">
        <f t="shared" ref="D124" si="8">+C124/B124</f>
        <v>0.5</v>
      </c>
    </row>
  </sheetData>
  <mergeCells count="35">
    <mergeCell ref="B11:D11"/>
    <mergeCell ref="B12:D12"/>
    <mergeCell ref="B13:D13"/>
    <mergeCell ref="B18:D18"/>
    <mergeCell ref="B19:D19"/>
    <mergeCell ref="B20:D20"/>
    <mergeCell ref="B21:D21"/>
    <mergeCell ref="B2:D2"/>
    <mergeCell ref="B5:D5"/>
    <mergeCell ref="B6:D6"/>
    <mergeCell ref="B7:D7"/>
    <mergeCell ref="B8:D8"/>
    <mergeCell ref="B3:D3"/>
    <mergeCell ref="B4:D4"/>
    <mergeCell ref="B14:D14"/>
    <mergeCell ref="B15:D15"/>
    <mergeCell ref="B16:D16"/>
    <mergeCell ref="B9:D9"/>
    <mergeCell ref="B10:D10"/>
    <mergeCell ref="A1:D1"/>
    <mergeCell ref="A34:E34"/>
    <mergeCell ref="A86:XFD86"/>
    <mergeCell ref="A88:E88"/>
    <mergeCell ref="B28:D28"/>
    <mergeCell ref="B29:D29"/>
    <mergeCell ref="B30:D30"/>
    <mergeCell ref="B31:D31"/>
    <mergeCell ref="A43:XFD43"/>
    <mergeCell ref="A45:E45"/>
    <mergeCell ref="B22:D22"/>
    <mergeCell ref="B23:D23"/>
    <mergeCell ref="B24:D24"/>
    <mergeCell ref="A26:D26"/>
    <mergeCell ref="B27:D27"/>
    <mergeCell ref="B17:D17"/>
  </mergeCells>
  <conditionalFormatting sqref="D83">
    <cfRule type="iconSet" priority="12">
      <iconSet iconSet="3Signs">
        <cfvo type="percent" val="0"/>
        <cfvo type="num" val="70"/>
        <cfvo type="num" val="80"/>
      </iconSet>
    </cfRule>
    <cfRule type="iconSet" priority="13">
      <iconSet>
        <cfvo type="percent" val="0"/>
        <cfvo type="percent" val="70"/>
        <cfvo type="percent" val="80"/>
      </iconSet>
    </cfRule>
    <cfRule type="iconSet" priority="14">
      <iconSet>
        <cfvo type="percent" val="0"/>
        <cfvo type="percent" val="70"/>
        <cfvo type="percent" val="80"/>
      </iconSet>
    </cfRule>
    <cfRule type="iconSet" priority="15">
      <iconSet iconSet="3Signs">
        <cfvo type="percent" val="0"/>
        <cfvo type="percent" val="33"/>
        <cfvo type="percent" val="67"/>
      </iconSet>
    </cfRule>
    <cfRule type="cellIs" dxfId="1" priority="16" operator="greaterThan">
      <formula>0.8</formula>
    </cfRule>
  </conditionalFormatting>
  <conditionalFormatting sqref="D124">
    <cfRule type="iconSet" priority="6">
      <iconSet iconSet="3Signs">
        <cfvo type="percent" val="0"/>
        <cfvo type="num" val="70"/>
        <cfvo type="num" val="80"/>
      </iconSet>
    </cfRule>
    <cfRule type="iconSet" priority="7">
      <iconSet>
        <cfvo type="percent" val="0"/>
        <cfvo type="percent" val="70"/>
        <cfvo type="percent" val="80"/>
      </iconSet>
    </cfRule>
    <cfRule type="iconSet" priority="8">
      <iconSet>
        <cfvo type="percent" val="0"/>
        <cfvo type="percent" val="70"/>
        <cfvo type="percent" val="80"/>
      </iconSet>
    </cfRule>
    <cfRule type="iconSet" priority="9">
      <iconSet iconSet="3Signs">
        <cfvo type="percent" val="0"/>
        <cfvo type="percent" val="33"/>
        <cfvo type="percent" val="67"/>
      </iconSet>
    </cfRule>
    <cfRule type="cellIs" dxfId="0" priority="10" operator="greaterThan">
      <formula>0.8</formula>
    </cfRule>
  </conditionalFormatting>
  <conditionalFormatting sqref="C36:C40">
    <cfRule type="colorScale" priority="5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47:D52">
    <cfRule type="colorScale" priority="4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90:D95">
    <cfRule type="colorScale" priority="3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118:D123">
    <cfRule type="colorScale" priority="2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77:D82">
    <cfRule type="colorScale" priority="1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9849-96C1-4C31-AAC5-7765E327AA99}">
  <dimension ref="A1:H149"/>
  <sheetViews>
    <sheetView topLeftCell="A79" zoomScale="40" zoomScaleNormal="40" workbookViewId="0">
      <selection activeCell="I137" sqref="I137"/>
    </sheetView>
  </sheetViews>
  <sheetFormatPr baseColWidth="10" defaultRowHeight="14.5" x14ac:dyDescent="0.35"/>
  <cols>
    <col min="1" max="1" width="32.26953125" style="186" customWidth="1"/>
    <col min="2" max="4" width="48.6328125" customWidth="1"/>
    <col min="5" max="5" width="29.453125" customWidth="1"/>
    <col min="6" max="6" width="24.54296875" customWidth="1"/>
    <col min="7" max="7" width="42.81640625" customWidth="1"/>
    <col min="8" max="8" width="31.453125" customWidth="1"/>
    <col min="9" max="9" width="23.90625" customWidth="1"/>
    <col min="10" max="10" width="21.7265625" customWidth="1"/>
    <col min="11" max="11" width="19.453125" customWidth="1"/>
  </cols>
  <sheetData>
    <row r="1" spans="1:4" ht="15" thickBot="1" x14ac:dyDescent="0.4">
      <c r="A1" s="284" t="s">
        <v>116</v>
      </c>
      <c r="B1" s="285"/>
      <c r="C1" s="285"/>
      <c r="D1" s="286"/>
    </row>
    <row r="2" spans="1:4" ht="15" thickBot="1" x14ac:dyDescent="0.4">
      <c r="A2" s="85" t="s">
        <v>31</v>
      </c>
      <c r="B2" s="314" t="s">
        <v>32</v>
      </c>
      <c r="C2" s="315"/>
      <c r="D2" s="316"/>
    </row>
    <row r="3" spans="1:4" ht="29" customHeight="1" x14ac:dyDescent="0.35">
      <c r="A3" s="270" t="s">
        <v>22</v>
      </c>
      <c r="B3" s="317" t="s">
        <v>112</v>
      </c>
      <c r="C3" s="317"/>
      <c r="D3" s="318"/>
    </row>
    <row r="4" spans="1:4" ht="84" customHeight="1" x14ac:dyDescent="0.35">
      <c r="A4" s="194" t="s">
        <v>33</v>
      </c>
      <c r="B4" s="310" t="s">
        <v>81</v>
      </c>
      <c r="C4" s="310"/>
      <c r="D4" s="311"/>
    </row>
    <row r="5" spans="1:4" ht="15.5" x14ac:dyDescent="0.35">
      <c r="A5" s="194" t="s">
        <v>34</v>
      </c>
      <c r="B5" s="307" t="s">
        <v>35</v>
      </c>
      <c r="C5" s="308"/>
      <c r="D5" s="309"/>
    </row>
    <row r="6" spans="1:4" ht="15.5" x14ac:dyDescent="0.35">
      <c r="A6" s="194" t="s">
        <v>23</v>
      </c>
      <c r="B6" s="307" t="s">
        <v>36</v>
      </c>
      <c r="C6" s="308"/>
      <c r="D6" s="309"/>
    </row>
    <row r="7" spans="1:4" ht="64" customHeight="1" x14ac:dyDescent="0.35">
      <c r="A7" s="194" t="s">
        <v>24</v>
      </c>
      <c r="B7" s="310" t="s">
        <v>128</v>
      </c>
      <c r="C7" s="310"/>
      <c r="D7" s="311"/>
    </row>
    <row r="8" spans="1:4" ht="30" customHeight="1" x14ac:dyDescent="0.35">
      <c r="A8" s="194" t="s">
        <v>27</v>
      </c>
      <c r="B8" s="310" t="s">
        <v>129</v>
      </c>
      <c r="C8" s="310"/>
      <c r="D8" s="311"/>
    </row>
    <row r="9" spans="1:4" ht="15.5" x14ac:dyDescent="0.35">
      <c r="A9" s="194" t="s">
        <v>25</v>
      </c>
      <c r="B9" s="307" t="s">
        <v>26</v>
      </c>
      <c r="C9" s="308"/>
      <c r="D9" s="309"/>
    </row>
    <row r="10" spans="1:4" ht="15.5" x14ac:dyDescent="0.35">
      <c r="A10" s="194" t="s">
        <v>37</v>
      </c>
      <c r="B10" s="307" t="s">
        <v>38</v>
      </c>
      <c r="C10" s="308"/>
      <c r="D10" s="309"/>
    </row>
    <row r="11" spans="1:4" ht="40" customHeight="1" x14ac:dyDescent="0.35">
      <c r="A11" s="194" t="s">
        <v>28</v>
      </c>
      <c r="B11" s="307" t="s">
        <v>50</v>
      </c>
      <c r="C11" s="308"/>
      <c r="D11" s="309"/>
    </row>
    <row r="12" spans="1:4" ht="43.5" customHeight="1" x14ac:dyDescent="0.35">
      <c r="A12" s="194" t="s">
        <v>39</v>
      </c>
      <c r="B12" s="307" t="s">
        <v>40</v>
      </c>
      <c r="C12" s="308"/>
      <c r="D12" s="309"/>
    </row>
    <row r="13" spans="1:4" ht="15.5" x14ac:dyDescent="0.35">
      <c r="A13" s="194" t="s">
        <v>41</v>
      </c>
      <c r="B13" s="307" t="s">
        <v>42</v>
      </c>
      <c r="C13" s="308"/>
      <c r="D13" s="309"/>
    </row>
    <row r="14" spans="1:4" ht="15.5" x14ac:dyDescent="0.35">
      <c r="A14" s="194" t="s">
        <v>43</v>
      </c>
      <c r="B14" s="307" t="s">
        <v>44</v>
      </c>
      <c r="C14" s="308"/>
      <c r="D14" s="309"/>
    </row>
    <row r="15" spans="1:4" ht="51.5" customHeight="1" x14ac:dyDescent="0.35">
      <c r="A15" s="194" t="s">
        <v>30</v>
      </c>
      <c r="B15" s="310" t="s">
        <v>122</v>
      </c>
      <c r="C15" s="310"/>
      <c r="D15" s="311"/>
    </row>
    <row r="16" spans="1:4" ht="15.5" x14ac:dyDescent="0.35">
      <c r="A16" s="194" t="s">
        <v>45</v>
      </c>
      <c r="B16" s="307" t="s">
        <v>46</v>
      </c>
      <c r="C16" s="308"/>
      <c r="D16" s="309"/>
    </row>
    <row r="17" spans="1:4" ht="43.5" customHeight="1" x14ac:dyDescent="0.35">
      <c r="A17" s="194" t="s">
        <v>47</v>
      </c>
      <c r="B17" s="307" t="s">
        <v>48</v>
      </c>
      <c r="C17" s="308"/>
      <c r="D17" s="309"/>
    </row>
    <row r="18" spans="1:4" ht="45.5" customHeight="1" x14ac:dyDescent="0.35">
      <c r="A18" s="194" t="s">
        <v>49</v>
      </c>
      <c r="B18" s="310" t="s">
        <v>123</v>
      </c>
      <c r="C18" s="310"/>
      <c r="D18" s="311"/>
    </row>
    <row r="19" spans="1:4" ht="31" customHeight="1" x14ac:dyDescent="0.35">
      <c r="A19" s="194" t="s">
        <v>60</v>
      </c>
      <c r="B19" s="312">
        <v>0.91900000000000004</v>
      </c>
      <c r="C19" s="298"/>
      <c r="D19" s="299"/>
    </row>
    <row r="20" spans="1:4" ht="32" customHeight="1" x14ac:dyDescent="0.35">
      <c r="A20" s="194" t="s">
        <v>52</v>
      </c>
      <c r="B20" s="312">
        <v>0.81469999999999998</v>
      </c>
      <c r="C20" s="298"/>
      <c r="D20" s="299"/>
    </row>
    <row r="21" spans="1:4" ht="15.5" x14ac:dyDescent="0.35">
      <c r="A21" s="194" t="s">
        <v>58</v>
      </c>
      <c r="B21" s="312">
        <v>0.83960000000000001</v>
      </c>
      <c r="C21" s="298"/>
      <c r="D21" s="299"/>
    </row>
    <row r="22" spans="1:4" ht="15.5" x14ac:dyDescent="0.35">
      <c r="A22" s="195" t="s">
        <v>51</v>
      </c>
      <c r="B22" s="298">
        <v>2023</v>
      </c>
      <c r="C22" s="298"/>
      <c r="D22" s="299"/>
    </row>
    <row r="23" spans="1:4" ht="15.5" x14ac:dyDescent="0.35">
      <c r="A23" s="195" t="s">
        <v>53</v>
      </c>
      <c r="B23" s="298">
        <v>2025</v>
      </c>
      <c r="C23" s="298"/>
      <c r="D23" s="299"/>
    </row>
    <row r="24" spans="1:4" ht="28.5" customHeight="1" thickBot="1" x14ac:dyDescent="0.4">
      <c r="A24" s="196" t="s">
        <v>54</v>
      </c>
      <c r="B24" s="322">
        <v>-2.5</v>
      </c>
      <c r="C24" s="322"/>
      <c r="D24" s="323"/>
    </row>
    <row r="25" spans="1:4" ht="8" customHeight="1" thickBot="1" x14ac:dyDescent="0.4"/>
    <row r="26" spans="1:4" ht="17.5" thickBot="1" x14ac:dyDescent="0.4">
      <c r="A26" s="302" t="s">
        <v>59</v>
      </c>
      <c r="B26" s="303"/>
      <c r="C26" s="303"/>
      <c r="D26" s="304"/>
    </row>
    <row r="27" spans="1:4" ht="15.5" x14ac:dyDescent="0.35">
      <c r="A27" s="199" t="s">
        <v>55</v>
      </c>
      <c r="B27" s="305" t="s">
        <v>133</v>
      </c>
      <c r="C27" s="305"/>
      <c r="D27" s="306"/>
    </row>
    <row r="28" spans="1:4" ht="15.5" x14ac:dyDescent="0.35">
      <c r="A28" s="197" t="s">
        <v>56</v>
      </c>
      <c r="B28" s="291" t="s">
        <v>110</v>
      </c>
      <c r="C28" s="291"/>
      <c r="D28" s="292"/>
    </row>
    <row r="29" spans="1:4" ht="72.5" customHeight="1" x14ac:dyDescent="0.35">
      <c r="A29" s="198" t="s">
        <v>57</v>
      </c>
      <c r="B29" s="293" t="s">
        <v>134</v>
      </c>
      <c r="C29" s="293"/>
      <c r="D29" s="294"/>
    </row>
    <row r="30" spans="1:4" ht="41.5" customHeight="1" x14ac:dyDescent="0.35">
      <c r="A30" s="198" t="s">
        <v>64</v>
      </c>
      <c r="B30" s="293" t="s">
        <v>135</v>
      </c>
      <c r="C30" s="293"/>
      <c r="D30" s="294"/>
    </row>
    <row r="31" spans="1:4" ht="67" customHeight="1" thickBot="1" x14ac:dyDescent="0.4">
      <c r="A31" s="240" t="s">
        <v>65</v>
      </c>
      <c r="B31" s="295" t="s">
        <v>109</v>
      </c>
      <c r="C31" s="296"/>
      <c r="D31" s="297"/>
    </row>
    <row r="33" spans="1:8" ht="15.5" x14ac:dyDescent="0.35">
      <c r="A33" s="78"/>
      <c r="B33" s="79"/>
    </row>
    <row r="34" spans="1:8" ht="15" thickBot="1" x14ac:dyDescent="0.4"/>
    <row r="35" spans="1:8" ht="16" thickBot="1" x14ac:dyDescent="0.4">
      <c r="A35" s="287" t="s">
        <v>85</v>
      </c>
      <c r="B35" s="288"/>
      <c r="C35" s="288"/>
      <c r="D35" s="288"/>
      <c r="E35" s="289"/>
    </row>
    <row r="36" spans="1:8" ht="16" thickBot="1" x14ac:dyDescent="0.4">
      <c r="A36" s="187" t="s">
        <v>29</v>
      </c>
      <c r="B36" s="82" t="s">
        <v>89</v>
      </c>
      <c r="C36" s="82" t="s">
        <v>87</v>
      </c>
      <c r="D36" s="83" t="s">
        <v>88</v>
      </c>
      <c r="E36" s="83" t="s">
        <v>61</v>
      </c>
    </row>
    <row r="37" spans="1:8" ht="15.5" x14ac:dyDescent="0.35">
      <c r="A37" s="84">
        <v>2023</v>
      </c>
      <c r="B37" s="22">
        <v>430</v>
      </c>
      <c r="C37" s="22">
        <v>395</v>
      </c>
      <c r="D37" s="73">
        <f>+C37/B37</f>
        <v>0.91860465116279066</v>
      </c>
      <c r="E37" s="81">
        <f>D37-$D$41</f>
        <v>7.9024441267738221E-2</v>
      </c>
    </row>
    <row r="38" spans="1:8" ht="15.5" x14ac:dyDescent="0.35">
      <c r="A38" s="188">
        <v>2024</v>
      </c>
      <c r="B38" s="22">
        <v>430</v>
      </c>
      <c r="C38" s="22">
        <v>395</v>
      </c>
      <c r="D38" s="73">
        <f t="shared" ref="D38:D41" si="0">+C38/B38</f>
        <v>0.91860465116279066</v>
      </c>
      <c r="E38" s="81">
        <f t="shared" ref="E38:E41" si="1">+D38-$D$41</f>
        <v>7.9024441267738221E-2</v>
      </c>
    </row>
    <row r="39" spans="1:8" ht="15.5" x14ac:dyDescent="0.35">
      <c r="A39" s="84">
        <v>2025</v>
      </c>
      <c r="B39" s="22">
        <v>491</v>
      </c>
      <c r="C39" s="22">
        <v>400</v>
      </c>
      <c r="D39" s="73">
        <f t="shared" si="0"/>
        <v>0.81466395112016299</v>
      </c>
      <c r="E39" s="81">
        <f>+D39-$D$41</f>
        <v>-2.4916258774889455E-2</v>
      </c>
    </row>
    <row r="40" spans="1:8" ht="15.5" x14ac:dyDescent="0.35">
      <c r="A40" s="188">
        <v>2026</v>
      </c>
      <c r="B40" s="35">
        <v>491</v>
      </c>
      <c r="C40" s="35">
        <v>400</v>
      </c>
      <c r="D40" s="73">
        <f t="shared" si="0"/>
        <v>0.81466395112016299</v>
      </c>
      <c r="E40" s="81">
        <f t="shared" si="1"/>
        <v>-2.4916258774889455E-2</v>
      </c>
    </row>
    <row r="41" spans="1:8" ht="15.5" x14ac:dyDescent="0.35">
      <c r="A41" s="84">
        <v>2027</v>
      </c>
      <c r="B41" s="35">
        <v>667</v>
      </c>
      <c r="C41" s="35">
        <v>560</v>
      </c>
      <c r="D41" s="73">
        <f t="shared" si="0"/>
        <v>0.83958020989505244</v>
      </c>
      <c r="E41" s="81">
        <f t="shared" si="1"/>
        <v>0</v>
      </c>
    </row>
    <row r="45" spans="1:8" s="290" customFormat="1" ht="23.5" x14ac:dyDescent="0.35">
      <c r="A45" s="290" t="s">
        <v>101</v>
      </c>
    </row>
    <row r="47" spans="1:8" ht="16" thickBot="1" x14ac:dyDescent="0.4">
      <c r="A47" s="319" t="s">
        <v>114</v>
      </c>
      <c r="B47" s="320"/>
      <c r="C47" s="320"/>
      <c r="D47" s="320"/>
      <c r="E47" s="320"/>
      <c r="F47" s="320"/>
      <c r="G47" s="320"/>
      <c r="H47" s="320"/>
    </row>
    <row r="48" spans="1:8" ht="63.75" customHeight="1" thickBot="1" x14ac:dyDescent="0.4">
      <c r="A48" s="189" t="s">
        <v>15</v>
      </c>
      <c r="B48" s="189" t="s">
        <v>90</v>
      </c>
      <c r="C48" s="189" t="s">
        <v>91</v>
      </c>
      <c r="D48" s="201" t="s">
        <v>92</v>
      </c>
      <c r="E48" s="46" t="s">
        <v>21</v>
      </c>
      <c r="F48" s="46" t="s">
        <v>82</v>
      </c>
      <c r="G48" s="98" t="s">
        <v>93</v>
      </c>
      <c r="H48" s="98" t="s">
        <v>78</v>
      </c>
    </row>
    <row r="49" spans="1:8" x14ac:dyDescent="0.35">
      <c r="A49" s="190" t="s">
        <v>3</v>
      </c>
      <c r="B49" s="25">
        <v>115</v>
      </c>
      <c r="C49" s="10">
        <v>105</v>
      </c>
      <c r="D49" s="73">
        <f>+C49/B49</f>
        <v>0.91304347826086951</v>
      </c>
      <c r="E49" s="144">
        <v>208317960</v>
      </c>
      <c r="F49" s="244">
        <f t="shared" ref="F49:F54" si="2">E49/C49</f>
        <v>1983980.5714285714</v>
      </c>
      <c r="G49" s="210">
        <f t="shared" ref="G49:G55" si="3">+E49/$E$55</f>
        <v>0.26492414259345876</v>
      </c>
      <c r="H49" s="208">
        <f>C49/$C$55</f>
        <v>0.26582278481012656</v>
      </c>
    </row>
    <row r="50" spans="1:8" x14ac:dyDescent="0.35">
      <c r="A50" s="191" t="s">
        <v>5</v>
      </c>
      <c r="B50" s="23">
        <v>73</v>
      </c>
      <c r="C50" s="11">
        <v>63</v>
      </c>
      <c r="D50" s="73">
        <f t="shared" ref="D50:D54" si="4">+C50/B50</f>
        <v>0.86301369863013699</v>
      </c>
      <c r="E50" s="92">
        <v>123453600</v>
      </c>
      <c r="F50" s="244">
        <f t="shared" si="2"/>
        <v>1959580.9523809524</v>
      </c>
      <c r="G50" s="248">
        <f t="shared" si="3"/>
        <v>0.15699961313981675</v>
      </c>
      <c r="H50" s="212">
        <f t="shared" ref="H50:H54" si="5">C50/$C$55</f>
        <v>0.15949367088607594</v>
      </c>
    </row>
    <row r="51" spans="1:8" x14ac:dyDescent="0.35">
      <c r="A51" s="191" t="s">
        <v>6</v>
      </c>
      <c r="B51" s="23">
        <v>21</v>
      </c>
      <c r="C51" s="11">
        <v>20</v>
      </c>
      <c r="D51" s="73">
        <f t="shared" si="4"/>
        <v>0.95238095238095233</v>
      </c>
      <c r="E51" s="92">
        <v>38928360</v>
      </c>
      <c r="F51" s="244">
        <f t="shared" si="2"/>
        <v>1946418</v>
      </c>
      <c r="G51" s="248">
        <f t="shared" si="3"/>
        <v>4.9506352671509921E-2</v>
      </c>
      <c r="H51" s="212">
        <f t="shared" si="5"/>
        <v>5.0632911392405063E-2</v>
      </c>
    </row>
    <row r="52" spans="1:8" x14ac:dyDescent="0.35">
      <c r="A52" s="191" t="s">
        <v>7</v>
      </c>
      <c r="B52" s="23">
        <v>179</v>
      </c>
      <c r="C52" s="11">
        <v>172</v>
      </c>
      <c r="D52" s="73">
        <f t="shared" si="4"/>
        <v>0.96089385474860334</v>
      </c>
      <c r="E52" s="92">
        <v>347404920</v>
      </c>
      <c r="F52" s="244">
        <f t="shared" si="2"/>
        <v>2019796.046511628</v>
      </c>
      <c r="G52" s="248">
        <f t="shared" si="3"/>
        <v>0.44180516439268674</v>
      </c>
      <c r="H52" s="212">
        <f t="shared" si="5"/>
        <v>0.43544303797468353</v>
      </c>
    </row>
    <row r="53" spans="1:8" x14ac:dyDescent="0.35">
      <c r="A53" s="191" t="s">
        <v>8</v>
      </c>
      <c r="B53" s="23">
        <v>19</v>
      </c>
      <c r="C53" s="11">
        <v>14</v>
      </c>
      <c r="D53" s="73">
        <f t="shared" si="4"/>
        <v>0.73684210526315785</v>
      </c>
      <c r="E53" s="92">
        <v>28018440</v>
      </c>
      <c r="F53" s="244">
        <f t="shared" si="2"/>
        <v>2001317.142857143</v>
      </c>
      <c r="G53" s="248">
        <f t="shared" si="3"/>
        <v>3.5631883078186197E-2</v>
      </c>
      <c r="H53" s="212">
        <f t="shared" si="5"/>
        <v>3.5443037974683546E-2</v>
      </c>
    </row>
    <row r="54" spans="1:8" ht="15" thickBot="1" x14ac:dyDescent="0.4">
      <c r="A54" s="192" t="s">
        <v>9</v>
      </c>
      <c r="B54" s="24">
        <v>23</v>
      </c>
      <c r="C54" s="12">
        <v>21</v>
      </c>
      <c r="D54" s="73">
        <f t="shared" si="4"/>
        <v>0.91304347826086951</v>
      </c>
      <c r="E54" s="147">
        <v>40207320</v>
      </c>
      <c r="F54" s="244">
        <f t="shared" si="2"/>
        <v>1914634.2857142857</v>
      </c>
      <c r="G54" s="249">
        <f t="shared" si="3"/>
        <v>5.1132844124341596E-2</v>
      </c>
      <c r="H54" s="213">
        <f t="shared" si="5"/>
        <v>5.3164556962025315E-2</v>
      </c>
    </row>
    <row r="55" spans="1:8" ht="16" thickBot="1" x14ac:dyDescent="0.4">
      <c r="A55" s="241" t="s">
        <v>4</v>
      </c>
      <c r="B55" s="86">
        <f>SUM(B49:B54)</f>
        <v>430</v>
      </c>
      <c r="C55" s="86">
        <f>SUM(C49:C54)</f>
        <v>395</v>
      </c>
      <c r="D55" s="202">
        <f>+C55/B55</f>
        <v>0.91860465116279066</v>
      </c>
      <c r="E55" s="205">
        <f>SUM(E49:E54)</f>
        <v>786330600</v>
      </c>
      <c r="F55" s="209">
        <f>SUM(F49:F54)</f>
        <v>11825726.998892581</v>
      </c>
      <c r="G55" s="99">
        <f t="shared" si="3"/>
        <v>1</v>
      </c>
      <c r="H55" s="254"/>
    </row>
    <row r="76" spans="1:4" ht="15" thickBot="1" x14ac:dyDescent="0.4"/>
    <row r="77" spans="1:4" ht="16" thickBot="1" x14ac:dyDescent="0.4">
      <c r="A77" s="189" t="s">
        <v>70</v>
      </c>
      <c r="B77" s="87" t="s">
        <v>90</v>
      </c>
      <c r="C77" s="90" t="s">
        <v>91</v>
      </c>
      <c r="D77" s="89" t="s">
        <v>66</v>
      </c>
    </row>
    <row r="78" spans="1:4" x14ac:dyDescent="0.35">
      <c r="A78" s="190" t="s">
        <v>3</v>
      </c>
      <c r="B78" s="25">
        <v>115</v>
      </c>
      <c r="C78" s="10">
        <v>105</v>
      </c>
      <c r="D78" s="73">
        <f>+C78/B78</f>
        <v>0.91304347826086951</v>
      </c>
    </row>
    <row r="79" spans="1:4" x14ac:dyDescent="0.35">
      <c r="A79" s="191" t="s">
        <v>5</v>
      </c>
      <c r="B79" s="23">
        <v>73</v>
      </c>
      <c r="C79" s="11">
        <v>63</v>
      </c>
      <c r="D79" s="73">
        <f t="shared" ref="D79:D83" si="6">+C79/B79</f>
        <v>0.86301369863013699</v>
      </c>
    </row>
    <row r="80" spans="1:4" x14ac:dyDescent="0.35">
      <c r="A80" s="191" t="s">
        <v>6</v>
      </c>
      <c r="B80" s="23">
        <v>21</v>
      </c>
      <c r="C80" s="11">
        <v>20</v>
      </c>
      <c r="D80" s="73">
        <f t="shared" si="6"/>
        <v>0.95238095238095233</v>
      </c>
    </row>
    <row r="81" spans="1:8" x14ac:dyDescent="0.35">
      <c r="A81" s="191" t="s">
        <v>7</v>
      </c>
      <c r="B81" s="23">
        <v>179</v>
      </c>
      <c r="C81" s="11">
        <v>172</v>
      </c>
      <c r="D81" s="73">
        <f t="shared" si="6"/>
        <v>0.96089385474860334</v>
      </c>
    </row>
    <row r="82" spans="1:8" x14ac:dyDescent="0.35">
      <c r="A82" s="191" t="s">
        <v>8</v>
      </c>
      <c r="B82" s="23">
        <v>19</v>
      </c>
      <c r="C82" s="11">
        <v>14</v>
      </c>
      <c r="D82" s="73">
        <f t="shared" si="6"/>
        <v>0.73684210526315785</v>
      </c>
    </row>
    <row r="83" spans="1:8" ht="15" thickBot="1" x14ac:dyDescent="0.4">
      <c r="A83" s="192" t="s">
        <v>9</v>
      </c>
      <c r="B83" s="24">
        <v>23</v>
      </c>
      <c r="C83" s="12">
        <v>21</v>
      </c>
      <c r="D83" s="73">
        <f t="shared" si="6"/>
        <v>0.91304347826086951</v>
      </c>
    </row>
    <row r="84" spans="1:8" ht="16" thickBot="1" x14ac:dyDescent="0.4">
      <c r="A84" s="193" t="s">
        <v>4</v>
      </c>
      <c r="B84" s="95">
        <f>SUM(B78:B83)</f>
        <v>430</v>
      </c>
      <c r="C84" s="86">
        <f>SUM(C78:C83)</f>
        <v>395</v>
      </c>
      <c r="D84" s="88">
        <f t="shared" ref="D84" si="7">+C84/B84</f>
        <v>0.91860465116279066</v>
      </c>
    </row>
    <row r="88" spans="1:8" s="290" customFormat="1" ht="23.5" x14ac:dyDescent="0.35">
      <c r="A88" s="290" t="s">
        <v>99</v>
      </c>
    </row>
    <row r="89" spans="1:8" ht="15" thickBot="1" x14ac:dyDescent="0.4"/>
    <row r="90" spans="1:8" ht="16" thickBot="1" x14ac:dyDescent="0.4">
      <c r="A90" s="287" t="s">
        <v>102</v>
      </c>
      <c r="B90" s="288"/>
      <c r="C90" s="288"/>
      <c r="D90" s="288"/>
      <c r="E90" s="288"/>
      <c r="F90" s="288"/>
      <c r="G90" s="288"/>
      <c r="H90" s="289"/>
    </row>
    <row r="91" spans="1:8" ht="68.5" customHeight="1" thickBot="1" x14ac:dyDescent="0.4">
      <c r="A91" s="189" t="s">
        <v>15</v>
      </c>
      <c r="B91" s="250" t="s">
        <v>90</v>
      </c>
      <c r="C91" s="189" t="s">
        <v>91</v>
      </c>
      <c r="D91" s="201" t="s">
        <v>92</v>
      </c>
      <c r="E91" s="46" t="s">
        <v>21</v>
      </c>
      <c r="F91" s="46" t="s">
        <v>82</v>
      </c>
      <c r="G91" s="98" t="s">
        <v>93</v>
      </c>
      <c r="H91" s="98" t="s">
        <v>78</v>
      </c>
    </row>
    <row r="92" spans="1:8" x14ac:dyDescent="0.35">
      <c r="A92" s="257" t="s">
        <v>3</v>
      </c>
      <c r="B92" s="258">
        <v>122</v>
      </c>
      <c r="C92" s="76">
        <v>107</v>
      </c>
      <c r="D92" s="73">
        <f>+C92/B92</f>
        <v>0.87704918032786883</v>
      </c>
      <c r="E92" s="206">
        <v>250989012</v>
      </c>
      <c r="F92" s="259">
        <f t="shared" ref="F92:F97" si="8">E92/C92</f>
        <v>2345691.7009345796</v>
      </c>
      <c r="G92" s="208">
        <f t="shared" ref="G92:G98" si="9">+E92/$E$98</f>
        <v>0.26350784825818935</v>
      </c>
      <c r="H92" s="245">
        <f t="shared" ref="H92:H97" si="10">C92/$C$98</f>
        <v>0.26750000000000002</v>
      </c>
    </row>
    <row r="93" spans="1:8" x14ac:dyDescent="0.35">
      <c r="A93" s="191" t="s">
        <v>5</v>
      </c>
      <c r="B93" s="47">
        <v>70</v>
      </c>
      <c r="C93" s="42">
        <v>56</v>
      </c>
      <c r="D93" s="73">
        <f t="shared" ref="D93:D97" si="11">+C93/B93</f>
        <v>0.8</v>
      </c>
      <c r="E93" s="207">
        <v>134073108</v>
      </c>
      <c r="F93" s="244">
        <f t="shared" si="8"/>
        <v>2394162.6428571427</v>
      </c>
      <c r="G93" s="212">
        <f t="shared" si="9"/>
        <v>0.14076040985558297</v>
      </c>
      <c r="H93" s="246">
        <f t="shared" si="10"/>
        <v>0.14000000000000001</v>
      </c>
    </row>
    <row r="94" spans="1:8" x14ac:dyDescent="0.35">
      <c r="A94" s="191" t="s">
        <v>6</v>
      </c>
      <c r="B94" s="47">
        <v>34</v>
      </c>
      <c r="C94" s="42">
        <v>27</v>
      </c>
      <c r="D94" s="73">
        <f t="shared" si="11"/>
        <v>0.79411764705882348</v>
      </c>
      <c r="E94" s="92">
        <v>66284964</v>
      </c>
      <c r="F94" s="244">
        <f t="shared" si="8"/>
        <v>2454998.6666666665</v>
      </c>
      <c r="G94" s="212">
        <f t="shared" si="9"/>
        <v>6.9591127102853187E-2</v>
      </c>
      <c r="H94" s="246">
        <f t="shared" si="10"/>
        <v>6.7500000000000004E-2</v>
      </c>
    </row>
    <row r="95" spans="1:8" x14ac:dyDescent="0.35">
      <c r="A95" s="191" t="s">
        <v>7</v>
      </c>
      <c r="B95" s="47">
        <v>212</v>
      </c>
      <c r="C95" s="42">
        <v>171</v>
      </c>
      <c r="D95" s="73">
        <f t="shared" si="11"/>
        <v>0.80660377358490565</v>
      </c>
      <c r="E95" s="203">
        <v>409181940</v>
      </c>
      <c r="F95" s="244">
        <f t="shared" si="8"/>
        <v>2392876.8421052634</v>
      </c>
      <c r="G95" s="212">
        <f t="shared" si="9"/>
        <v>0.42959112710285319</v>
      </c>
      <c r="H95" s="246">
        <f t="shared" si="10"/>
        <v>0.42749999999999999</v>
      </c>
    </row>
    <row r="96" spans="1:8" x14ac:dyDescent="0.35">
      <c r="A96" s="191" t="s">
        <v>8</v>
      </c>
      <c r="B96" s="47">
        <v>26</v>
      </c>
      <c r="C96" s="42">
        <v>16</v>
      </c>
      <c r="D96" s="73">
        <f t="shared" si="11"/>
        <v>0.61538461538461542</v>
      </c>
      <c r="E96" s="203">
        <v>36651096</v>
      </c>
      <c r="F96" s="244">
        <f t="shared" si="8"/>
        <v>2290693.5</v>
      </c>
      <c r="G96" s="212">
        <f t="shared" si="9"/>
        <v>3.8479180288834042E-2</v>
      </c>
      <c r="H96" s="246">
        <f t="shared" si="10"/>
        <v>0.04</v>
      </c>
    </row>
    <row r="97" spans="1:8" ht="15" thickBot="1" x14ac:dyDescent="0.4">
      <c r="A97" s="192" t="s">
        <v>9</v>
      </c>
      <c r="B97" s="48">
        <v>27</v>
      </c>
      <c r="C97" s="252">
        <v>23</v>
      </c>
      <c r="D97" s="73">
        <f t="shared" si="11"/>
        <v>0.85185185185185186</v>
      </c>
      <c r="E97" s="204">
        <v>55311480</v>
      </c>
      <c r="F97" s="244">
        <f t="shared" si="8"/>
        <v>2404846.9565217393</v>
      </c>
      <c r="G97" s="255">
        <f t="shared" si="9"/>
        <v>5.8070307391687233E-2</v>
      </c>
      <c r="H97" s="247">
        <f t="shared" si="10"/>
        <v>5.7500000000000002E-2</v>
      </c>
    </row>
    <row r="98" spans="1:8" ht="16" thickBot="1" x14ac:dyDescent="0.4">
      <c r="A98" s="241" t="s">
        <v>4</v>
      </c>
      <c r="B98" s="251">
        <f>SUM(B92:B97)</f>
        <v>491</v>
      </c>
      <c r="C98" s="41">
        <f>SUM(C92:C97)</f>
        <v>400</v>
      </c>
      <c r="D98" s="202">
        <f>+C98/B98</f>
        <v>0.81466395112016299</v>
      </c>
      <c r="E98" s="205">
        <f>SUM(E92:E97)</f>
        <v>952491600</v>
      </c>
      <c r="F98" s="253">
        <f>SUM(F92:F97)</f>
        <v>14283270.309085391</v>
      </c>
      <c r="G98" s="256">
        <f t="shared" si="9"/>
        <v>1</v>
      </c>
      <c r="H98" s="254"/>
    </row>
    <row r="120" spans="1:4" ht="15" thickBot="1" x14ac:dyDescent="0.4"/>
    <row r="121" spans="1:4" ht="16" thickBot="1" x14ac:dyDescent="0.4">
      <c r="A121" s="189" t="s">
        <v>15</v>
      </c>
      <c r="B121" s="87" t="s">
        <v>90</v>
      </c>
      <c r="C121" s="90" t="s">
        <v>91</v>
      </c>
      <c r="D121" s="87" t="s">
        <v>66</v>
      </c>
    </row>
    <row r="122" spans="1:4" x14ac:dyDescent="0.35">
      <c r="A122" s="190" t="s">
        <v>3</v>
      </c>
      <c r="B122" s="25">
        <v>122</v>
      </c>
      <c r="C122" s="10">
        <v>107</v>
      </c>
      <c r="D122" s="73">
        <f>+C122/B122</f>
        <v>0.87704918032786883</v>
      </c>
    </row>
    <row r="123" spans="1:4" x14ac:dyDescent="0.35">
      <c r="A123" s="191" t="s">
        <v>5</v>
      </c>
      <c r="B123" s="23">
        <v>70</v>
      </c>
      <c r="C123" s="11">
        <v>56</v>
      </c>
      <c r="D123" s="73">
        <f t="shared" ref="D123:D127" si="12">+C123/B123</f>
        <v>0.8</v>
      </c>
    </row>
    <row r="124" spans="1:4" x14ac:dyDescent="0.35">
      <c r="A124" s="191" t="s">
        <v>6</v>
      </c>
      <c r="B124" s="23">
        <v>34</v>
      </c>
      <c r="C124" s="11">
        <v>27</v>
      </c>
      <c r="D124" s="73">
        <f t="shared" si="12"/>
        <v>0.79411764705882348</v>
      </c>
    </row>
    <row r="125" spans="1:4" x14ac:dyDescent="0.35">
      <c r="A125" s="191" t="s">
        <v>7</v>
      </c>
      <c r="B125" s="23">
        <v>212</v>
      </c>
      <c r="C125" s="11">
        <v>171</v>
      </c>
      <c r="D125" s="73">
        <f t="shared" si="12"/>
        <v>0.80660377358490565</v>
      </c>
    </row>
    <row r="126" spans="1:4" x14ac:dyDescent="0.35">
      <c r="A126" s="191" t="s">
        <v>8</v>
      </c>
      <c r="B126" s="23">
        <v>26</v>
      </c>
      <c r="C126" s="11">
        <v>16</v>
      </c>
      <c r="D126" s="73">
        <f t="shared" si="12"/>
        <v>0.61538461538461542</v>
      </c>
    </row>
    <row r="127" spans="1:4" ht="15" thickBot="1" x14ac:dyDescent="0.4">
      <c r="A127" s="192" t="s">
        <v>9</v>
      </c>
      <c r="B127" s="24">
        <v>27</v>
      </c>
      <c r="C127" s="12">
        <v>23</v>
      </c>
      <c r="D127" s="73">
        <f t="shared" si="12"/>
        <v>0.85185185185185186</v>
      </c>
    </row>
    <row r="128" spans="1:4" ht="16" thickBot="1" x14ac:dyDescent="0.4">
      <c r="A128" s="193" t="s">
        <v>4</v>
      </c>
      <c r="B128" s="95">
        <f>SUM(B122:B127)</f>
        <v>491</v>
      </c>
      <c r="C128" s="86">
        <f>SUM(C122:C127)</f>
        <v>400</v>
      </c>
      <c r="D128" s="260">
        <f t="shared" ref="D128" si="13">+C128/B128</f>
        <v>0.81466395112016299</v>
      </c>
    </row>
    <row r="132" spans="1:7" s="321" customFormat="1" x14ac:dyDescent="0.35">
      <c r="A132" s="321" t="s">
        <v>100</v>
      </c>
    </row>
    <row r="134" spans="1:7" ht="15" thickBot="1" x14ac:dyDescent="0.4"/>
    <row r="135" spans="1:7" ht="15" thickBot="1" x14ac:dyDescent="0.4">
      <c r="A135" s="220" t="s">
        <v>15</v>
      </c>
      <c r="B135" s="220" t="s">
        <v>103</v>
      </c>
      <c r="C135" s="220" t="s">
        <v>104</v>
      </c>
      <c r="D135" s="220" t="s">
        <v>105</v>
      </c>
      <c r="E135" s="220" t="s">
        <v>106</v>
      </c>
      <c r="F135" s="220" t="s">
        <v>107</v>
      </c>
      <c r="G135" s="220" t="s">
        <v>108</v>
      </c>
    </row>
    <row r="136" spans="1:7" x14ac:dyDescent="0.35">
      <c r="A136" s="214" t="s">
        <v>3</v>
      </c>
      <c r="B136" s="225">
        <f t="shared" ref="B136:B141" si="14">B78</f>
        <v>115</v>
      </c>
      <c r="C136" s="219">
        <f>B122</f>
        <v>122</v>
      </c>
      <c r="D136" s="226">
        <f t="shared" ref="D136:D141" si="15">C78</f>
        <v>105</v>
      </c>
      <c r="E136" s="229">
        <f>C122</f>
        <v>107</v>
      </c>
      <c r="F136" s="73">
        <f t="shared" ref="F136:G142" si="16">+D136/B136</f>
        <v>0.91304347826086951</v>
      </c>
      <c r="G136" s="73">
        <f t="shared" si="16"/>
        <v>0.87704918032786883</v>
      </c>
    </row>
    <row r="137" spans="1:7" x14ac:dyDescent="0.35">
      <c r="A137" s="215" t="s">
        <v>5</v>
      </c>
      <c r="B137" s="225">
        <f t="shared" si="14"/>
        <v>73</v>
      </c>
      <c r="C137" s="35">
        <f t="shared" ref="C137:C141" si="17">B123</f>
        <v>70</v>
      </c>
      <c r="D137" s="226">
        <f t="shared" si="15"/>
        <v>63</v>
      </c>
      <c r="E137" s="229">
        <f t="shared" ref="E137:E141" si="18">C123</f>
        <v>56</v>
      </c>
      <c r="F137" s="73">
        <f t="shared" si="16"/>
        <v>0.86301369863013699</v>
      </c>
      <c r="G137" s="73">
        <f t="shared" si="16"/>
        <v>0.8</v>
      </c>
    </row>
    <row r="138" spans="1:7" x14ac:dyDescent="0.35">
      <c r="A138" s="215" t="s">
        <v>6</v>
      </c>
      <c r="B138" s="225">
        <f t="shared" si="14"/>
        <v>21</v>
      </c>
      <c r="C138" s="35">
        <f t="shared" si="17"/>
        <v>34</v>
      </c>
      <c r="D138" s="226">
        <f t="shared" si="15"/>
        <v>20</v>
      </c>
      <c r="E138" s="229">
        <f t="shared" si="18"/>
        <v>27</v>
      </c>
      <c r="F138" s="73">
        <f t="shared" si="16"/>
        <v>0.95238095238095233</v>
      </c>
      <c r="G138" s="73">
        <f t="shared" si="16"/>
        <v>0.79411764705882348</v>
      </c>
    </row>
    <row r="139" spans="1:7" x14ac:dyDescent="0.35">
      <c r="A139" s="215" t="s">
        <v>7</v>
      </c>
      <c r="B139" s="225">
        <f t="shared" si="14"/>
        <v>179</v>
      </c>
      <c r="C139" s="35">
        <f t="shared" si="17"/>
        <v>212</v>
      </c>
      <c r="D139" s="226">
        <f t="shared" si="15"/>
        <v>172</v>
      </c>
      <c r="E139" s="229">
        <f>C125</f>
        <v>171</v>
      </c>
      <c r="F139" s="73">
        <f t="shared" si="16"/>
        <v>0.96089385474860334</v>
      </c>
      <c r="G139" s="73">
        <f t="shared" si="16"/>
        <v>0.80660377358490565</v>
      </c>
    </row>
    <row r="140" spans="1:7" x14ac:dyDescent="0.35">
      <c r="A140" s="215" t="s">
        <v>8</v>
      </c>
      <c r="B140" s="225">
        <f t="shared" si="14"/>
        <v>19</v>
      </c>
      <c r="C140" s="35">
        <f t="shared" si="17"/>
        <v>26</v>
      </c>
      <c r="D140" s="226">
        <f t="shared" si="15"/>
        <v>14</v>
      </c>
      <c r="E140" s="229">
        <f t="shared" si="18"/>
        <v>16</v>
      </c>
      <c r="F140" s="73">
        <f t="shared" si="16"/>
        <v>0.73684210526315785</v>
      </c>
      <c r="G140" s="73">
        <f t="shared" si="16"/>
        <v>0.61538461538461542</v>
      </c>
    </row>
    <row r="141" spans="1:7" ht="15" thickBot="1" x14ac:dyDescent="0.4">
      <c r="A141" s="227" t="s">
        <v>9</v>
      </c>
      <c r="B141" s="151">
        <f t="shared" si="14"/>
        <v>23</v>
      </c>
      <c r="C141" s="228">
        <f t="shared" si="17"/>
        <v>27</v>
      </c>
      <c r="D141" s="226">
        <f t="shared" si="15"/>
        <v>21</v>
      </c>
      <c r="E141" s="229">
        <f t="shared" si="18"/>
        <v>23</v>
      </c>
      <c r="F141" s="73">
        <f t="shared" si="16"/>
        <v>0.91304347826086951</v>
      </c>
      <c r="G141" s="73">
        <f t="shared" si="16"/>
        <v>0.85185185185185186</v>
      </c>
    </row>
    <row r="142" spans="1:7" ht="15" thickBot="1" x14ac:dyDescent="0.4">
      <c r="A142" s="221" t="s">
        <v>4</v>
      </c>
      <c r="B142" s="222">
        <f>SUM(B136:B141)</f>
        <v>430</v>
      </c>
      <c r="C142" s="222">
        <f>SUM(C136:C141)</f>
        <v>491</v>
      </c>
      <c r="D142" s="222">
        <f>SUM(D136:D141)</f>
        <v>395</v>
      </c>
      <c r="E142" s="222">
        <f>SUM(E136:E141)</f>
        <v>400</v>
      </c>
      <c r="F142" s="223">
        <f t="shared" si="16"/>
        <v>0.91860465116279066</v>
      </c>
      <c r="G142" s="223">
        <f t="shared" si="16"/>
        <v>0.81466395112016299</v>
      </c>
    </row>
    <row r="143" spans="1:7" x14ac:dyDescent="0.35">
      <c r="A143" s="218"/>
      <c r="B143" s="62"/>
      <c r="C143" s="62"/>
      <c r="D143" s="62"/>
      <c r="E143" s="62"/>
      <c r="F143" s="62"/>
      <c r="G143" s="62"/>
    </row>
    <row r="144" spans="1:7" ht="15" thickBot="1" x14ac:dyDescent="0.4">
      <c r="A144" s="218"/>
      <c r="B144" s="62"/>
      <c r="C144" s="62"/>
      <c r="D144" s="62"/>
      <c r="E144" s="62"/>
      <c r="F144" s="62"/>
      <c r="G144" s="62"/>
    </row>
    <row r="145" spans="1:7" ht="15" thickBot="1" x14ac:dyDescent="0.4">
      <c r="A145" s="224" t="s">
        <v>67</v>
      </c>
      <c r="B145" s="233" t="s">
        <v>3</v>
      </c>
      <c r="C145" s="233" t="s">
        <v>5</v>
      </c>
      <c r="D145" s="233" t="s">
        <v>6</v>
      </c>
      <c r="E145" s="233" t="s">
        <v>7</v>
      </c>
      <c r="F145" s="233" t="s">
        <v>8</v>
      </c>
      <c r="G145" s="234" t="s">
        <v>9</v>
      </c>
    </row>
    <row r="146" spans="1:7" x14ac:dyDescent="0.35">
      <c r="A146" s="230" t="s">
        <v>95</v>
      </c>
      <c r="B146" s="235">
        <f>B78</f>
        <v>115</v>
      </c>
      <c r="C146" s="236">
        <f>B79</f>
        <v>73</v>
      </c>
      <c r="D146" s="236">
        <f>B80</f>
        <v>21</v>
      </c>
      <c r="E146" s="236">
        <f>B81</f>
        <v>179</v>
      </c>
      <c r="F146" s="236">
        <f>B82</f>
        <v>19</v>
      </c>
      <c r="G146" s="237">
        <f>B83</f>
        <v>23</v>
      </c>
    </row>
    <row r="147" spans="1:7" x14ac:dyDescent="0.35">
      <c r="A147" s="231" t="s">
        <v>96</v>
      </c>
      <c r="B147" s="51">
        <f>B122</f>
        <v>122</v>
      </c>
      <c r="C147" s="35">
        <f>B123</f>
        <v>70</v>
      </c>
      <c r="D147" s="35">
        <f>B124</f>
        <v>34</v>
      </c>
      <c r="E147" s="35">
        <f>B125</f>
        <v>212</v>
      </c>
      <c r="F147" s="35">
        <f>B126</f>
        <v>26</v>
      </c>
      <c r="G147" s="216">
        <f>B127</f>
        <v>27</v>
      </c>
    </row>
    <row r="148" spans="1:7" x14ac:dyDescent="0.35">
      <c r="A148" s="231" t="s">
        <v>97</v>
      </c>
      <c r="B148" s="51">
        <f>C78</f>
        <v>105</v>
      </c>
      <c r="C148" s="35">
        <f>C79</f>
        <v>63</v>
      </c>
      <c r="D148" s="35">
        <f>C80</f>
        <v>20</v>
      </c>
      <c r="E148" s="35">
        <f>C81</f>
        <v>172</v>
      </c>
      <c r="F148" s="35">
        <f>C82</f>
        <v>14</v>
      </c>
      <c r="G148" s="216">
        <f>C83</f>
        <v>21</v>
      </c>
    </row>
    <row r="149" spans="1:7" ht="15" thickBot="1" x14ac:dyDescent="0.4">
      <c r="A149" s="232" t="s">
        <v>98</v>
      </c>
      <c r="B149" s="238">
        <f>C122</f>
        <v>107</v>
      </c>
      <c r="C149" s="239">
        <f>C123</f>
        <v>56</v>
      </c>
      <c r="D149" s="239">
        <f>C124</f>
        <v>27</v>
      </c>
      <c r="E149" s="239">
        <f>C125</f>
        <v>171</v>
      </c>
      <c r="F149" s="239">
        <f>C126</f>
        <v>16</v>
      </c>
      <c r="G149" s="217">
        <f>C127</f>
        <v>23</v>
      </c>
    </row>
  </sheetData>
  <mergeCells count="36">
    <mergeCell ref="B7:D7"/>
    <mergeCell ref="B2:D2"/>
    <mergeCell ref="B3:D3"/>
    <mergeCell ref="B4:D4"/>
    <mergeCell ref="B5:D5"/>
    <mergeCell ref="B6:D6"/>
    <mergeCell ref="B18:D18"/>
    <mergeCell ref="B19:D19"/>
    <mergeCell ref="B8:D8"/>
    <mergeCell ref="B9:D9"/>
    <mergeCell ref="B10:D10"/>
    <mergeCell ref="B11:D11"/>
    <mergeCell ref="B12:D12"/>
    <mergeCell ref="B13:D13"/>
    <mergeCell ref="A132:XFD132"/>
    <mergeCell ref="B27:D27"/>
    <mergeCell ref="B28:D28"/>
    <mergeCell ref="B29:D29"/>
    <mergeCell ref="B30:D30"/>
    <mergeCell ref="B31:D31"/>
    <mergeCell ref="A90:H90"/>
    <mergeCell ref="A47:H47"/>
    <mergeCell ref="A1:D1"/>
    <mergeCell ref="A35:E35"/>
    <mergeCell ref="A45:XFD45"/>
    <mergeCell ref="A88:XFD88"/>
    <mergeCell ref="B20:D20"/>
    <mergeCell ref="B21:D21"/>
    <mergeCell ref="B22:D22"/>
    <mergeCell ref="B23:D23"/>
    <mergeCell ref="B24:D24"/>
    <mergeCell ref="A26:D26"/>
    <mergeCell ref="B14:D14"/>
    <mergeCell ref="B15:D15"/>
    <mergeCell ref="B16:D16"/>
    <mergeCell ref="B17:D17"/>
  </mergeCells>
  <conditionalFormatting sqref="D77 D84">
    <cfRule type="iconSet" priority="19">
      <iconSet iconSet="3Signs">
        <cfvo type="percent" val="0"/>
        <cfvo type="percent" val="33"/>
        <cfvo type="percent" val="67"/>
      </iconSet>
    </cfRule>
  </conditionalFormatting>
  <conditionalFormatting sqref="D121 D128">
    <cfRule type="iconSet" priority="13">
      <iconSet iconSet="3Signs">
        <cfvo type="percent" val="0"/>
        <cfvo type="percent" val="33"/>
        <cfvo type="percent" val="67"/>
      </iconSet>
    </cfRule>
  </conditionalFormatting>
  <conditionalFormatting sqref="D37:D41">
    <cfRule type="colorScale" priority="7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49:D54">
    <cfRule type="colorScale" priority="6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78:D83">
    <cfRule type="colorScale" priority="5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92:D97">
    <cfRule type="colorScale" priority="4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D122:D127">
    <cfRule type="colorScale" priority="3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F136:F141">
    <cfRule type="colorScale" priority="2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conditionalFormatting sqref="G136:G141">
    <cfRule type="colorScale" priority="1">
      <colorScale>
        <cfvo type="num" val="0.59"/>
        <cfvo type="num" val="0.79"/>
        <cfvo type="num" val="0.8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A132-3018-4D90-B122-2EFEA6D006A8}">
  <dimension ref="A1"/>
  <sheetViews>
    <sheetView topLeftCell="G4" workbookViewId="0">
      <selection activeCell="Q31" sqref="Q31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 Bonos</vt:lpstr>
      <vt:lpstr>Ficha 3.1 Bono pob. certificada</vt:lpstr>
      <vt:lpstr>Ficha 3.2 Bono Pob. Solicitante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fernandez</dc:creator>
  <cp:lastModifiedBy>alejandra fernandez</cp:lastModifiedBy>
  <dcterms:created xsi:type="dcterms:W3CDTF">2026-01-03T21:15:05Z</dcterms:created>
  <dcterms:modified xsi:type="dcterms:W3CDTF">2026-01-25T23:12:25Z</dcterms:modified>
</cp:coreProperties>
</file>