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comments9.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9050" windowHeight="5670" tabRatio="813"/>
  </bookViews>
  <sheets>
    <sheet name="DATOS" sheetId="1" r:id="rId1"/>
    <sheet name="INGRESOS" sheetId="5" r:id="rId2"/>
    <sheet name="EGRESOS" sheetId="4" r:id="rId3"/>
    <sheet name="TABLA DE AMORTIZACION" sheetId="3" r:id="rId4"/>
    <sheet name="INVERSION" sheetId="15" r:id="rId5"/>
    <sheet name="K.W" sheetId="7" r:id="rId6"/>
    <sheet name="RESERVA LEGAL Y DIVIDENDOS" sheetId="9" r:id="rId7"/>
    <sheet name="E.R" sheetId="18" r:id="rId8"/>
    <sheet name="F.E" sheetId="19" r:id="rId9"/>
    <sheet name="B.G" sheetId="20" r:id="rId10"/>
    <sheet name="F.C.L" sheetId="6" r:id="rId11"/>
    <sheet name="COSTO CAPITAL" sheetId="12" r:id="rId12"/>
    <sheet name="RATIOS FINANCIEROS" sheetId="14" r:id="rId13"/>
    <sheet name="EVALUACION FINANCIERA" sheetId="21" state="hidden" r:id="rId14"/>
    <sheet name="PUNTO DE EQUILIBRIO" sheetId="23" r:id="rId15"/>
    <sheet name="COSTO DE OPORTUNIDAD" sheetId="22" state="hidden" r:id="rId16"/>
  </sheets>
  <definedNames>
    <definedName name="_xlnm.Print_Area" localSheetId="9">B.G!$A$1:$J$47</definedName>
    <definedName name="_xlnm.Print_Area" localSheetId="11">'COSTO CAPITAL'!$A$2:$O$21,'COSTO CAPITAL'!$H$22:$N$746</definedName>
    <definedName name="_xlnm.Print_Area" localSheetId="15">'COSTO DE OPORTUNIDAD'!$A$1:$L$107</definedName>
    <definedName name="_xlnm.Print_Area" localSheetId="0">DATOS!$A$1:$D$47</definedName>
    <definedName name="_xlnm.Print_Area" localSheetId="7">E.R!$A$1:$Y$51</definedName>
    <definedName name="_xlnm.Print_Area" localSheetId="2">EGRESOS!$A$3:$CC$282</definedName>
    <definedName name="_xlnm.Print_Area" localSheetId="10">F.C.L!$A$1:$Y$27</definedName>
    <definedName name="_xlnm.Print_Area" localSheetId="8">F.E!$A$1:$I$66</definedName>
    <definedName name="_xlnm.Print_Area" localSheetId="1">INGRESOS!$A$2:$CA$36</definedName>
    <definedName name="_xlnm.Print_Area" localSheetId="4">INVERSION!$A$11:$I$23,INVERSION!$S$12:$AI$23</definedName>
    <definedName name="_xlnm.Print_Area" localSheetId="5">K.W!$A$69:$Y$85</definedName>
    <definedName name="_xlnm.Print_Area" localSheetId="14">'PUNTO DE EQUILIBRIO'!$A$1:$F$16</definedName>
    <definedName name="_xlnm.Print_Area" localSheetId="12">'RATIOS FINANCIEROS'!$A$1:$J$35</definedName>
    <definedName name="_xlnm.Print_Area" localSheetId="6">'RESERVA LEGAL Y DIVIDENDOS'!$A$1:$I$32</definedName>
    <definedName name="_xlnm.Print_Area" localSheetId="3">'TABLA DE AMORTIZACION'!$A$2:$BW$155</definedName>
  </definedNames>
  <calcPr calcId="125725"/>
</workbook>
</file>

<file path=xl/calcChain.xml><?xml version="1.0" encoding="utf-8"?>
<calcChain xmlns="http://schemas.openxmlformats.org/spreadsheetml/2006/main">
  <c r="B15" i="1"/>
  <c r="E47"/>
  <c r="I83" i="22" l="1"/>
  <c r="L45" s="1"/>
  <c r="I79"/>
  <c r="L44" s="1"/>
  <c r="I75"/>
  <c r="L43" s="1"/>
  <c r="I70"/>
  <c r="L42" s="1"/>
  <c r="I66"/>
  <c r="L41" s="1"/>
  <c r="I62"/>
  <c r="L40" s="1"/>
  <c r="I57"/>
  <c r="L39" s="1"/>
  <c r="I53"/>
  <c r="L38" s="1"/>
  <c r="I48"/>
  <c r="L37" s="1"/>
  <c r="I44"/>
  <c r="L36" s="1"/>
  <c r="I35"/>
  <c r="L34" s="1"/>
  <c r="I40"/>
  <c r="L35" s="1"/>
  <c r="M499" i="12"/>
  <c r="M521"/>
  <c r="M542"/>
  <c r="M563"/>
  <c r="M582"/>
  <c r="M603"/>
  <c r="M622"/>
  <c r="M642"/>
  <c r="M663"/>
  <c r="M683"/>
  <c r="M705"/>
  <c r="M727"/>
  <c r="F87" i="22"/>
  <c r="BU151" i="3"/>
  <c r="BU149"/>
  <c r="BU150"/>
  <c r="BU148"/>
  <c r="BT151"/>
  <c r="BT149"/>
  <c r="BT150"/>
  <c r="BT148"/>
  <c r="BS151"/>
  <c r="BS149"/>
  <c r="BS150"/>
  <c r="BS148"/>
  <c r="BR151"/>
  <c r="BR149"/>
  <c r="BR150"/>
  <c r="BR148"/>
  <c r="BQ151"/>
  <c r="BQ149"/>
  <c r="BQ150"/>
  <c r="BQ148"/>
  <c r="BP151"/>
  <c r="M21" i="6"/>
  <c r="N21"/>
  <c r="O21"/>
  <c r="P21"/>
  <c r="Q21"/>
  <c r="R21"/>
  <c r="S21"/>
  <c r="T21"/>
  <c r="U21"/>
  <c r="V21"/>
  <c r="W21"/>
  <c r="L21"/>
  <c r="X21" s="1"/>
  <c r="D9" i="20"/>
  <c r="M11" i="19"/>
  <c r="N11"/>
  <c r="O11"/>
  <c r="P11"/>
  <c r="Q11"/>
  <c r="R11"/>
  <c r="S11"/>
  <c r="T11"/>
  <c r="U11"/>
  <c r="V11"/>
  <c r="W11"/>
  <c r="L11"/>
  <c r="M9"/>
  <c r="N9"/>
  <c r="O9"/>
  <c r="P9"/>
  <c r="Q9"/>
  <c r="R9"/>
  <c r="S9"/>
  <c r="T9"/>
  <c r="U9"/>
  <c r="V9"/>
  <c r="W9"/>
  <c r="L9"/>
  <c r="M8"/>
  <c r="N8"/>
  <c r="O8"/>
  <c r="P8"/>
  <c r="Q8"/>
  <c r="R8"/>
  <c r="S8"/>
  <c r="T8"/>
  <c r="U8"/>
  <c r="V8"/>
  <c r="W8"/>
  <c r="L8"/>
  <c r="M7"/>
  <c r="N7"/>
  <c r="O7"/>
  <c r="P7"/>
  <c r="Q7"/>
  <c r="R7"/>
  <c r="S7"/>
  <c r="T7"/>
  <c r="U7"/>
  <c r="V7"/>
  <c r="W7"/>
  <c r="L7"/>
  <c r="M6"/>
  <c r="M5" s="1"/>
  <c r="N6"/>
  <c r="N5" s="1"/>
  <c r="O6"/>
  <c r="O5" s="1"/>
  <c r="P6"/>
  <c r="P5" s="1"/>
  <c r="Q6"/>
  <c r="Q5" s="1"/>
  <c r="R6"/>
  <c r="R5" s="1"/>
  <c r="S6"/>
  <c r="S5" s="1"/>
  <c r="T6"/>
  <c r="T5" s="1"/>
  <c r="U6"/>
  <c r="U5" s="1"/>
  <c r="V6"/>
  <c r="V5" s="1"/>
  <c r="W6"/>
  <c r="W5" s="1"/>
  <c r="L6"/>
  <c r="L63"/>
  <c r="L54"/>
  <c r="L51"/>
  <c r="L22"/>
  <c r="L17"/>
  <c r="L45"/>
  <c r="L42"/>
  <c r="X32" i="18"/>
  <c r="Z32" s="1"/>
  <c r="M12"/>
  <c r="N12"/>
  <c r="O12"/>
  <c r="P12"/>
  <c r="Q12"/>
  <c r="R12"/>
  <c r="S12"/>
  <c r="T12"/>
  <c r="U12"/>
  <c r="V12"/>
  <c r="W12"/>
  <c r="L12"/>
  <c r="Z42"/>
  <c r="I87" i="22" l="1"/>
  <c r="L5" i="19"/>
  <c r="X12" i="18"/>
  <c r="X11" s="1"/>
  <c r="L61" i="19"/>
  <c r="L49"/>
  <c r="M39" i="18"/>
  <c r="N39"/>
  <c r="O39"/>
  <c r="P39"/>
  <c r="Q39"/>
  <c r="R39"/>
  <c r="S39"/>
  <c r="T39"/>
  <c r="U39"/>
  <c r="V39"/>
  <c r="W39"/>
  <c r="L39"/>
  <c r="M38"/>
  <c r="N38"/>
  <c r="O38"/>
  <c r="P38"/>
  <c r="Q38"/>
  <c r="R38"/>
  <c r="S38"/>
  <c r="T38"/>
  <c r="U38"/>
  <c r="V38"/>
  <c r="W38"/>
  <c r="L38"/>
  <c r="X38" l="1"/>
  <c r="W17" i="6"/>
  <c r="W7"/>
  <c r="U17"/>
  <c r="U7"/>
  <c r="S17"/>
  <c r="S7"/>
  <c r="Q17"/>
  <c r="Q7"/>
  <c r="O17"/>
  <c r="O7"/>
  <c r="M17"/>
  <c r="M7"/>
  <c r="X39" i="18"/>
  <c r="L17" i="6"/>
  <c r="L7"/>
  <c r="V17"/>
  <c r="V7"/>
  <c r="T17"/>
  <c r="T7"/>
  <c r="R17"/>
  <c r="R7"/>
  <c r="P17"/>
  <c r="P7"/>
  <c r="N17"/>
  <c r="N7"/>
  <c r="M37" i="18"/>
  <c r="N37"/>
  <c r="O37"/>
  <c r="P37"/>
  <c r="Q37"/>
  <c r="R37"/>
  <c r="S37"/>
  <c r="T37"/>
  <c r="U37"/>
  <c r="V37"/>
  <c r="W37"/>
  <c r="L37"/>
  <c r="M35"/>
  <c r="N35"/>
  <c r="O35"/>
  <c r="P35"/>
  <c r="Q35"/>
  <c r="R35"/>
  <c r="S35"/>
  <c r="T35"/>
  <c r="U35"/>
  <c r="V35"/>
  <c r="W35"/>
  <c r="M36"/>
  <c r="N36"/>
  <c r="O36"/>
  <c r="P36"/>
  <c r="Q36"/>
  <c r="R36"/>
  <c r="S36"/>
  <c r="T36"/>
  <c r="U36"/>
  <c r="V36"/>
  <c r="W36"/>
  <c r="L36"/>
  <c r="L35"/>
  <c r="M34"/>
  <c r="N34"/>
  <c r="O34"/>
  <c r="P34"/>
  <c r="Q34"/>
  <c r="R34"/>
  <c r="S34"/>
  <c r="T34"/>
  <c r="U34"/>
  <c r="V34"/>
  <c r="W34"/>
  <c r="L34"/>
  <c r="M33"/>
  <c r="N33"/>
  <c r="O33"/>
  <c r="P33"/>
  <c r="Q33"/>
  <c r="R33"/>
  <c r="S33"/>
  <c r="T33"/>
  <c r="U33"/>
  <c r="V33"/>
  <c r="W33"/>
  <c r="L33"/>
  <c r="M31"/>
  <c r="N31"/>
  <c r="O31"/>
  <c r="P31"/>
  <c r="Q31"/>
  <c r="R31"/>
  <c r="S31"/>
  <c r="T31"/>
  <c r="U31"/>
  <c r="V31"/>
  <c r="W31"/>
  <c r="L31"/>
  <c r="M30"/>
  <c r="N30"/>
  <c r="O30"/>
  <c r="P30"/>
  <c r="Q30"/>
  <c r="R30"/>
  <c r="S30"/>
  <c r="T30"/>
  <c r="U30"/>
  <c r="V30"/>
  <c r="W30"/>
  <c r="L30"/>
  <c r="M29"/>
  <c r="N29"/>
  <c r="O29"/>
  <c r="P29"/>
  <c r="Q29"/>
  <c r="R29"/>
  <c r="S29"/>
  <c r="T29"/>
  <c r="U29"/>
  <c r="V29"/>
  <c r="W29"/>
  <c r="L29"/>
  <c r="M19"/>
  <c r="N19"/>
  <c r="O19"/>
  <c r="P19"/>
  <c r="Q19"/>
  <c r="R19"/>
  <c r="S19"/>
  <c r="T19"/>
  <c r="U19"/>
  <c r="V19"/>
  <c r="W19"/>
  <c r="L19"/>
  <c r="X19" s="1"/>
  <c r="M18"/>
  <c r="N18"/>
  <c r="O18"/>
  <c r="P18"/>
  <c r="Q18"/>
  <c r="R18"/>
  <c r="S18"/>
  <c r="T18"/>
  <c r="U18"/>
  <c r="V18"/>
  <c r="W18"/>
  <c r="L18"/>
  <c r="X18" s="1"/>
  <c r="M76" i="7"/>
  <c r="N76"/>
  <c r="O76"/>
  <c r="P76"/>
  <c r="Q76"/>
  <c r="R76"/>
  <c r="S76"/>
  <c r="T76"/>
  <c r="U76"/>
  <c r="V76"/>
  <c r="W76"/>
  <c r="L76"/>
  <c r="M75"/>
  <c r="N75"/>
  <c r="O75"/>
  <c r="P75"/>
  <c r="Q75"/>
  <c r="R75"/>
  <c r="S75"/>
  <c r="T75"/>
  <c r="U75"/>
  <c r="V75"/>
  <c r="W75"/>
  <c r="L75"/>
  <c r="M74"/>
  <c r="N74"/>
  <c r="N21" i="18" s="1"/>
  <c r="O74" i="7"/>
  <c r="P74"/>
  <c r="Q74"/>
  <c r="R74"/>
  <c r="R21" i="18" s="1"/>
  <c r="S74" i="7"/>
  <c r="T74"/>
  <c r="U74"/>
  <c r="V74"/>
  <c r="V21" i="18" s="1"/>
  <c r="W74" i="7"/>
  <c r="L74"/>
  <c r="M73"/>
  <c r="N73"/>
  <c r="O73"/>
  <c r="P73"/>
  <c r="Q73"/>
  <c r="R73"/>
  <c r="S73"/>
  <c r="T73"/>
  <c r="U73"/>
  <c r="V73"/>
  <c r="W73"/>
  <c r="L73"/>
  <c r="M9" i="18"/>
  <c r="N9"/>
  <c r="O9"/>
  <c r="P9"/>
  <c r="Q9"/>
  <c r="R9"/>
  <c r="R8" s="1"/>
  <c r="S9"/>
  <c r="T9"/>
  <c r="T8" s="1"/>
  <c r="U9"/>
  <c r="V9"/>
  <c r="V8" s="1"/>
  <c r="W9"/>
  <c r="M10"/>
  <c r="N10"/>
  <c r="O10"/>
  <c r="O8" s="1"/>
  <c r="P10"/>
  <c r="Q10"/>
  <c r="Q8" s="1"/>
  <c r="R10"/>
  <c r="S10"/>
  <c r="S8" s="1"/>
  <c r="T10"/>
  <c r="U10"/>
  <c r="U8" s="1"/>
  <c r="V10"/>
  <c r="W10"/>
  <c r="W8" s="1"/>
  <c r="L10"/>
  <c r="L9"/>
  <c r="M7"/>
  <c r="N7"/>
  <c r="O7"/>
  <c r="P7"/>
  <c r="Q7"/>
  <c r="R7"/>
  <c r="S7"/>
  <c r="T7"/>
  <c r="U7"/>
  <c r="V7"/>
  <c r="W7"/>
  <c r="L7"/>
  <c r="M6"/>
  <c r="M5" s="1"/>
  <c r="N6"/>
  <c r="N5" s="1"/>
  <c r="O6"/>
  <c r="O5" s="1"/>
  <c r="P6"/>
  <c r="P5" s="1"/>
  <c r="Q6"/>
  <c r="R6"/>
  <c r="R5" s="1"/>
  <c r="S6"/>
  <c r="T6"/>
  <c r="T5" s="1"/>
  <c r="U6"/>
  <c r="V6"/>
  <c r="V5" s="1"/>
  <c r="W6"/>
  <c r="W5" s="1"/>
  <c r="L6"/>
  <c r="M11"/>
  <c r="N11"/>
  <c r="O11"/>
  <c r="P11"/>
  <c r="Q11"/>
  <c r="R11"/>
  <c r="S11"/>
  <c r="T11"/>
  <c r="U11"/>
  <c r="V11"/>
  <c r="W11"/>
  <c r="L11"/>
  <c r="Q5"/>
  <c r="S5"/>
  <c r="U5"/>
  <c r="F31" i="19"/>
  <c r="G31"/>
  <c r="H31"/>
  <c r="E31"/>
  <c r="D31"/>
  <c r="F30" i="18"/>
  <c r="G30"/>
  <c r="H30"/>
  <c r="E30"/>
  <c r="D30"/>
  <c r="T21" l="1"/>
  <c r="P21"/>
  <c r="P8"/>
  <c r="X7"/>
  <c r="X9"/>
  <c r="M8"/>
  <c r="M4" s="1"/>
  <c r="N8"/>
  <c r="X36"/>
  <c r="M20"/>
  <c r="V20"/>
  <c r="T20"/>
  <c r="U20"/>
  <c r="R20"/>
  <c r="P20"/>
  <c r="Q20"/>
  <c r="N20"/>
  <c r="X74" i="7"/>
  <c r="V22" i="18"/>
  <c r="W22"/>
  <c r="V16"/>
  <c r="T22"/>
  <c r="U22"/>
  <c r="T16"/>
  <c r="R22"/>
  <c r="S22"/>
  <c r="R16"/>
  <c r="P22"/>
  <c r="Q22"/>
  <c r="P16"/>
  <c r="N22"/>
  <c r="O22"/>
  <c r="N16"/>
  <c r="X76" i="7"/>
  <c r="V17" i="18"/>
  <c r="V23"/>
  <c r="W17"/>
  <c r="T17"/>
  <c r="T23"/>
  <c r="U17"/>
  <c r="R17"/>
  <c r="R23"/>
  <c r="S17"/>
  <c r="P17"/>
  <c r="P23"/>
  <c r="Q17"/>
  <c r="N23"/>
  <c r="N17"/>
  <c r="X73" i="7"/>
  <c r="T14" i="18"/>
  <c r="P14"/>
  <c r="T15"/>
  <c r="P15"/>
  <c r="L8"/>
  <c r="W16"/>
  <c r="U16"/>
  <c r="S16"/>
  <c r="Q16"/>
  <c r="O16"/>
  <c r="M22"/>
  <c r="W23"/>
  <c r="U23"/>
  <c r="S23"/>
  <c r="Q23"/>
  <c r="M23"/>
  <c r="X75" i="7"/>
  <c r="V14" i="18"/>
  <c r="R14"/>
  <c r="N14"/>
  <c r="V15"/>
  <c r="R15"/>
  <c r="N15"/>
  <c r="W21"/>
  <c r="U21"/>
  <c r="S21"/>
  <c r="Q21"/>
  <c r="O21"/>
  <c r="M21"/>
  <c r="O17"/>
  <c r="W14"/>
  <c r="U14"/>
  <c r="S14"/>
  <c r="Q14"/>
  <c r="O14"/>
  <c r="M14"/>
  <c r="W15"/>
  <c r="U15"/>
  <c r="S15"/>
  <c r="Q15"/>
  <c r="O15"/>
  <c r="M15"/>
  <c r="M16"/>
  <c r="M17"/>
  <c r="O23"/>
  <c r="W20"/>
  <c r="S20"/>
  <c r="O20"/>
  <c r="X29"/>
  <c r="X30"/>
  <c r="Z30" s="1"/>
  <c r="X31"/>
  <c r="X33"/>
  <c r="X34"/>
  <c r="X35"/>
  <c r="X37"/>
  <c r="X7" i="6"/>
  <c r="X10" i="18"/>
  <c r="X17" i="6"/>
  <c r="L5" i="18"/>
  <c r="X6"/>
  <c r="X8"/>
  <c r="V4"/>
  <c r="T4"/>
  <c r="R4"/>
  <c r="P4"/>
  <c r="N4"/>
  <c r="W4"/>
  <c r="U4"/>
  <c r="S4"/>
  <c r="Q4"/>
  <c r="O4"/>
  <c r="L4"/>
  <c r="C16" i="15"/>
  <c r="T13" i="18" l="1"/>
  <c r="T24" s="1"/>
  <c r="V13"/>
  <c r="V24" s="1"/>
  <c r="N13"/>
  <c r="N24" s="1"/>
  <c r="M13"/>
  <c r="M24" s="1"/>
  <c r="Q13"/>
  <c r="Q24" s="1"/>
  <c r="U13"/>
  <c r="U24" s="1"/>
  <c r="X16" i="15"/>
  <c r="Z16"/>
  <c r="AB16"/>
  <c r="AD16"/>
  <c r="AF16"/>
  <c r="V16"/>
  <c r="Y16"/>
  <c r="AC16"/>
  <c r="AG16"/>
  <c r="W16"/>
  <c r="AA16"/>
  <c r="AE16"/>
  <c r="O13" i="18"/>
  <c r="O24" s="1"/>
  <c r="S13"/>
  <c r="S24" s="1"/>
  <c r="W13"/>
  <c r="W24" s="1"/>
  <c r="R13"/>
  <c r="R24" s="1"/>
  <c r="P13"/>
  <c r="P24" s="1"/>
  <c r="X5"/>
  <c r="X4"/>
  <c r="C5" i="12"/>
  <c r="AH16" i="15" l="1"/>
  <c r="AJ16" s="1"/>
  <c r="D234" i="21"/>
  <c r="F234"/>
  <c r="H234"/>
  <c r="J234"/>
  <c r="L234"/>
  <c r="N234"/>
  <c r="M226"/>
  <c r="M227"/>
  <c r="M228"/>
  <c r="M232"/>
  <c r="T232" s="1"/>
  <c r="K226"/>
  <c r="K227"/>
  <c r="K228"/>
  <c r="K232"/>
  <c r="I226"/>
  <c r="I227"/>
  <c r="I228"/>
  <c r="I232"/>
  <c r="G226"/>
  <c r="G227"/>
  <c r="G228"/>
  <c r="G232"/>
  <c r="E226"/>
  <c r="E227"/>
  <c r="E228"/>
  <c r="E229"/>
  <c r="E230"/>
  <c r="E231"/>
  <c r="E232"/>
  <c r="C226"/>
  <c r="C228"/>
  <c r="B226"/>
  <c r="B227"/>
  <c r="B228"/>
  <c r="B229"/>
  <c r="B230"/>
  <c r="B231"/>
  <c r="B232"/>
  <c r="B233"/>
  <c r="B224"/>
  <c r="R232" l="1"/>
  <c r="S227"/>
  <c r="Q228"/>
  <c r="R228"/>
  <c r="S228"/>
  <c r="T228"/>
  <c r="S232"/>
  <c r="R227"/>
  <c r="T227"/>
  <c r="O228"/>
  <c r="K6" i="12"/>
  <c r="K7"/>
  <c r="K8"/>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408"/>
  <c r="K409"/>
  <c r="K410"/>
  <c r="K411"/>
  <c r="K412"/>
  <c r="K413"/>
  <c r="K414"/>
  <c r="K415"/>
  <c r="K416"/>
  <c r="K417"/>
  <c r="K418"/>
  <c r="K419"/>
  <c r="K420"/>
  <c r="K421"/>
  <c r="K422"/>
  <c r="K423"/>
  <c r="K424"/>
  <c r="K425"/>
  <c r="K426"/>
  <c r="K427"/>
  <c r="K428"/>
  <c r="K429"/>
  <c r="K430"/>
  <c r="K431"/>
  <c r="K432"/>
  <c r="K433"/>
  <c r="K434"/>
  <c r="K435"/>
  <c r="K436"/>
  <c r="K437"/>
  <c r="K438"/>
  <c r="K439"/>
  <c r="K440"/>
  <c r="K441"/>
  <c r="K442"/>
  <c r="K443"/>
  <c r="K444"/>
  <c r="K445"/>
  <c r="K446"/>
  <c r="K447"/>
  <c r="K448"/>
  <c r="K449"/>
  <c r="K450"/>
  <c r="K451"/>
  <c r="K452"/>
  <c r="K453"/>
  <c r="K454"/>
  <c r="K455"/>
  <c r="K456"/>
  <c r="K457"/>
  <c r="K458"/>
  <c r="K459"/>
  <c r="K460"/>
  <c r="K461"/>
  <c r="K462"/>
  <c r="K463"/>
  <c r="K464"/>
  <c r="K465"/>
  <c r="K466"/>
  <c r="K467"/>
  <c r="K468"/>
  <c r="K469"/>
  <c r="K470"/>
  <c r="K471"/>
  <c r="K472"/>
  <c r="K473"/>
  <c r="K474"/>
  <c r="K475"/>
  <c r="K476"/>
  <c r="K477"/>
  <c r="K478"/>
  <c r="K479"/>
  <c r="K480"/>
  <c r="K481"/>
  <c r="K482"/>
  <c r="K483"/>
  <c r="K484"/>
  <c r="K485"/>
  <c r="K486"/>
  <c r="K487"/>
  <c r="K488"/>
  <c r="K489"/>
  <c r="K490"/>
  <c r="K491"/>
  <c r="K492"/>
  <c r="K493"/>
  <c r="K494"/>
  <c r="K495"/>
  <c r="K496"/>
  <c r="K497"/>
  <c r="K498"/>
  <c r="K499"/>
  <c r="K500"/>
  <c r="K501"/>
  <c r="K502"/>
  <c r="K503"/>
  <c r="K504"/>
  <c r="K505"/>
  <c r="K506"/>
  <c r="K507"/>
  <c r="K508"/>
  <c r="K509"/>
  <c r="K510"/>
  <c r="K511"/>
  <c r="K512"/>
  <c r="K513"/>
  <c r="K514"/>
  <c r="K515"/>
  <c r="K516"/>
  <c r="K517"/>
  <c r="K518"/>
  <c r="K519"/>
  <c r="K520"/>
  <c r="K521"/>
  <c r="K522"/>
  <c r="K523"/>
  <c r="K524"/>
  <c r="K525"/>
  <c r="K526"/>
  <c r="K527"/>
  <c r="K528"/>
  <c r="K529"/>
  <c r="K530"/>
  <c r="K531"/>
  <c r="K532"/>
  <c r="K533"/>
  <c r="K534"/>
  <c r="K535"/>
  <c r="K536"/>
  <c r="K537"/>
  <c r="K538"/>
  <c r="K539"/>
  <c r="K540"/>
  <c r="K541"/>
  <c r="K542"/>
  <c r="K543"/>
  <c r="K544"/>
  <c r="K545"/>
  <c r="K546"/>
  <c r="K547"/>
  <c r="K548"/>
  <c r="K549"/>
  <c r="K550"/>
  <c r="K551"/>
  <c r="K552"/>
  <c r="K553"/>
  <c r="K554"/>
  <c r="K555"/>
  <c r="K556"/>
  <c r="K557"/>
  <c r="K558"/>
  <c r="K559"/>
  <c r="K560"/>
  <c r="K561"/>
  <c r="K562"/>
  <c r="K563"/>
  <c r="K564"/>
  <c r="K565"/>
  <c r="K566"/>
  <c r="K567"/>
  <c r="K568"/>
  <c r="K569"/>
  <c r="K570"/>
  <c r="K571"/>
  <c r="K572"/>
  <c r="K573"/>
  <c r="K574"/>
  <c r="K575"/>
  <c r="K576"/>
  <c r="K577"/>
  <c r="K578"/>
  <c r="K579"/>
  <c r="K580"/>
  <c r="K581"/>
  <c r="K582"/>
  <c r="K583"/>
  <c r="K584"/>
  <c r="K585"/>
  <c r="K586"/>
  <c r="K587"/>
  <c r="K588"/>
  <c r="K589"/>
  <c r="K590"/>
  <c r="K591"/>
  <c r="K592"/>
  <c r="K593"/>
  <c r="K594"/>
  <c r="K595"/>
  <c r="K596"/>
  <c r="K597"/>
  <c r="K598"/>
  <c r="K599"/>
  <c r="K600"/>
  <c r="K601"/>
  <c r="K602"/>
  <c r="K603"/>
  <c r="K604"/>
  <c r="K605"/>
  <c r="K606"/>
  <c r="K607"/>
  <c r="K608"/>
  <c r="K609"/>
  <c r="K610"/>
  <c r="K611"/>
  <c r="K612"/>
  <c r="K613"/>
  <c r="K614"/>
  <c r="K615"/>
  <c r="K616"/>
  <c r="K617"/>
  <c r="K618"/>
  <c r="K619"/>
  <c r="K620"/>
  <c r="K621"/>
  <c r="K622"/>
  <c r="K623"/>
  <c r="K624"/>
  <c r="K625"/>
  <c r="K626"/>
  <c r="K627"/>
  <c r="K628"/>
  <c r="K629"/>
  <c r="K630"/>
  <c r="K631"/>
  <c r="K632"/>
  <c r="K633"/>
  <c r="K634"/>
  <c r="K635"/>
  <c r="K636"/>
  <c r="K637"/>
  <c r="K638"/>
  <c r="K639"/>
  <c r="K640"/>
  <c r="K641"/>
  <c r="K642"/>
  <c r="K643"/>
  <c r="K644"/>
  <c r="K645"/>
  <c r="K646"/>
  <c r="K647"/>
  <c r="K648"/>
  <c r="K649"/>
  <c r="K650"/>
  <c r="K651"/>
  <c r="K652"/>
  <c r="K653"/>
  <c r="K654"/>
  <c r="K655"/>
  <c r="K656"/>
  <c r="K657"/>
  <c r="K658"/>
  <c r="K659"/>
  <c r="K660"/>
  <c r="K661"/>
  <c r="K662"/>
  <c r="K663"/>
  <c r="K664"/>
  <c r="K665"/>
  <c r="K666"/>
  <c r="K667"/>
  <c r="K668"/>
  <c r="K669"/>
  <c r="K670"/>
  <c r="K671"/>
  <c r="K672"/>
  <c r="K673"/>
  <c r="K674"/>
  <c r="K675"/>
  <c r="K676"/>
  <c r="K677"/>
  <c r="K678"/>
  <c r="K679"/>
  <c r="K680"/>
  <c r="K681"/>
  <c r="K682"/>
  <c r="K683"/>
  <c r="K684"/>
  <c r="K685"/>
  <c r="K686"/>
  <c r="K687"/>
  <c r="K688"/>
  <c r="K689"/>
  <c r="K690"/>
  <c r="K691"/>
  <c r="K692"/>
  <c r="K693"/>
  <c r="K694"/>
  <c r="K695"/>
  <c r="K696"/>
  <c r="K697"/>
  <c r="K698"/>
  <c r="K699"/>
  <c r="K700"/>
  <c r="K701"/>
  <c r="K702"/>
  <c r="K703"/>
  <c r="K704"/>
  <c r="K705"/>
  <c r="K706"/>
  <c r="K707"/>
  <c r="K708"/>
  <c r="K709"/>
  <c r="K710"/>
  <c r="K711"/>
  <c r="K712"/>
  <c r="K713"/>
  <c r="K714"/>
  <c r="K715"/>
  <c r="K716"/>
  <c r="K717"/>
  <c r="K718"/>
  <c r="K719"/>
  <c r="K720"/>
  <c r="K721"/>
  <c r="K722"/>
  <c r="K723"/>
  <c r="K724"/>
  <c r="K725"/>
  <c r="K726"/>
  <c r="K727"/>
  <c r="K728"/>
  <c r="K729"/>
  <c r="K730"/>
  <c r="K731"/>
  <c r="K732"/>
  <c r="K733"/>
  <c r="K734"/>
  <c r="K735"/>
  <c r="K736"/>
  <c r="K737"/>
  <c r="K738"/>
  <c r="K739"/>
  <c r="K740"/>
  <c r="K741"/>
  <c r="K742"/>
  <c r="K743"/>
  <c r="K744"/>
  <c r="K5"/>
  <c r="C14"/>
  <c r="U228" i="21" l="1"/>
  <c r="N727" i="12"/>
  <c r="N642"/>
  <c r="N622"/>
  <c r="N582"/>
  <c r="N542"/>
  <c r="N705"/>
  <c r="N683"/>
  <c r="N663"/>
  <c r="N603"/>
  <c r="N563"/>
  <c r="N521"/>
  <c r="N499"/>
  <c r="M4"/>
  <c r="N4" s="1"/>
  <c r="C16" s="1"/>
  <c r="C190" i="21"/>
  <c r="G203"/>
  <c r="I203"/>
  <c r="K203"/>
  <c r="M203"/>
  <c r="G215"/>
  <c r="I215"/>
  <c r="K215"/>
  <c r="M215"/>
  <c r="G219"/>
  <c r="I219"/>
  <c r="K219"/>
  <c r="M219"/>
  <c r="E203"/>
  <c r="E215"/>
  <c r="E216"/>
  <c r="E219"/>
  <c r="E220"/>
  <c r="E190"/>
  <c r="G190"/>
  <c r="I190"/>
  <c r="K190"/>
  <c r="M190"/>
  <c r="B191"/>
  <c r="W191" s="1"/>
  <c r="B192"/>
  <c r="W192" s="1"/>
  <c r="B193"/>
  <c r="W193" s="1"/>
  <c r="B194"/>
  <c r="W194" s="1"/>
  <c r="B195"/>
  <c r="W195" s="1"/>
  <c r="B196"/>
  <c r="W196" s="1"/>
  <c r="B197"/>
  <c r="W197" s="1"/>
  <c r="B198"/>
  <c r="W198" s="1"/>
  <c r="B199"/>
  <c r="W199" s="1"/>
  <c r="B200"/>
  <c r="W200" s="1"/>
  <c r="B201"/>
  <c r="W201" s="1"/>
  <c r="B203"/>
  <c r="B204"/>
  <c r="B205"/>
  <c r="B206"/>
  <c r="B207"/>
  <c r="B208"/>
  <c r="B209"/>
  <c r="B210"/>
  <c r="B211"/>
  <c r="B212"/>
  <c r="B213"/>
  <c r="B215"/>
  <c r="B216"/>
  <c r="B217"/>
  <c r="B219"/>
  <c r="B220"/>
  <c r="B221"/>
  <c r="B190"/>
  <c r="W190" s="1"/>
  <c r="E176"/>
  <c r="G176"/>
  <c r="I176"/>
  <c r="K176"/>
  <c r="M176"/>
  <c r="E177"/>
  <c r="G177"/>
  <c r="I177"/>
  <c r="K177"/>
  <c r="M177"/>
  <c r="C176"/>
  <c r="C177"/>
  <c r="C164"/>
  <c r="E164"/>
  <c r="G164"/>
  <c r="I164"/>
  <c r="K164"/>
  <c r="M164"/>
  <c r="B165"/>
  <c r="B166"/>
  <c r="B167"/>
  <c r="B168"/>
  <c r="B169"/>
  <c r="B170"/>
  <c r="B171"/>
  <c r="B172"/>
  <c r="B173"/>
  <c r="B176"/>
  <c r="B177"/>
  <c r="B178"/>
  <c r="B179"/>
  <c r="B180"/>
  <c r="B181"/>
  <c r="B182"/>
  <c r="B183"/>
  <c r="B184"/>
  <c r="B185"/>
  <c r="B186"/>
  <c r="B187"/>
  <c r="B164"/>
  <c r="E117"/>
  <c r="G117"/>
  <c r="I117"/>
  <c r="K117"/>
  <c r="M117"/>
  <c r="E118"/>
  <c r="G118"/>
  <c r="I118"/>
  <c r="K118"/>
  <c r="M118"/>
  <c r="E122"/>
  <c r="E129"/>
  <c r="G129"/>
  <c r="I129"/>
  <c r="K129"/>
  <c r="M129"/>
  <c r="E133"/>
  <c r="G133"/>
  <c r="I133"/>
  <c r="K133"/>
  <c r="M133"/>
  <c r="E135"/>
  <c r="G135"/>
  <c r="I135"/>
  <c r="K135"/>
  <c r="M135"/>
  <c r="E136"/>
  <c r="G136"/>
  <c r="I136"/>
  <c r="K136"/>
  <c r="M136"/>
  <c r="E137"/>
  <c r="G137"/>
  <c r="I137"/>
  <c r="K137"/>
  <c r="M137"/>
  <c r="E140"/>
  <c r="G140"/>
  <c r="I140"/>
  <c r="K140"/>
  <c r="M140"/>
  <c r="E141"/>
  <c r="G141"/>
  <c r="I141"/>
  <c r="K141"/>
  <c r="M141"/>
  <c r="E149"/>
  <c r="G149"/>
  <c r="I149"/>
  <c r="K149"/>
  <c r="M149"/>
  <c r="E153"/>
  <c r="G153"/>
  <c r="I153"/>
  <c r="K153"/>
  <c r="M153"/>
  <c r="E155"/>
  <c r="C118"/>
  <c r="C121"/>
  <c r="C122"/>
  <c r="C129"/>
  <c r="C131"/>
  <c r="C133"/>
  <c r="C140"/>
  <c r="C141"/>
  <c r="C143"/>
  <c r="C144"/>
  <c r="C145"/>
  <c r="C146"/>
  <c r="C147"/>
  <c r="C149"/>
  <c r="C153"/>
  <c r="C155"/>
  <c r="C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17"/>
  <c r="C115"/>
  <c r="E115"/>
  <c r="G115"/>
  <c r="I115"/>
  <c r="K115"/>
  <c r="M115"/>
  <c r="B115"/>
  <c r="B52"/>
  <c r="B53"/>
  <c r="B54"/>
  <c r="C54"/>
  <c r="B55"/>
  <c r="C55"/>
  <c r="B56"/>
  <c r="C56"/>
  <c r="B57"/>
  <c r="C57"/>
  <c r="B58"/>
  <c r="B59"/>
  <c r="B60"/>
  <c r="B61"/>
  <c r="C61"/>
  <c r="E61"/>
  <c r="B62"/>
  <c r="C62"/>
  <c r="E62"/>
  <c r="B63"/>
  <c r="C63"/>
  <c r="E63"/>
  <c r="B64"/>
  <c r="C64"/>
  <c r="E64"/>
  <c r="B65"/>
  <c r="B66"/>
  <c r="C66"/>
  <c r="B67"/>
  <c r="C67"/>
  <c r="B68"/>
  <c r="C68"/>
  <c r="B69"/>
  <c r="C69"/>
  <c r="B70"/>
  <c r="B71"/>
  <c r="C71"/>
  <c r="B72"/>
  <c r="C72"/>
  <c r="B73"/>
  <c r="C73"/>
  <c r="B74"/>
  <c r="C74"/>
  <c r="B75"/>
  <c r="B76"/>
  <c r="B77"/>
  <c r="C77"/>
  <c r="E77"/>
  <c r="B78"/>
  <c r="C78"/>
  <c r="B79"/>
  <c r="C79"/>
  <c r="E79"/>
  <c r="G79"/>
  <c r="I79"/>
  <c r="K79"/>
  <c r="M79"/>
  <c r="B80"/>
  <c r="C80"/>
  <c r="B81"/>
  <c r="C81"/>
  <c r="E81"/>
  <c r="G81"/>
  <c r="I81"/>
  <c r="K81"/>
  <c r="M81"/>
  <c r="B82"/>
  <c r="C82"/>
  <c r="B83"/>
  <c r="C83"/>
  <c r="B84"/>
  <c r="C84"/>
  <c r="B85"/>
  <c r="C85"/>
  <c r="B86"/>
  <c r="C86"/>
  <c r="B87"/>
  <c r="C87"/>
  <c r="B88"/>
  <c r="B89"/>
  <c r="C89"/>
  <c r="E89"/>
  <c r="G89"/>
  <c r="I89"/>
  <c r="K89"/>
  <c r="M89"/>
  <c r="B90"/>
  <c r="B91"/>
  <c r="E91"/>
  <c r="G91"/>
  <c r="I91"/>
  <c r="K91"/>
  <c r="M91"/>
  <c r="B92"/>
  <c r="E92"/>
  <c r="G92"/>
  <c r="I92"/>
  <c r="K92"/>
  <c r="M92"/>
  <c r="B93"/>
  <c r="B94"/>
  <c r="C94"/>
  <c r="B95"/>
  <c r="C95"/>
  <c r="B96"/>
  <c r="B97"/>
  <c r="B98"/>
  <c r="C98"/>
  <c r="E98"/>
  <c r="G98"/>
  <c r="I98"/>
  <c r="K98"/>
  <c r="M98"/>
  <c r="B99"/>
  <c r="B100"/>
  <c r="C100"/>
  <c r="E100"/>
  <c r="G100"/>
  <c r="I100"/>
  <c r="K100"/>
  <c r="M100"/>
  <c r="B101"/>
  <c r="C101"/>
  <c r="E101"/>
  <c r="G101"/>
  <c r="I101"/>
  <c r="K101"/>
  <c r="M101"/>
  <c r="B102"/>
  <c r="B103"/>
  <c r="E103"/>
  <c r="G103"/>
  <c r="I103"/>
  <c r="K103"/>
  <c r="M103"/>
  <c r="B104"/>
  <c r="E104"/>
  <c r="G104"/>
  <c r="I104"/>
  <c r="K104"/>
  <c r="M104"/>
  <c r="B105"/>
  <c r="B106"/>
  <c r="B107"/>
  <c r="B108"/>
  <c r="B109"/>
  <c r="B110"/>
  <c r="B111"/>
  <c r="C111"/>
  <c r="B112"/>
  <c r="C50"/>
  <c r="E50"/>
  <c r="G50"/>
  <c r="I50"/>
  <c r="K50"/>
  <c r="M50"/>
  <c r="B50"/>
  <c r="C6"/>
  <c r="C7"/>
  <c r="C9"/>
  <c r="C10"/>
  <c r="C14"/>
  <c r="C15"/>
  <c r="C16"/>
  <c r="C17"/>
  <c r="C20"/>
  <c r="C21"/>
  <c r="C22"/>
  <c r="C23"/>
  <c r="C26"/>
  <c r="C27"/>
  <c r="C28"/>
  <c r="C29"/>
  <c r="C30"/>
  <c r="E30"/>
  <c r="G30"/>
  <c r="I30"/>
  <c r="K30"/>
  <c r="M30"/>
  <c r="C31"/>
  <c r="C32"/>
  <c r="E32"/>
  <c r="G32"/>
  <c r="I32"/>
  <c r="K32"/>
  <c r="M32"/>
  <c r="C33"/>
  <c r="C34"/>
  <c r="C35"/>
  <c r="C36"/>
  <c r="C37"/>
  <c r="C38"/>
  <c r="C39"/>
  <c r="C41"/>
  <c r="C42"/>
  <c r="E42"/>
  <c r="G42"/>
  <c r="I42"/>
  <c r="K42"/>
  <c r="M42"/>
  <c r="C44"/>
  <c r="C46"/>
  <c r="B5"/>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
  <c r="C2"/>
  <c r="E2"/>
  <c r="G2"/>
  <c r="I2"/>
  <c r="K2"/>
  <c r="M2"/>
  <c r="B2"/>
  <c r="E17" i="15"/>
  <c r="G229" i="21" s="1"/>
  <c r="F17" i="15"/>
  <c r="I229" i="21" s="1"/>
  <c r="R229" s="1"/>
  <c r="G17" i="15"/>
  <c r="K229" i="21" s="1"/>
  <c r="C24" i="6"/>
  <c r="C186" i="21" s="1"/>
  <c r="C23" i="6"/>
  <c r="C185" i="21" s="1"/>
  <c r="D21" i="6"/>
  <c r="E21"/>
  <c r="G183" i="21" s="1"/>
  <c r="F21" i="6"/>
  <c r="I183" i="21" s="1"/>
  <c r="G21" i="6"/>
  <c r="K183" i="21" s="1"/>
  <c r="C18" i="6"/>
  <c r="C180" i="21" s="1"/>
  <c r="C17" i="6"/>
  <c r="C179" i="21" s="1"/>
  <c r="D10" i="6"/>
  <c r="E10"/>
  <c r="G172" i="21" s="1"/>
  <c r="F10" i="6"/>
  <c r="I172" i="21" s="1"/>
  <c r="G10" i="6"/>
  <c r="K172" i="21" s="1"/>
  <c r="C7" i="6"/>
  <c r="C169" i="21" s="1"/>
  <c r="S229" l="1"/>
  <c r="Z10" i="6"/>
  <c r="E172" i="21"/>
  <c r="Z21" i="6"/>
  <c r="E183" i="21"/>
  <c r="T32"/>
  <c r="R32"/>
  <c r="T30"/>
  <c r="R30"/>
  <c r="S32"/>
  <c r="Q32"/>
  <c r="U32" s="1"/>
  <c r="S30"/>
  <c r="Q30"/>
  <c r="F28" i="18"/>
  <c r="I28" i="21" s="1"/>
  <c r="G28" i="18"/>
  <c r="K28" i="21" s="1"/>
  <c r="H28" i="18"/>
  <c r="M28" i="21" s="1"/>
  <c r="E28" i="18"/>
  <c r="G28" i="21" s="1"/>
  <c r="U30" l="1"/>
  <c r="F19" i="15"/>
  <c r="I231" i="21" s="1"/>
  <c r="G19" i="15"/>
  <c r="K231" i="21" s="1"/>
  <c r="S231" s="1"/>
  <c r="H19" i="15"/>
  <c r="E19"/>
  <c r="G231" i="21" s="1"/>
  <c r="F18" i="15"/>
  <c r="G18"/>
  <c r="H18"/>
  <c r="E18"/>
  <c r="H17"/>
  <c r="M229" i="21" s="1"/>
  <c r="T229" s="1"/>
  <c r="H27" i="18" l="1"/>
  <c r="M27" i="21" s="1"/>
  <c r="M231"/>
  <c r="T231" s="1"/>
  <c r="R231"/>
  <c r="H26" i="18"/>
  <c r="M26" i="21" s="1"/>
  <c r="M230"/>
  <c r="E26" i="18"/>
  <c r="G26" i="21" s="1"/>
  <c r="G230"/>
  <c r="G26" i="18"/>
  <c r="K26" i="21" s="1"/>
  <c r="K230"/>
  <c r="F26" i="18"/>
  <c r="I26" i="21" s="1"/>
  <c r="R26" s="1"/>
  <c r="I230"/>
  <c r="T26"/>
  <c r="H21" i="6"/>
  <c r="M183" i="21" s="1"/>
  <c r="H10" i="6"/>
  <c r="M172" i="21" s="1"/>
  <c r="H21" i="15"/>
  <c r="M233" i="21" s="1"/>
  <c r="F27" i="18"/>
  <c r="I27" i="21" s="1"/>
  <c r="F21" i="15"/>
  <c r="I233" i="21" s="1"/>
  <c r="E27" i="18"/>
  <c r="E21" i="15"/>
  <c r="G233" i="21" s="1"/>
  <c r="G27" i="18"/>
  <c r="K27" i="21" s="1"/>
  <c r="S27" s="1"/>
  <c r="G21" i="15"/>
  <c r="K233" i="21" s="1"/>
  <c r="D57" i="19"/>
  <c r="E105" i="21" s="1"/>
  <c r="E57" i="19"/>
  <c r="G105" i="21" s="1"/>
  <c r="F57" i="19"/>
  <c r="I105" i="21" s="1"/>
  <c r="G57" i="19"/>
  <c r="K105" i="21" s="1"/>
  <c r="H57" i="19"/>
  <c r="M105" i="21" s="1"/>
  <c r="D58" i="19"/>
  <c r="E106" i="21" s="1"/>
  <c r="E58" i="19"/>
  <c r="G106" i="21" s="1"/>
  <c r="F58" i="19"/>
  <c r="I106" i="21" s="1"/>
  <c r="G58" i="19"/>
  <c r="K106" i="21" s="1"/>
  <c r="H58" i="19"/>
  <c r="M106" i="21" s="1"/>
  <c r="D59" i="19"/>
  <c r="E107" i="21" s="1"/>
  <c r="E59" i="19"/>
  <c r="G107" i="21" s="1"/>
  <c r="F59" i="19"/>
  <c r="I107" i="21" s="1"/>
  <c r="G59" i="19"/>
  <c r="K107" i="21" s="1"/>
  <c r="H59" i="19"/>
  <c r="M107" i="21" s="1"/>
  <c r="D60" i="19"/>
  <c r="E108" i="21" s="1"/>
  <c r="E60" i="19"/>
  <c r="G108" i="21" s="1"/>
  <c r="F60" i="19"/>
  <c r="I108" i="21" s="1"/>
  <c r="G60" i="19"/>
  <c r="K108" i="21" s="1"/>
  <c r="H60" i="19"/>
  <c r="M108" i="21" s="1"/>
  <c r="C17" i="15"/>
  <c r="W17" l="1"/>
  <c r="Y17"/>
  <c r="AA17"/>
  <c r="AC17"/>
  <c r="AE17"/>
  <c r="AG17"/>
  <c r="Z17"/>
  <c r="AD17"/>
  <c r="V17"/>
  <c r="X17"/>
  <c r="AB17"/>
  <c r="AF17"/>
  <c r="C229" i="21"/>
  <c r="T27"/>
  <c r="G27"/>
  <c r="R27" s="1"/>
  <c r="S26"/>
  <c r="S233"/>
  <c r="K234"/>
  <c r="G234"/>
  <c r="H230" s="1"/>
  <c r="I234"/>
  <c r="J230" s="1"/>
  <c r="R233"/>
  <c r="M234"/>
  <c r="N230" s="1"/>
  <c r="T233"/>
  <c r="R230"/>
  <c r="L230"/>
  <c r="S230"/>
  <c r="T230"/>
  <c r="C57" i="19"/>
  <c r="C105" i="21" s="1"/>
  <c r="C21" i="6"/>
  <c r="C183" i="21" s="1"/>
  <c r="C10" i="6"/>
  <c r="C172" i="21" s="1"/>
  <c r="C17" i="12"/>
  <c r="D48" i="19"/>
  <c r="E96" i="21" s="1"/>
  <c r="C48" i="19"/>
  <c r="C96" i="21" s="1"/>
  <c r="C271" i="4"/>
  <c r="C29" i="20"/>
  <c r="C22" i="19"/>
  <c r="C70" i="21" s="1"/>
  <c r="C17" i="19"/>
  <c r="C65" i="21" s="1"/>
  <c r="D12" i="19"/>
  <c r="E60" i="21" s="1"/>
  <c r="C12" i="19"/>
  <c r="C60" i="21" s="1"/>
  <c r="D28" i="19"/>
  <c r="E76" i="21" s="1"/>
  <c r="E28" i="19"/>
  <c r="G76" i="21" s="1"/>
  <c r="F28" i="19"/>
  <c r="I76" i="21" s="1"/>
  <c r="G28" i="19"/>
  <c r="K76" i="21" s="1"/>
  <c r="H28" i="19"/>
  <c r="M76" i="21" s="1"/>
  <c r="C28" i="19"/>
  <c r="C76" i="21" s="1"/>
  <c r="D19" i="18"/>
  <c r="E19"/>
  <c r="G19" i="21" s="1"/>
  <c r="F19" i="18"/>
  <c r="I19" i="21" s="1"/>
  <c r="R19" s="1"/>
  <c r="G19" i="18"/>
  <c r="K19" i="21" s="1"/>
  <c r="H19" i="18"/>
  <c r="M19" i="21" s="1"/>
  <c r="C19" i="18"/>
  <c r="C19" i="21" s="1"/>
  <c r="D27" i="19"/>
  <c r="E75" i="21" s="1"/>
  <c r="E27" i="19"/>
  <c r="G75" i="21" s="1"/>
  <c r="F27" i="19"/>
  <c r="I75" i="21" s="1"/>
  <c r="G27" i="19"/>
  <c r="K75" i="21" s="1"/>
  <c r="H27" i="19"/>
  <c r="M75" i="21" s="1"/>
  <c r="C27" i="19"/>
  <c r="C75" i="21" s="1"/>
  <c r="D18" i="18"/>
  <c r="E18"/>
  <c r="G18" i="21" s="1"/>
  <c r="F18" i="18"/>
  <c r="I18" i="21" s="1"/>
  <c r="R18" s="1"/>
  <c r="G18" i="18"/>
  <c r="K18" i="21" s="1"/>
  <c r="H18" i="18"/>
  <c r="M18" i="21" s="1"/>
  <c r="C18" i="18"/>
  <c r="T18" i="21" l="1"/>
  <c r="T19"/>
  <c r="O229"/>
  <c r="Q229"/>
  <c r="U229" s="1"/>
  <c r="AH17" i="15"/>
  <c r="AJ17" s="1"/>
  <c r="S18" i="21"/>
  <c r="S19"/>
  <c r="C35" i="20"/>
  <c r="C148" i="21" s="1"/>
  <c r="C142"/>
  <c r="Z18" i="18"/>
  <c r="E18" i="21"/>
  <c r="Q18" s="1"/>
  <c r="Z19" i="18"/>
  <c r="E19" i="21"/>
  <c r="Q19" s="1"/>
  <c r="C13" i="18"/>
  <c r="C13" i="21" s="1"/>
  <c r="C18"/>
  <c r="T234"/>
  <c r="N229"/>
  <c r="R234"/>
  <c r="J229"/>
  <c r="H229"/>
  <c r="L229"/>
  <c r="S234"/>
  <c r="D11" i="19"/>
  <c r="E59" i="21" s="1"/>
  <c r="E11" i="19"/>
  <c r="G59" i="21" s="1"/>
  <c r="F11" i="19"/>
  <c r="I59" i="21" s="1"/>
  <c r="G11" i="19"/>
  <c r="K59" i="21" s="1"/>
  <c r="H11" i="19"/>
  <c r="M59" i="21" s="1"/>
  <c r="C11" i="19"/>
  <c r="D12" i="18"/>
  <c r="E12"/>
  <c r="F12"/>
  <c r="G12"/>
  <c r="H12"/>
  <c r="C12"/>
  <c r="H9" i="20"/>
  <c r="M122" i="21" s="1"/>
  <c r="H8" i="20"/>
  <c r="M121" i="21" s="1"/>
  <c r="H30" i="19"/>
  <c r="M78" i="21" s="1"/>
  <c r="H32" i="19"/>
  <c r="M80" i="21" s="1"/>
  <c r="H34" i="19"/>
  <c r="M82" i="21" s="1"/>
  <c r="H35" i="19"/>
  <c r="M83" i="21" s="1"/>
  <c r="H36" i="19"/>
  <c r="M84" i="21" s="1"/>
  <c r="H37" i="19"/>
  <c r="M85" i="21" s="1"/>
  <c r="H38" i="19"/>
  <c r="M86" i="21" s="1"/>
  <c r="H39" i="19"/>
  <c r="M87" i="21" s="1"/>
  <c r="H9" i="19"/>
  <c r="M57" i="21" s="1"/>
  <c r="H7" i="19"/>
  <c r="M55" i="21" s="1"/>
  <c r="H8" i="19"/>
  <c r="M56" i="21" s="1"/>
  <c r="H6" i="19"/>
  <c r="M54" i="21" s="1"/>
  <c r="H29" i="18"/>
  <c r="M29" i="21" s="1"/>
  <c r="H31" i="18"/>
  <c r="M31" i="21" s="1"/>
  <c r="H33" i="18"/>
  <c r="M33" i="21" s="1"/>
  <c r="H34" i="18"/>
  <c r="M34" i="21" s="1"/>
  <c r="H35" i="18"/>
  <c r="M35" i="21" s="1"/>
  <c r="H36" i="18"/>
  <c r="M36" i="21" s="1"/>
  <c r="H37" i="18"/>
  <c r="M37" i="21" s="1"/>
  <c r="H38" i="18"/>
  <c r="M38" i="21" s="1"/>
  <c r="H39" i="18"/>
  <c r="H9"/>
  <c r="M9" i="21" s="1"/>
  <c r="H10" i="18"/>
  <c r="M10" i="21" s="1"/>
  <c r="H7" i="18"/>
  <c r="M7" i="21" s="1"/>
  <c r="H6" i="18"/>
  <c r="M6" i="21" s="1"/>
  <c r="G9" i="20"/>
  <c r="K122" i="21" s="1"/>
  <c r="G8" i="20"/>
  <c r="K121" i="21" s="1"/>
  <c r="G30" i="19"/>
  <c r="K78" i="21" s="1"/>
  <c r="G32" i="19"/>
  <c r="K80" i="21" s="1"/>
  <c r="G34" i="19"/>
  <c r="K82" i="21" s="1"/>
  <c r="G35" i="19"/>
  <c r="K83" i="21" s="1"/>
  <c r="G36" i="19"/>
  <c r="K84" i="21" s="1"/>
  <c r="G37" i="19"/>
  <c r="K85" i="21" s="1"/>
  <c r="G38" i="19"/>
  <c r="K86" i="21" s="1"/>
  <c r="G39" i="19"/>
  <c r="K87" i="21" s="1"/>
  <c r="G9" i="19"/>
  <c r="K57" i="21" s="1"/>
  <c r="G7" i="19"/>
  <c r="K55" i="21" s="1"/>
  <c r="G8" i="19"/>
  <c r="K56" i="21" s="1"/>
  <c r="G6" i="19"/>
  <c r="K54" i="21" s="1"/>
  <c r="G39" i="18"/>
  <c r="G29"/>
  <c r="K29" i="21" s="1"/>
  <c r="G31" i="18"/>
  <c r="K31" i="21" s="1"/>
  <c r="G33" i="18"/>
  <c r="K33" i="21" s="1"/>
  <c r="G34" i="18"/>
  <c r="K34" i="21" s="1"/>
  <c r="G35" i="18"/>
  <c r="K35" i="21" s="1"/>
  <c r="G36" i="18"/>
  <c r="K36" i="21" s="1"/>
  <c r="G37" i="18"/>
  <c r="K37" i="21" s="1"/>
  <c r="G38" i="18"/>
  <c r="K38" i="21" s="1"/>
  <c r="G9" i="18"/>
  <c r="K9" i="21" s="1"/>
  <c r="G10" i="18"/>
  <c r="K10" i="21" s="1"/>
  <c r="G6" i="18"/>
  <c r="K6" i="21" s="1"/>
  <c r="G7" i="18"/>
  <c r="K7" i="21" s="1"/>
  <c r="F10" i="18"/>
  <c r="I10" i="21" s="1"/>
  <c r="F9" i="18"/>
  <c r="I9" i="21" s="1"/>
  <c r="F7" i="18"/>
  <c r="I7" i="21" s="1"/>
  <c r="F6" i="18"/>
  <c r="I6" i="21" s="1"/>
  <c r="F39" i="19"/>
  <c r="I87" i="21" s="1"/>
  <c r="F38" i="19"/>
  <c r="I86" i="21" s="1"/>
  <c r="F37" i="19"/>
  <c r="I85" i="21" s="1"/>
  <c r="F36" i="19"/>
  <c r="I84" i="21" s="1"/>
  <c r="F35" i="19"/>
  <c r="I83" i="21" s="1"/>
  <c r="F34" i="19"/>
  <c r="I82" i="21" s="1"/>
  <c r="F32" i="19"/>
  <c r="I80" i="21" s="1"/>
  <c r="F30" i="19"/>
  <c r="I78" i="21" s="1"/>
  <c r="F9" i="19"/>
  <c r="I57" i="21" s="1"/>
  <c r="U19" l="1"/>
  <c r="U18"/>
  <c r="C10" i="19"/>
  <c r="C58" i="21" s="1"/>
  <c r="C59"/>
  <c r="H17" i="6"/>
  <c r="M179" i="21" s="1"/>
  <c r="H7" i="6"/>
  <c r="M169" i="21" s="1"/>
  <c r="M39"/>
  <c r="H11" i="18"/>
  <c r="M11" i="21" s="1"/>
  <c r="M12"/>
  <c r="F11" i="18"/>
  <c r="I11" i="21" s="1"/>
  <c r="I12"/>
  <c r="D11" i="18"/>
  <c r="Z11" s="1"/>
  <c r="Z12"/>
  <c r="E12" i="21"/>
  <c r="T37"/>
  <c r="T35"/>
  <c r="T33"/>
  <c r="T29"/>
  <c r="K39"/>
  <c r="G17" i="6"/>
  <c r="K179" i="21" s="1"/>
  <c r="G7" i="6"/>
  <c r="K169" i="21" s="1"/>
  <c r="C11" i="18"/>
  <c r="C11" i="21" s="1"/>
  <c r="C12"/>
  <c r="G11" i="18"/>
  <c r="K11" i="21" s="1"/>
  <c r="K12"/>
  <c r="E11" i="18"/>
  <c r="G11" i="21" s="1"/>
  <c r="G12"/>
  <c r="T38"/>
  <c r="T36"/>
  <c r="T34"/>
  <c r="T31"/>
  <c r="H7" i="20"/>
  <c r="G7"/>
  <c r="F8" i="19"/>
  <c r="I56" i="21" s="1"/>
  <c r="F7" i="19"/>
  <c r="I55" i="21" s="1"/>
  <c r="F6" i="19"/>
  <c r="I54" i="21" s="1"/>
  <c r="D21" i="20"/>
  <c r="E21"/>
  <c r="F21"/>
  <c r="G21"/>
  <c r="H21"/>
  <c r="D42" i="19"/>
  <c r="E90" i="21" s="1"/>
  <c r="E42" i="19"/>
  <c r="G90" i="21" s="1"/>
  <c r="F42" i="19"/>
  <c r="I90" i="21" s="1"/>
  <c r="G42" i="19"/>
  <c r="K90" i="21" s="1"/>
  <c r="H42" i="19"/>
  <c r="M90" i="21" s="1"/>
  <c r="C45" i="19"/>
  <c r="C93" i="21" s="1"/>
  <c r="G5" i="19"/>
  <c r="K53" i="21" s="1"/>
  <c r="H5" i="19"/>
  <c r="M53" i="21" s="1"/>
  <c r="C5" i="19"/>
  <c r="C53" i="21" s="1"/>
  <c r="C43" i="18"/>
  <c r="C43" i="21" s="1"/>
  <c r="G25" i="18"/>
  <c r="K25" i="21" s="1"/>
  <c r="H25" i="18"/>
  <c r="M25" i="21" s="1"/>
  <c r="C25" i="18"/>
  <c r="C25" i="21" s="1"/>
  <c r="F8" i="18"/>
  <c r="I8" i="21" s="1"/>
  <c r="G8" i="18"/>
  <c r="K8" i="21" s="1"/>
  <c r="H8" i="18"/>
  <c r="M8" i="21" s="1"/>
  <c r="C8" i="18"/>
  <c r="C8" i="21" s="1"/>
  <c r="F5" i="18"/>
  <c r="G5"/>
  <c r="H5"/>
  <c r="C5"/>
  <c r="D39" i="19"/>
  <c r="E87" i="21" s="1"/>
  <c r="E11" l="1"/>
  <c r="H25" i="20"/>
  <c r="M138" i="21" s="1"/>
  <c r="M134"/>
  <c r="F25" i="20"/>
  <c r="I138" i="21" s="1"/>
  <c r="I134"/>
  <c r="D25" i="20"/>
  <c r="E138" i="21" s="1"/>
  <c r="E134"/>
  <c r="G25" i="20"/>
  <c r="K138" i="21" s="1"/>
  <c r="K134"/>
  <c r="E25" i="20"/>
  <c r="G138" i="21" s="1"/>
  <c r="G134"/>
  <c r="K120"/>
  <c r="M120"/>
  <c r="C4" i="18"/>
  <c r="C4" i="21" s="1"/>
  <c r="C5"/>
  <c r="G4" i="18"/>
  <c r="K4" i="21" s="1"/>
  <c r="K5"/>
  <c r="S8"/>
  <c r="H4" i="18"/>
  <c r="M4" i="21" s="1"/>
  <c r="N8" s="1"/>
  <c r="M5"/>
  <c r="F4" i="18"/>
  <c r="I4" i="21" s="1"/>
  <c r="I5"/>
  <c r="T8"/>
  <c r="L28"/>
  <c r="L38"/>
  <c r="L37"/>
  <c r="L36"/>
  <c r="L35"/>
  <c r="L34"/>
  <c r="L33"/>
  <c r="L32"/>
  <c r="L31"/>
  <c r="L30"/>
  <c r="L29"/>
  <c r="L27"/>
  <c r="L25"/>
  <c r="L26"/>
  <c r="T25"/>
  <c r="N38"/>
  <c r="N37"/>
  <c r="N36"/>
  <c r="N35"/>
  <c r="N34"/>
  <c r="N33"/>
  <c r="N32"/>
  <c r="N31"/>
  <c r="N30"/>
  <c r="N29"/>
  <c r="N27"/>
  <c r="N28"/>
  <c r="N26"/>
  <c r="G8" i="14"/>
  <c r="K196" i="21" s="1"/>
  <c r="F5" i="19"/>
  <c r="I53" i="21" s="1"/>
  <c r="C40" i="19"/>
  <c r="C88" i="21" s="1"/>
  <c r="C24" i="18"/>
  <c r="E39"/>
  <c r="F39"/>
  <c r="F9" i="20"/>
  <c r="I122" i="21" s="1"/>
  <c r="F8" i="20"/>
  <c r="F38" i="18"/>
  <c r="I38" i="21" s="1"/>
  <c r="E38" i="18"/>
  <c r="G38" i="21" s="1"/>
  <c r="D38" i="18"/>
  <c r="E39" i="19"/>
  <c r="G87" i="21" s="1"/>
  <c r="F29" i="18"/>
  <c r="I29" i="21" s="1"/>
  <c r="F31" i="18"/>
  <c r="I31" i="21" s="1"/>
  <c r="F33" i="18"/>
  <c r="I33" i="21" s="1"/>
  <c r="F34" i="18"/>
  <c r="I34" i="21" s="1"/>
  <c r="F35" i="18"/>
  <c r="I35" i="21" s="1"/>
  <c r="F36" i="18"/>
  <c r="I36" i="21" s="1"/>
  <c r="F37" i="18"/>
  <c r="I37" i="21" s="1"/>
  <c r="E76" i="7"/>
  <c r="F76"/>
  <c r="G76"/>
  <c r="H76"/>
  <c r="D76"/>
  <c r="Z76" s="1"/>
  <c r="C76"/>
  <c r="K76" s="1"/>
  <c r="E75"/>
  <c r="E13" i="20" s="1"/>
  <c r="G126" i="21" s="1"/>
  <c r="F75" i="7"/>
  <c r="G75"/>
  <c r="H75"/>
  <c r="D75"/>
  <c r="Z75" s="1"/>
  <c r="C75"/>
  <c r="E74"/>
  <c r="F74"/>
  <c r="G74"/>
  <c r="H74"/>
  <c r="D74"/>
  <c r="Z74" s="1"/>
  <c r="C74"/>
  <c r="C56" i="19" l="1"/>
  <c r="C104" i="21" s="1"/>
  <c r="K75" i="7"/>
  <c r="F7" i="20"/>
  <c r="F8" i="14" s="1"/>
  <c r="I196" i="21" s="1"/>
  <c r="S196" s="1"/>
  <c r="I121"/>
  <c r="C12" i="20"/>
  <c r="C125" i="21" s="1"/>
  <c r="K74" i="7"/>
  <c r="L17" i="18"/>
  <c r="X17" s="1"/>
  <c r="L23"/>
  <c r="X23" s="1"/>
  <c r="N25" i="21"/>
  <c r="T4"/>
  <c r="H8" i="14"/>
  <c r="M196" i="21" s="1"/>
  <c r="T196" s="1"/>
  <c r="T120"/>
  <c r="S36"/>
  <c r="S34"/>
  <c r="S31"/>
  <c r="F17" i="6"/>
  <c r="I179" i="21" s="1"/>
  <c r="F7" i="6"/>
  <c r="I169" i="21" s="1"/>
  <c r="I39"/>
  <c r="S37"/>
  <c r="S35"/>
  <c r="S33"/>
  <c r="S29"/>
  <c r="Z38" i="18"/>
  <c r="E38" i="21"/>
  <c r="Q38" s="1"/>
  <c r="R38"/>
  <c r="S38"/>
  <c r="G39"/>
  <c r="E17" i="6"/>
  <c r="G179" i="21" s="1"/>
  <c r="E7" i="6"/>
  <c r="G169" i="21" s="1"/>
  <c r="S4"/>
  <c r="C40" i="18"/>
  <c r="C40" i="21" s="1"/>
  <c r="C24"/>
  <c r="J5"/>
  <c r="N5"/>
  <c r="T5"/>
  <c r="S5"/>
  <c r="L5"/>
  <c r="J8"/>
  <c r="L8"/>
  <c r="C14" i="20"/>
  <c r="C127" i="21" s="1"/>
  <c r="D15" i="18"/>
  <c r="D22"/>
  <c r="D17"/>
  <c r="G22"/>
  <c r="K22" i="21" s="1"/>
  <c r="G13" i="20"/>
  <c r="K126" i="21" s="1"/>
  <c r="G16" i="18"/>
  <c r="K16" i="21" s="1"/>
  <c r="G23" i="18"/>
  <c r="K23" i="21" s="1"/>
  <c r="G14" i="20"/>
  <c r="K127" i="21" s="1"/>
  <c r="G17" i="18"/>
  <c r="K17" i="21" s="1"/>
  <c r="E15" i="18"/>
  <c r="G15" i="21" s="1"/>
  <c r="E17" i="18"/>
  <c r="G17" i="21" s="1"/>
  <c r="G21" i="18"/>
  <c r="K21" i="21" s="1"/>
  <c r="G12" i="20"/>
  <c r="K125" i="21" s="1"/>
  <c r="G15" i="18"/>
  <c r="K15" i="21" s="1"/>
  <c r="H21" i="18"/>
  <c r="M21" i="21" s="1"/>
  <c r="H12" i="20"/>
  <c r="M125" i="21" s="1"/>
  <c r="H15" i="18"/>
  <c r="M15" i="21" s="1"/>
  <c r="H13" i="20"/>
  <c r="M126" i="21" s="1"/>
  <c r="H16" i="18"/>
  <c r="M16" i="21" s="1"/>
  <c r="H22" i="18"/>
  <c r="M22" i="21" s="1"/>
  <c r="H23" i="18"/>
  <c r="M23" i="21" s="1"/>
  <c r="H14" i="20"/>
  <c r="M127" i="21" s="1"/>
  <c r="H17" i="18"/>
  <c r="M17" i="21" s="1"/>
  <c r="F25" i="18"/>
  <c r="I25" i="21" s="1"/>
  <c r="D12" i="20"/>
  <c r="E125" i="21" s="1"/>
  <c r="C13" i="20"/>
  <c r="C126" i="21" s="1"/>
  <c r="D13" i="20"/>
  <c r="E126" i="21" s="1"/>
  <c r="E14" i="20"/>
  <c r="G127" i="21" s="1"/>
  <c r="E22" i="18"/>
  <c r="G22" i="21" s="1"/>
  <c r="D21" i="18"/>
  <c r="D23"/>
  <c r="D16"/>
  <c r="E16"/>
  <c r="G16" i="21" s="1"/>
  <c r="F17" i="18"/>
  <c r="I17" i="21" s="1"/>
  <c r="F15" i="18"/>
  <c r="I15" i="21" s="1"/>
  <c r="F14" i="20"/>
  <c r="I127" i="21" s="1"/>
  <c r="F12" i="20"/>
  <c r="I125" i="21" s="1"/>
  <c r="F22" i="18"/>
  <c r="I22" i="21" s="1"/>
  <c r="E12" i="20"/>
  <c r="G125" i="21" s="1"/>
  <c r="D14" i="20"/>
  <c r="E127" i="21" s="1"/>
  <c r="E21" i="18"/>
  <c r="G21" i="21" s="1"/>
  <c r="E23" i="18"/>
  <c r="G23" i="21" s="1"/>
  <c r="F16" i="18"/>
  <c r="I16" i="21" s="1"/>
  <c r="F13" i="20"/>
  <c r="I126" i="21" s="1"/>
  <c r="F23" i="18"/>
  <c r="I23" i="21" s="1"/>
  <c r="F21" i="18"/>
  <c r="I21" i="21" s="1"/>
  <c r="I120" l="1"/>
  <c r="S120" s="1"/>
  <c r="R16"/>
  <c r="T17"/>
  <c r="L21" i="18"/>
  <c r="X21" s="1"/>
  <c r="Z21" s="1"/>
  <c r="L15"/>
  <c r="X15" s="1"/>
  <c r="Z15" s="1"/>
  <c r="L16"/>
  <c r="X16" s="1"/>
  <c r="Z16" s="1"/>
  <c r="L22"/>
  <c r="X22" s="1"/>
  <c r="Z22" s="1"/>
  <c r="R15" i="21"/>
  <c r="C45" i="18"/>
  <c r="C45" i="21" s="1"/>
  <c r="T16"/>
  <c r="C4" i="6"/>
  <c r="C5" s="1"/>
  <c r="C167" i="21" s="1"/>
  <c r="R17"/>
  <c r="T15"/>
  <c r="U38"/>
  <c r="Z23" i="18"/>
  <c r="E23" i="21"/>
  <c r="Z17" i="18"/>
  <c r="E17" i="21"/>
  <c r="E15"/>
  <c r="S17"/>
  <c r="E16"/>
  <c r="Q16" s="1"/>
  <c r="E21"/>
  <c r="E22"/>
  <c r="S15"/>
  <c r="S16"/>
  <c r="J28"/>
  <c r="J38"/>
  <c r="J37"/>
  <c r="J36"/>
  <c r="J35"/>
  <c r="J34"/>
  <c r="J33"/>
  <c r="J32"/>
  <c r="J31"/>
  <c r="J30"/>
  <c r="J29"/>
  <c r="J27"/>
  <c r="J25"/>
  <c r="J26"/>
  <c r="S25"/>
  <c r="H73" i="7"/>
  <c r="F73"/>
  <c r="U17" i="21" l="1"/>
  <c r="C166"/>
  <c r="C6" i="6"/>
  <c r="C8" s="1"/>
  <c r="U15" i="21"/>
  <c r="U16"/>
  <c r="H11" i="20"/>
  <c r="F11"/>
  <c r="E73" i="7"/>
  <c r="D73"/>
  <c r="Z73" s="1"/>
  <c r="C73"/>
  <c r="G73"/>
  <c r="F10" i="20" l="1"/>
  <c r="I123" i="21" s="1"/>
  <c r="I124"/>
  <c r="C55" i="19"/>
  <c r="C103" i="21" s="1"/>
  <c r="K73" i="7"/>
  <c r="H10" i="20"/>
  <c r="H7" i="14" s="1"/>
  <c r="M195" i="21" s="1"/>
  <c r="M124"/>
  <c r="C168"/>
  <c r="C170"/>
  <c r="G20" i="18"/>
  <c r="K20" i="21" s="1"/>
  <c r="G11" i="20"/>
  <c r="G14" i="18"/>
  <c r="H20"/>
  <c r="M20" i="21" s="1"/>
  <c r="H14" i="18"/>
  <c r="E14"/>
  <c r="E20"/>
  <c r="G20" i="21" s="1"/>
  <c r="F14" i="18"/>
  <c r="D20"/>
  <c r="D14"/>
  <c r="F20"/>
  <c r="I20" i="21" s="1"/>
  <c r="E11" i="20"/>
  <c r="D54" i="19"/>
  <c r="E102" i="21" s="1"/>
  <c r="E54" i="19"/>
  <c r="G102" i="21" s="1"/>
  <c r="F54" i="19"/>
  <c r="I102" i="21" s="1"/>
  <c r="G54" i="19"/>
  <c r="K102" i="21" s="1"/>
  <c r="H54" i="19"/>
  <c r="M102" i="21" s="1"/>
  <c r="D51" i="19"/>
  <c r="E51"/>
  <c r="G99" i="21" s="1"/>
  <c r="F51" i="19"/>
  <c r="I99" i="21" s="1"/>
  <c r="G51" i="19"/>
  <c r="K99" i="21" s="1"/>
  <c r="H51" i="19"/>
  <c r="M99" i="21" s="1"/>
  <c r="C51" i="19"/>
  <c r="C99" i="21" s="1"/>
  <c r="E9" i="19"/>
  <c r="G57" i="21" s="1"/>
  <c r="E7" i="19"/>
  <c r="G55" i="21" s="1"/>
  <c r="C7" i="20"/>
  <c r="D18"/>
  <c r="D11"/>
  <c r="E38" i="19"/>
  <c r="G86" i="21" s="1"/>
  <c r="E37" i="19"/>
  <c r="G85" i="21" s="1"/>
  <c r="E36" i="19"/>
  <c r="G84" i="21" s="1"/>
  <c r="E35" i="19"/>
  <c r="G83" i="21" s="1"/>
  <c r="E34" i="19"/>
  <c r="G82" i="21" s="1"/>
  <c r="E32" i="19"/>
  <c r="G80" i="21" s="1"/>
  <c r="E30" i="19"/>
  <c r="G78" i="21" s="1"/>
  <c r="E29" i="18"/>
  <c r="E31"/>
  <c r="G31" i="21" s="1"/>
  <c r="E33" i="18"/>
  <c r="G33" i="21" s="1"/>
  <c r="E34" i="18"/>
  <c r="G34" i="21" s="1"/>
  <c r="E35" i="18"/>
  <c r="G35" i="21" s="1"/>
  <c r="E36" i="18"/>
  <c r="G36" i="21" s="1"/>
  <c r="E37" i="18"/>
  <c r="G37" i="21" s="1"/>
  <c r="D10" i="18"/>
  <c r="D9"/>
  <c r="E8" i="20"/>
  <c r="G121" i="21" s="1"/>
  <c r="E9" i="20"/>
  <c r="G122" i="21" s="1"/>
  <c r="E8" i="19"/>
  <c r="G56" i="21" s="1"/>
  <c r="E10" i="18"/>
  <c r="G10" i="21" s="1"/>
  <c r="E9" i="18"/>
  <c r="G9" i="21" s="1"/>
  <c r="E6" i="19"/>
  <c r="G54" i="21" s="1"/>
  <c r="E7" i="18"/>
  <c r="G7" i="21" s="1"/>
  <c r="E6" i="18"/>
  <c r="G6" i="21" s="1"/>
  <c r="D38" i="19"/>
  <c r="E86" i="21" s="1"/>
  <c r="D37" i="19"/>
  <c r="E85" i="21" s="1"/>
  <c r="D36" i="19"/>
  <c r="E84" i="21" s="1"/>
  <c r="D35" i="19"/>
  <c r="E83" i="21" s="1"/>
  <c r="D34" i="19"/>
  <c r="E82" i="21" s="1"/>
  <c r="D32" i="19"/>
  <c r="E80" i="21" s="1"/>
  <c r="D39" i="18"/>
  <c r="D37"/>
  <c r="D36"/>
  <c r="D35"/>
  <c r="D34"/>
  <c r="D33"/>
  <c r="D31"/>
  <c r="D30" i="19"/>
  <c r="E78" i="21" s="1"/>
  <c r="D29" i="18"/>
  <c r="D9" i="19"/>
  <c r="E57" i="21" s="1"/>
  <c r="D8" i="19"/>
  <c r="E56" i="21" s="1"/>
  <c r="D8" i="20"/>
  <c r="D7" i="19"/>
  <c r="E55" i="21" s="1"/>
  <c r="D6" i="19"/>
  <c r="E54" i="21" s="1"/>
  <c r="D7" i="18"/>
  <c r="D6"/>
  <c r="C11" i="20"/>
  <c r="F7" i="14" l="1"/>
  <c r="I195" i="21" s="1"/>
  <c r="M123"/>
  <c r="D8" i="18"/>
  <c r="Z8" s="1"/>
  <c r="C10" i="20"/>
  <c r="C123" i="21" s="1"/>
  <c r="C124"/>
  <c r="D10" i="20"/>
  <c r="E123" i="21" s="1"/>
  <c r="E124"/>
  <c r="E10" i="20"/>
  <c r="G123" i="21" s="1"/>
  <c r="R123" s="1"/>
  <c r="G124"/>
  <c r="G10" i="20"/>
  <c r="K123" i="21" s="1"/>
  <c r="S123" s="1"/>
  <c r="K124"/>
  <c r="L20" i="18"/>
  <c r="X20" s="1"/>
  <c r="Z20" s="1"/>
  <c r="L14"/>
  <c r="D7" i="20"/>
  <c r="E120" i="21" s="1"/>
  <c r="E121"/>
  <c r="E18" i="20"/>
  <c r="E131" i="21"/>
  <c r="G7" i="14"/>
  <c r="K195" i="21" s="1"/>
  <c r="C120"/>
  <c r="D61" i="19"/>
  <c r="E109" i="21" s="1"/>
  <c r="E99"/>
  <c r="Z29" i="18"/>
  <c r="E29" i="21"/>
  <c r="Z31" i="18"/>
  <c r="E31" i="21"/>
  <c r="Z34" i="18"/>
  <c r="E34" i="21"/>
  <c r="Q34" s="1"/>
  <c r="Z36" i="18"/>
  <c r="E36" i="21"/>
  <c r="Q36" s="1"/>
  <c r="Z39" i="18"/>
  <c r="D17" i="6"/>
  <c r="D7"/>
  <c r="E39" i="21"/>
  <c r="Z10" i="18"/>
  <c r="E10" i="21"/>
  <c r="R36"/>
  <c r="R34"/>
  <c r="R31"/>
  <c r="U31" s="1"/>
  <c r="E20"/>
  <c r="H13" i="18"/>
  <c r="M13" i="21" s="1"/>
  <c r="N13" s="1"/>
  <c r="M14"/>
  <c r="G13" i="18"/>
  <c r="K13" i="21" s="1"/>
  <c r="K14"/>
  <c r="Z7" i="18"/>
  <c r="E7" i="21"/>
  <c r="Z6" i="18"/>
  <c r="E6" i="21"/>
  <c r="Z33" i="18"/>
  <c r="E33" i="21"/>
  <c r="Q33" s="1"/>
  <c r="Z35" i="18"/>
  <c r="E35" i="21"/>
  <c r="Z37" i="18"/>
  <c r="E37" i="21"/>
  <c r="Q37" s="1"/>
  <c r="Z9" i="18"/>
  <c r="E9" i="21"/>
  <c r="R37"/>
  <c r="Q35"/>
  <c r="R35"/>
  <c r="R33"/>
  <c r="G29"/>
  <c r="E25" i="18"/>
  <c r="G25" i="21" s="1"/>
  <c r="D13" i="18"/>
  <c r="E13" i="21" s="1"/>
  <c r="E14"/>
  <c r="F13" i="18"/>
  <c r="I13" i="21" s="1"/>
  <c r="J17" s="1"/>
  <c r="I14"/>
  <c r="E13" i="18"/>
  <c r="G13" i="21" s="1"/>
  <c r="H19" s="1"/>
  <c r="G14"/>
  <c r="Q14" s="1"/>
  <c r="E8"/>
  <c r="E5" i="19"/>
  <c r="G53" i="21" s="1"/>
  <c r="F61" i="19"/>
  <c r="I109" i="21" s="1"/>
  <c r="E61" i="19"/>
  <c r="G109" i="21" s="1"/>
  <c r="E7" i="20"/>
  <c r="E5" i="18"/>
  <c r="G5" i="21" s="1"/>
  <c r="H61" i="19"/>
  <c r="M109" i="21" s="1"/>
  <c r="G61" i="19"/>
  <c r="K109" i="21" s="1"/>
  <c r="E8" i="18"/>
  <c r="G8" i="21" s="1"/>
  <c r="D5" i="19"/>
  <c r="E53" i="21" s="1"/>
  <c r="D5" i="18"/>
  <c r="S195" i="21" l="1"/>
  <c r="J13"/>
  <c r="F24" i="18"/>
  <c r="F40" s="1"/>
  <c r="I40" i="21" s="1"/>
  <c r="Q123"/>
  <c r="L14"/>
  <c r="C82" i="7"/>
  <c r="K82" s="1"/>
  <c r="L18" i="21"/>
  <c r="H18"/>
  <c r="H17"/>
  <c r="H16"/>
  <c r="H15"/>
  <c r="T13"/>
  <c r="G24" i="18"/>
  <c r="K24" i="21" s="1"/>
  <c r="F14"/>
  <c r="J15"/>
  <c r="J16"/>
  <c r="R13"/>
  <c r="N17"/>
  <c r="J18"/>
  <c r="J19"/>
  <c r="T123"/>
  <c r="X14" i="18"/>
  <c r="L13"/>
  <c r="L24" s="1"/>
  <c r="J14" i="21"/>
  <c r="S13"/>
  <c r="L16"/>
  <c r="L13"/>
  <c r="N15"/>
  <c r="N19"/>
  <c r="F18"/>
  <c r="F17"/>
  <c r="Q13"/>
  <c r="F16"/>
  <c r="F19"/>
  <c r="F15"/>
  <c r="H24" i="18"/>
  <c r="H40" s="1"/>
  <c r="H14" i="21"/>
  <c r="L15"/>
  <c r="L17"/>
  <c r="L19"/>
  <c r="N14"/>
  <c r="N16"/>
  <c r="N18"/>
  <c r="E169"/>
  <c r="Z7" i="6"/>
  <c r="E179" i="21"/>
  <c r="Z17" i="6"/>
  <c r="T195" i="21"/>
  <c r="F18" i="20"/>
  <c r="G131" i="21"/>
  <c r="G120"/>
  <c r="H32"/>
  <c r="H26"/>
  <c r="H28"/>
  <c r="H30"/>
  <c r="H27"/>
  <c r="H38"/>
  <c r="R25"/>
  <c r="U33"/>
  <c r="H35"/>
  <c r="U37"/>
  <c r="H31"/>
  <c r="H34"/>
  <c r="U36"/>
  <c r="Q29"/>
  <c r="H29"/>
  <c r="R29"/>
  <c r="R14"/>
  <c r="H33"/>
  <c r="U35"/>
  <c r="H37"/>
  <c r="S14"/>
  <c r="T14"/>
  <c r="U34"/>
  <c r="H36"/>
  <c r="E5"/>
  <c r="Q5" s="1"/>
  <c r="Z5" i="18"/>
  <c r="R8" i="21"/>
  <c r="U8" s="1"/>
  <c r="R5"/>
  <c r="E4" i="18"/>
  <c r="D4"/>
  <c r="M24" i="21" l="1"/>
  <c r="G40" i="18"/>
  <c r="K40" i="21" s="1"/>
  <c r="C20" i="6"/>
  <c r="C182" i="21" s="1"/>
  <c r="I24"/>
  <c r="O18"/>
  <c r="O17"/>
  <c r="C9" i="6"/>
  <c r="C11" s="1"/>
  <c r="C173" i="21" s="1"/>
  <c r="U123"/>
  <c r="O15"/>
  <c r="O14"/>
  <c r="O16"/>
  <c r="O19"/>
  <c r="U13"/>
  <c r="F20" i="14"/>
  <c r="F21" s="1"/>
  <c r="I209" i="21" s="1"/>
  <c r="X13" i="18"/>
  <c r="Z14"/>
  <c r="F16" i="14"/>
  <c r="I204" i="21" s="1"/>
  <c r="H16" i="14"/>
  <c r="M204" i="21" s="1"/>
  <c r="M40"/>
  <c r="H20" i="14"/>
  <c r="H21" s="1"/>
  <c r="M209" i="21" s="1"/>
  <c r="H4" i="6"/>
  <c r="M166" i="21" s="1"/>
  <c r="F4" i="6"/>
  <c r="I166" i="21" s="1"/>
  <c r="U14"/>
  <c r="G18" i="20"/>
  <c r="I131" i="21"/>
  <c r="Q120"/>
  <c r="R120"/>
  <c r="U5"/>
  <c r="U29"/>
  <c r="E4"/>
  <c r="F5" s="1"/>
  <c r="Z4" i="18"/>
  <c r="E24"/>
  <c r="G4" i="21"/>
  <c r="E7" i="14"/>
  <c r="G195" i="21" s="1"/>
  <c r="D24" i="18"/>
  <c r="D7" i="14"/>
  <c r="E195" i="21" s="1"/>
  <c r="D8" i="14"/>
  <c r="E196" i="21" s="1"/>
  <c r="E8" i="14"/>
  <c r="G196" i="21" s="1"/>
  <c r="Z280" i="4"/>
  <c r="Z279"/>
  <c r="M279"/>
  <c r="L44" i="18" s="1"/>
  <c r="N279" i="4"/>
  <c r="M44" i="18" s="1"/>
  <c r="O279" i="4"/>
  <c r="N44" i="18" s="1"/>
  <c r="P279" i="4"/>
  <c r="O44" i="18" s="1"/>
  <c r="Q279" i="4"/>
  <c r="P44" i="18" s="1"/>
  <c r="R279" i="4"/>
  <c r="Q44" i="18" s="1"/>
  <c r="S279" i="4"/>
  <c r="R44" i="18" s="1"/>
  <c r="T279" i="4"/>
  <c r="S44" i="18" s="1"/>
  <c r="U279" i="4"/>
  <c r="T44" i="18" s="1"/>
  <c r="V279" i="4"/>
  <c r="U44" i="18" s="1"/>
  <c r="W279" i="4"/>
  <c r="V44" i="18" s="1"/>
  <c r="X279" i="4"/>
  <c r="W44" i="18" s="1"/>
  <c r="M280" i="4"/>
  <c r="L23" i="6" s="1"/>
  <c r="N280" i="4"/>
  <c r="M23" i="6" s="1"/>
  <c r="O280" i="4"/>
  <c r="N23" i="6" s="1"/>
  <c r="P280" i="4"/>
  <c r="O23" i="6" s="1"/>
  <c r="Q280" i="4"/>
  <c r="P23" i="6" s="1"/>
  <c r="R280" i="4"/>
  <c r="Q23" i="6" s="1"/>
  <c r="S280" i="4"/>
  <c r="R23" i="6" s="1"/>
  <c r="T280" i="4"/>
  <c r="S23" i="6" s="1"/>
  <c r="U280" i="4"/>
  <c r="T23" i="6" s="1"/>
  <c r="V280" i="4"/>
  <c r="U23" i="6" s="1"/>
  <c r="W280" i="4"/>
  <c r="V23" i="6" s="1"/>
  <c r="X280" i="4"/>
  <c r="W23" i="6" s="1"/>
  <c r="L280" i="4"/>
  <c r="L279"/>
  <c r="F14" i="12"/>
  <c r="F12" s="1"/>
  <c r="C4" i="3"/>
  <c r="B23" i="1"/>
  <c r="C6" i="12" s="1"/>
  <c r="C7" i="15"/>
  <c r="C6"/>
  <c r="C5"/>
  <c r="C171" i="21" l="1"/>
  <c r="P14"/>
  <c r="G16" i="14"/>
  <c r="K204" i="21" s="1"/>
  <c r="T204" s="1"/>
  <c r="G20" i="14"/>
  <c r="G4" i="6"/>
  <c r="K166" i="21" s="1"/>
  <c r="H5" i="6"/>
  <c r="M167" i="21" s="1"/>
  <c r="I208"/>
  <c r="P16"/>
  <c r="M208"/>
  <c r="O195"/>
  <c r="Y195" s="1"/>
  <c r="AA195" s="1"/>
  <c r="U120"/>
  <c r="F5" i="6"/>
  <c r="F6" s="1"/>
  <c r="F8" s="1"/>
  <c r="X24" i="18"/>
  <c r="Z24" s="1"/>
  <c r="Z13"/>
  <c r="F13" i="21"/>
  <c r="W24" i="6"/>
  <c r="W18"/>
  <c r="W43" i="18"/>
  <c r="W41" s="1"/>
  <c r="U24" i="6"/>
  <c r="U18"/>
  <c r="U43" i="18"/>
  <c r="U41" s="1"/>
  <c r="S24" i="6"/>
  <c r="S18"/>
  <c r="S43" i="18"/>
  <c r="S41" s="1"/>
  <c r="Q24" i="6"/>
  <c r="Q18"/>
  <c r="Q43" i="18"/>
  <c r="Q41" s="1"/>
  <c r="O24" i="6"/>
  <c r="O18"/>
  <c r="O43" i="18"/>
  <c r="O41" s="1"/>
  <c r="X44"/>
  <c r="X43" s="1"/>
  <c r="M24" i="6"/>
  <c r="M18"/>
  <c r="M43" i="18"/>
  <c r="M41" s="1"/>
  <c r="V24" i="6"/>
  <c r="V18"/>
  <c r="V43" i="18"/>
  <c r="V41" s="1"/>
  <c r="T24" i="6"/>
  <c r="T18"/>
  <c r="T43" i="18"/>
  <c r="T41" s="1"/>
  <c r="R24" i="6"/>
  <c r="R18"/>
  <c r="R43" i="18"/>
  <c r="R41" s="1"/>
  <c r="P24" i="6"/>
  <c r="P18"/>
  <c r="P43" i="18"/>
  <c r="P41" s="1"/>
  <c r="N24" i="6"/>
  <c r="N18"/>
  <c r="N43" i="18"/>
  <c r="N41" s="1"/>
  <c r="L24" i="6"/>
  <c r="L18"/>
  <c r="L43" i="18"/>
  <c r="L41" s="1"/>
  <c r="X23" i="6"/>
  <c r="H18" i="20"/>
  <c r="M131" i="21" s="1"/>
  <c r="K131"/>
  <c r="F8"/>
  <c r="E24"/>
  <c r="Q4"/>
  <c r="H25"/>
  <c r="R4"/>
  <c r="H13"/>
  <c r="H8"/>
  <c r="H5"/>
  <c r="O5" s="1"/>
  <c r="E40" i="18"/>
  <c r="G24" i="21"/>
  <c r="I168"/>
  <c r="Q196"/>
  <c r="R196"/>
  <c r="Q195"/>
  <c r="R195"/>
  <c r="O196"/>
  <c r="Y196" s="1"/>
  <c r="AA196" s="1"/>
  <c r="L278" i="4"/>
  <c r="Y280"/>
  <c r="W278"/>
  <c r="U278"/>
  <c r="S278"/>
  <c r="Q278"/>
  <c r="O278"/>
  <c r="M278"/>
  <c r="X278"/>
  <c r="V278"/>
  <c r="T278"/>
  <c r="R278"/>
  <c r="P278"/>
  <c r="N278"/>
  <c r="Z278"/>
  <c r="Y279"/>
  <c r="M53" i="15"/>
  <c r="S204" i="21" l="1"/>
  <c r="G5" i="6"/>
  <c r="G6" s="1"/>
  <c r="G8" s="1"/>
  <c r="K170" i="21" s="1"/>
  <c r="K208"/>
  <c r="G21" i="14"/>
  <c r="K209" i="21" s="1"/>
  <c r="H6" i="6"/>
  <c r="M168" i="21" s="1"/>
  <c r="I167"/>
  <c r="X24" i="6"/>
  <c r="Y278" i="4"/>
  <c r="O13" i="21"/>
  <c r="O8"/>
  <c r="X41" i="18"/>
  <c r="X18" i="6"/>
  <c r="G40" i="21"/>
  <c r="E20" i="14"/>
  <c r="E4" i="6"/>
  <c r="E16" i="14"/>
  <c r="U4" i="21"/>
  <c r="I170"/>
  <c r="U195"/>
  <c r="X195" s="1"/>
  <c r="U196"/>
  <c r="X196" s="1"/>
  <c r="O62" i="15"/>
  <c r="O61"/>
  <c r="O60"/>
  <c r="O59"/>
  <c r="O58"/>
  <c r="H8" i="6" l="1"/>
  <c r="M170" i="21" s="1"/>
  <c r="T209"/>
  <c r="S209"/>
  <c r="K168"/>
  <c r="K167"/>
  <c r="T208"/>
  <c r="S208"/>
  <c r="G166"/>
  <c r="E5" i="6"/>
  <c r="G167" i="21" s="1"/>
  <c r="G204"/>
  <c r="R204" s="1"/>
  <c r="E21" i="14"/>
  <c r="G209" i="21" s="1"/>
  <c r="R209" s="1"/>
  <c r="G208"/>
  <c r="R208" s="1"/>
  <c r="AA279" i="4"/>
  <c r="O63" i="15"/>
  <c r="E72" i="4"/>
  <c r="F72"/>
  <c r="G72"/>
  <c r="H72"/>
  <c r="I72"/>
  <c r="E73"/>
  <c r="E19" i="19" s="1"/>
  <c r="G67" i="21" s="1"/>
  <c r="F73" i="4"/>
  <c r="F19" i="19" s="1"/>
  <c r="I67" i="21" s="1"/>
  <c r="G73" i="4"/>
  <c r="G19" i="19" s="1"/>
  <c r="K67" i="21" s="1"/>
  <c r="H73" i="4"/>
  <c r="H19" i="19" s="1"/>
  <c r="M67" i="21" s="1"/>
  <c r="I73" i="4"/>
  <c r="D73"/>
  <c r="D19" i="19" s="1"/>
  <c r="E67" i="21" s="1"/>
  <c r="D72" i="4"/>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H31" i="20" s="1"/>
  <c r="M144" i="21" s="1"/>
  <c r="BY72" i="4"/>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M73"/>
  <c r="M72"/>
  <c r="L73"/>
  <c r="E6" i="6" l="1"/>
  <c r="E8" s="1"/>
  <c r="AA280" i="4"/>
  <c r="C15" i="15"/>
  <c r="G14" i="19"/>
  <c r="K62" i="21" s="1"/>
  <c r="F31" i="20"/>
  <c r="I144" i="21" s="1"/>
  <c r="G24" i="19"/>
  <c r="K72" i="21" s="1"/>
  <c r="H14" i="19"/>
  <c r="M62" i="21" s="1"/>
  <c r="G31" i="20"/>
  <c r="K144" i="21" s="1"/>
  <c r="E31" i="20"/>
  <c r="G144" i="21" s="1"/>
  <c r="F14" i="19"/>
  <c r="I62" i="21" s="1"/>
  <c r="H24" i="19"/>
  <c r="M72" i="21" s="1"/>
  <c r="F24" i="19"/>
  <c r="I72" i="21" s="1"/>
  <c r="E14" i="19"/>
  <c r="G62" i="21" s="1"/>
  <c r="D31" i="20"/>
  <c r="E144" i="21" s="1"/>
  <c r="E24" i="19"/>
  <c r="G72" i="21" s="1"/>
  <c r="D24" i="19"/>
  <c r="E72" i="21" s="1"/>
  <c r="L72" i="4"/>
  <c r="E30"/>
  <c r="F30"/>
  <c r="G30"/>
  <c r="H30"/>
  <c r="I30"/>
  <c r="E31"/>
  <c r="E18" i="19" s="1"/>
  <c r="G66" i="21" s="1"/>
  <c r="F31" i="4"/>
  <c r="F18" i="19" s="1"/>
  <c r="I66" i="21" s="1"/>
  <c r="G31" i="4"/>
  <c r="G18" i="19" s="1"/>
  <c r="K66" i="21" s="1"/>
  <c r="H31" i="4"/>
  <c r="H18" i="19" s="1"/>
  <c r="M66" i="21" s="1"/>
  <c r="I31" i="4"/>
  <c r="D31"/>
  <c r="D18" i="19" s="1"/>
  <c r="E66" i="21" s="1"/>
  <c r="D30" i="4"/>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H30" i="20" s="1"/>
  <c r="M143" i="21" s="1"/>
  <c r="BY30" i="4"/>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M31"/>
  <c r="M30"/>
  <c r="L31"/>
  <c r="L30"/>
  <c r="L13" i="19" l="1"/>
  <c r="L12" s="1"/>
  <c r="L10" s="1"/>
  <c r="L40" s="1"/>
  <c r="L62" s="1"/>
  <c r="L64" s="1"/>
  <c r="V13"/>
  <c r="V12" s="1"/>
  <c r="V10" s="1"/>
  <c r="T13"/>
  <c r="T12" s="1"/>
  <c r="T10" s="1"/>
  <c r="R13"/>
  <c r="R12" s="1"/>
  <c r="R10" s="1"/>
  <c r="P13"/>
  <c r="P12" s="1"/>
  <c r="P10" s="1"/>
  <c r="N13"/>
  <c r="N12" s="1"/>
  <c r="N10" s="1"/>
  <c r="C227" i="21"/>
  <c r="Q227" s="1"/>
  <c r="U227" s="1"/>
  <c r="W15" i="15"/>
  <c r="Y15"/>
  <c r="AA15"/>
  <c r="AC15"/>
  <c r="AE15"/>
  <c r="AG15"/>
  <c r="X15"/>
  <c r="AB15"/>
  <c r="AF15"/>
  <c r="V15"/>
  <c r="Z15"/>
  <c r="AD15"/>
  <c r="E13" i="19"/>
  <c r="G61" i="21" s="1"/>
  <c r="W13" i="19"/>
  <c r="W12" s="1"/>
  <c r="W10" s="1"/>
  <c r="U13"/>
  <c r="U12" s="1"/>
  <c r="U10" s="1"/>
  <c r="S13"/>
  <c r="S12" s="1"/>
  <c r="S10" s="1"/>
  <c r="Q13"/>
  <c r="Q12" s="1"/>
  <c r="Q10" s="1"/>
  <c r="O13"/>
  <c r="O12" s="1"/>
  <c r="O10" s="1"/>
  <c r="M13"/>
  <c r="M12" s="1"/>
  <c r="M10" s="1"/>
  <c r="G168" i="21"/>
  <c r="G170"/>
  <c r="AA278" i="4"/>
  <c r="G13" i="19"/>
  <c r="K61" i="21" s="1"/>
  <c r="F30" i="20"/>
  <c r="I143" i="21" s="1"/>
  <c r="G23" i="19"/>
  <c r="K71" i="21" s="1"/>
  <c r="G30" i="20"/>
  <c r="K143" i="21" s="1"/>
  <c r="H13" i="19"/>
  <c r="M61" i="21" s="1"/>
  <c r="E30" i="20"/>
  <c r="G143" i="21" s="1"/>
  <c r="F13" i="19"/>
  <c r="I61" i="21" s="1"/>
  <c r="H23" i="19"/>
  <c r="M71" i="21" s="1"/>
  <c r="F23" i="19"/>
  <c r="I71" i="21" s="1"/>
  <c r="D23" i="19"/>
  <c r="E71" i="21" s="1"/>
  <c r="D30" i="20"/>
  <c r="E143" i="21" s="1"/>
  <c r="E23" i="19"/>
  <c r="G71" i="21" s="1"/>
  <c r="O227" l="1"/>
  <c r="AH15" i="15"/>
  <c r="AJ15" s="1"/>
  <c r="AB279" i="4"/>
  <c r="D21" i="15"/>
  <c r="E233" i="21" s="1"/>
  <c r="E234" s="1"/>
  <c r="E22" i="7"/>
  <c r="D22"/>
  <c r="E33"/>
  <c r="F33"/>
  <c r="G33"/>
  <c r="H33"/>
  <c r="H280" i="4"/>
  <c r="H47" i="19" s="1"/>
  <c r="H279" i="4"/>
  <c r="G280"/>
  <c r="G47" i="19" s="1"/>
  <c r="G279" i="4"/>
  <c r="F280"/>
  <c r="F47" i="19" s="1"/>
  <c r="F279" i="4"/>
  <c r="E280"/>
  <c r="E47" i="19" s="1"/>
  <c r="E279" i="4"/>
  <c r="D280"/>
  <c r="D279"/>
  <c r="F229" i="21" l="1"/>
  <c r="F230"/>
  <c r="E23" i="6"/>
  <c r="G185" i="21" s="1"/>
  <c r="G95"/>
  <c r="F23" i="6"/>
  <c r="I185" i="21" s="1"/>
  <c r="I95"/>
  <c r="G23" i="6"/>
  <c r="K185" i="21" s="1"/>
  <c r="K95"/>
  <c r="H23" i="6"/>
  <c r="M185" i="21" s="1"/>
  <c r="M95"/>
  <c r="AB280" i="4"/>
  <c r="AB278" s="1"/>
  <c r="G278"/>
  <c r="G44" i="18"/>
  <c r="K44" i="21" s="1"/>
  <c r="G46" i="19"/>
  <c r="K94" i="21" s="1"/>
  <c r="H46" i="19"/>
  <c r="M94" i="21" s="1"/>
  <c r="H44" i="18"/>
  <c r="M44" i="21" s="1"/>
  <c r="F278" i="4"/>
  <c r="F46" i="19"/>
  <c r="I94" i="21" s="1"/>
  <c r="F44" i="18"/>
  <c r="I44" i="21" s="1"/>
  <c r="H278" i="4"/>
  <c r="D46" i="19"/>
  <c r="E94" i="21" s="1"/>
  <c r="D44" i="18"/>
  <c r="E278" i="4"/>
  <c r="E44" i="18"/>
  <c r="G44" i="21" s="1"/>
  <c r="E46" i="19"/>
  <c r="G94" i="21" s="1"/>
  <c r="I280" i="4"/>
  <c r="D47" i="19"/>
  <c r="D278" i="4"/>
  <c r="I279"/>
  <c r="D33" i="7"/>
  <c r="C33"/>
  <c r="I278" i="4" l="1"/>
  <c r="E44" i="21"/>
  <c r="Q44" s="1"/>
  <c r="Z44" i="18"/>
  <c r="T44" i="21"/>
  <c r="R44"/>
  <c r="D23" i="6"/>
  <c r="E95" i="21"/>
  <c r="S44"/>
  <c r="F24" i="6"/>
  <c r="I186" i="21" s="1"/>
  <c r="F18" i="6"/>
  <c r="I180" i="21" s="1"/>
  <c r="G24" i="6"/>
  <c r="K186" i="21" s="1"/>
  <c r="G18" i="6"/>
  <c r="K180" i="21" s="1"/>
  <c r="E24" i="6"/>
  <c r="G186" i="21" s="1"/>
  <c r="E18" i="6"/>
  <c r="G180" i="21" s="1"/>
  <c r="D24" i="6"/>
  <c r="D18"/>
  <c r="H24"/>
  <c r="M186" i="21" s="1"/>
  <c r="H18" i="6"/>
  <c r="M180" i="21" s="1"/>
  <c r="E43" i="18"/>
  <c r="E6" i="14"/>
  <c r="G194" i="21" s="1"/>
  <c r="D43" i="18"/>
  <c r="Z43" s="1"/>
  <c r="H43"/>
  <c r="H6" i="14"/>
  <c r="M194" i="21" s="1"/>
  <c r="F43" i="18"/>
  <c r="F6" i="14"/>
  <c r="I194" i="21" s="1"/>
  <c r="G43" i="18"/>
  <c r="G6" i="14"/>
  <c r="K194" i="21" s="1"/>
  <c r="D45" i="19"/>
  <c r="M30" i="15"/>
  <c r="U44" i="21" l="1"/>
  <c r="E180"/>
  <c r="Z18" i="6"/>
  <c r="E185" i="21"/>
  <c r="Z23" i="6"/>
  <c r="E186" i="21"/>
  <c r="Z24" i="6"/>
  <c r="S194" i="21"/>
  <c r="R194"/>
  <c r="D41" i="18"/>
  <c r="E43" i="21"/>
  <c r="E41" i="18"/>
  <c r="G43" i="21"/>
  <c r="T194"/>
  <c r="D49" i="19"/>
  <c r="E97" i="21" s="1"/>
  <c r="E93"/>
  <c r="G41" i="18"/>
  <c r="K43" i="21"/>
  <c r="F41" i="18"/>
  <c r="I43" i="21"/>
  <c r="H41" i="18"/>
  <c r="M43" i="21"/>
  <c r="AC279" i="4"/>
  <c r="C19" i="15"/>
  <c r="M31"/>
  <c r="C59" i="19" l="1"/>
  <c r="C107" i="21" s="1"/>
  <c r="W19" i="15"/>
  <c r="M27" i="18" s="1"/>
  <c r="Y19" i="15"/>
  <c r="O27" i="18" s="1"/>
  <c r="AA19" i="15"/>
  <c r="Q27" i="18" s="1"/>
  <c r="AC19" i="15"/>
  <c r="S27" i="18" s="1"/>
  <c r="AE19" i="15"/>
  <c r="U27" i="18" s="1"/>
  <c r="AG19" i="15"/>
  <c r="W27" i="18" s="1"/>
  <c r="X19" i="15"/>
  <c r="N27" i="18" s="1"/>
  <c r="AB19" i="15"/>
  <c r="R27" i="18" s="1"/>
  <c r="AF19" i="15"/>
  <c r="V27" i="18" s="1"/>
  <c r="Z19" i="15"/>
  <c r="P27" i="18" s="1"/>
  <c r="AD19" i="15"/>
  <c r="T27" i="18" s="1"/>
  <c r="V19" i="15"/>
  <c r="C231" i="21"/>
  <c r="E41"/>
  <c r="Z41" i="18"/>
  <c r="E45"/>
  <c r="G41" i="21"/>
  <c r="H45" i="18"/>
  <c r="M41" i="21"/>
  <c r="F45" i="18"/>
  <c r="F46" s="1"/>
  <c r="I46" i="21" s="1"/>
  <c r="I41"/>
  <c r="G45" i="18"/>
  <c r="K41" i="21"/>
  <c r="AC280" i="4"/>
  <c r="C8" i="15"/>
  <c r="C9" s="1"/>
  <c r="C23" i="20"/>
  <c r="C136" i="21" s="1"/>
  <c r="D27" i="18"/>
  <c r="C17" i="20"/>
  <c r="C130" i="21" s="1"/>
  <c r="C18" i="15"/>
  <c r="C20"/>
  <c r="C109" i="4"/>
  <c r="C108"/>
  <c r="E27" i="7"/>
  <c r="F27"/>
  <c r="G27"/>
  <c r="H27"/>
  <c r="O231" i="21" l="1"/>
  <c r="Q231"/>
  <c r="U231" s="1"/>
  <c r="X18" i="15"/>
  <c r="Z18"/>
  <c r="AB18"/>
  <c r="AD18"/>
  <c r="AF18"/>
  <c r="V18"/>
  <c r="W18"/>
  <c r="AA18"/>
  <c r="AE18"/>
  <c r="Y18"/>
  <c r="AC18"/>
  <c r="AG18"/>
  <c r="X20"/>
  <c r="N28" i="18" s="1"/>
  <c r="Z20" i="15"/>
  <c r="P28" i="18" s="1"/>
  <c r="AB20" i="15"/>
  <c r="R28" i="18" s="1"/>
  <c r="AD20" i="15"/>
  <c r="T28" i="18" s="1"/>
  <c r="AF20" i="15"/>
  <c r="V28" i="18" s="1"/>
  <c r="V20" i="15"/>
  <c r="Y20"/>
  <c r="O28" i="18" s="1"/>
  <c r="AC20" i="15"/>
  <c r="S28" i="18" s="1"/>
  <c r="AG20" i="15"/>
  <c r="W28" i="18" s="1"/>
  <c r="W20" i="15"/>
  <c r="M28" i="18" s="1"/>
  <c r="AA20" i="15"/>
  <c r="Q28" i="18" s="1"/>
  <c r="AE20" i="15"/>
  <c r="U28" i="18" s="1"/>
  <c r="L27"/>
  <c r="X27" s="1"/>
  <c r="Z27" s="1"/>
  <c r="AH19" i="15"/>
  <c r="AJ19" s="1"/>
  <c r="K45" i="21"/>
  <c r="G47" i="18"/>
  <c r="G48"/>
  <c r="I45" i="21"/>
  <c r="F47" i="18"/>
  <c r="F48"/>
  <c r="H47"/>
  <c r="H48"/>
  <c r="G45" i="21"/>
  <c r="E47" i="18"/>
  <c r="E48"/>
  <c r="E27" i="21"/>
  <c r="Q27" s="1"/>
  <c r="U27" s="1"/>
  <c r="C60" i="19"/>
  <c r="C108" i="21" s="1"/>
  <c r="C232"/>
  <c r="C58" i="19"/>
  <c r="C106" i="21" s="1"/>
  <c r="C230"/>
  <c r="M45"/>
  <c r="H46" i="18"/>
  <c r="AC278" i="4"/>
  <c r="C21" i="15"/>
  <c r="C19" i="20"/>
  <c r="C132" i="21" s="1"/>
  <c r="F271" i="4"/>
  <c r="F34" i="20"/>
  <c r="I147" i="21" s="1"/>
  <c r="G29" i="19"/>
  <c r="K77" i="21" s="1"/>
  <c r="F49" i="18"/>
  <c r="C22" i="20"/>
  <c r="C135" i="21" s="1"/>
  <c r="D26" i="18"/>
  <c r="C24" i="20"/>
  <c r="C137" i="21" s="1"/>
  <c r="D28" i="18"/>
  <c r="D17" i="20"/>
  <c r="E130" i="21" s="1"/>
  <c r="G46" i="18"/>
  <c r="K46" i="21" s="1"/>
  <c r="S46" s="1"/>
  <c r="H140" i="4"/>
  <c r="H21" i="19" s="1"/>
  <c r="M69" i="21" s="1"/>
  <c r="F140" i="4"/>
  <c r="F21" i="19" s="1"/>
  <c r="I69" i="21" s="1"/>
  <c r="D140" i="4"/>
  <c r="D21" i="19" s="1"/>
  <c r="E69" i="21" s="1"/>
  <c r="E104" i="4"/>
  <c r="E20" i="19" s="1"/>
  <c r="G68" i="21" s="1"/>
  <c r="G104" i="4"/>
  <c r="G20" i="19" s="1"/>
  <c r="K68" i="21" s="1"/>
  <c r="I104" i="4"/>
  <c r="O104"/>
  <c r="Q104"/>
  <c r="S104"/>
  <c r="U104"/>
  <c r="W104"/>
  <c r="Y104"/>
  <c r="AA104"/>
  <c r="AC104"/>
  <c r="AE104"/>
  <c r="AG104"/>
  <c r="AI104"/>
  <c r="AK104"/>
  <c r="AM104"/>
  <c r="AO104"/>
  <c r="AQ104"/>
  <c r="AS104"/>
  <c r="AU104"/>
  <c r="AW104"/>
  <c r="AY104"/>
  <c r="BA104"/>
  <c r="BC104"/>
  <c r="BE104"/>
  <c r="BG104"/>
  <c r="BI104"/>
  <c r="BK104"/>
  <c r="BM104"/>
  <c r="BO104"/>
  <c r="BQ104"/>
  <c r="BS104"/>
  <c r="BU104"/>
  <c r="BW104"/>
  <c r="BY104"/>
  <c r="I140"/>
  <c r="G140"/>
  <c r="G21" i="19" s="1"/>
  <c r="K69" i="21" s="1"/>
  <c r="E140" i="4"/>
  <c r="E21" i="19" s="1"/>
  <c r="G69" i="21" s="1"/>
  <c r="C145" i="4"/>
  <c r="F104"/>
  <c r="F20" i="19" s="1"/>
  <c r="H104" i="4"/>
  <c r="H20" i="19" s="1"/>
  <c r="D104" i="4"/>
  <c r="D20" i="19" s="1"/>
  <c r="N104" i="4"/>
  <c r="P104"/>
  <c r="R104"/>
  <c r="T104"/>
  <c r="V104"/>
  <c r="X104"/>
  <c r="Z104"/>
  <c r="AB104"/>
  <c r="AD104"/>
  <c r="AF104"/>
  <c r="AH104"/>
  <c r="AJ104"/>
  <c r="AL104"/>
  <c r="AN104"/>
  <c r="AP104"/>
  <c r="AR104"/>
  <c r="AT104"/>
  <c r="AV104"/>
  <c r="AX104"/>
  <c r="AZ104"/>
  <c r="BB104"/>
  <c r="BD104"/>
  <c r="BF104"/>
  <c r="BH104"/>
  <c r="BJ104"/>
  <c r="BL104"/>
  <c r="BN104"/>
  <c r="BP104"/>
  <c r="BR104"/>
  <c r="BT104"/>
  <c r="BV104"/>
  <c r="BX104"/>
  <c r="M104"/>
  <c r="L104"/>
  <c r="H139"/>
  <c r="F139"/>
  <c r="D139"/>
  <c r="C144"/>
  <c r="F103"/>
  <c r="H103"/>
  <c r="D103"/>
  <c r="O103"/>
  <c r="Q103"/>
  <c r="S103"/>
  <c r="U103"/>
  <c r="W103"/>
  <c r="Y103"/>
  <c r="AA103"/>
  <c r="AC103"/>
  <c r="AE103"/>
  <c r="AG103"/>
  <c r="AI103"/>
  <c r="AK103"/>
  <c r="AM103"/>
  <c r="AO103"/>
  <c r="AQ103"/>
  <c r="AS103"/>
  <c r="AU103"/>
  <c r="AW103"/>
  <c r="AY103"/>
  <c r="BA103"/>
  <c r="BC103"/>
  <c r="BE103"/>
  <c r="BG103"/>
  <c r="BI103"/>
  <c r="BK103"/>
  <c r="G28" i="7" s="1"/>
  <c r="BM103" i="4"/>
  <c r="BO103"/>
  <c r="BQ103"/>
  <c r="BS103"/>
  <c r="BU103"/>
  <c r="BW103"/>
  <c r="BY103"/>
  <c r="M103"/>
  <c r="L103"/>
  <c r="I139"/>
  <c r="G139"/>
  <c r="E139"/>
  <c r="E103"/>
  <c r="E25" i="19" s="1"/>
  <c r="G73" i="21" s="1"/>
  <c r="G103" i="4"/>
  <c r="I103"/>
  <c r="N103"/>
  <c r="P103"/>
  <c r="R103"/>
  <c r="T103"/>
  <c r="V103"/>
  <c r="X103"/>
  <c r="Z103"/>
  <c r="AB103"/>
  <c r="AD103"/>
  <c r="AF103"/>
  <c r="AH103"/>
  <c r="AJ103"/>
  <c r="AL103"/>
  <c r="AN103"/>
  <c r="AP103"/>
  <c r="AR103"/>
  <c r="AT103"/>
  <c r="AV103"/>
  <c r="AX103"/>
  <c r="F28" i="7" s="1"/>
  <c r="AZ103" i="4"/>
  <c r="BB103"/>
  <c r="BD103"/>
  <c r="BF103"/>
  <c r="BH103"/>
  <c r="BJ103"/>
  <c r="BL103"/>
  <c r="BN103"/>
  <c r="BP103"/>
  <c r="BR103"/>
  <c r="BT103"/>
  <c r="BV103"/>
  <c r="BX103"/>
  <c r="H32" i="20" s="1"/>
  <c r="M145" i="21" s="1"/>
  <c r="D27" i="7"/>
  <c r="E28"/>
  <c r="G25" i="19" l="1"/>
  <c r="K73" i="21" s="1"/>
  <c r="E15" i="19"/>
  <c r="G63" i="21" s="1"/>
  <c r="H17" i="19"/>
  <c r="M65" i="21" s="1"/>
  <c r="M68"/>
  <c r="L28" i="18"/>
  <c r="X28" s="1"/>
  <c r="AH20" i="15"/>
  <c r="AJ20" s="1"/>
  <c r="W26" i="18"/>
  <c r="W25" s="1"/>
  <c r="W40" s="1"/>
  <c r="AG21" i="15"/>
  <c r="O26" i="18"/>
  <c r="O25" s="1"/>
  <c r="O40" s="1"/>
  <c r="Y21" i="15"/>
  <c r="Q26" i="18"/>
  <c r="Q25" s="1"/>
  <c r="Q40" s="1"/>
  <c r="AA21" i="15"/>
  <c r="L26" i="18"/>
  <c r="AH18" i="15"/>
  <c r="AJ18" s="1"/>
  <c r="V21"/>
  <c r="T26" i="18"/>
  <c r="T25" s="1"/>
  <c r="T40" s="1"/>
  <c r="AD21" i="15"/>
  <c r="P26" i="18"/>
  <c r="P25" s="1"/>
  <c r="P40" s="1"/>
  <c r="Z21" i="15"/>
  <c r="D17" i="19"/>
  <c r="E65" i="21" s="1"/>
  <c r="E68"/>
  <c r="F17" i="19"/>
  <c r="I65" i="21" s="1"/>
  <c r="I68"/>
  <c r="S26" i="18"/>
  <c r="S25" s="1"/>
  <c r="S40" s="1"/>
  <c r="AC21" i="15"/>
  <c r="U26" i="18"/>
  <c r="U25" s="1"/>
  <c r="U40" s="1"/>
  <c r="AE21" i="15"/>
  <c r="M26" i="18"/>
  <c r="M25" s="1"/>
  <c r="M40" s="1"/>
  <c r="W21" i="15"/>
  <c r="V26" i="18"/>
  <c r="V25" s="1"/>
  <c r="V40" s="1"/>
  <c r="AF21" i="15"/>
  <c r="R26" i="18"/>
  <c r="R25" s="1"/>
  <c r="R40" s="1"/>
  <c r="AB21" i="15"/>
  <c r="N26" i="18"/>
  <c r="N25" s="1"/>
  <c r="N40" s="1"/>
  <c r="X21" i="15"/>
  <c r="E28" i="21"/>
  <c r="Z28" i="18"/>
  <c r="E26" i="21"/>
  <c r="C233"/>
  <c r="C234" s="1"/>
  <c r="D230" s="1"/>
  <c r="P230" s="1"/>
  <c r="O232"/>
  <c r="Q232"/>
  <c r="U232" s="1"/>
  <c r="O230"/>
  <c r="Q230"/>
  <c r="U230" s="1"/>
  <c r="Q26"/>
  <c r="U26" s="1"/>
  <c r="F16" i="6"/>
  <c r="I47" i="21"/>
  <c r="M46"/>
  <c r="T46" s="1"/>
  <c r="H34" i="20"/>
  <c r="M147" i="21" s="1"/>
  <c r="H49" i="18"/>
  <c r="H271" i="4"/>
  <c r="AD279"/>
  <c r="E17" i="20"/>
  <c r="B5" i="1"/>
  <c r="F262" i="4"/>
  <c r="F28" i="9" s="1"/>
  <c r="G48" i="19" s="1"/>
  <c r="F11" i="14"/>
  <c r="I199" i="21" s="1"/>
  <c r="D19" i="20"/>
  <c r="E132" i="21" s="1"/>
  <c r="G271" i="4"/>
  <c r="F44" i="20"/>
  <c r="I157" i="21" s="1"/>
  <c r="E32" i="20"/>
  <c r="G145" i="21" s="1"/>
  <c r="F15" i="19"/>
  <c r="I63" i="21" s="1"/>
  <c r="F25" i="19"/>
  <c r="I73" i="21" s="1"/>
  <c r="E17" i="19"/>
  <c r="G65" i="21" s="1"/>
  <c r="G15" i="19"/>
  <c r="K63" i="21" s="1"/>
  <c r="F32" i="20"/>
  <c r="I145" i="21" s="1"/>
  <c r="G32" i="20"/>
  <c r="K145" i="21" s="1"/>
  <c r="H15" i="19"/>
  <c r="M63" i="21" s="1"/>
  <c r="H28" i="7"/>
  <c r="H25" i="19"/>
  <c r="M73" i="21" s="1"/>
  <c r="G17" i="19"/>
  <c r="K65" i="21" s="1"/>
  <c r="H29" i="19"/>
  <c r="M77" i="21" s="1"/>
  <c r="G34" i="20"/>
  <c r="K147" i="21" s="1"/>
  <c r="D25" i="18"/>
  <c r="D40" s="1"/>
  <c r="G49"/>
  <c r="G44" i="20" s="1"/>
  <c r="K157" i="21" s="1"/>
  <c r="C54" i="19"/>
  <c r="C21" i="20"/>
  <c r="D32"/>
  <c r="E145" i="21" s="1"/>
  <c r="D25" i="19"/>
  <c r="E73" i="21" s="1"/>
  <c r="C49" i="18"/>
  <c r="O139" i="4"/>
  <c r="N82" i="7" s="1"/>
  <c r="Q139" i="4"/>
  <c r="P82" i="7" s="1"/>
  <c r="S139" i="4"/>
  <c r="R82" i="7" s="1"/>
  <c r="U139" i="4"/>
  <c r="T82" i="7" s="1"/>
  <c r="W139" i="4"/>
  <c r="V82" i="7" s="1"/>
  <c r="Y139" i="4"/>
  <c r="AA139"/>
  <c r="AC139"/>
  <c r="AE139"/>
  <c r="AG139"/>
  <c r="AI139"/>
  <c r="AK139"/>
  <c r="AM139"/>
  <c r="AO139"/>
  <c r="AQ139"/>
  <c r="AS139"/>
  <c r="AU139"/>
  <c r="AW139"/>
  <c r="AY139"/>
  <c r="BA139"/>
  <c r="BC139"/>
  <c r="BE139"/>
  <c r="BG139"/>
  <c r="BI139"/>
  <c r="BK139"/>
  <c r="G26" i="19" s="1"/>
  <c r="BM139" i="4"/>
  <c r="BO139"/>
  <c r="BQ139"/>
  <c r="BS139"/>
  <c r="BU139"/>
  <c r="BW139"/>
  <c r="BY139"/>
  <c r="M139"/>
  <c r="L82" i="7" s="1"/>
  <c r="L83" s="1"/>
  <c r="L139" i="4"/>
  <c r="N139"/>
  <c r="M82" i="7" s="1"/>
  <c r="P139" i="4"/>
  <c r="O82" i="7" s="1"/>
  <c r="R139" i="4"/>
  <c r="Q82" i="7" s="1"/>
  <c r="T139" i="4"/>
  <c r="S82" i="7" s="1"/>
  <c r="V139" i="4"/>
  <c r="U82" i="7" s="1"/>
  <c r="X139" i="4"/>
  <c r="D26" i="19" s="1"/>
  <c r="E74" i="21" s="1"/>
  <c r="Z139" i="4"/>
  <c r="AB139"/>
  <c r="AD139"/>
  <c r="AF139"/>
  <c r="AH139"/>
  <c r="AJ139"/>
  <c r="AL139"/>
  <c r="AN139"/>
  <c r="AP139"/>
  <c r="AR139"/>
  <c r="AT139"/>
  <c r="AV139"/>
  <c r="AX139"/>
  <c r="AZ139"/>
  <c r="BB139"/>
  <c r="BD139"/>
  <c r="BF139"/>
  <c r="BH139"/>
  <c r="BJ139"/>
  <c r="BL139"/>
  <c r="BN139"/>
  <c r="BP139"/>
  <c r="BR139"/>
  <c r="BT139"/>
  <c r="BV139"/>
  <c r="BX139"/>
  <c r="H33" i="20" s="1"/>
  <c r="O140" i="4"/>
  <c r="Q140"/>
  <c r="S140"/>
  <c r="U140"/>
  <c r="W140"/>
  <c r="Y140"/>
  <c r="AA140"/>
  <c r="AC140"/>
  <c r="AE140"/>
  <c r="AG140"/>
  <c r="AI140"/>
  <c r="AK140"/>
  <c r="AM140"/>
  <c r="AO140"/>
  <c r="AQ140"/>
  <c r="AS140"/>
  <c r="AU140"/>
  <c r="AW140"/>
  <c r="AY140"/>
  <c r="BA140"/>
  <c r="BC140"/>
  <c r="BE140"/>
  <c r="BG140"/>
  <c r="BI140"/>
  <c r="BK140"/>
  <c r="BM140"/>
  <c r="BO140"/>
  <c r="BQ140"/>
  <c r="BS140"/>
  <c r="BU140"/>
  <c r="BW140"/>
  <c r="BY140"/>
  <c r="N140"/>
  <c r="P140"/>
  <c r="R140"/>
  <c r="T140"/>
  <c r="V140"/>
  <c r="X140"/>
  <c r="Z140"/>
  <c r="AB140"/>
  <c r="AD140"/>
  <c r="AF140"/>
  <c r="AH140"/>
  <c r="AJ140"/>
  <c r="AL140"/>
  <c r="AN140"/>
  <c r="AP140"/>
  <c r="AR140"/>
  <c r="AT140"/>
  <c r="AV140"/>
  <c r="AX140"/>
  <c r="AZ140"/>
  <c r="BB140"/>
  <c r="BD140"/>
  <c r="BF140"/>
  <c r="BH140"/>
  <c r="BJ140"/>
  <c r="BL140"/>
  <c r="BN140"/>
  <c r="BP140"/>
  <c r="BR140"/>
  <c r="BT140"/>
  <c r="BV140"/>
  <c r="BX140"/>
  <c r="M140"/>
  <c r="L140"/>
  <c r="D28" i="7"/>
  <c r="F6" i="9"/>
  <c r="U83" i="7" l="1"/>
  <c r="U20" i="6" s="1"/>
  <c r="Q83" i="7"/>
  <c r="Q9" i="6" s="1"/>
  <c r="S83" i="7"/>
  <c r="S9" i="6" s="1"/>
  <c r="O83" i="7"/>
  <c r="O20" i="6" s="1"/>
  <c r="M83" i="7"/>
  <c r="M20" i="6" s="1"/>
  <c r="Q20"/>
  <c r="T83" i="7"/>
  <c r="P83"/>
  <c r="L9" i="6"/>
  <c r="L20"/>
  <c r="V83" i="7"/>
  <c r="R83"/>
  <c r="N83"/>
  <c r="G22" i="19"/>
  <c r="K70" i="21" s="1"/>
  <c r="K74"/>
  <c r="H29" i="20"/>
  <c r="M142" i="21" s="1"/>
  <c r="M146"/>
  <c r="O233"/>
  <c r="AH21" i="15"/>
  <c r="AJ21" s="1"/>
  <c r="X26" i="18"/>
  <c r="L25"/>
  <c r="L40" s="1"/>
  <c r="Q4" i="6"/>
  <c r="Q5" s="1"/>
  <c r="Q6" s="1"/>
  <c r="Q8" s="1"/>
  <c r="Q45" i="18"/>
  <c r="O4" i="6"/>
  <c r="O5" s="1"/>
  <c r="O6" s="1"/>
  <c r="O8" s="1"/>
  <c r="O45" i="18"/>
  <c r="W4" i="6"/>
  <c r="W5" s="1"/>
  <c r="W6" s="1"/>
  <c r="W8" s="1"/>
  <c r="W45" i="18"/>
  <c r="N4" i="6"/>
  <c r="N5" s="1"/>
  <c r="N6" s="1"/>
  <c r="N8" s="1"/>
  <c r="N45" i="18"/>
  <c r="R4" i="6"/>
  <c r="R5" s="1"/>
  <c r="R6" s="1"/>
  <c r="R8" s="1"/>
  <c r="R45" i="18"/>
  <c r="V4" i="6"/>
  <c r="V5" s="1"/>
  <c r="V6" s="1"/>
  <c r="V8" s="1"/>
  <c r="V45" i="18"/>
  <c r="M4" i="6"/>
  <c r="M5" s="1"/>
  <c r="M6" s="1"/>
  <c r="M8" s="1"/>
  <c r="M45" i="18"/>
  <c r="U4" i="6"/>
  <c r="U5" s="1"/>
  <c r="U6" s="1"/>
  <c r="U8" s="1"/>
  <c r="U45" i="18"/>
  <c r="S4" i="6"/>
  <c r="S5" s="1"/>
  <c r="S6" s="1"/>
  <c r="S8" s="1"/>
  <c r="S45" i="18"/>
  <c r="P4" i="6"/>
  <c r="P5" s="1"/>
  <c r="P6" s="1"/>
  <c r="P8" s="1"/>
  <c r="P45" i="18"/>
  <c r="T4" i="6"/>
  <c r="T5" s="1"/>
  <c r="T6" s="1"/>
  <c r="T8" s="1"/>
  <c r="T45" i="18"/>
  <c r="W82" i="7"/>
  <c r="F17" i="20"/>
  <c r="G130" i="21"/>
  <c r="Q130" s="1"/>
  <c r="E25"/>
  <c r="F26" s="1"/>
  <c r="O26" s="1"/>
  <c r="S157"/>
  <c r="Q233"/>
  <c r="U233" s="1"/>
  <c r="C47"/>
  <c r="C16" i="6"/>
  <c r="D229" i="21"/>
  <c r="P229" s="1"/>
  <c r="Q234"/>
  <c r="U234" s="1"/>
  <c r="C61" i="19"/>
  <c r="C109" i="21" s="1"/>
  <c r="C102"/>
  <c r="C23" i="1"/>
  <c r="C22"/>
  <c r="C3" i="3" s="1"/>
  <c r="C25" i="20"/>
  <c r="C138" i="21" s="1"/>
  <c r="C134"/>
  <c r="D4" i="6"/>
  <c r="E40" i="21"/>
  <c r="F37"/>
  <c r="O37" s="1"/>
  <c r="F35"/>
  <c r="O35" s="1"/>
  <c r="F33"/>
  <c r="O33" s="1"/>
  <c r="F29"/>
  <c r="O29" s="1"/>
  <c r="F27"/>
  <c r="O27" s="1"/>
  <c r="F38"/>
  <c r="O38" s="1"/>
  <c r="F34"/>
  <c r="O34" s="1"/>
  <c r="F32"/>
  <c r="O32" s="1"/>
  <c r="F30"/>
  <c r="O30" s="1"/>
  <c r="F25"/>
  <c r="O25" s="1"/>
  <c r="Q25"/>
  <c r="U25" s="1"/>
  <c r="G16" i="6"/>
  <c r="K47" i="21"/>
  <c r="S47" s="1"/>
  <c r="S147"/>
  <c r="M47"/>
  <c r="H44" i="20"/>
  <c r="M157" i="21" s="1"/>
  <c r="T157" s="1"/>
  <c r="H11" i="14"/>
  <c r="M199" i="21" s="1"/>
  <c r="H16" i="6"/>
  <c r="H262" i="4"/>
  <c r="F19" i="6"/>
  <c r="I178" i="21"/>
  <c r="G45" i="19"/>
  <c r="K96" i="21"/>
  <c r="T147"/>
  <c r="E19" i="20"/>
  <c r="G132" i="21" s="1"/>
  <c r="Q132" s="1"/>
  <c r="AD280" i="4"/>
  <c r="AD278" s="1"/>
  <c r="G262"/>
  <c r="G28" i="9" s="1"/>
  <c r="H48" i="19" s="1"/>
  <c r="G11" i="14"/>
  <c r="K199" i="21" s="1"/>
  <c r="S199" s="1"/>
  <c r="D20" i="14"/>
  <c r="D16"/>
  <c r="E204" i="21" s="1"/>
  <c r="D9" i="14"/>
  <c r="E197" i="21" s="1"/>
  <c r="E9" i="14"/>
  <c r="G197" i="21" s="1"/>
  <c r="D45" i="18"/>
  <c r="D6" i="14"/>
  <c r="E194" i="21" s="1"/>
  <c r="C6" i="9"/>
  <c r="C262" i="4"/>
  <c r="E33" i="20"/>
  <c r="F16" i="19"/>
  <c r="I64" i="21" s="1"/>
  <c r="H26" i="19"/>
  <c r="G16"/>
  <c r="F33" i="20"/>
  <c r="I146" i="21" s="1"/>
  <c r="H16" i="19"/>
  <c r="M64" i="21" s="1"/>
  <c r="G33" i="20"/>
  <c r="D22" i="19"/>
  <c r="E70" i="21" s="1"/>
  <c r="F26" i="19"/>
  <c r="I74" i="21" s="1"/>
  <c r="H12" i="19"/>
  <c r="M60" i="21" s="1"/>
  <c r="E26" i="19"/>
  <c r="E16"/>
  <c r="D33" i="20"/>
  <c r="C44"/>
  <c r="G6" i="9"/>
  <c r="D4" i="3"/>
  <c r="D5"/>
  <c r="B12" i="1"/>
  <c r="B7"/>
  <c r="C5" i="3" s="1"/>
  <c r="S20" i="6" l="1"/>
  <c r="U9"/>
  <c r="U11" s="1"/>
  <c r="H82" i="7"/>
  <c r="H17" i="14" s="1"/>
  <c r="M205" i="21" s="1"/>
  <c r="H35" i="20"/>
  <c r="M148" i="21" s="1"/>
  <c r="N145" s="1"/>
  <c r="H22" i="14"/>
  <c r="M210" i="21" s="1"/>
  <c r="M9" i="6"/>
  <c r="M11" s="1"/>
  <c r="O9"/>
  <c r="O11" s="1"/>
  <c r="S11"/>
  <c r="Q11"/>
  <c r="T47" i="21"/>
  <c r="F12" i="19"/>
  <c r="I60" i="21" s="1"/>
  <c r="F29" i="20"/>
  <c r="F35" s="1"/>
  <c r="I148" i="21" s="1"/>
  <c r="F28"/>
  <c r="O28" s="1"/>
  <c r="F36"/>
  <c r="O36" s="1"/>
  <c r="P35" s="1"/>
  <c r="F31"/>
  <c r="O31" s="1"/>
  <c r="E12" i="19"/>
  <c r="G60" i="21" s="1"/>
  <c r="G64"/>
  <c r="G29" i="20"/>
  <c r="G22" i="14" s="1"/>
  <c r="K146" i="21"/>
  <c r="H22" i="19"/>
  <c r="M70" i="21" s="1"/>
  <c r="M74"/>
  <c r="E29" i="20"/>
  <c r="G142" i="21" s="1"/>
  <c r="G146"/>
  <c r="W83" i="7"/>
  <c r="X83" s="1"/>
  <c r="W46" i="18"/>
  <c r="W49" s="1"/>
  <c r="W16" i="6" s="1"/>
  <c r="W19" s="1"/>
  <c r="W47" i="18"/>
  <c r="W48"/>
  <c r="O47"/>
  <c r="O46"/>
  <c r="O49" s="1"/>
  <c r="O16" i="6" s="1"/>
  <c r="O19" s="1"/>
  <c r="O22" s="1"/>
  <c r="O25" s="1"/>
  <c r="O48" i="18"/>
  <c r="Q46"/>
  <c r="Q49" s="1"/>
  <c r="Q16" i="6" s="1"/>
  <c r="Q19" s="1"/>
  <c r="Q22" s="1"/>
  <c r="Q25" s="1"/>
  <c r="Q47" i="18"/>
  <c r="Q48"/>
  <c r="L4" i="6"/>
  <c r="L45" i="18"/>
  <c r="N9" i="6"/>
  <c r="N11" s="1"/>
  <c r="N20"/>
  <c r="V9"/>
  <c r="V11" s="1"/>
  <c r="V20"/>
  <c r="P9"/>
  <c r="P11" s="1"/>
  <c r="P20"/>
  <c r="D29" i="20"/>
  <c r="D22" i="14" s="1"/>
  <c r="D23" s="1"/>
  <c r="E146" i="21"/>
  <c r="E22" i="19"/>
  <c r="G70" i="21" s="1"/>
  <c r="G74"/>
  <c r="F22" i="19"/>
  <c r="I70" i="21" s="1"/>
  <c r="G12" i="19"/>
  <c r="K60" i="21" s="1"/>
  <c r="K64"/>
  <c r="T47" i="18"/>
  <c r="T48"/>
  <c r="T46"/>
  <c r="T49" s="1"/>
  <c r="T16" i="6" s="1"/>
  <c r="T19" s="1"/>
  <c r="P46" i="18"/>
  <c r="P49" s="1"/>
  <c r="P16" i="6" s="1"/>
  <c r="P19" s="1"/>
  <c r="P47" i="18"/>
  <c r="P48"/>
  <c r="S46"/>
  <c r="S49" s="1"/>
  <c r="S16" i="6" s="1"/>
  <c r="S19" s="1"/>
  <c r="S47" i="18"/>
  <c r="S48"/>
  <c r="U46"/>
  <c r="U49" s="1"/>
  <c r="U16" i="6" s="1"/>
  <c r="U19" s="1"/>
  <c r="U22" s="1"/>
  <c r="U25" s="1"/>
  <c r="U47" i="18"/>
  <c r="U48"/>
  <c r="M46"/>
  <c r="M49" s="1"/>
  <c r="M16" i="6" s="1"/>
  <c r="M19" s="1"/>
  <c r="M22" s="1"/>
  <c r="M25" s="1"/>
  <c r="M47" i="18"/>
  <c r="M48"/>
  <c r="V46"/>
  <c r="V49" s="1"/>
  <c r="V16" i="6" s="1"/>
  <c r="V19" s="1"/>
  <c r="V47" i="18"/>
  <c r="V48"/>
  <c r="R46"/>
  <c r="R49" s="1"/>
  <c r="R16" i="6" s="1"/>
  <c r="R19" s="1"/>
  <c r="R47" i="18"/>
  <c r="R48"/>
  <c r="N46"/>
  <c r="N49" s="1"/>
  <c r="N16" i="6" s="1"/>
  <c r="N19" s="1"/>
  <c r="N47" i="18"/>
  <c r="N48"/>
  <c r="X25"/>
  <c r="Z26"/>
  <c r="R9" i="6"/>
  <c r="R20"/>
  <c r="T9"/>
  <c r="T11" s="1"/>
  <c r="T20"/>
  <c r="D47" i="18"/>
  <c r="D48"/>
  <c r="E166" i="21"/>
  <c r="Q197"/>
  <c r="D82" i="7"/>
  <c r="Z82" s="1"/>
  <c r="G17" i="20"/>
  <c r="I130" i="21"/>
  <c r="R130" s="1"/>
  <c r="K142"/>
  <c r="E22" i="14"/>
  <c r="G210" i="21" s="1"/>
  <c r="E82" i="7"/>
  <c r="D5" i="6"/>
  <c r="D6" s="1"/>
  <c r="D43" i="20"/>
  <c r="E156" i="21" s="1"/>
  <c r="C157"/>
  <c r="C178"/>
  <c r="C19" i="6"/>
  <c r="D21" i="14"/>
  <c r="E209" i="21" s="1"/>
  <c r="O209" s="1"/>
  <c r="E208"/>
  <c r="O204"/>
  <c r="Q204"/>
  <c r="U204" s="1"/>
  <c r="O194"/>
  <c r="Y194" s="1"/>
  <c r="AA194" s="1"/>
  <c r="Q194"/>
  <c r="U194" s="1"/>
  <c r="X194" s="1"/>
  <c r="N146"/>
  <c r="G49" i="19"/>
  <c r="K97" i="21" s="1"/>
  <c r="K93"/>
  <c r="G19" i="6"/>
  <c r="K178" i="21"/>
  <c r="T199"/>
  <c r="D46" i="18"/>
  <c r="E29" i="19" s="1"/>
  <c r="G77" i="21" s="1"/>
  <c r="E45"/>
  <c r="H45" i="19"/>
  <c r="M96" i="21"/>
  <c r="I181"/>
  <c r="H19" i="6"/>
  <c r="M178" i="21"/>
  <c r="D17" i="14"/>
  <c r="E205" i="21" s="1"/>
  <c r="G35" i="20"/>
  <c r="K148" i="21" s="1"/>
  <c r="F19" i="20"/>
  <c r="I132" i="21" s="1"/>
  <c r="R132" s="1"/>
  <c r="D10" i="19"/>
  <c r="E58" i="21" s="1"/>
  <c r="G24" i="9"/>
  <c r="G8"/>
  <c r="G16" s="1"/>
  <c r="G25" s="1"/>
  <c r="C7" i="3"/>
  <c r="G10" i="19" l="1"/>
  <c r="G40" s="1"/>
  <c r="K88" i="21" s="1"/>
  <c r="S22" i="6"/>
  <c r="S25" s="1"/>
  <c r="H23" i="14"/>
  <c r="H25" s="1"/>
  <c r="M213" i="21" s="1"/>
  <c r="N147"/>
  <c r="D271" i="4"/>
  <c r="D49" i="18"/>
  <c r="D16" i="6" s="1"/>
  <c r="F82" i="7"/>
  <c r="F83" s="1"/>
  <c r="F22" i="14"/>
  <c r="I210" i="21" s="1"/>
  <c r="R210" s="1"/>
  <c r="N22" i="6"/>
  <c r="N25" s="1"/>
  <c r="N143" i="21"/>
  <c r="G23" i="14"/>
  <c r="G25" s="1"/>
  <c r="K213" i="21" s="1"/>
  <c r="K210"/>
  <c r="T210" s="1"/>
  <c r="N142"/>
  <c r="G82" i="7"/>
  <c r="H83" s="1"/>
  <c r="H20" i="6" s="1"/>
  <c r="M182" i="21" s="1"/>
  <c r="I142"/>
  <c r="S142" s="1"/>
  <c r="E142"/>
  <c r="Q142" s="1"/>
  <c r="N144"/>
  <c r="H10" i="19"/>
  <c r="H40" s="1"/>
  <c r="V22" i="6"/>
  <c r="V25" s="1"/>
  <c r="P22"/>
  <c r="P25" s="1"/>
  <c r="X40" i="18"/>
  <c r="Z25"/>
  <c r="L46"/>
  <c r="L49" s="1"/>
  <c r="L16" i="6" s="1"/>
  <c r="L47" i="18"/>
  <c r="L48"/>
  <c r="R11" i="6"/>
  <c r="E210" i="21"/>
  <c r="Q210" s="1"/>
  <c r="R22" i="6"/>
  <c r="R25" s="1"/>
  <c r="T22"/>
  <c r="T25" s="1"/>
  <c r="L5"/>
  <c r="X5" s="1"/>
  <c r="Z5" s="1"/>
  <c r="X4"/>
  <c r="W20"/>
  <c r="X20" s="1"/>
  <c r="W9"/>
  <c r="W11" s="1"/>
  <c r="E23" i="14"/>
  <c r="E25" s="1"/>
  <c r="G213" i="21" s="1"/>
  <c r="E167"/>
  <c r="E211"/>
  <c r="D25" i="14"/>
  <c r="E213" i="21" s="1"/>
  <c r="D83" i="7"/>
  <c r="Z83" s="1"/>
  <c r="E83"/>
  <c r="E17" i="14"/>
  <c r="G205" i="21" s="1"/>
  <c r="Q205" s="1"/>
  <c r="H17" i="20"/>
  <c r="M130" i="21" s="1"/>
  <c r="K130"/>
  <c r="S130" s="1"/>
  <c r="T142"/>
  <c r="E46"/>
  <c r="D34" i="20"/>
  <c r="E147" i="21" s="1"/>
  <c r="C181"/>
  <c r="C22" i="6"/>
  <c r="D8"/>
  <c r="E168" i="21"/>
  <c r="Q209"/>
  <c r="U209" s="1"/>
  <c r="O208"/>
  <c r="Q208"/>
  <c r="U208" s="1"/>
  <c r="S148"/>
  <c r="L146"/>
  <c r="L142"/>
  <c r="L143"/>
  <c r="L144"/>
  <c r="L145"/>
  <c r="L147"/>
  <c r="K181"/>
  <c r="G62" i="19"/>
  <c r="K110" i="21" s="1"/>
  <c r="T148"/>
  <c r="J143"/>
  <c r="J144"/>
  <c r="J145"/>
  <c r="J146"/>
  <c r="J147"/>
  <c r="M181"/>
  <c r="H49" i="19"/>
  <c r="M97" i="21" s="1"/>
  <c r="M93"/>
  <c r="AE279" i="4"/>
  <c r="F9" i="14"/>
  <c r="I197" i="21" s="1"/>
  <c r="D40" i="19"/>
  <c r="H19" i="20"/>
  <c r="M132" i="21" s="1"/>
  <c r="G19" i="20"/>
  <c r="K132" i="21" s="1"/>
  <c r="S132" s="1"/>
  <c r="D44" i="20"/>
  <c r="E157" i="21" s="1"/>
  <c r="F8" i="9"/>
  <c r="F16" s="1"/>
  <c r="F25" s="1"/>
  <c r="F24"/>
  <c r="D6" l="1"/>
  <c r="D24" s="1"/>
  <c r="D262" i="4"/>
  <c r="D28" i="9" s="1"/>
  <c r="E48" i="19" s="1"/>
  <c r="E47" i="21"/>
  <c r="F23" i="14"/>
  <c r="K58" i="21"/>
  <c r="F17" i="14"/>
  <c r="I205" i="21" s="1"/>
  <c r="R205" s="1"/>
  <c r="M211"/>
  <c r="D11" i="14"/>
  <c r="E199" i="21" s="1"/>
  <c r="M58"/>
  <c r="R142"/>
  <c r="U142" s="1"/>
  <c r="J142"/>
  <c r="K211"/>
  <c r="G17" i="14"/>
  <c r="K205" i="21" s="1"/>
  <c r="T205" s="1"/>
  <c r="H9" i="6"/>
  <c r="H11" s="1"/>
  <c r="M173" i="21" s="1"/>
  <c r="D20" i="6"/>
  <c r="E182" i="21" s="1"/>
  <c r="G83" i="7"/>
  <c r="G20" i="6" s="1"/>
  <c r="H22"/>
  <c r="H25" s="1"/>
  <c r="M187" i="21" s="1"/>
  <c r="Q213"/>
  <c r="G211"/>
  <c r="Q211" s="1"/>
  <c r="T132"/>
  <c r="D9" i="6"/>
  <c r="E171" i="21" s="1"/>
  <c r="L6" i="6"/>
  <c r="L8" s="1"/>
  <c r="L11" s="1"/>
  <c r="W22"/>
  <c r="W25" s="1"/>
  <c r="X6"/>
  <c r="Z4"/>
  <c r="X16"/>
  <c r="X19" s="1"/>
  <c r="X22" s="1"/>
  <c r="X25" s="1"/>
  <c r="L19"/>
  <c r="L22" s="1"/>
  <c r="L25" s="1"/>
  <c r="X45" i="18"/>
  <c r="Z40"/>
  <c r="X9" i="6"/>
  <c r="D35" i="20"/>
  <c r="E148" i="21" s="1"/>
  <c r="U132"/>
  <c r="T130"/>
  <c r="F9" i="6"/>
  <c r="F20"/>
  <c r="E9"/>
  <c r="E20"/>
  <c r="G182" i="21" s="1"/>
  <c r="M171"/>
  <c r="U130"/>
  <c r="D62" i="19"/>
  <c r="E110" i="21" s="1"/>
  <c r="E88"/>
  <c r="C25" i="6"/>
  <c r="C187" i="21" s="1"/>
  <c r="C184"/>
  <c r="E170"/>
  <c r="O210"/>
  <c r="T213"/>
  <c r="R197"/>
  <c r="F25" i="14"/>
  <c r="I213" i="21" s="1"/>
  <c r="R213" s="1"/>
  <c r="I211"/>
  <c r="S210"/>
  <c r="U210" s="1"/>
  <c r="E45" i="19"/>
  <c r="G96" i="21"/>
  <c r="D19" i="6"/>
  <c r="E178" i="21"/>
  <c r="H62" i="19"/>
  <c r="M110" i="21" s="1"/>
  <c r="M88"/>
  <c r="AE280" i="4"/>
  <c r="AE278" s="1"/>
  <c r="H9" i="14"/>
  <c r="M197" i="21" s="1"/>
  <c r="G9" i="14"/>
  <c r="K197" i="21" s="1"/>
  <c r="S197" s="1"/>
  <c r="F22" i="7"/>
  <c r="D8" i="9"/>
  <c r="D16" s="1"/>
  <c r="B23"/>
  <c r="B15"/>
  <c r="B6"/>
  <c r="B24" s="1"/>
  <c r="C43" i="20" s="1"/>
  <c r="C156" i="21" s="1"/>
  <c r="C41" i="20"/>
  <c r="C154" i="21" s="1"/>
  <c r="Z20" i="6" l="1"/>
  <c r="O205" i="21"/>
  <c r="S211"/>
  <c r="G9" i="6"/>
  <c r="K171" i="21" s="1"/>
  <c r="M184"/>
  <c r="T211"/>
  <c r="S205"/>
  <c r="U205" s="1"/>
  <c r="Z19" i="6"/>
  <c r="D11"/>
  <c r="E173" i="21" s="1"/>
  <c r="Z9" i="6"/>
  <c r="X47" i="18"/>
  <c r="X46"/>
  <c r="X48"/>
  <c r="Z45"/>
  <c r="X8" i="6"/>
  <c r="Z6"/>
  <c r="Z16"/>
  <c r="F146" i="21"/>
  <c r="F143"/>
  <c r="F147"/>
  <c r="F145"/>
  <c r="F142"/>
  <c r="F144"/>
  <c r="K182"/>
  <c r="G22" i="6"/>
  <c r="G171" i="21"/>
  <c r="E11" i="6"/>
  <c r="G173" i="21" s="1"/>
  <c r="I171"/>
  <c r="F11" i="6"/>
  <c r="I173" i="21" s="1"/>
  <c r="I182"/>
  <c r="F22" i="6"/>
  <c r="T197" i="21"/>
  <c r="U197" s="1"/>
  <c r="X197" s="1"/>
  <c r="R211"/>
  <c r="O211"/>
  <c r="O213"/>
  <c r="O197"/>
  <c r="Y197" s="1"/>
  <c r="AA197" s="1"/>
  <c r="S213"/>
  <c r="U213" s="1"/>
  <c r="D22" i="6"/>
  <c r="Z22" s="1"/>
  <c r="E181" i="21"/>
  <c r="E49" i="19"/>
  <c r="G97" i="21" s="1"/>
  <c r="G93"/>
  <c r="D41" i="20"/>
  <c r="B8" i="9"/>
  <c r="B16" s="1"/>
  <c r="B17" s="1"/>
  <c r="C15" s="1"/>
  <c r="C8" i="3"/>
  <c r="C37" i="20"/>
  <c r="C44" i="19"/>
  <c r="C92" i="21" s="1"/>
  <c r="C43" i="19"/>
  <c r="C91" i="21" s="1"/>
  <c r="E28" i="14" l="1"/>
  <c r="G216" i="21" s="1"/>
  <c r="U211"/>
  <c r="G11" i="6"/>
  <c r="K173" i="21" s="1"/>
  <c r="X11" i="6"/>
  <c r="Z11" s="1"/>
  <c r="Z8"/>
  <c r="X49" i="18"/>
  <c r="Z49" s="1"/>
  <c r="Z46"/>
  <c r="F28" i="14"/>
  <c r="I216" i="21" s="1"/>
  <c r="F25" i="6"/>
  <c r="I187" i="21" s="1"/>
  <c r="I184"/>
  <c r="G25" i="6"/>
  <c r="K187" i="21" s="1"/>
  <c r="K184"/>
  <c r="C16" i="3"/>
  <c r="D25" i="6"/>
  <c r="E184" i="21"/>
  <c r="D45" i="20"/>
  <c r="E154" i="21"/>
  <c r="C38" i="20"/>
  <c r="C151" i="21" s="1"/>
  <c r="C150"/>
  <c r="E41" i="20"/>
  <c r="G154" i="21" s="1"/>
  <c r="AF279" i="4"/>
  <c r="C42" i="19"/>
  <c r="D37" i="20"/>
  <c r="F11" i="3"/>
  <c r="D12" s="1"/>
  <c r="C45" i="20"/>
  <c r="C69" i="3"/>
  <c r="C53"/>
  <c r="C37"/>
  <c r="C64"/>
  <c r="C61"/>
  <c r="C45"/>
  <c r="C21"/>
  <c r="C14"/>
  <c r="B25" i="9"/>
  <c r="B26" s="1"/>
  <c r="B30" s="1"/>
  <c r="C23" s="1"/>
  <c r="C65" i="3"/>
  <c r="C57"/>
  <c r="C49"/>
  <c r="C41"/>
  <c r="C29"/>
  <c r="C13"/>
  <c r="C46"/>
  <c r="C33"/>
  <c r="C25"/>
  <c r="C17"/>
  <c r="C68"/>
  <c r="C60"/>
  <c r="C30"/>
  <c r="C71"/>
  <c r="C67"/>
  <c r="C63"/>
  <c r="C59"/>
  <c r="C55"/>
  <c r="C51"/>
  <c r="C47"/>
  <c r="C43"/>
  <c r="C39"/>
  <c r="C35"/>
  <c r="C31"/>
  <c r="C27"/>
  <c r="C23"/>
  <c r="C19"/>
  <c r="C15"/>
  <c r="C70"/>
  <c r="C66"/>
  <c r="C62"/>
  <c r="C54"/>
  <c r="C38"/>
  <c r="C22"/>
  <c r="C58"/>
  <c r="C50"/>
  <c r="C42"/>
  <c r="C34"/>
  <c r="C26"/>
  <c r="C18"/>
  <c r="C56"/>
  <c r="C52"/>
  <c r="C48"/>
  <c r="C44"/>
  <c r="C40"/>
  <c r="C36"/>
  <c r="C32"/>
  <c r="C28"/>
  <c r="C24"/>
  <c r="C20"/>
  <c r="C12"/>
  <c r="R216" i="21" l="1"/>
  <c r="G28" i="14"/>
  <c r="K216" i="21" s="1"/>
  <c r="S216" s="1"/>
  <c r="H28" i="14"/>
  <c r="M216" i="21" s="1"/>
  <c r="F41" i="20"/>
  <c r="I154" i="21" s="1"/>
  <c r="E187"/>
  <c r="Z25" i="6"/>
  <c r="C39" i="20"/>
  <c r="C152" i="21" s="1"/>
  <c r="D13" i="14"/>
  <c r="E201" i="21" s="1"/>
  <c r="E158"/>
  <c r="F154" s="1"/>
  <c r="C158"/>
  <c r="C49" i="19"/>
  <c r="C90" i="21"/>
  <c r="D38" i="20"/>
  <c r="E150" i="21"/>
  <c r="AF280" i="4"/>
  <c r="AF278" s="1"/>
  <c r="G41" i="20"/>
  <c r="K154" i="21" s="1"/>
  <c r="E37" i="20"/>
  <c r="G150" i="21" s="1"/>
  <c r="E12" i="3"/>
  <c r="F12" s="1"/>
  <c r="D13" s="1"/>
  <c r="C72"/>
  <c r="T216" i="21" l="1"/>
  <c r="O216"/>
  <c r="U216"/>
  <c r="C46" i="20"/>
  <c r="C159" i="21" s="1"/>
  <c r="F155"/>
  <c r="F156"/>
  <c r="F157"/>
  <c r="D39" i="20"/>
  <c r="E151" i="21"/>
  <c r="C62" i="19"/>
  <c r="C97" i="21"/>
  <c r="H41" i="20"/>
  <c r="M154" i="21" s="1"/>
  <c r="E38" i="20"/>
  <c r="G151" i="21" s="1"/>
  <c r="F37" i="20"/>
  <c r="G37" l="1"/>
  <c r="K150" i="21" s="1"/>
  <c r="I150"/>
  <c r="Q151"/>
  <c r="C64" i="19"/>
  <c r="C110" i="21"/>
  <c r="E152"/>
  <c r="F151" s="1"/>
  <c r="D46" i="20"/>
  <c r="AG279" i="4"/>
  <c r="F38" i="20"/>
  <c r="I151" i="21" s="1"/>
  <c r="E13" i="3"/>
  <c r="G38" i="20" l="1"/>
  <c r="K151" i="21" s="1"/>
  <c r="H37" i="20"/>
  <c r="H38" s="1"/>
  <c r="E159" i="21"/>
  <c r="F158" s="1"/>
  <c r="R151"/>
  <c r="F148"/>
  <c r="C66" i="19"/>
  <c r="C112" i="21"/>
  <c r="D63" i="19"/>
  <c r="C6" i="20"/>
  <c r="C38" i="7"/>
  <c r="C43" s="1"/>
  <c r="C48" s="1"/>
  <c r="AG280" i="4"/>
  <c r="AG278" s="1"/>
  <c r="F39" i="20"/>
  <c r="I152" i="21" s="1"/>
  <c r="F13" i="3"/>
  <c r="D14" s="1"/>
  <c r="G39" i="20" l="1"/>
  <c r="K152" i="21" s="1"/>
  <c r="S152" s="1"/>
  <c r="F152"/>
  <c r="M150"/>
  <c r="D64" i="19"/>
  <c r="E111" i="21"/>
  <c r="H39" i="20"/>
  <c r="M152" i="21" s="1"/>
  <c r="M151"/>
  <c r="S151"/>
  <c r="J148"/>
  <c r="C119"/>
  <c r="C15" i="20"/>
  <c r="C20" i="12"/>
  <c r="C12" s="1"/>
  <c r="D5"/>
  <c r="J151" i="21"/>
  <c r="L151" l="1"/>
  <c r="L148"/>
  <c r="C128"/>
  <c r="C26" i="20"/>
  <c r="T152" i="21"/>
  <c r="N148"/>
  <c r="E63" i="19"/>
  <c r="G111" i="21" s="1"/>
  <c r="E112"/>
  <c r="D38" i="7"/>
  <c r="D43" s="1"/>
  <c r="D48" s="1"/>
  <c r="D6" i="20"/>
  <c r="T151" i="21"/>
  <c r="U151" s="1"/>
  <c r="N151"/>
  <c r="AH279" i="4"/>
  <c r="E14" i="3"/>
  <c r="E119" i="21" l="1"/>
  <c r="D15" i="20"/>
  <c r="C48"/>
  <c r="C139" i="21"/>
  <c r="C161" s="1"/>
  <c r="AH280" i="4"/>
  <c r="AH278" s="1"/>
  <c r="F14" i="3"/>
  <c r="D15" s="1"/>
  <c r="E128" i="21" l="1"/>
  <c r="F119" s="1"/>
  <c r="D26" i="20"/>
  <c r="D3" i="14"/>
  <c r="E191" i="21" s="1"/>
  <c r="D4" i="14"/>
  <c r="E192" i="21" s="1"/>
  <c r="E15" i="3"/>
  <c r="E139" i="21" l="1"/>
  <c r="F128" s="1"/>
  <c r="D12" i="14"/>
  <c r="E200" i="21" s="1"/>
  <c r="D5" i="14"/>
  <c r="E193" i="21" s="1"/>
  <c r="D10" i="14"/>
  <c r="E198" i="21" s="1"/>
  <c r="F121"/>
  <c r="F120"/>
  <c r="F123"/>
  <c r="F122"/>
  <c r="AI279" i="4"/>
  <c r="F15" i="3"/>
  <c r="D16" s="1"/>
  <c r="F132" i="21" l="1"/>
  <c r="E161"/>
  <c r="AI280" i="4"/>
  <c r="AI278" s="1"/>
  <c r="G22" i="7"/>
  <c r="E16" i="3" l="1"/>
  <c r="AJ279" i="4" l="1"/>
  <c r="F16" i="3"/>
  <c r="D17" s="1"/>
  <c r="AJ280" i="4" l="1"/>
  <c r="AJ278" s="1"/>
  <c r="E17" i="3"/>
  <c r="F17" l="1"/>
  <c r="D18" s="1"/>
  <c r="AK279" i="4" l="1"/>
  <c r="E18" i="3"/>
  <c r="AL279" i="4" l="1"/>
  <c r="AK280"/>
  <c r="AL280" s="1"/>
  <c r="F18" i="3"/>
  <c r="D19" s="1"/>
  <c r="AK278" i="4" l="1"/>
  <c r="AL278" s="1"/>
  <c r="E19" i="3"/>
  <c r="AM279" i="4" l="1"/>
  <c r="F19" i="3"/>
  <c r="D20" s="1"/>
  <c r="AM280" i="4" l="1"/>
  <c r="H22" i="7"/>
  <c r="E20" i="3"/>
  <c r="AM278" i="4" l="1"/>
  <c r="F20" i="3"/>
  <c r="D21" s="1"/>
  <c r="AN279" i="4" l="1"/>
  <c r="E21" i="3"/>
  <c r="AN280" i="4" l="1"/>
  <c r="AN278" s="1"/>
  <c r="F21" i="3"/>
  <c r="D22" l="1"/>
  <c r="E22" s="1"/>
  <c r="F22" s="1"/>
  <c r="AO279" i="4" l="1"/>
  <c r="D23" i="3"/>
  <c r="AO280" i="4" l="1"/>
  <c r="AO278" s="1"/>
  <c r="E23" i="3"/>
  <c r="G23"/>
  <c r="F23" l="1"/>
  <c r="D24" s="1"/>
  <c r="H23"/>
  <c r="AP279" i="4" l="1"/>
  <c r="E24" i="3"/>
  <c r="AP280" i="4" l="1"/>
  <c r="AP278" s="1"/>
  <c r="F24" i="3"/>
  <c r="D25" s="1"/>
  <c r="E25" l="1"/>
  <c r="AQ279" i="4" l="1"/>
  <c r="C24" i="9"/>
  <c r="C8"/>
  <c r="F25" i="3"/>
  <c r="D26" s="1"/>
  <c r="AQ280" i="4" l="1"/>
  <c r="AQ278" s="1"/>
  <c r="C16" i="9"/>
  <c r="C17" s="1"/>
  <c r="C25" s="1"/>
  <c r="E26" i="3"/>
  <c r="D15" i="9" l="1"/>
  <c r="D17" s="1"/>
  <c r="C26"/>
  <c r="C30" s="1"/>
  <c r="D23" s="1"/>
  <c r="D48" i="20"/>
  <c r="F26" i="3"/>
  <c r="D27" s="1"/>
  <c r="E5" i="12"/>
  <c r="AR279" i="4" l="1"/>
  <c r="D25" i="9"/>
  <c r="D26" s="1"/>
  <c r="D30" s="1"/>
  <c r="E42" i="20"/>
  <c r="G155" i="21" s="1"/>
  <c r="E15" i="9"/>
  <c r="E27" i="3"/>
  <c r="D6" i="12"/>
  <c r="AR280" i="4" l="1"/>
  <c r="AR278" s="1"/>
  <c r="E43" i="20"/>
  <c r="G156" i="21" s="1"/>
  <c r="E23" i="9"/>
  <c r="E6" i="12"/>
  <c r="F27" i="3"/>
  <c r="D28" s="1"/>
  <c r="E7" i="12" l="1"/>
  <c r="P217" i="21" s="1"/>
  <c r="E28" i="3"/>
  <c r="P209" i="21" l="1"/>
  <c r="P216"/>
  <c r="H29" i="14"/>
  <c r="F29"/>
  <c r="D29"/>
  <c r="F18"/>
  <c r="H18"/>
  <c r="H24"/>
  <c r="F24"/>
  <c r="D24"/>
  <c r="D33"/>
  <c r="E221" i="21" s="1"/>
  <c r="G29" i="14"/>
  <c r="E29"/>
  <c r="E18"/>
  <c r="G18"/>
  <c r="D18"/>
  <c r="G24"/>
  <c r="E24"/>
  <c r="AS279" i="4"/>
  <c r="F28" i="3"/>
  <c r="D29" s="1"/>
  <c r="E29" s="1"/>
  <c r="F29" s="1"/>
  <c r="D30" s="1"/>
  <c r="E30" s="1"/>
  <c r="F30" s="1"/>
  <c r="D31" s="1"/>
  <c r="E31" s="1"/>
  <c r="F31" s="1"/>
  <c r="D32" s="1"/>
  <c r="E32" s="1"/>
  <c r="F32" s="1"/>
  <c r="D33" s="1"/>
  <c r="E33" s="1"/>
  <c r="F33" s="1"/>
  <c r="D34" s="1"/>
  <c r="E34" s="1"/>
  <c r="F34" s="1"/>
  <c r="D35" s="1"/>
  <c r="E217" i="21" l="1"/>
  <c r="E212"/>
  <c r="AS280" i="4"/>
  <c r="AS278" s="1"/>
  <c r="E35" i="3"/>
  <c r="G35"/>
  <c r="E206" i="21" l="1"/>
  <c r="F35" i="3"/>
  <c r="D36" s="1"/>
  <c r="H35"/>
  <c r="D19" i="14" l="1"/>
  <c r="E207" i="21" s="1"/>
  <c r="AT279" i="4"/>
  <c r="E36" i="3"/>
  <c r="AT280" i="4" l="1"/>
  <c r="AT278" s="1"/>
  <c r="F36" i="3"/>
  <c r="D37" s="1"/>
  <c r="E37" l="1"/>
  <c r="AU279" i="4" l="1"/>
  <c r="F37" i="3"/>
  <c r="D38" s="1"/>
  <c r="AU280" i="4" l="1"/>
  <c r="AU278" s="1"/>
  <c r="E38" i="3"/>
  <c r="F38" l="1"/>
  <c r="D39" s="1"/>
  <c r="AV279" i="4" l="1"/>
  <c r="E39" i="3"/>
  <c r="AV280" i="4" l="1"/>
  <c r="AV278" s="1"/>
  <c r="F39" i="3"/>
  <c r="D40" s="1"/>
  <c r="E40" l="1"/>
  <c r="AW279" i="4" l="1"/>
  <c r="F40" i="3"/>
  <c r="D41" s="1"/>
  <c r="E41" s="1"/>
  <c r="F41" s="1"/>
  <c r="D42" s="1"/>
  <c r="E42" s="1"/>
  <c r="F42" s="1"/>
  <c r="D43" s="1"/>
  <c r="E43" s="1"/>
  <c r="F43" s="1"/>
  <c r="D44" s="1"/>
  <c r="E44" s="1"/>
  <c r="F44" s="1"/>
  <c r="D45" s="1"/>
  <c r="E45" s="1"/>
  <c r="F45" s="1"/>
  <c r="D46" s="1"/>
  <c r="E46" s="1"/>
  <c r="F46" s="1"/>
  <c r="D47" s="1"/>
  <c r="AW280" i="4" l="1"/>
  <c r="AW278" s="1"/>
  <c r="E47" i="3"/>
  <c r="G47"/>
  <c r="F47" l="1"/>
  <c r="D48" s="1"/>
  <c r="H47"/>
  <c r="AX279" i="4" l="1"/>
  <c r="E48" i="3"/>
  <c r="AY279" i="4" l="1"/>
  <c r="AX280"/>
  <c r="AY280" s="1"/>
  <c r="F48" i="3"/>
  <c r="D49" s="1"/>
  <c r="AX278" i="4" l="1"/>
  <c r="AY278" s="1"/>
  <c r="E49" i="3"/>
  <c r="AZ279" i="4" l="1"/>
  <c r="F49" i="3"/>
  <c r="D50" s="1"/>
  <c r="AZ280" i="4" l="1"/>
  <c r="E50" i="3"/>
  <c r="AZ278" i="4" l="1"/>
  <c r="F50" i="3"/>
  <c r="D51" s="1"/>
  <c r="BA279" i="4" l="1"/>
  <c r="E51" i="3"/>
  <c r="BA280" i="4" l="1"/>
  <c r="BA278" s="1"/>
  <c r="F51" i="3"/>
  <c r="D52" s="1"/>
  <c r="E52" l="1"/>
  <c r="BB279" i="4" l="1"/>
  <c r="F52" i="3"/>
  <c r="D53" s="1"/>
  <c r="BB280" i="4" l="1"/>
  <c r="BB278" s="1"/>
  <c r="E53" i="3"/>
  <c r="F53" l="1"/>
  <c r="D54" s="1"/>
  <c r="BC279" i="4" l="1"/>
  <c r="E54" i="3"/>
  <c r="BC280" i="4" l="1"/>
  <c r="BC278" s="1"/>
  <c r="F54" i="3"/>
  <c r="D55" s="1"/>
  <c r="E55" l="1"/>
  <c r="BD279" i="4" l="1"/>
  <c r="F55" i="3"/>
  <c r="D56" s="1"/>
  <c r="BD280" i="4" l="1"/>
  <c r="BD278" s="1"/>
  <c r="E56" i="3"/>
  <c r="F56" l="1"/>
  <c r="D57" s="1"/>
  <c r="BE279" i="4" l="1"/>
  <c r="E57" i="3"/>
  <c r="BE280" i="4" l="1"/>
  <c r="BE278" s="1"/>
  <c r="F57" i="3"/>
  <c r="D58" s="1"/>
  <c r="E58" s="1"/>
  <c r="F58" s="1"/>
  <c r="D59" s="1"/>
  <c r="E59" l="1"/>
  <c r="G59"/>
  <c r="BF279" i="4" l="1"/>
  <c r="F59" i="3"/>
  <c r="D60" s="1"/>
  <c r="H59"/>
  <c r="BF280" i="4" l="1"/>
  <c r="BF278" s="1"/>
  <c r="E60" i="3"/>
  <c r="F60" l="1"/>
  <c r="D61" s="1"/>
  <c r="BG279" i="4" l="1"/>
  <c r="E61" i="3"/>
  <c r="BG280" i="4" l="1"/>
  <c r="BG278" s="1"/>
  <c r="F61" i="3"/>
  <c r="D62" s="1"/>
  <c r="E62" l="1"/>
  <c r="BH279" i="4" l="1"/>
  <c r="F62" i="3"/>
  <c r="D63" s="1"/>
  <c r="BH280" i="4" l="1"/>
  <c r="BH278" s="1"/>
  <c r="E63" i="3"/>
  <c r="F63" l="1"/>
  <c r="D64" s="1"/>
  <c r="BI279" i="4" l="1"/>
  <c r="E64" i="3"/>
  <c r="BI280" i="4" l="1"/>
  <c r="BI278" s="1"/>
  <c r="F64" i="3"/>
  <c r="D65" s="1"/>
  <c r="E65" s="1"/>
  <c r="F65" s="1"/>
  <c r="D66" s="1"/>
  <c r="E66" s="1"/>
  <c r="F66" s="1"/>
  <c r="D67" s="1"/>
  <c r="E67" s="1"/>
  <c r="F67" s="1"/>
  <c r="D68" s="1"/>
  <c r="E68" s="1"/>
  <c r="F68" s="1"/>
  <c r="D69" s="1"/>
  <c r="E69" s="1"/>
  <c r="F69" s="1"/>
  <c r="D70" s="1"/>
  <c r="E70" s="1"/>
  <c r="F70" s="1"/>
  <c r="D71" l="1"/>
  <c r="BJ279" i="4" l="1"/>
  <c r="E71" i="3"/>
  <c r="D72"/>
  <c r="G71"/>
  <c r="BJ280" i="4" l="1"/>
  <c r="BJ278" s="1"/>
  <c r="E72" i="3"/>
  <c r="H71"/>
  <c r="F71"/>
  <c r="E46" i="18" l="1"/>
  <c r="G46" i="21" s="1"/>
  <c r="Q46" l="1"/>
  <c r="R46"/>
  <c r="BK279" i="4"/>
  <c r="E271"/>
  <c r="E49" i="18"/>
  <c r="F29" i="19"/>
  <c r="E34" i="20"/>
  <c r="E10" i="19"/>
  <c r="G58" i="21" s="1"/>
  <c r="U46" l="1"/>
  <c r="E35" i="20"/>
  <c r="G148" i="21" s="1"/>
  <c r="G147"/>
  <c r="E16" i="6"/>
  <c r="G47" i="21"/>
  <c r="O47" s="1"/>
  <c r="F10" i="19"/>
  <c r="I77" i="21"/>
  <c r="BL279" i="4"/>
  <c r="BK280"/>
  <c r="BL280" s="1"/>
  <c r="E11" i="14"/>
  <c r="G199" i="21" s="1"/>
  <c r="E44" i="20"/>
  <c r="G157" i="21" s="1"/>
  <c r="E262" i="4"/>
  <c r="E28" i="9" s="1"/>
  <c r="F48" i="19" s="1"/>
  <c r="E40"/>
  <c r="E6" i="9"/>
  <c r="E39" i="20" l="1"/>
  <c r="G152" i="21" s="1"/>
  <c r="H148" s="1"/>
  <c r="O148" s="1"/>
  <c r="F45" i="19"/>
  <c r="I96" i="21"/>
  <c r="Q199"/>
  <c r="R199"/>
  <c r="O199"/>
  <c r="Y199" s="1"/>
  <c r="AA199" s="1"/>
  <c r="F40" i="19"/>
  <c r="I88" i="21" s="1"/>
  <c r="I58"/>
  <c r="E19" i="6"/>
  <c r="G178" i="21"/>
  <c r="Q148"/>
  <c r="H144"/>
  <c r="H145"/>
  <c r="H146"/>
  <c r="H142"/>
  <c r="O142" s="1"/>
  <c r="H143"/>
  <c r="R148"/>
  <c r="E62" i="19"/>
  <c r="G88" i="21"/>
  <c r="Q157"/>
  <c r="R157"/>
  <c r="Q47"/>
  <c r="R47"/>
  <c r="Q147"/>
  <c r="H147"/>
  <c r="O147" s="1"/>
  <c r="R147"/>
  <c r="BK278" i="4"/>
  <c r="BL278" s="1"/>
  <c r="E45" i="20"/>
  <c r="E8" i="9"/>
  <c r="E16" s="1"/>
  <c r="E17" s="1"/>
  <c r="E24"/>
  <c r="Q152" i="21" l="1"/>
  <c r="H151"/>
  <c r="O151" s="1"/>
  <c r="R152"/>
  <c r="U47"/>
  <c r="U157"/>
  <c r="U199"/>
  <c r="X199" s="1"/>
  <c r="E64" i="19"/>
  <c r="G112" i="21" s="1"/>
  <c r="G110"/>
  <c r="F49" i="19"/>
  <c r="I93" i="21"/>
  <c r="U147"/>
  <c r="E22" i="6"/>
  <c r="G181" i="21"/>
  <c r="U148"/>
  <c r="E13" i="14"/>
  <c r="G201" i="21" s="1"/>
  <c r="G158"/>
  <c r="BM279" i="4"/>
  <c r="E46" i="20"/>
  <c r="F42"/>
  <c r="I155" i="21" s="1"/>
  <c r="R155" s="1"/>
  <c r="E25" i="9"/>
  <c r="E26" s="1"/>
  <c r="E30" s="1"/>
  <c r="U152" i="21" l="1"/>
  <c r="F62" i="19"/>
  <c r="I110" i="21" s="1"/>
  <c r="I97"/>
  <c r="E25" i="6"/>
  <c r="G184" i="21"/>
  <c r="Q201"/>
  <c r="Q158"/>
  <c r="H157"/>
  <c r="H155"/>
  <c r="H156"/>
  <c r="H154"/>
  <c r="G159"/>
  <c r="BM280" i="4"/>
  <c r="F43" i="20"/>
  <c r="I156" i="21" s="1"/>
  <c r="R156" s="1"/>
  <c r="F23" i="9"/>
  <c r="F15"/>
  <c r="F17" s="1"/>
  <c r="F63" i="19"/>
  <c r="F45" i="20" l="1"/>
  <c r="F46" s="1"/>
  <c r="E33" i="14"/>
  <c r="G221" i="21" s="1"/>
  <c r="F33" i="14"/>
  <c r="G33"/>
  <c r="H33"/>
  <c r="G187" i="21"/>
  <c r="H32" i="14"/>
  <c r="M220" i="21" s="1"/>
  <c r="P221" s="1"/>
  <c r="F32" i="14"/>
  <c r="I220" i="21" s="1"/>
  <c r="G32" i="14"/>
  <c r="K220" i="21" s="1"/>
  <c r="E32" i="14"/>
  <c r="G220" i="21" s="1"/>
  <c r="F64" i="19"/>
  <c r="I112" i="21" s="1"/>
  <c r="I111"/>
  <c r="H158"/>
  <c r="H152"/>
  <c r="BM278" i="4"/>
  <c r="G42" i="20"/>
  <c r="K155" i="21" s="1"/>
  <c r="S155" s="1"/>
  <c r="F26" i="9"/>
  <c r="F30" s="1"/>
  <c r="G15"/>
  <c r="G17" s="1"/>
  <c r="E38" i="7"/>
  <c r="E43" s="1"/>
  <c r="E48" s="1"/>
  <c r="E6" i="20"/>
  <c r="G119" i="21" s="1"/>
  <c r="I158" l="1"/>
  <c r="R158" s="1"/>
  <c r="F13" i="14"/>
  <c r="I201" i="21" s="1"/>
  <c r="R201" s="1"/>
  <c r="S220"/>
  <c r="O220"/>
  <c r="P220" s="1"/>
  <c r="R220"/>
  <c r="T220"/>
  <c r="J155"/>
  <c r="Q119"/>
  <c r="Q221"/>
  <c r="I159"/>
  <c r="G212"/>
  <c r="G217"/>
  <c r="BN279" i="4"/>
  <c r="E15" i="20"/>
  <c r="G128" i="21" s="1"/>
  <c r="G43" i="20"/>
  <c r="K156" i="21" s="1"/>
  <c r="S156" s="1"/>
  <c r="G23" i="9"/>
  <c r="G26" s="1"/>
  <c r="G30" s="1"/>
  <c r="H43" i="20" s="1"/>
  <c r="M156" i="21" s="1"/>
  <c r="H42" i="20"/>
  <c r="M155" i="21" s="1"/>
  <c r="T155" s="1"/>
  <c r="U155" s="1"/>
  <c r="G63" i="19"/>
  <c r="F6" i="20"/>
  <c r="I119" i="21" s="1"/>
  <c r="F38" i="7"/>
  <c r="F43" s="1"/>
  <c r="F48" s="1"/>
  <c r="J156" i="21" l="1"/>
  <c r="J157"/>
  <c r="J154"/>
  <c r="G45" i="20"/>
  <c r="G13" i="14" s="1"/>
  <c r="K201" i="21" s="1"/>
  <c r="T156"/>
  <c r="U156" s="1"/>
  <c r="U220"/>
  <c r="R119"/>
  <c r="Q128"/>
  <c r="H120"/>
  <c r="H123"/>
  <c r="H122"/>
  <c r="H121"/>
  <c r="Q217"/>
  <c r="G64" i="19"/>
  <c r="K112" i="21" s="1"/>
  <c r="K111"/>
  <c r="Q212"/>
  <c r="J158"/>
  <c r="J152"/>
  <c r="H119"/>
  <c r="BN280" i="4"/>
  <c r="G206" i="21"/>
  <c r="E26" i="20"/>
  <c r="E4" i="14"/>
  <c r="G192" i="21" s="1"/>
  <c r="E3" i="14"/>
  <c r="G191" i="21" s="1"/>
  <c r="F15" i="20"/>
  <c r="I128" i="21" s="1"/>
  <c r="H45" i="20"/>
  <c r="G46" l="1"/>
  <c r="K159" i="21" s="1"/>
  <c r="K158"/>
  <c r="L156" s="1"/>
  <c r="H63" i="19"/>
  <c r="M111" i="21" s="1"/>
  <c r="G38" i="7"/>
  <c r="G43" s="1"/>
  <c r="G48" s="1"/>
  <c r="H13" i="14"/>
  <c r="M201" i="21" s="1"/>
  <c r="T201" s="1"/>
  <c r="M158"/>
  <c r="S201"/>
  <c r="R128"/>
  <c r="J123"/>
  <c r="J122"/>
  <c r="J121"/>
  <c r="J120"/>
  <c r="Q192"/>
  <c r="I221"/>
  <c r="Q191"/>
  <c r="E48" i="20"/>
  <c r="G139" i="21"/>
  <c r="G6" i="20"/>
  <c r="K119" i="21" s="1"/>
  <c r="J119"/>
  <c r="I217"/>
  <c r="I212"/>
  <c r="E19" i="14"/>
  <c r="G207" i="21" s="1"/>
  <c r="BN278" i="4"/>
  <c r="E5" i="14"/>
  <c r="G193" i="21" s="1"/>
  <c r="E12" i="14"/>
  <c r="G200" i="21" s="1"/>
  <c r="E10" i="14"/>
  <c r="G198" i="21" s="1"/>
  <c r="H46" i="20"/>
  <c r="F26"/>
  <c r="I139" i="21" s="1"/>
  <c r="F3" i="14"/>
  <c r="I191" i="21" s="1"/>
  <c r="R191" s="1"/>
  <c r="F4" i="14"/>
  <c r="I192" i="21" s="1"/>
  <c r="R192" s="1"/>
  <c r="K221"/>
  <c r="S158" l="1"/>
  <c r="L154"/>
  <c r="L157"/>
  <c r="L155"/>
  <c r="H64" i="19"/>
  <c r="M112" i="21" s="1"/>
  <c r="G15" i="20"/>
  <c r="K128" i="21" s="1"/>
  <c r="L121" s="1"/>
  <c r="U201"/>
  <c r="X201" s="1"/>
  <c r="S221"/>
  <c r="O201"/>
  <c r="Y201" s="1"/>
  <c r="AA201" s="1"/>
  <c r="T158"/>
  <c r="N155"/>
  <c r="N156"/>
  <c r="O156" s="1"/>
  <c r="N157"/>
  <c r="N154"/>
  <c r="O154" s="1"/>
  <c r="R139"/>
  <c r="J132"/>
  <c r="I161"/>
  <c r="M159"/>
  <c r="Q200"/>
  <c r="R212"/>
  <c r="I206"/>
  <c r="Q139"/>
  <c r="H132"/>
  <c r="G161"/>
  <c r="H128"/>
  <c r="L158"/>
  <c r="L152"/>
  <c r="Q198"/>
  <c r="Q193"/>
  <c r="R217"/>
  <c r="S119"/>
  <c r="R221"/>
  <c r="F48" i="20"/>
  <c r="J128" i="21"/>
  <c r="BO279" i="4"/>
  <c r="F5" i="14"/>
  <c r="I193" i="21" s="1"/>
  <c r="R193" s="1"/>
  <c r="F12" i="14"/>
  <c r="I200" i="21" s="1"/>
  <c r="R200" s="1"/>
  <c r="F10" i="14"/>
  <c r="I198" i="21" s="1"/>
  <c r="R198" s="1"/>
  <c r="U158" l="1"/>
  <c r="G4" i="14"/>
  <c r="K192" i="21" s="1"/>
  <c r="S192" s="1"/>
  <c r="O157"/>
  <c r="G26" i="20"/>
  <c r="K139" i="21" s="1"/>
  <c r="L132" s="1"/>
  <c r="G3" i="14"/>
  <c r="K191" i="21" s="1"/>
  <c r="S191" s="1"/>
  <c r="L120"/>
  <c r="L119"/>
  <c r="O155"/>
  <c r="H6" i="20"/>
  <c r="M119" i="21" s="1"/>
  <c r="T119" s="1"/>
  <c r="U119" s="1"/>
  <c r="H38" i="7"/>
  <c r="H43" s="1"/>
  <c r="H48" s="1"/>
  <c r="L123" i="21"/>
  <c r="L122"/>
  <c r="S128"/>
  <c r="F19" i="14"/>
  <c r="I207" i="21" s="1"/>
  <c r="M221"/>
  <c r="N158"/>
  <c r="O158" s="1"/>
  <c r="N152"/>
  <c r="O152" s="1"/>
  <c r="K217"/>
  <c r="K212"/>
  <c r="BO280" i="4"/>
  <c r="G5" i="14" l="1"/>
  <c r="K193" i="21" s="1"/>
  <c r="G12" i="14"/>
  <c r="K200" i="21" s="1"/>
  <c r="S200" s="1"/>
  <c r="S139"/>
  <c r="G48" i="20"/>
  <c r="G10" i="14"/>
  <c r="K198" i="21" s="1"/>
  <c r="S198" s="1"/>
  <c r="L128"/>
  <c r="K161"/>
  <c r="H15" i="20"/>
  <c r="H3" i="14" s="1"/>
  <c r="M191" i="21" s="1"/>
  <c r="T191" s="1"/>
  <c r="U191" s="1"/>
  <c r="X191" s="1"/>
  <c r="S212"/>
  <c r="K206"/>
  <c r="S193"/>
  <c r="S217"/>
  <c r="T221"/>
  <c r="U221" s="1"/>
  <c r="O221"/>
  <c r="M217"/>
  <c r="T217" s="1"/>
  <c r="M212"/>
  <c r="T212" s="1"/>
  <c r="BO278" i="4"/>
  <c r="O191" i="21" l="1"/>
  <c r="Y191" s="1"/>
  <c r="AA191" s="1"/>
  <c r="M128"/>
  <c r="T128" s="1"/>
  <c r="U128" s="1"/>
  <c r="H26" i="20"/>
  <c r="H48" s="1"/>
  <c r="H4" i="14"/>
  <c r="M192" i="21" s="1"/>
  <c r="T192" s="1"/>
  <c r="U192" s="1"/>
  <c r="X192" s="1"/>
  <c r="N121"/>
  <c r="G19" i="14"/>
  <c r="K207" i="21" s="1"/>
  <c r="U212"/>
  <c r="M206"/>
  <c r="O206" s="1"/>
  <c r="O217"/>
  <c r="U217"/>
  <c r="O212"/>
  <c r="BP279" i="4"/>
  <c r="N122" i="21" l="1"/>
  <c r="N120"/>
  <c r="O120" s="1"/>
  <c r="N119"/>
  <c r="O119" s="1"/>
  <c r="N123"/>
  <c r="O123" s="1"/>
  <c r="H12" i="14"/>
  <c r="M200" i="21" s="1"/>
  <c r="H5" i="14"/>
  <c r="M193" i="21" s="1"/>
  <c r="M139"/>
  <c r="H10" i="14"/>
  <c r="M198" i="21" s="1"/>
  <c r="O192"/>
  <c r="Y192" s="1"/>
  <c r="AA192" s="1"/>
  <c r="H19" i="14"/>
  <c r="M207" i="21" s="1"/>
  <c r="O207" s="1"/>
  <c r="BP280" i="4"/>
  <c r="BP278" s="1"/>
  <c r="T200" i="21" l="1"/>
  <c r="U200" s="1"/>
  <c r="X200" s="1"/>
  <c r="O200"/>
  <c r="Y200" s="1"/>
  <c r="AA200" s="1"/>
  <c r="T193"/>
  <c r="U193" s="1"/>
  <c r="X193" s="1"/>
  <c r="O193"/>
  <c r="Y193" s="1"/>
  <c r="AA193" s="1"/>
  <c r="T198"/>
  <c r="U198" s="1"/>
  <c r="X198" s="1"/>
  <c r="O198"/>
  <c r="Y198" s="1"/>
  <c r="AA198" s="1"/>
  <c r="N132"/>
  <c r="O132" s="1"/>
  <c r="T139"/>
  <c r="U139" s="1"/>
  <c r="N128"/>
  <c r="O128" s="1"/>
  <c r="M161"/>
  <c r="BQ279" i="4"/>
  <c r="BQ280" l="1"/>
  <c r="BQ278" s="1"/>
  <c r="BR279" l="1"/>
  <c r="BR280" l="1"/>
  <c r="BR278" s="1"/>
  <c r="BS279" l="1"/>
  <c r="BS280" l="1"/>
  <c r="BS278" s="1"/>
  <c r="BT279" l="1"/>
  <c r="BT280" l="1"/>
  <c r="BT278" s="1"/>
  <c r="BU279" l="1"/>
  <c r="BU280" l="1"/>
  <c r="BU278" s="1"/>
  <c r="BV279" l="1"/>
  <c r="BV280" l="1"/>
  <c r="BV278" s="1"/>
  <c r="BW279" l="1"/>
  <c r="BW280" l="1"/>
  <c r="BW278" s="1"/>
  <c r="BX279" l="1"/>
  <c r="BY279" l="1"/>
  <c r="BX280"/>
  <c r="BY280" s="1"/>
  <c r="BX278" l="1"/>
  <c r="BY278" s="1"/>
</calcChain>
</file>

<file path=xl/comments1.xml><?xml version="1.0" encoding="utf-8"?>
<comments xmlns="http://schemas.openxmlformats.org/spreadsheetml/2006/main">
  <authors>
    <author>co1020745240</author>
  </authors>
  <commentList>
    <comment ref="A45" authorId="0">
      <text>
        <r>
          <rPr>
            <b/>
            <sz val="9"/>
            <color indexed="81"/>
            <rFont val="Tahoma"/>
            <family val="2"/>
          </rPr>
          <t>co1020745240:</t>
        </r>
        <r>
          <rPr>
            <sz val="9"/>
            <color indexed="81"/>
            <rFont val="Tahoma"/>
            <family val="2"/>
          </rPr>
          <t xml:space="preserve">
http://people.stern.nyu.edu/adamodar/New_Home_Page/datafile/Betas.html </t>
        </r>
      </text>
    </comment>
  </commentList>
</comments>
</file>

<file path=xl/comments2.xml><?xml version="1.0" encoding="utf-8"?>
<comments xmlns="http://schemas.openxmlformats.org/spreadsheetml/2006/main">
  <authors>
    <author>co1020745240</author>
  </authors>
  <commentList>
    <comment ref="K262" authorId="0">
      <text>
        <r>
          <rPr>
            <b/>
            <sz val="9"/>
            <color indexed="81"/>
            <rFont val="Tahoma"/>
            <family val="2"/>
          </rPr>
          <t>co1020745240:</t>
        </r>
        <r>
          <rPr>
            <sz val="9"/>
            <color indexed="81"/>
            <rFont val="Tahoma"/>
            <family val="2"/>
          </rPr>
          <t xml:space="preserve">
Abacoldext SAS</t>
        </r>
      </text>
    </comment>
    <comment ref="B271" authorId="0">
      <text>
        <r>
          <rPr>
            <b/>
            <sz val="9"/>
            <color indexed="81"/>
            <rFont val="Tahoma"/>
            <family val="2"/>
          </rPr>
          <t>co1020745240:</t>
        </r>
        <r>
          <rPr>
            <sz val="9"/>
            <color indexed="81"/>
            <rFont val="Tahoma"/>
            <family val="2"/>
          </rPr>
          <t xml:space="preserve">
Abacoldext SAS</t>
        </r>
      </text>
    </comment>
    <comment ref="K271" authorId="0">
      <text>
        <r>
          <rPr>
            <b/>
            <sz val="9"/>
            <color indexed="81"/>
            <rFont val="Tahoma"/>
            <family val="2"/>
          </rPr>
          <t>co1020745240:</t>
        </r>
        <r>
          <rPr>
            <sz val="9"/>
            <color indexed="81"/>
            <rFont val="Tahoma"/>
            <family val="2"/>
          </rPr>
          <t xml:space="preserve">
Abacoldext SAS</t>
        </r>
      </text>
    </comment>
    <comment ref="B278" authorId="0">
      <text>
        <r>
          <rPr>
            <b/>
            <sz val="9"/>
            <color indexed="81"/>
            <rFont val="Tahoma"/>
            <family val="2"/>
          </rPr>
          <t>co1020745240:</t>
        </r>
        <r>
          <rPr>
            <sz val="9"/>
            <color indexed="81"/>
            <rFont val="Tahoma"/>
            <family val="2"/>
          </rPr>
          <t xml:space="preserve">
Abacoldext SAS</t>
        </r>
      </text>
    </comment>
  </commentList>
</comments>
</file>

<file path=xl/comments3.xml><?xml version="1.0" encoding="utf-8"?>
<comments xmlns="http://schemas.openxmlformats.org/spreadsheetml/2006/main">
  <authors>
    <author>Valued Acer Customer</author>
  </authors>
  <commentList>
    <comment ref="C6" authorId="0">
      <text>
        <r>
          <rPr>
            <b/>
            <sz val="8"/>
            <color indexed="81"/>
            <rFont val="Tahoma"/>
            <family val="2"/>
          </rPr>
          <t>Valued Acer Customer:</t>
        </r>
        <r>
          <rPr>
            <sz val="8"/>
            <color indexed="81"/>
            <rFont val="Tahoma"/>
            <family val="2"/>
          </rPr>
          <t xml:space="preserve">
 https://www.procredit.com.co/site/en-us/inicio/tarifario.aspx</t>
        </r>
      </text>
    </comment>
  </commentList>
</comments>
</file>

<file path=xl/comments4.xml><?xml version="1.0" encoding="utf-8"?>
<comments xmlns="http://schemas.openxmlformats.org/spreadsheetml/2006/main">
  <authors>
    <author>co1020745240</author>
  </authors>
  <commentList>
    <comment ref="L5" authorId="0">
      <text>
        <r>
          <rPr>
            <b/>
            <sz val="9"/>
            <color indexed="81"/>
            <rFont val="Tahoma"/>
            <family val="2"/>
          </rPr>
          <t>co1020745240:</t>
        </r>
        <r>
          <rPr>
            <sz val="9"/>
            <color indexed="81"/>
            <rFont val="Tahoma"/>
            <family val="2"/>
          </rPr>
          <t xml:space="preserve">
Gasto anual
</t>
        </r>
      </text>
    </comment>
    <comment ref="L6" authorId="0">
      <text>
        <r>
          <rPr>
            <b/>
            <sz val="9"/>
            <color indexed="81"/>
            <rFont val="Tahoma"/>
            <family val="2"/>
          </rPr>
          <t>co1020745240:</t>
        </r>
        <r>
          <rPr>
            <sz val="9"/>
            <color indexed="81"/>
            <rFont val="Tahoma"/>
            <family val="2"/>
          </rPr>
          <t xml:space="preserve">
Gasto anual</t>
        </r>
      </text>
    </comment>
  </commentList>
</comments>
</file>

<file path=xl/comments5.xml><?xml version="1.0" encoding="utf-8"?>
<comments xmlns="http://schemas.openxmlformats.org/spreadsheetml/2006/main">
  <authors>
    <author>co1020745240</author>
  </authors>
  <commentList>
    <comment ref="B21" authorId="0">
      <text>
        <r>
          <rPr>
            <b/>
            <sz val="9"/>
            <color indexed="81"/>
            <rFont val="Tahoma"/>
            <family val="2"/>
          </rPr>
          <t>co1020745240:</t>
        </r>
        <r>
          <rPr>
            <sz val="9"/>
            <color indexed="81"/>
            <rFont val="Tahoma"/>
            <family val="2"/>
          </rPr>
          <t xml:space="preserve">
Saldo a diciembre 31</t>
        </r>
      </text>
    </comment>
    <comment ref="B27" authorId="0">
      <text>
        <r>
          <rPr>
            <b/>
            <sz val="9"/>
            <color indexed="81"/>
            <rFont val="Tahoma"/>
            <family val="2"/>
          </rPr>
          <t>co1020745240:</t>
        </r>
        <r>
          <rPr>
            <sz val="9"/>
            <color indexed="81"/>
            <rFont val="Tahoma"/>
            <family val="2"/>
          </rPr>
          <t xml:space="preserve">
Saldo a diciembre 31</t>
        </r>
      </text>
    </comment>
    <comment ref="B28" authorId="0">
      <text>
        <r>
          <rPr>
            <b/>
            <sz val="9"/>
            <color indexed="81"/>
            <rFont val="Tahoma"/>
            <family val="2"/>
          </rPr>
          <t>co1020745240:</t>
        </r>
        <r>
          <rPr>
            <sz val="9"/>
            <color indexed="81"/>
            <rFont val="Tahoma"/>
            <family val="2"/>
          </rPr>
          <t xml:space="preserve">
Saldo a diciembre 31</t>
        </r>
      </text>
    </comment>
  </commentList>
</comments>
</file>

<file path=xl/comments6.xml><?xml version="1.0" encoding="utf-8"?>
<comments xmlns="http://schemas.openxmlformats.org/spreadsheetml/2006/main">
  <authors>
    <author>co1020745240</author>
    <author>Valued Acer Customer</author>
  </authors>
  <commentList>
    <comment ref="B14" authorId="0">
      <text>
        <r>
          <rPr>
            <b/>
            <sz val="9"/>
            <color indexed="81"/>
            <rFont val="Tahoma"/>
            <family val="2"/>
          </rPr>
          <t>co1020745240:</t>
        </r>
        <r>
          <rPr>
            <sz val="9"/>
            <color indexed="81"/>
            <rFont val="Tahoma"/>
            <family val="2"/>
          </rPr>
          <t xml:space="preserve">
Incluye valor de ajustes por movimiento de inventario de materiales directos y materiales de consumo (el valor de los ajustes va en negativo por que las primeras unidades que estaban en el inventario inicial salen con un costo mas elevado en el periodo actual en comparación al costo de este inventario en el año anterior.</t>
        </r>
      </text>
    </comment>
    <comment ref="J14" authorId="0">
      <text>
        <r>
          <rPr>
            <b/>
            <sz val="9"/>
            <color indexed="81"/>
            <rFont val="Tahoma"/>
            <family val="2"/>
          </rPr>
          <t>co1020745240:</t>
        </r>
        <r>
          <rPr>
            <sz val="9"/>
            <color indexed="81"/>
            <rFont val="Tahoma"/>
            <family val="2"/>
          </rPr>
          <t xml:space="preserve">
Incluye valor de ajustes por movimiento de inventario de materiales directos y materiales de consumo (el valor de los ajustes va en negativo por que las primeras unidades que estaban en el inventario inicial salen con un costo mas elevado en el periodo actual en comparación al costo de este inventario en el año anterior.</t>
        </r>
      </text>
    </comment>
    <comment ref="B32" authorId="1">
      <text>
        <r>
          <rPr>
            <b/>
            <sz val="8"/>
            <color indexed="81"/>
            <rFont val="Tahoma"/>
            <family val="2"/>
          </rPr>
          <t>Valued Acer Customer:</t>
        </r>
        <r>
          <rPr>
            <sz val="8"/>
            <color indexed="81"/>
            <rFont val="Tahoma"/>
            <family val="2"/>
          </rPr>
          <t xml:space="preserve">
Se incluyo en la mano de obra directa</t>
        </r>
      </text>
    </comment>
    <comment ref="J32" authorId="1">
      <text>
        <r>
          <rPr>
            <b/>
            <sz val="8"/>
            <color indexed="81"/>
            <rFont val="Tahoma"/>
            <family val="2"/>
          </rPr>
          <t>Valued Acer Customer:</t>
        </r>
        <r>
          <rPr>
            <sz val="8"/>
            <color indexed="81"/>
            <rFont val="Tahoma"/>
            <family val="2"/>
          </rPr>
          <t xml:space="preserve">
Se incluyo en la mano de obra directa</t>
        </r>
      </text>
    </comment>
    <comment ref="B38" authorId="1">
      <text>
        <r>
          <rPr>
            <b/>
            <sz val="8"/>
            <color indexed="81"/>
            <rFont val="Tahoma"/>
            <family val="2"/>
          </rPr>
          <t>Valued Acer Customer:</t>
        </r>
        <r>
          <rPr>
            <sz val="8"/>
            <color indexed="81"/>
            <rFont val="Tahoma"/>
            <family val="2"/>
          </rPr>
          <t xml:space="preserve">
Se excluyeron gastos de financiación y gastos de depreciación.</t>
        </r>
      </text>
    </comment>
    <comment ref="J38" authorId="1">
      <text>
        <r>
          <rPr>
            <b/>
            <sz val="8"/>
            <color indexed="81"/>
            <rFont val="Tahoma"/>
            <family val="2"/>
          </rPr>
          <t>Valued Acer Customer:</t>
        </r>
        <r>
          <rPr>
            <sz val="8"/>
            <color indexed="81"/>
            <rFont val="Tahoma"/>
            <family val="2"/>
          </rPr>
          <t xml:space="preserve">
Se excluyeron gastos de financiación y gastos de depreciación.</t>
        </r>
      </text>
    </comment>
    <comment ref="B39" authorId="1">
      <text>
        <r>
          <rPr>
            <b/>
            <sz val="8"/>
            <color indexed="81"/>
            <rFont val="Tahoma"/>
            <family val="2"/>
          </rPr>
          <t>Valued Acer Customer:</t>
        </r>
        <r>
          <rPr>
            <sz val="8"/>
            <color indexed="81"/>
            <rFont val="Tahoma"/>
            <family val="2"/>
          </rPr>
          <t xml:space="preserve">
Incluye la depreciación de todos los activos</t>
        </r>
      </text>
    </comment>
    <comment ref="J39" authorId="1">
      <text>
        <r>
          <rPr>
            <b/>
            <sz val="8"/>
            <color indexed="81"/>
            <rFont val="Tahoma"/>
            <family val="2"/>
          </rPr>
          <t>Valued Acer Customer:</t>
        </r>
        <r>
          <rPr>
            <sz val="8"/>
            <color indexed="81"/>
            <rFont val="Tahoma"/>
            <family val="2"/>
          </rPr>
          <t xml:space="preserve">
Incluye la depreciación de todos los activos</t>
        </r>
      </text>
    </comment>
  </commentList>
</comments>
</file>

<file path=xl/comments7.xml><?xml version="1.0" encoding="utf-8"?>
<comments xmlns="http://schemas.openxmlformats.org/spreadsheetml/2006/main">
  <authors>
    <author>co1020745240</author>
    <author>Valued Acer Customer</author>
  </authors>
  <commentList>
    <comment ref="B7" authorId="0">
      <text>
        <r>
          <rPr>
            <b/>
            <sz val="9"/>
            <color indexed="81"/>
            <rFont val="Tahoma"/>
            <family val="2"/>
          </rPr>
          <t>co1020745240:</t>
        </r>
        <r>
          <rPr>
            <sz val="9"/>
            <color indexed="81"/>
            <rFont val="Tahoma"/>
            <family val="2"/>
          </rPr>
          <t xml:space="preserve">
La recuperación de la cartera incluye las ventas a crédito del año, menos las ventas a crédito de Diciembre, mas las ventas a crédito de Diciembre del año inmediatamente anterior</t>
        </r>
      </text>
    </comment>
    <comment ref="J7" authorId="0">
      <text>
        <r>
          <rPr>
            <b/>
            <sz val="9"/>
            <color indexed="81"/>
            <rFont val="Tahoma"/>
            <family val="2"/>
          </rPr>
          <t>co1020745240:</t>
        </r>
        <r>
          <rPr>
            <sz val="9"/>
            <color indexed="81"/>
            <rFont val="Tahoma"/>
            <family val="2"/>
          </rPr>
          <t xml:space="preserve">
La recuperación de la cartera incluye las ventas a crédito del año, menos las ventas a crédito de Diciembre, mas las ventas a crédito de Diciembre del año inmediatamente anterior</t>
        </r>
      </text>
    </comment>
    <comment ref="B13" authorId="0">
      <text>
        <r>
          <rPr>
            <b/>
            <sz val="9"/>
            <color indexed="81"/>
            <rFont val="Tahoma"/>
            <family val="2"/>
          </rPr>
          <t>co1020745240:</t>
        </r>
        <r>
          <rPr>
            <sz val="9"/>
            <color indexed="81"/>
            <rFont val="Tahoma"/>
            <family val="2"/>
          </rPr>
          <t xml:space="preserve">
Corresponde al pago de las compras a crédito realizadas en Diciembre del año inmediatamente anterior.</t>
        </r>
      </text>
    </comment>
    <comment ref="J13" authorId="0">
      <text>
        <r>
          <rPr>
            <b/>
            <sz val="9"/>
            <color indexed="81"/>
            <rFont val="Tahoma"/>
            <family val="2"/>
          </rPr>
          <t>co1020745240:</t>
        </r>
        <r>
          <rPr>
            <sz val="9"/>
            <color indexed="81"/>
            <rFont val="Tahoma"/>
            <family val="2"/>
          </rPr>
          <t xml:space="preserve">
Corresponde al pago de las compras a crédito realizadas en Diciembre del año inmediatamente anterior.</t>
        </r>
      </text>
    </comment>
    <comment ref="B33" authorId="1">
      <text>
        <r>
          <rPr>
            <b/>
            <sz val="8"/>
            <color indexed="81"/>
            <rFont val="Tahoma"/>
            <family val="2"/>
          </rPr>
          <t>Valued Acer Customer:</t>
        </r>
        <r>
          <rPr>
            <sz val="8"/>
            <color indexed="81"/>
            <rFont val="Tahoma"/>
            <family val="2"/>
          </rPr>
          <t xml:space="preserve">
Se incluyo en mano de obra directa</t>
        </r>
      </text>
    </comment>
    <comment ref="J33" authorId="1">
      <text>
        <r>
          <rPr>
            <b/>
            <sz val="8"/>
            <color indexed="81"/>
            <rFont val="Tahoma"/>
            <family val="2"/>
          </rPr>
          <t>Valued Acer Customer:</t>
        </r>
        <r>
          <rPr>
            <sz val="8"/>
            <color indexed="81"/>
            <rFont val="Tahoma"/>
            <family val="2"/>
          </rPr>
          <t xml:space="preserve">
Se incluyo en mano de obra directa</t>
        </r>
      </text>
    </comment>
    <comment ref="B39" authorId="1">
      <text>
        <r>
          <rPr>
            <b/>
            <sz val="8"/>
            <color indexed="81"/>
            <rFont val="Tahoma"/>
            <family val="2"/>
          </rPr>
          <t>Valued Acer Customer:</t>
        </r>
        <r>
          <rPr>
            <sz val="8"/>
            <color indexed="81"/>
            <rFont val="Tahoma"/>
            <family val="2"/>
          </rPr>
          <t xml:space="preserve">
Se excluyeron gastos de financiación y gastos de depreciación</t>
        </r>
      </text>
    </comment>
    <comment ref="J39" authorId="1">
      <text>
        <r>
          <rPr>
            <b/>
            <sz val="8"/>
            <color indexed="81"/>
            <rFont val="Tahoma"/>
            <family val="2"/>
          </rPr>
          <t>Valued Acer Customer:</t>
        </r>
        <r>
          <rPr>
            <sz val="8"/>
            <color indexed="81"/>
            <rFont val="Tahoma"/>
            <family val="2"/>
          </rPr>
          <t xml:space="preserve">
Se excluyeron gastos de financiación y gastos de depreciación</t>
        </r>
      </text>
    </comment>
  </commentList>
</comments>
</file>

<file path=xl/comments8.xml><?xml version="1.0" encoding="utf-8"?>
<comments xmlns="http://schemas.openxmlformats.org/spreadsheetml/2006/main">
  <authors>
    <author>co1020745240</author>
  </authors>
  <commentList>
    <comment ref="B21" authorId="0">
      <text>
        <r>
          <rPr>
            <b/>
            <sz val="9"/>
            <color indexed="81"/>
            <rFont val="Tahoma"/>
            <family val="2"/>
          </rPr>
          <t>co1020745240:</t>
        </r>
        <r>
          <rPr>
            <sz val="9"/>
            <color indexed="81"/>
            <rFont val="Tahoma"/>
            <family val="2"/>
          </rPr>
          <t xml:space="preserve">
Estas inversiones se amortizan en el año 1 (ver el estado de resultados).</t>
        </r>
      </text>
    </comment>
    <comment ref="B42" authorId="0">
      <text>
        <r>
          <rPr>
            <b/>
            <sz val="9"/>
            <color indexed="81"/>
            <rFont val="Tahoma"/>
            <family val="2"/>
          </rPr>
          <t>co1020745240:</t>
        </r>
        <r>
          <rPr>
            <sz val="9"/>
            <color indexed="81"/>
            <rFont val="Tahoma"/>
            <family val="2"/>
          </rPr>
          <t xml:space="preserve">
Tener en cuenta que es máximo el 50% de los aportes sociales</t>
        </r>
      </text>
    </comment>
  </commentList>
</comments>
</file>

<file path=xl/comments9.xml><?xml version="1.0" encoding="utf-8"?>
<comments xmlns="http://schemas.openxmlformats.org/spreadsheetml/2006/main">
  <authors>
    <author>co1020745240</author>
    <author>Valued Acer Customer</author>
  </authors>
  <commentList>
    <comment ref="B14" authorId="0">
      <text>
        <r>
          <rPr>
            <b/>
            <sz val="9"/>
            <color indexed="81"/>
            <rFont val="Tahoma"/>
            <family val="2"/>
          </rPr>
          <t>co1020745240:</t>
        </r>
        <r>
          <rPr>
            <sz val="9"/>
            <color indexed="81"/>
            <rFont val="Tahoma"/>
            <family val="2"/>
          </rPr>
          <t xml:space="preserve">
Incluye valor de ajustes por movimiento de inventario de materiales directos y materiales de consumo (el valor de los ajustes va en negativo por que las primeras unidades que estaban en el inventario inicial salen con un costo mas elevadoen el periodo actual en comparacion al costo de este inventario en el año anterior.</t>
        </r>
      </text>
    </comment>
    <comment ref="B38" authorId="1">
      <text>
        <r>
          <rPr>
            <b/>
            <sz val="8"/>
            <color indexed="81"/>
            <rFont val="Tahoma"/>
            <family val="2"/>
          </rPr>
          <t>Valued Acer Customer:</t>
        </r>
        <r>
          <rPr>
            <sz val="8"/>
            <color indexed="81"/>
            <rFont val="Tahoma"/>
            <family val="2"/>
          </rPr>
          <t xml:space="preserve">
Se excluyeron gastos de financiacion y gastos de depresiacion.</t>
        </r>
      </text>
    </comment>
    <comment ref="B39" authorId="1">
      <text>
        <r>
          <rPr>
            <b/>
            <sz val="8"/>
            <color indexed="81"/>
            <rFont val="Tahoma"/>
            <family val="2"/>
          </rPr>
          <t>Valued Acer Customer:</t>
        </r>
        <r>
          <rPr>
            <sz val="8"/>
            <color indexed="81"/>
            <rFont val="Tahoma"/>
            <family val="2"/>
          </rPr>
          <t xml:space="preserve">
Incluye la depresiacion de todos los activos</t>
        </r>
      </text>
    </comment>
    <comment ref="B55" authorId="0">
      <text>
        <r>
          <rPr>
            <b/>
            <sz val="9"/>
            <color indexed="81"/>
            <rFont val="Tahoma"/>
            <family val="2"/>
          </rPr>
          <t>co1020745240:</t>
        </r>
        <r>
          <rPr>
            <sz val="9"/>
            <color indexed="81"/>
            <rFont val="Tahoma"/>
            <family val="2"/>
          </rPr>
          <t xml:space="preserve">
La recuperacion de la cartera incluye las ventas a credito del año, menos las ventas a credito de Diciembre, mas las ventas a credito de Diciembre del año inmediatamente anterior</t>
        </r>
      </text>
    </comment>
    <comment ref="B61" authorId="0">
      <text>
        <r>
          <rPr>
            <b/>
            <sz val="9"/>
            <color indexed="81"/>
            <rFont val="Tahoma"/>
            <family val="2"/>
          </rPr>
          <t>co1020745240:</t>
        </r>
        <r>
          <rPr>
            <sz val="9"/>
            <color indexed="81"/>
            <rFont val="Tahoma"/>
            <family val="2"/>
          </rPr>
          <t xml:space="preserve">
Corresponde al pago de las compras a credito realizadas en Diciembre del año inmediatamente anterior.</t>
        </r>
      </text>
    </comment>
    <comment ref="B87" authorId="1">
      <text>
        <r>
          <rPr>
            <b/>
            <sz val="8"/>
            <color indexed="81"/>
            <rFont val="Tahoma"/>
            <family val="2"/>
          </rPr>
          <t>Valued Acer Customer:</t>
        </r>
        <r>
          <rPr>
            <sz val="8"/>
            <color indexed="81"/>
            <rFont val="Tahoma"/>
            <family val="2"/>
          </rPr>
          <t xml:space="preserve">
Se excluyeron gastos de financiacion y gastos de depresiacion</t>
        </r>
      </text>
    </comment>
    <comment ref="B134" authorId="0">
      <text>
        <r>
          <rPr>
            <b/>
            <sz val="9"/>
            <color indexed="81"/>
            <rFont val="Tahoma"/>
            <family val="2"/>
          </rPr>
          <t>co1020745240:</t>
        </r>
        <r>
          <rPr>
            <sz val="9"/>
            <color indexed="81"/>
            <rFont val="Tahoma"/>
            <family val="2"/>
          </rPr>
          <t xml:space="preserve">
Estas inversiones se amortizan en el año 1 (ver el estado de resultados).</t>
        </r>
      </text>
    </comment>
    <comment ref="B155" authorId="0">
      <text>
        <r>
          <rPr>
            <b/>
            <sz val="9"/>
            <color indexed="81"/>
            <rFont val="Tahoma"/>
            <family val="2"/>
          </rPr>
          <t>co1020745240:</t>
        </r>
        <r>
          <rPr>
            <sz val="9"/>
            <color indexed="81"/>
            <rFont val="Tahoma"/>
            <family val="2"/>
          </rPr>
          <t xml:space="preserve">
Tener en cuenta que es maximo el 50% de los aportes sociales</t>
        </r>
      </text>
    </comment>
  </commentList>
</comments>
</file>

<file path=xl/sharedStrings.xml><?xml version="1.0" encoding="utf-8"?>
<sst xmlns="http://schemas.openxmlformats.org/spreadsheetml/2006/main" count="3095" uniqueCount="655">
  <si>
    <t>E.A</t>
  </si>
  <si>
    <t>UTILIDAD BRUTA</t>
  </si>
  <si>
    <t>COSTOS OPERACIONALES</t>
  </si>
  <si>
    <t>UTILIDAD OPERACIONAL</t>
  </si>
  <si>
    <t>UTILIDAD ANTES DE IMPUESTOS</t>
  </si>
  <si>
    <t>UTILIDAD NETA</t>
  </si>
  <si>
    <t>AÑO 1</t>
  </si>
  <si>
    <t>PERIODO</t>
  </si>
  <si>
    <t>CUOTA</t>
  </si>
  <si>
    <t>INTERES</t>
  </si>
  <si>
    <t>AMORTIZACION</t>
  </si>
  <si>
    <t>SALDO</t>
  </si>
  <si>
    <t>AÑO 2</t>
  </si>
  <si>
    <t>AÑO 3</t>
  </si>
  <si>
    <t>AÑO 4</t>
  </si>
  <si>
    <t>AÑO 5</t>
  </si>
  <si>
    <t>INCREMENTO EN KW</t>
  </si>
  <si>
    <t>-</t>
  </si>
  <si>
    <t>+</t>
  </si>
  <si>
    <t>CXC</t>
  </si>
  <si>
    <t>VTAS</t>
  </si>
  <si>
    <t>365 * 30</t>
  </si>
  <si>
    <t>CXP</t>
  </si>
  <si>
    <t>COSTO VTAS</t>
  </si>
  <si>
    <t>365*30</t>
  </si>
  <si>
    <t>KW</t>
  </si>
  <si>
    <t>VARIACION KW</t>
  </si>
  <si>
    <t>KW actual - KW anterior</t>
  </si>
  <si>
    <t>ROTACION CXC</t>
  </si>
  <si>
    <t>ROTACION CXP</t>
  </si>
  <si>
    <t>PESOS</t>
  </si>
  <si>
    <t>ACTIVO</t>
  </si>
  <si>
    <t>TOTAL ACTIVOS</t>
  </si>
  <si>
    <t>TOTAL PASIVOS</t>
  </si>
  <si>
    <t>PATRIMONIO</t>
  </si>
  <si>
    <t>TOTAL PATRIMONIO</t>
  </si>
  <si>
    <t>TOTAL PASIVO + PATRIMONIO</t>
  </si>
  <si>
    <t>RESERVA LEGAL</t>
  </si>
  <si>
    <t>RESERVA DEL PERIODO</t>
  </si>
  <si>
    <t>*</t>
  </si>
  <si>
    <t>RESERVA LEGAL ANTERIOR</t>
  </si>
  <si>
    <t>RESERVA PERIODO</t>
  </si>
  <si>
    <t>UTILIDADES PERIODO  ANTERIOR</t>
  </si>
  <si>
    <t>UTILIDAD PERIODO ANTERIOR</t>
  </si>
  <si>
    <t>UTILIDAD EJERCICIO ANTERIOR</t>
  </si>
  <si>
    <t>UTILIDAD DEL EJERCICIO ANTERIOR</t>
  </si>
  <si>
    <t>% RESERVA (10%)</t>
  </si>
  <si>
    <t>WACC</t>
  </si>
  <si>
    <t>Ke</t>
  </si>
  <si>
    <t>kd</t>
  </si>
  <si>
    <t>CAPM=TL+(TM-TL)*Bl</t>
  </si>
  <si>
    <t>KD=TASA I * (1-T)</t>
  </si>
  <si>
    <t>KE</t>
  </si>
  <si>
    <t>KD</t>
  </si>
  <si>
    <t>B (apalancado)= B d (1+(1-tx)*(%D/%P)</t>
  </si>
  <si>
    <t>B (apalancado)=</t>
  </si>
  <si>
    <t>i</t>
  </si>
  <si>
    <t>PROMEDIO</t>
  </si>
  <si>
    <t>DATOS PEGADOS COMO VALORES</t>
  </si>
  <si>
    <t>Año</t>
  </si>
  <si>
    <t>AÑO 0</t>
  </si>
  <si>
    <t>Mes</t>
  </si>
  <si>
    <t>TOTAL</t>
  </si>
  <si>
    <t>Ventas a credito (30 dias)</t>
  </si>
  <si>
    <t>Ventas a contado</t>
  </si>
  <si>
    <t>POLITICA DE CREDITO</t>
  </si>
  <si>
    <t>Extintor con solkaflam 3700 grm</t>
  </si>
  <si>
    <t>manguera 3/8 seflex (alta presion)</t>
  </si>
  <si>
    <t>Adaptadores en cobre para manguera de alta presion con sprinkler</t>
  </si>
  <si>
    <t>Tapa adaptador en acero (para extintor)</t>
  </si>
  <si>
    <t>Rapido</t>
  </si>
  <si>
    <t>Sprinklers</t>
  </si>
  <si>
    <t>Abrazaderas metalicas</t>
  </si>
  <si>
    <t>Soporte de instalacion</t>
  </si>
  <si>
    <t>manometro de presurizacion</t>
  </si>
  <si>
    <t>Nitrogeno presurizado (150 libras de presion)</t>
  </si>
  <si>
    <t>Comision sobre ventas</t>
  </si>
  <si>
    <t>Gastos de publicidad</t>
  </si>
  <si>
    <t>Salario ingeniero comercial</t>
  </si>
  <si>
    <t>Salario tecnologo comercial</t>
  </si>
  <si>
    <t>Salario ingeniero comercial (jefe)</t>
  </si>
  <si>
    <t>Gastos de fletes y varios</t>
  </si>
  <si>
    <t>Servicios de contaduria</t>
  </si>
  <si>
    <t xml:space="preserve">Gastos de comunicación </t>
  </si>
  <si>
    <t>Gastos de papeleria</t>
  </si>
  <si>
    <t>Tecnologo contable</t>
  </si>
  <si>
    <t>Gastos financieros</t>
  </si>
  <si>
    <t>Gastos de mantenimiento de equipo de oficina y de computo</t>
  </si>
  <si>
    <t>N.M</t>
  </si>
  <si>
    <t>costo del credito</t>
  </si>
  <si>
    <t xml:space="preserve">Varsol </t>
  </si>
  <si>
    <t>Estopa</t>
  </si>
  <si>
    <t>Lubricante</t>
  </si>
  <si>
    <t>Teflon</t>
  </si>
  <si>
    <t>Gastos de mantenimiento de maquinaria y equipo, herramienta menor y dotacion (en pesos)</t>
  </si>
  <si>
    <t>Mano de obra directa (en unidades)</t>
  </si>
  <si>
    <t>Mano de obra directa (en pesos)</t>
  </si>
  <si>
    <t>Mano de obra indirecta (en unidades)</t>
  </si>
  <si>
    <t>Mano de obra indirecta (en pesos)</t>
  </si>
  <si>
    <t>Depresiacion maquinaria y equipo</t>
  </si>
  <si>
    <t>INVENTARIO</t>
  </si>
  <si>
    <t>Administrador</t>
  </si>
  <si>
    <t>Gastos de depresiacion de muebles y enceres y equipo de 
computo y telecomunicacion</t>
  </si>
  <si>
    <t>INTERES ANUAL</t>
  </si>
  <si>
    <t>AMORTIZACION ANUAL</t>
  </si>
  <si>
    <t>POLITICA DE PAGO</t>
  </si>
  <si>
    <t>Costo de materia prima contado</t>
  </si>
  <si>
    <t>Costo de otros insumos a credito</t>
  </si>
  <si>
    <t>Costo de otros insumo contado</t>
  </si>
  <si>
    <t>ACTIVIDADES DE OPERACIÓN</t>
  </si>
  <si>
    <t>Ingresos de efectivo</t>
  </si>
  <si>
    <t>Egresos de efectivo</t>
  </si>
  <si>
    <t>SALDO DE OPERACIÓN</t>
  </si>
  <si>
    <t>SALDO NETO EN CAJA</t>
  </si>
  <si>
    <t>SALDO INICIAL DE CAJA</t>
  </si>
  <si>
    <t>SALDO FINAL DE CAJA</t>
  </si>
  <si>
    <t>Costos y gastos administrativos y de ventas</t>
  </si>
  <si>
    <t xml:space="preserve">Pago de intereses </t>
  </si>
  <si>
    <t>CONSOLIDADO EMPRESA</t>
  </si>
  <si>
    <t>Descripcion</t>
  </si>
  <si>
    <t>Valor</t>
  </si>
  <si>
    <t>Mercadeo</t>
  </si>
  <si>
    <t>Operaciones</t>
  </si>
  <si>
    <t>Organizacional y legal</t>
  </si>
  <si>
    <t>Financiera</t>
  </si>
  <si>
    <t>Aporte social</t>
  </si>
  <si>
    <t>PAGO DE DIVIDENDOS AÑO 1 - AÑO 5</t>
  </si>
  <si>
    <t>Pago de dividendos</t>
  </si>
  <si>
    <t>PORCENTAJE DE PAGO SOBRE UTILIDADES NETAS</t>
  </si>
  <si>
    <t>PROYECCION DE VENTAS ANUALIZADO AÑO 1 - AÑO 5</t>
  </si>
  <si>
    <t>TOTAL año 0</t>
  </si>
  <si>
    <t>Enero año 1</t>
  </si>
  <si>
    <t>Febrero año 1</t>
  </si>
  <si>
    <t>Marzo año 1</t>
  </si>
  <si>
    <t>Abril año 1</t>
  </si>
  <si>
    <t>Mayo año 1</t>
  </si>
  <si>
    <t>Junio año 1</t>
  </si>
  <si>
    <t>Julio año 1</t>
  </si>
  <si>
    <t>Agosto año 1</t>
  </si>
  <si>
    <t>Septiembre año 1</t>
  </si>
  <si>
    <t>Octubre año 1</t>
  </si>
  <si>
    <t>Noviembre año 1</t>
  </si>
  <si>
    <t>Diciembre año 1</t>
  </si>
  <si>
    <t>TOTAL año 1</t>
  </si>
  <si>
    <t>Enero año 2</t>
  </si>
  <si>
    <t>Febrero año 2</t>
  </si>
  <si>
    <t>Marzo año 2</t>
  </si>
  <si>
    <t>Abril año 2</t>
  </si>
  <si>
    <t>Mayo año 2</t>
  </si>
  <si>
    <t>Junio año 2</t>
  </si>
  <si>
    <t>Julio año 2</t>
  </si>
  <si>
    <t>Agosto año 2</t>
  </si>
  <si>
    <t>Septiembre año 2</t>
  </si>
  <si>
    <t>Octubre año 2</t>
  </si>
  <si>
    <t>Noviembre año 2</t>
  </si>
  <si>
    <t>Diciembre año 2</t>
  </si>
  <si>
    <t>TOTAL año 2</t>
  </si>
  <si>
    <t>Enero año 3</t>
  </si>
  <si>
    <t>Febrero año 3</t>
  </si>
  <si>
    <t>Marzo año 3</t>
  </si>
  <si>
    <t>Abril año 3</t>
  </si>
  <si>
    <t>Mayo año 3</t>
  </si>
  <si>
    <t>Junio año 3</t>
  </si>
  <si>
    <t>Julio año 3</t>
  </si>
  <si>
    <t>Agosto año 3</t>
  </si>
  <si>
    <t>Septiembre año 3</t>
  </si>
  <si>
    <t>Octubre año 3</t>
  </si>
  <si>
    <t>Noviembre año 3</t>
  </si>
  <si>
    <t>Diciembre año 3</t>
  </si>
  <si>
    <t>TOTAL año 3</t>
  </si>
  <si>
    <t>Enero año 4</t>
  </si>
  <si>
    <t>Febrero año 4</t>
  </si>
  <si>
    <t>Marzo año 4</t>
  </si>
  <si>
    <t>Abril año 4</t>
  </si>
  <si>
    <t>Mayo año 4</t>
  </si>
  <si>
    <t>Junio año 4</t>
  </si>
  <si>
    <t>Julio año 4</t>
  </si>
  <si>
    <t>Agosto año 4</t>
  </si>
  <si>
    <t>Septiembre año 4</t>
  </si>
  <si>
    <t>Octubre año 4</t>
  </si>
  <si>
    <t>Noviembre año 4</t>
  </si>
  <si>
    <t>Diciembre año 4</t>
  </si>
  <si>
    <t>TOTAL año 4</t>
  </si>
  <si>
    <t>Enero año 5</t>
  </si>
  <si>
    <t>Febrero año 5</t>
  </si>
  <si>
    <t>Marzo año 5</t>
  </si>
  <si>
    <t>Abril año 5</t>
  </si>
  <si>
    <t>Mayo año 5</t>
  </si>
  <si>
    <t>Junio año 5</t>
  </si>
  <si>
    <t>Julio año 5</t>
  </si>
  <si>
    <t>Agosto año 5</t>
  </si>
  <si>
    <t>Septiembre año 5</t>
  </si>
  <si>
    <t>Octubre año 5</t>
  </si>
  <si>
    <t>Noviembre año 5</t>
  </si>
  <si>
    <t>Diciembre año 5</t>
  </si>
  <si>
    <t>TOTAL año 5</t>
  </si>
  <si>
    <t>Proyeccion mercado potencial</t>
  </si>
  <si>
    <t>Crecimiento mercado potencial</t>
  </si>
  <si>
    <t>Proyeccion mercado objetivo</t>
  </si>
  <si>
    <t>Crecimiento mercado objetivo</t>
  </si>
  <si>
    <t>Costo de materia prima a credito (30 dias)</t>
  </si>
  <si>
    <t>Gastos de mantenimiento de maquinaria y equipo, 
herramienta menor y dotacion (en pesos)</t>
  </si>
  <si>
    <t>PROYECCION DE MANO DE OBRA INDIRECTA  ANUALIZADO AÑO 1 - AÑO 5</t>
  </si>
  <si>
    <t>PROYECCION DE COSTOS DE SERVICIOS PUBLICOS (LUZ Y AGUA) ANUALIZADO AÑO 1 - AÑO 5</t>
  </si>
  <si>
    <t>PROYECCION DE COSTOS DE ARRENDAMIENTO ANUALIZADO AÑO 1 - AÑO 5</t>
  </si>
  <si>
    <t>PROYECCION DE COSTOS DE DEPRESIACION DE MAQUINARIA Y EQUIPO  ANUALIZADO AÑO 1 - AÑO 5</t>
  </si>
  <si>
    <t>PROYECCION DE GASTOS DE PERSONAL ANUALIZADO AÑO 1 - AÑO 5</t>
  </si>
  <si>
    <t>PAGO DE IMPUESTO AÑO 1 - AÑO 5</t>
  </si>
  <si>
    <t>PAGO DE DIVIDENDOS MENSUALIZADO AÑO 1 - AÑO 5</t>
  </si>
  <si>
    <t>PAGO DE IMPUESTO MENSUALIZADO AÑO 1 - AÑO 5</t>
  </si>
  <si>
    <t>ROTACION INVENTARIO</t>
  </si>
  <si>
    <t xml:space="preserve">COSTO DE MERCANCIA </t>
  </si>
  <si>
    <t>PROMEDIO DE INVENTARIO</t>
  </si>
  <si>
    <t>Ventas</t>
  </si>
  <si>
    <t>Propiedad planta y equipo</t>
  </si>
  <si>
    <t xml:space="preserve">PASIVOS </t>
  </si>
  <si>
    <t>CHECK</t>
  </si>
  <si>
    <t>Caja</t>
  </si>
  <si>
    <t>Inventario inicial</t>
  </si>
  <si>
    <t>CONSOLIDADO PRESUPUESTO DE  MERCADEO</t>
  </si>
  <si>
    <t>Promocion</t>
  </si>
  <si>
    <t>Comunicación</t>
  </si>
  <si>
    <t>Servicios</t>
  </si>
  <si>
    <t>Investigacion y desarrollo</t>
  </si>
  <si>
    <t>Control de calidad</t>
  </si>
  <si>
    <t>Infraestructura</t>
  </si>
  <si>
    <t>CONSOLIDADO PRESUPUESTO ORGANIZACIONAL Y LEGAL</t>
  </si>
  <si>
    <t>Gastos de puesta en marcha</t>
  </si>
  <si>
    <t>CONSOLIDADO PRESUPUESTO FINANZAS</t>
  </si>
  <si>
    <t>Capital de trabajo (1 mes de operaciones)</t>
  </si>
  <si>
    <t>CAPITAL DE TRABAJO</t>
  </si>
  <si>
    <t>Costos de produccion (1 mes de operaciones)</t>
  </si>
  <si>
    <t>Gastos de personal (1 mes de operaciones)</t>
  </si>
  <si>
    <t>Costos y gastos administrativos y de ventas (1 mes de operaciones)</t>
  </si>
  <si>
    <t>COSTOS DE PRODUCCION</t>
  </si>
  <si>
    <t xml:space="preserve">Gastos de mantenimiento de maquinaria y equipo, 
herramienta menor y dotacion </t>
  </si>
  <si>
    <t>Mano de obra directa (operarios)</t>
  </si>
  <si>
    <t>Mano de obra indirecta (ingeniero)</t>
  </si>
  <si>
    <t>Servicios publicos</t>
  </si>
  <si>
    <t>Arriendo</t>
  </si>
  <si>
    <t>GASTOS DE PERSONAL</t>
  </si>
  <si>
    <t>cantidad</t>
  </si>
  <si>
    <t>v. unitario</t>
  </si>
  <si>
    <t>total</t>
  </si>
  <si>
    <t>Pago de impuestos</t>
  </si>
  <si>
    <t>AMORTIZACION DE DEUDA ANUALIZADO AÑO 1 - AÑO 5</t>
  </si>
  <si>
    <t>AMORTIZACION DE DEUDA MENSUALIZADO AÑO 1 - AÑO 5</t>
  </si>
  <si>
    <t>Pago de intereses</t>
  </si>
  <si>
    <t>Abono a capital</t>
  </si>
  <si>
    <t>Cuota fija</t>
  </si>
  <si>
    <t>SUMATORIA</t>
  </si>
  <si>
    <t>ROTACION CXP MP</t>
  </si>
  <si>
    <t>ROTACION CXP OTROS INSUMOS</t>
  </si>
  <si>
    <t>CAJA FINAL</t>
  </si>
  <si>
    <t>KW NETO OPERATIVO</t>
  </si>
  <si>
    <t>CXC - CXP - INVENTARIO + CAJA FINAL</t>
  </si>
  <si>
    <t>EVA</t>
  </si>
  <si>
    <t>Linea recta</t>
  </si>
  <si>
    <t>CXC - CXP</t>
  </si>
  <si>
    <t>PROYECCION DE VENTAS MENSUALIZADO AÑO 1  - AÑO 2</t>
  </si>
  <si>
    <t>Ventas en unidades - instalaciones nuevas</t>
  </si>
  <si>
    <t>Ventas en pesos - instalaciones nuevas</t>
  </si>
  <si>
    <t>Ventas a credito (30 dias) - instalaciones nuevas</t>
  </si>
  <si>
    <t>Ventas a contado - instalaciones nuevas</t>
  </si>
  <si>
    <t>Ventas en unidades - mantenimientos y recargas</t>
  </si>
  <si>
    <t>Ventas en pesos - mantenimientos y recargas</t>
  </si>
  <si>
    <t>Ventas a credito (30 dias) - mantenimientos y recargas</t>
  </si>
  <si>
    <t>Ventas a contado - mantenimientos y recargas</t>
  </si>
  <si>
    <t>Ventas totales en pesos - instalaciones nuevas y mantenimientos y recargas</t>
  </si>
  <si>
    <t>PROYECCION DE COSTOS DE MATERIALES DIRECTOS PARA LA PRESTACION DEL SERVICIO ANUALIZADO AÑO 1 - AÑO 5 - INSTALACIONES NUEVAS</t>
  </si>
  <si>
    <t>PROYECCION DE COSTOS DE MATERIALES DIRECTOS PARA LA PRESTACION DEL SERVICIO MENSUALIZADO AÑO 1 - INSTALACIONES NUEVAS</t>
  </si>
  <si>
    <t>Materiales directos para la prestacion del servicio (en unidades)</t>
  </si>
  <si>
    <t>Materiales directos para la prestacion del servicio (en pesos)</t>
  </si>
  <si>
    <t>PROYECCION DE COSTOS DE MATERIALES DIRECTOS PARA LA PRESTACION DEL SERVICIO ANUALIZADO AÑO 1 - AÑO 5 - MANTENIMIENTOS Y RECARGAS</t>
  </si>
  <si>
    <t>PROYECCION DE COSTOS DE MATERIALES DIRECTOS PARA LA PRESTACION DEL SERVICIO MENSUALIZADO AÑO 2 - MANTENIMIENTOS Y RECARGAS</t>
  </si>
  <si>
    <t>Compensacion de 300 grm de quimico y cambio de empaques</t>
  </si>
  <si>
    <t>Compensacion de 300 grm de quimico</t>
  </si>
  <si>
    <t>PROYECCION DE COSTOS DE MATERIALES DE CONSUMO PARA LA PRESTACION DEL SERVICIO ANUALIZADO AÑO 1 - AÑO 5 - INSTALACIONES NUEVAS</t>
  </si>
  <si>
    <t>PROYECCION DE COSTOS DE MATERIALES DE CONSUMO PARA LA PRESTACION DEL SERVICIO MENSUALIZADO AÑO 1 - INSTALACIONES NUEVAS</t>
  </si>
  <si>
    <t>Materiales de consumo para la prestacion del servicio  (en unidades)</t>
  </si>
  <si>
    <t>Materiales de consumo para la prestacion del servicio  (en pesos)</t>
  </si>
  <si>
    <t>PROYECCION DE COSTOS DE MATERIALES DE CONSUMO PARA LA PRESTACION DEL SERVICIO ANUALIZADO AÑO 1 - AÑO 5 - MANTENIMIENTOS Y RECARGAS</t>
  </si>
  <si>
    <t>PROYECCION DE COSTOS DE MATERIALES DE CONSUMO PARA LA PRESTACION DEL SERVICIO MENSUALIZADO AÑO 2 - MANTENIMIENTOS Y RECARGAS</t>
  </si>
  <si>
    <t>PROYECCION DE COSTOS MANTENIMIENTO DE MAQUINARIA Y EQUIPO, HERRAMIENTA MENOR Y DOTACION ANUALIZADO AÑO 1 - AÑO 5</t>
  </si>
  <si>
    <t>PROYECCION DE COSTOS MANTENIMIENTO DE MAQUINARIA Y EQUIPO, HERRAMIENTA MENOR Y DOTACION MENSUALIZADO AÑO 1</t>
  </si>
  <si>
    <t>PROYECCION DE MANO DE OBRA DIRECTA ANULALIZADO AÑO 1 - AÑO 5 - INSTALACIONES NUEVAS</t>
  </si>
  <si>
    <t>PROYECCION DE MANO DE OBRA DIRECTA MENSUALIZADO AÑO 1 - INSTALACIONES NUEVAS</t>
  </si>
  <si>
    <t>PROYECCION DE MANO DE OBRA DIRECTA ANUALIZADO AÑO 1 - AÑO 5 - MANTENIMIENTOS Y RECARGAS</t>
  </si>
  <si>
    <t>PROYECCION DE MANO DE OBRA DIRECTA MENSUALIZADO AÑO 2 - MANTENIMIENTOS Y RECARGAS</t>
  </si>
  <si>
    <t xml:space="preserve">PROYECCION DE MANO DE OBRA INDIRECTA MENSUALIZADO AÑO 1 </t>
  </si>
  <si>
    <t xml:space="preserve">PROYECCION DE COSTOS DE SERVICIOS PUBLICOS (LUZ Y AGUA) MENSUALIZADOAÑO 1 </t>
  </si>
  <si>
    <t>Servicios publicos total (luz y agua) (en pesos)</t>
  </si>
  <si>
    <t>Servicios publicos area operativa (luz y agua) (en pesos)</t>
  </si>
  <si>
    <t>Servicios publicos area administrativa (luz y agua) (en pesos)</t>
  </si>
  <si>
    <t xml:space="preserve">PROYECCION DE COSTOS DE ARRENDAMIENTO MENSUALIZADO AÑO 1 </t>
  </si>
  <si>
    <t xml:space="preserve">Arriendo total (en pesos) </t>
  </si>
  <si>
    <t xml:space="preserve">Arriendo area operativa (en pesos) </t>
  </si>
  <si>
    <t>Arriendo area administrativa (en pesos)</t>
  </si>
  <si>
    <t xml:space="preserve">PROYECCION DE COSTOS DE DEPRESIACION DE MAQUINARIA Y EQUIPO  MENSUALIZADO AÑO 1 </t>
  </si>
  <si>
    <t>Depresiacion maquinaria y equipo (en pesos)</t>
  </si>
  <si>
    <t xml:space="preserve">PROYECCION DE GASTOS DE PERSONAL MENSUALIZADO AÑO 1 </t>
  </si>
  <si>
    <t>Gastos de personal (en unidades)</t>
  </si>
  <si>
    <t>Gastos de personal (en pesos)</t>
  </si>
  <si>
    <t>PROYECCION COSTOS Y GASTOS ADMINISTRATIVOS Y DE VENTAS  ANUALIZADO AÑO 1 - AÑO 5</t>
  </si>
  <si>
    <t xml:space="preserve">PROYECCION COSTOS Y GASTOS ADMINISTRATIVOS Y DE VENTAS  MENSUALIZADO AÑO 1 </t>
  </si>
  <si>
    <t>Gastos administrativos y de ventas (en pesos)</t>
  </si>
  <si>
    <t>Gastos de depresiacion de muebles y enceres, equipo de computo y telecomunicacion</t>
  </si>
  <si>
    <t>Gastos de depresiacion de muebles y enceres, equipo de 
computo y telecomunicacion</t>
  </si>
  <si>
    <t>GASTOS DE PERSONAL AÑO 1</t>
  </si>
  <si>
    <t>Administrador de empresas</t>
  </si>
  <si>
    <t>Materiales directos para la prestación del servicio</t>
  </si>
  <si>
    <t>Materiales de consumo para la prestación del servicio</t>
  </si>
  <si>
    <t>CONSOLIDADO PRESUPUESTO OPERATIVO</t>
  </si>
  <si>
    <t>PROGRAMA DE INSTALACION, MANTENIMIENTO Y RECARGA ANUALIZADO AÑO 1 - AÑO 5</t>
  </si>
  <si>
    <t xml:space="preserve">PROGRAMA DE INSTALACION, MANTENIMIENTO Y RECARGA MENSUALIZADO AÑO 1 </t>
  </si>
  <si>
    <t>Inventario inicial - instalaciones nuevas</t>
  </si>
  <si>
    <t>Ventas - instalaciones nuevas</t>
  </si>
  <si>
    <t>Produccion - instalaciones nuevas</t>
  </si>
  <si>
    <t>Inventario final - instalaciones nuevas</t>
  </si>
  <si>
    <t>Inventario inicial  - mantenimientos y recargas</t>
  </si>
  <si>
    <t>Ventas - mantenimientos y recargas</t>
  </si>
  <si>
    <t>Produccion - mantenimientos y recargas</t>
  </si>
  <si>
    <t>Inventario final - mantenimientos y recargas</t>
  </si>
  <si>
    <t xml:space="preserve">ANEXO INVENTARIO </t>
  </si>
  <si>
    <t>CARGOS DIFERIDOS</t>
  </si>
  <si>
    <t>DISPONIBLE</t>
  </si>
  <si>
    <t>Cuentas por Cobrar</t>
  </si>
  <si>
    <t>Inventarios</t>
  </si>
  <si>
    <t>TOTAL DISPONIBLE</t>
  </si>
  <si>
    <t>Depreciación acumulada</t>
  </si>
  <si>
    <t>ACTIVOS FIJOS</t>
  </si>
  <si>
    <t>PASIVO CORRIENTE</t>
  </si>
  <si>
    <t>PASIVO A LARGO PLAZO</t>
  </si>
  <si>
    <t>Obligaciones financieras</t>
  </si>
  <si>
    <t>TOTAL PASIVOS CORRIENTES</t>
  </si>
  <si>
    <t>TOTAL PASIVO A LARGO PLAZO</t>
  </si>
  <si>
    <t>Utilidades acumuladas</t>
  </si>
  <si>
    <t>TOTAL DIFERIDOS</t>
  </si>
  <si>
    <t>TOTAL ACTIVOS FIJOS</t>
  </si>
  <si>
    <t>Inventario final (en unidades)</t>
  </si>
  <si>
    <t>Inventario final (en pesos)</t>
  </si>
  <si>
    <t>Costo de inventario final materiales directos (instalaciones nuevas)</t>
  </si>
  <si>
    <t>Costo de inventario final materiales directos (mantenimientos y recargas)</t>
  </si>
  <si>
    <t>Inventario final  (en pesos)</t>
  </si>
  <si>
    <t>Costo de inventario final materiales de consumo (instalaciones nuevas)</t>
  </si>
  <si>
    <t>Costo de inventario final materiales de consumo (mantenimientos y recargas)</t>
  </si>
  <si>
    <t>Ajuste por movimiento del inventario (materiales directos) instalaciones nuevas</t>
  </si>
  <si>
    <t>Ajuste por movimiento del inventario (materiales directos) mantenimientos y recargas</t>
  </si>
  <si>
    <t>Ajuste por movimiento del inventario (materiales de consumo) instalaciones nuevas</t>
  </si>
  <si>
    <t>Ajuste por movimiento del inventario (materiales de consumo) mantenimientos y recargas</t>
  </si>
  <si>
    <t>Impuesto</t>
  </si>
  <si>
    <t>RESULTADO NO OPERACIONAL</t>
  </si>
  <si>
    <t>Ingresos financieros</t>
  </si>
  <si>
    <t>Ventas (instalaciones nuevas)</t>
  </si>
  <si>
    <t>Ventas de contado</t>
  </si>
  <si>
    <t>Ventas (mantenimientos y recargas)</t>
  </si>
  <si>
    <t>VENTAS TOTALES</t>
  </si>
  <si>
    <t>Costos de materiales directos (instalaciones nuevas)</t>
  </si>
  <si>
    <t>Costos de materiales de consumo (instalaciones nuevas)</t>
  </si>
  <si>
    <t>Costos de materiales directos (mantenimientos y recargas)</t>
  </si>
  <si>
    <t>Costos de materiales de consumo (mantenimientos y recargas)</t>
  </si>
  <si>
    <t>COSTOS DE VENTAS</t>
  </si>
  <si>
    <t>Costos de mano de obra directa  (instalaciones nuevas)</t>
  </si>
  <si>
    <t>Costos de mano de obra directa (mantenimientos y recargas)</t>
  </si>
  <si>
    <t>Costos de personal administrativo y de ventas</t>
  </si>
  <si>
    <t>DEPRECIACIÓN DE ACTIVOS</t>
  </si>
  <si>
    <t>Gastos por intereses</t>
  </si>
  <si>
    <t>Costos de mantenimiento para maquinaria y equipo, herramienta menor y dotación</t>
  </si>
  <si>
    <t>Ventas a contado (instalaciones nuevas)</t>
  </si>
  <si>
    <t>Ventas a contado (mantenimientos y recargas)</t>
  </si>
  <si>
    <t>Pago de cuentas por pagar de materiales directos (instalaciones nuevas)</t>
  </si>
  <si>
    <t>Pago de cuentas por pagar de materiales directos (mantenimientos y recargas)</t>
  </si>
  <si>
    <t>Pago de cuentas por pagar de materiales de consumo (instalaciones nuevas)</t>
  </si>
  <si>
    <t>Pago de cuentas por pagar de materiales de consumo (mantenimientos y recargas)</t>
  </si>
  <si>
    <t>Compras de materiales directos de contado (instalaciones nuevas)</t>
  </si>
  <si>
    <t>Compras de materiales directos de contado (mantenimientos y recargas)</t>
  </si>
  <si>
    <t>Compras de materiales de consumo de contado (instalaciones nuevas)</t>
  </si>
  <si>
    <t>Compras de materiales de consumo de contado (mantenimientos y recargas)</t>
  </si>
  <si>
    <t>Pago de impuesto</t>
  </si>
  <si>
    <t>Costos de mano de obra directa (instalaciones nuevas)</t>
  </si>
  <si>
    <t>Costos de mano de obra indirecta</t>
  </si>
  <si>
    <t>Gastos de personal administrativo y de ventas</t>
  </si>
  <si>
    <t>Prestamos</t>
  </si>
  <si>
    <t>Aportes sociales</t>
  </si>
  <si>
    <t>Abonos a capital</t>
  </si>
  <si>
    <t>SALDO DE FINANCIACIÓN</t>
  </si>
  <si>
    <t>ACTIVIDADES DE INVERSIÓN</t>
  </si>
  <si>
    <t>SALDO DE INVERSIÓN</t>
  </si>
  <si>
    <t>Rendimientos financieros</t>
  </si>
  <si>
    <t>Inventario inicial de materiales directos</t>
  </si>
  <si>
    <t>Inventario inicial de materiales de consumo</t>
  </si>
  <si>
    <t>Cuentas por cobrar (instalaciones nuevas)</t>
  </si>
  <si>
    <t>Cuentas por cobrar (mantenimientos y recargas)</t>
  </si>
  <si>
    <t>Inventario de materiales directos (instalaciones nuevas)</t>
  </si>
  <si>
    <t>Inventario de materiales directos (mantenimientos y recargas)</t>
  </si>
  <si>
    <t>Inventario de materiales de consumo (instalaciones nuevas)</t>
  </si>
  <si>
    <t>Inventario de materiales de consumo (mantenimientos y recargas)</t>
  </si>
  <si>
    <t>Proveedores de materiales directos (instalaciones nuevas)</t>
  </si>
  <si>
    <t>Proveedores de materiales directos (mantenimientos y recargas)</t>
  </si>
  <si>
    <t>Proveedores de materiales de consumo (instalaciones nuevas)</t>
  </si>
  <si>
    <t>Proveedores de materiales de consumo (mantenimientos y recargas)</t>
  </si>
  <si>
    <t>Utilidad del periodo</t>
  </si>
  <si>
    <t>PROYECCION DEL VALOR DEL DESCUENTO ANUALIZADO AÑO 1 - AÑO 5</t>
  </si>
  <si>
    <t>PROYECCION DEL VALOR DEL DESCUENTO MENSUALIZADO AÑO 1</t>
  </si>
  <si>
    <t>Ventas en unidades - instalaciones nuevas (segmento usuario final)</t>
  </si>
  <si>
    <t>Ventas en unidades - instalaciones nuevas (segmento empresarial)</t>
  </si>
  <si>
    <t>Ventas en pesos - instalaciones nuevas (segmento usuario final)</t>
  </si>
  <si>
    <t>Ventas en pesos - instalaciones nuevas (segmento empresarial)</t>
  </si>
  <si>
    <t>Descuento en pesos (5%) - instalaciones nuevas (segmento empresarial)</t>
  </si>
  <si>
    <t>Descuentos en ventas</t>
  </si>
  <si>
    <t>Descuentos en ventas (instalaciones nuevas)</t>
  </si>
  <si>
    <t>Costos de materiales de consumo (servicios post venta)</t>
  </si>
  <si>
    <t>PROYECCION DE COSTOS DE SERVICIOS POSTVENTA ANUALIZADO AÑO 1 - AÑO 5</t>
  </si>
  <si>
    <t xml:space="preserve">PROYECCION DE COSTOS DE SERVICIOS POSTVENTA MENSUALIZADO AÑO 1 </t>
  </si>
  <si>
    <t>Costos de servicios postventa en pesos - instalaciones nuevas (mano de obra directa)</t>
  </si>
  <si>
    <t>Gastos de servicios postventa en pesos - instalaciones nuevas (mod)</t>
  </si>
  <si>
    <t>Costos de servicios postventa en pesos - instalaciones nuevas (materiales de consumo)</t>
  </si>
  <si>
    <t>Gastos de servicios postventa en pesos - instalaciones nuevas (otros insumos)</t>
  </si>
  <si>
    <t>Costo total de servicio post venta en pesos - instalaciones nuevas</t>
  </si>
  <si>
    <t>Gasto total de servicio post venta en pesos - instalaciones nuevas</t>
  </si>
  <si>
    <t>Compras de materiales de consumo de contado (servicio post venta)</t>
  </si>
  <si>
    <t>PROYECCION DEL VALOR DE LAS GARANTIAS ANUALIZADO AÑO 1 - AÑO 5</t>
  </si>
  <si>
    <t xml:space="preserve">PROYECCION DEL VALOR DE LAS GARANTIAS MENSUALIZADO AÑO 1 </t>
  </si>
  <si>
    <t>Unidades a realizar garantia - instalaciones nuevas</t>
  </si>
  <si>
    <t>Valor de garantia en pesos - instalaciones nuevas (mano de obra directa)</t>
  </si>
  <si>
    <t>Valor de garantia en pesos - instalaciones nuevas (mod)</t>
  </si>
  <si>
    <t>Valor de garantia en pesos - instalaciones nuevas (materiales de consumo)</t>
  </si>
  <si>
    <t>Valor de garantia en pesos - instalaciones nuevas (otros insumos)</t>
  </si>
  <si>
    <t>Valor total de garantia en pesos - instalaciones nuevas</t>
  </si>
  <si>
    <t>RESERVA LEGAL ACUMULADA</t>
  </si>
  <si>
    <t>Reserva legal acumulada</t>
  </si>
  <si>
    <t>Pago de cuentas por pagar de materiales directos  y de consumo (instalaciones nuevas y mantenimientos y recargas)</t>
  </si>
  <si>
    <t>Compras de materiales directos y de consumo de contado (instalaciones nuevas y mantenimientos y recargas)</t>
  </si>
  <si>
    <t>Impuestos por pagar</t>
  </si>
  <si>
    <t>Proveedores nacionales</t>
  </si>
  <si>
    <t>COSTO DE INVENTARIO ANUALIZADO AÑO 1 A AÑO 5</t>
  </si>
  <si>
    <t>PAGO DE DIVIDENDOS</t>
  </si>
  <si>
    <t>TOTAL UTILIDADES PERIODOS ANTERIORES</t>
  </si>
  <si>
    <t>TX (tasa de impuestos)</t>
  </si>
  <si>
    <t>TL (tasa libre de riesgo)</t>
  </si>
  <si>
    <t>TM (tasa de mercado)</t>
  </si>
  <si>
    <t>Periodo promedio de cobranza</t>
  </si>
  <si>
    <t>Margen de utilidad</t>
  </si>
  <si>
    <t>Rentabilidad del activo neto (RAN)</t>
  </si>
  <si>
    <t>Ebitda</t>
  </si>
  <si>
    <t>Margen EBITDA</t>
  </si>
  <si>
    <t>Capital de trabajo neto operativo</t>
  </si>
  <si>
    <t>Productividad del capital de trabajo</t>
  </si>
  <si>
    <t>Tasa interna de retorno(TIR)</t>
  </si>
  <si>
    <t>Valor actual neto (VAN)</t>
  </si>
  <si>
    <t>Año2</t>
  </si>
  <si>
    <t>Año3</t>
  </si>
  <si>
    <t>Año4</t>
  </si>
  <si>
    <t>Año5</t>
  </si>
  <si>
    <t>Rendimiento del patrimonio (ROE)</t>
  </si>
  <si>
    <t>Utilidad operativa</t>
  </si>
  <si>
    <t>UODI</t>
  </si>
  <si>
    <t>Impuestos aplicados</t>
  </si>
  <si>
    <t>Flujo de caja bruto</t>
  </si>
  <si>
    <t>Incremento del KTNO</t>
  </si>
  <si>
    <t>Flujo de caja libre</t>
  </si>
  <si>
    <t>Utilidad neta</t>
  </si>
  <si>
    <t>Intereses</t>
  </si>
  <si>
    <t>Flujo de propietarios</t>
  </si>
  <si>
    <t>V  AÑO 1</t>
  </si>
  <si>
    <t>V  AÑO 2</t>
  </si>
  <si>
    <t>V  AÑO 3</t>
  </si>
  <si>
    <t>V  AÑO 4</t>
  </si>
  <si>
    <t>V  AÑO 5</t>
  </si>
  <si>
    <t>V  AÑO 0</t>
  </si>
  <si>
    <t>dd/mm/aa</t>
  </si>
  <si>
    <t>Rendimiento</t>
  </si>
  <si>
    <t>REND. PROM. DIARIO</t>
  </si>
  <si>
    <t>REND. PROM. ANULA</t>
  </si>
  <si>
    <t>COSTOS Y GASTOS ADMINISTRATIVOS Y DE VENTAS</t>
  </si>
  <si>
    <t>Datos del crédito</t>
  </si>
  <si>
    <t>Inversión</t>
  </si>
  <si>
    <t>Tiempo años</t>
  </si>
  <si>
    <t>Tiempo meses</t>
  </si>
  <si>
    <t>Costo deuda (e.a)</t>
  </si>
  <si>
    <t>Costo deuda (n.m)</t>
  </si>
  <si>
    <t>Pago</t>
  </si>
  <si>
    <t>Fuente de financiación</t>
  </si>
  <si>
    <t>Participación</t>
  </si>
  <si>
    <t>Costo después de impuestos</t>
  </si>
  <si>
    <t>Costo promedio ponderado</t>
  </si>
  <si>
    <t>Deuda (kd)</t>
  </si>
  <si>
    <t>Patrimonio (ke)</t>
  </si>
  <si>
    <t>B (des apalancado)</t>
  </si>
  <si>
    <t>Capital de trabajo neto operativo (kwo)</t>
  </si>
  <si>
    <t>Kw neto operativo</t>
  </si>
  <si>
    <t>Variación kw</t>
  </si>
  <si>
    <t>Proyección de inversiones año 1 - año 5</t>
  </si>
  <si>
    <t>Descripción</t>
  </si>
  <si>
    <t>Inversión en mercadeo</t>
  </si>
  <si>
    <t>Inversión en I+D y calidad</t>
  </si>
  <si>
    <t>Inversión en gastos de puesta en marcha</t>
  </si>
  <si>
    <t>Gastos pre operativos</t>
  </si>
  <si>
    <t>Ventas a crédito</t>
  </si>
  <si>
    <t>Costos de materiales de consumo (garantías)</t>
  </si>
  <si>
    <t>Costos de servicios públicos (luz y agua) área operativa</t>
  </si>
  <si>
    <t>Costos de servicios públicos (luz y agua) área administrativa</t>
  </si>
  <si>
    <t>Costos de arrendamiento área operativa</t>
  </si>
  <si>
    <t>Costos de arrendamiento área administrativa</t>
  </si>
  <si>
    <t>ACTIVIDAD DE FINANCIACIÓN</t>
  </si>
  <si>
    <t>Recuperación de cxc 30 días (instalaciones nuevas)</t>
  </si>
  <si>
    <t>Recuperación de cxc 30 días (mantenimientos y recargas)</t>
  </si>
  <si>
    <t>Compras de materiales directos y de consumo a crédito (instalaciones nuevas y mantenimientos y recargas)</t>
  </si>
  <si>
    <t>Compras de materiales directos a crédito (instalaciones nuevas)</t>
  </si>
  <si>
    <t>Compras de materiales directos a crédito (mantenimientos y recargas)</t>
  </si>
  <si>
    <t>Compras de materiales de consumo a crédito (instalaciones nuevas)</t>
  </si>
  <si>
    <t>Compras de materiales de consumo a crédito (mantenimientos y recargas)</t>
  </si>
  <si>
    <t>Compras de materiales de consumo de contado (garantías)</t>
  </si>
  <si>
    <t>Costos de mantenimiento de maquinaria y equipo, herramienta menor y dotación</t>
  </si>
  <si>
    <t>Retorno de inversión inicial</t>
  </si>
  <si>
    <t>Depreciaciones</t>
  </si>
  <si>
    <t>Inversión en activos fijos</t>
  </si>
  <si>
    <t>Flujo de caja libre después de beneficio tributario</t>
  </si>
  <si>
    <t>Razones Financieras</t>
  </si>
  <si>
    <t>Medidas De Valor</t>
  </si>
  <si>
    <t>Indicadores De Evaluación De La Empresa</t>
  </si>
  <si>
    <t>Indicadores De Evaluación Del Inversionista</t>
  </si>
  <si>
    <t>Razón circulante</t>
  </si>
  <si>
    <t>Razón rápida o prueba del acido</t>
  </si>
  <si>
    <t>Razón de endeudamiento</t>
  </si>
  <si>
    <t>Razón de cobertura</t>
  </si>
  <si>
    <t>Rotación del inventario</t>
  </si>
  <si>
    <t>Rotación de los activos fijos</t>
  </si>
  <si>
    <t>Rotación de los activos totales</t>
  </si>
  <si>
    <t>Rendimiento sobre inversión (ROA)</t>
  </si>
  <si>
    <t>Utilidad operativa después de impuestos (UODI)</t>
  </si>
  <si>
    <t>Creación de valor</t>
  </si>
  <si>
    <t>Índice de creación de valor</t>
  </si>
  <si>
    <t>Palanca de crecimiento</t>
  </si>
  <si>
    <t>Crecimiento promedio</t>
  </si>
  <si>
    <t>Promedio 5 años</t>
  </si>
  <si>
    <t>Promedio industria EE.UU.</t>
  </si>
  <si>
    <t>Desviación con respecto
 industria EE.UU.</t>
  </si>
  <si>
    <t>Promedio año 1</t>
  </si>
  <si>
    <t>Total año 1</t>
  </si>
  <si>
    <t>check</t>
  </si>
  <si>
    <t>Check</t>
  </si>
  <si>
    <t>Estado De Resultados Anualizado</t>
  </si>
  <si>
    <t>Estado De Resultados Mensualizado Año 1</t>
  </si>
  <si>
    <t>Flujo de efectivo Anualizado</t>
  </si>
  <si>
    <t>Balance General Anualizado</t>
  </si>
  <si>
    <t>Flujo De Caja Libre Anualizado</t>
  </si>
  <si>
    <t>Flujo De Caja Libre Mensualizado Año 1</t>
  </si>
  <si>
    <t>Flujo De Caja Libre Anualizado Mensualizado Año 1</t>
  </si>
  <si>
    <t xml:space="preserve"> </t>
  </si>
  <si>
    <t>Periodo</t>
  </si>
  <si>
    <t>Cuota</t>
  </si>
  <si>
    <t>Interes</t>
  </si>
  <si>
    <t>Amotización</t>
  </si>
  <si>
    <t>Saldo</t>
  </si>
  <si>
    <t>Amortización</t>
  </si>
  <si>
    <t>Interés</t>
  </si>
  <si>
    <t>impo renta</t>
  </si>
  <si>
    <t>cree</t>
  </si>
  <si>
    <t>Impuesto de renta</t>
  </si>
  <si>
    <t>Impuesto sobre la renta para la equidad (CREE)</t>
  </si>
  <si>
    <t>Pago de impuestos (impuesto de renta y impuesto sobre la renta para la equidad)</t>
  </si>
  <si>
    <t>Tasa de interés - efectiva anual</t>
  </si>
  <si>
    <t>Vigencia desde</t>
  </si>
  <si>
    <t>Vigencia hasta</t>
  </si>
  <si>
    <t>DTF</t>
  </si>
  <si>
    <t>CDT 180</t>
  </si>
  <si>
    <t>CDT 360</t>
  </si>
  <si>
    <t>TCC</t>
  </si>
  <si>
    <t>Tasas de captación semanales - DTF, CDT 180 días, CDT 360 días y TCC</t>
  </si>
  <si>
    <t>Información disponible a partir de enero de 1984 para DTF y TCC, y para CDT 180 y CDT 360 desde julio de 1993</t>
  </si>
  <si>
    <t>Promedio</t>
  </si>
  <si>
    <t>nov</t>
  </si>
  <si>
    <t>Dic</t>
  </si>
  <si>
    <t>oct</t>
  </si>
  <si>
    <t>Sep</t>
  </si>
  <si>
    <t>Ago</t>
  </si>
  <si>
    <t>Jul</t>
  </si>
  <si>
    <t>Jun</t>
  </si>
  <si>
    <t>May</t>
  </si>
  <si>
    <t>Abr</t>
  </si>
  <si>
    <t>Mar</t>
  </si>
  <si>
    <t>Feb</t>
  </si>
  <si>
    <t>Ene</t>
  </si>
  <si>
    <t>Promedio (mes)</t>
  </si>
  <si>
    <t>Valor promedio</t>
  </si>
  <si>
    <t>Rendimiento promedio</t>
  </si>
  <si>
    <t>Punto de equilibrio año 1 - año 5</t>
  </si>
  <si>
    <t>AÑO</t>
  </si>
  <si>
    <t>Servicio</t>
  </si>
  <si>
    <t>Niveles de volumen anuales</t>
  </si>
  <si>
    <t>Valor en pesos</t>
  </si>
  <si>
    <t xml:space="preserve">AÑO 1 </t>
  </si>
  <si>
    <t>Mantenimiento y recarga</t>
  </si>
  <si>
    <t>Instalación nueva</t>
  </si>
  <si>
    <t>Diciembre</t>
  </si>
  <si>
    <t>Enero</t>
  </si>
  <si>
    <t>Febrero</t>
  </si>
  <si>
    <t>Marzo</t>
  </si>
  <si>
    <t>Abril</t>
  </si>
  <si>
    <t>Mayo</t>
  </si>
  <si>
    <t>Junio</t>
  </si>
  <si>
    <t>Julio</t>
  </si>
  <si>
    <t>Agosto</t>
  </si>
  <si>
    <t>Septiembre</t>
  </si>
  <si>
    <t>Octubre</t>
  </si>
  <si>
    <t>Noviembre</t>
  </si>
  <si>
    <t>Mes del año 2012</t>
  </si>
  <si>
    <t>&lt;  &gt;</t>
  </si>
  <si>
    <t>TIR &gt; Costo de oportunidad</t>
  </si>
  <si>
    <t>Factible</t>
  </si>
  <si>
    <t>TIR &lt; Costo de oportunidad</t>
  </si>
  <si>
    <t>No factible</t>
  </si>
  <si>
    <t>VNA &gt; 0</t>
  </si>
  <si>
    <t>VNA &lt; 0</t>
  </si>
  <si>
    <t>Total año 0</t>
  </si>
  <si>
    <t>Año 0</t>
  </si>
  <si>
    <t>Año 1</t>
  </si>
  <si>
    <t>Año 2</t>
  </si>
  <si>
    <t>Año 3</t>
  </si>
  <si>
    <t>Año 4</t>
  </si>
  <si>
    <t>Año 5</t>
  </si>
  <si>
    <t>Total año 2</t>
  </si>
  <si>
    <t>Total año 4</t>
  </si>
  <si>
    <t>Total año 3</t>
  </si>
  <si>
    <t>Total año 5</t>
  </si>
  <si>
    <t>Total</t>
  </si>
  <si>
    <t>Parametros de evaluación</t>
  </si>
  <si>
    <t>Año 1 a año 5</t>
  </si>
  <si>
    <t>Rend. Prom. Diario</t>
  </si>
  <si>
    <t>Rend. Prom. Anual</t>
  </si>
  <si>
    <t>Sector</t>
  </si>
  <si>
    <t>Industria</t>
  </si>
  <si>
    <t>Inversion</t>
  </si>
  <si>
    <t>Tiempo Años</t>
  </si>
  <si>
    <t>Tiempo Meses</t>
  </si>
  <si>
    <t>Ingresos</t>
  </si>
  <si>
    <t>Precio</t>
  </si>
  <si>
    <t>Cantidad</t>
  </si>
  <si>
    <t>Costo Ventas</t>
  </si>
  <si>
    <t>Costo Operaciones</t>
  </si>
  <si>
    <t>Incremento Pib</t>
  </si>
  <si>
    <t xml:space="preserve">Incremento Inflasion </t>
  </si>
  <si>
    <t>Estructura Capital</t>
  </si>
  <si>
    <t>Deuda</t>
  </si>
  <si>
    <t>Capital</t>
  </si>
  <si>
    <t>Depresiacion</t>
  </si>
  <si>
    <t>Incremento En Kw</t>
  </si>
  <si>
    <t>Beta Desapalancada</t>
  </si>
  <si>
    <t>Costo Deuda E.A</t>
  </si>
  <si>
    <t>Periodo Pago (Dias)</t>
  </si>
  <si>
    <t>Periodo Cobro (Dias)</t>
  </si>
  <si>
    <t>Impuesto Total</t>
  </si>
  <si>
    <r>
      <t>Nota:</t>
    </r>
    <r>
      <rPr>
        <sz val="12"/>
        <color theme="0"/>
        <rFont val="Times New Roman"/>
        <family val="1"/>
      </rPr>
      <t xml:space="preserve"> la tasa DTF se refiere a la tasa promedio ponderada por monto de las captaciones por CDT a 90 días para los Bancos, corporaciones y compañías de financiamiento comercial. El cálculo se realiza con información diaria de las captaciones realizadas el viernes de la semana anterior y de lunes a jueves de la semana vigente.</t>
    </r>
  </si>
  <si>
    <t>Anexo 3</t>
  </si>
</sst>
</file>

<file path=xl/styles.xml><?xml version="1.0" encoding="utf-8"?>
<styleSheet xmlns="http://schemas.openxmlformats.org/spreadsheetml/2006/main">
  <numFmts count="14">
    <numFmt numFmtId="6" formatCode="&quot;$&quot;\ #,##0_);[Red]\(&quot;$&quot;\ #,##0\)"/>
    <numFmt numFmtId="41" formatCode="_(* #,##0_);_(* \(#,##0\);_(* &quot;-&quot;_);_(@_)"/>
    <numFmt numFmtId="43" formatCode="_(* #,##0.00_);_(* \(#,##0.00\);_(* &quot;-&quot;??_);_(@_)"/>
    <numFmt numFmtId="164" formatCode="_(* #,##0_);_(* \(#,##0\);_(* &quot;-&quot;??_);_(@_)"/>
    <numFmt numFmtId="165" formatCode="0.000"/>
    <numFmt numFmtId="166" formatCode="_(* #,##0.0_);_(* \(#,##0.0\);_(* &quot;-&quot;??_);_(@_)"/>
    <numFmt numFmtId="167" formatCode="_-* #,##0\ _€_-;\-* #,##0\ _€_-;_-* &quot;-&quot;??\ _€_-;_-@_-"/>
    <numFmt numFmtId="168" formatCode="_(* #,##0.000_);_(* \(#,##0.000\);_(* &quot;-&quot;??_);_(@_)"/>
    <numFmt numFmtId="169" formatCode="_-* #,##0.00_-;\-* #,##0.00_-;_-* &quot;-&quot;??_-;_-@_-"/>
    <numFmt numFmtId="170" formatCode="0.0%"/>
    <numFmt numFmtId="171" formatCode="_(* #,##0.000000_);_(* \(#,##0.000000\);_(* &quot;-&quot;??????_);_(@_)"/>
    <numFmt numFmtId="172" formatCode="0.00000%"/>
    <numFmt numFmtId="173" formatCode="0.000%"/>
    <numFmt numFmtId="174" formatCode="_(* #,##0.0_);_(* \(#,##0.0\);_(* &quot;-&quot;?_);_(@_)"/>
  </numFmts>
  <fonts count="42">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b/>
      <sz val="9"/>
      <color indexed="81"/>
      <name val="Tahoma"/>
      <family val="2"/>
    </font>
    <font>
      <sz val="9"/>
      <color indexed="81"/>
      <name val="Tahoma"/>
      <family val="2"/>
    </font>
    <font>
      <sz val="10"/>
      <name val="Arial"/>
      <family val="2"/>
    </font>
    <font>
      <b/>
      <sz val="11"/>
      <name val="Calibri"/>
      <family val="2"/>
      <scheme val="minor"/>
    </font>
    <font>
      <sz val="11"/>
      <name val="Calibri"/>
      <family val="2"/>
      <scheme val="minor"/>
    </font>
    <font>
      <sz val="11"/>
      <color theme="0"/>
      <name val="Calibri"/>
      <family val="2"/>
      <scheme val="minor"/>
    </font>
    <font>
      <sz val="8"/>
      <color indexed="81"/>
      <name val="Tahoma"/>
      <family val="2"/>
    </font>
    <font>
      <b/>
      <sz val="8"/>
      <color indexed="81"/>
      <name val="Tahoma"/>
      <family val="2"/>
    </font>
    <font>
      <sz val="11"/>
      <color theme="1"/>
      <name val="Calibri"/>
      <family val="2"/>
    </font>
    <font>
      <b/>
      <sz val="11"/>
      <color theme="0"/>
      <name val="Calibri"/>
      <family val="2"/>
    </font>
    <font>
      <b/>
      <sz val="11"/>
      <color theme="1"/>
      <name val="Calibri"/>
      <family val="2"/>
    </font>
    <font>
      <b/>
      <sz val="11"/>
      <name val="Calibri"/>
      <family val="2"/>
    </font>
    <font>
      <b/>
      <sz val="8"/>
      <color indexed="9"/>
      <name val="Calibri"/>
      <family val="2"/>
    </font>
    <font>
      <b/>
      <sz val="11"/>
      <color indexed="9"/>
      <name val="Calibri"/>
      <family val="2"/>
    </font>
    <font>
      <sz val="11"/>
      <color theme="0"/>
      <name val="Calibri"/>
      <family val="2"/>
    </font>
    <font>
      <sz val="11"/>
      <name val="Calibri"/>
      <family val="2"/>
    </font>
    <font>
      <b/>
      <sz val="11"/>
      <color rgb="FFFF0000"/>
      <name val="Calibri"/>
      <family val="2"/>
    </font>
    <font>
      <b/>
      <sz val="11"/>
      <color theme="0"/>
      <name val="Times New Roman"/>
      <family val="1"/>
    </font>
    <font>
      <sz val="11"/>
      <color theme="0"/>
      <name val="Times New Roman"/>
      <family val="1"/>
    </font>
    <font>
      <sz val="11"/>
      <color theme="1"/>
      <name val="Times New Roman"/>
      <family val="1"/>
    </font>
    <font>
      <b/>
      <sz val="11"/>
      <color theme="1"/>
      <name val="Times New Roman"/>
      <family val="1"/>
    </font>
    <font>
      <b/>
      <sz val="11"/>
      <color theme="7"/>
      <name val="Times New Roman"/>
      <family val="1"/>
    </font>
    <font>
      <b/>
      <sz val="11"/>
      <color rgb="FFFF0000"/>
      <name val="Times New Roman"/>
      <family val="1"/>
    </font>
    <font>
      <sz val="11"/>
      <color rgb="FFFF0000"/>
      <name val="Times New Roman"/>
      <family val="1"/>
    </font>
    <font>
      <b/>
      <sz val="11"/>
      <name val="Times New Roman"/>
      <family val="1"/>
    </font>
    <font>
      <sz val="11"/>
      <name val="Times New Roman"/>
      <family val="1"/>
    </font>
    <font>
      <b/>
      <sz val="11"/>
      <color indexed="8"/>
      <name val="Times New Roman"/>
      <family val="1"/>
    </font>
    <font>
      <b/>
      <sz val="11"/>
      <color indexed="9"/>
      <name val="Times New Roman"/>
      <family val="1"/>
    </font>
    <font>
      <b/>
      <sz val="8"/>
      <color indexed="9"/>
      <name val="Times New Roman"/>
      <family val="1"/>
    </font>
    <font>
      <sz val="12"/>
      <color theme="1"/>
      <name val="Times New Roman"/>
      <family val="1"/>
    </font>
    <font>
      <b/>
      <sz val="12"/>
      <color theme="0"/>
      <name val="Times New Roman"/>
      <family val="1"/>
    </font>
    <font>
      <sz val="12"/>
      <color theme="0"/>
      <name val="Times New Roman"/>
      <family val="1"/>
    </font>
    <font>
      <sz val="12"/>
      <name val="Times New Roman"/>
      <family val="1"/>
    </font>
    <font>
      <b/>
      <sz val="12"/>
      <name val="Times New Roman"/>
      <family val="1"/>
    </font>
    <font>
      <strike/>
      <sz val="12"/>
      <name val="Times New Roman"/>
      <family val="1"/>
    </font>
  </fonts>
  <fills count="27">
    <fill>
      <patternFill patternType="none"/>
    </fill>
    <fill>
      <patternFill patternType="gray125"/>
    </fill>
    <fill>
      <patternFill patternType="solid">
        <fgColor theme="7" tint="0.59999389629810485"/>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9"/>
        <bgColor indexed="64"/>
      </patternFill>
    </fill>
    <fill>
      <patternFill patternType="solid">
        <fgColor theme="8"/>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6"/>
        <bgColor indexed="64"/>
      </patternFill>
    </fill>
    <fill>
      <patternFill patternType="solid">
        <fgColor rgb="FFF6FBB7"/>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6" tint="0.59999389629810485"/>
        <bgColor indexed="64"/>
      </patternFill>
    </fill>
    <fill>
      <patternFill patternType="solid">
        <fgColor theme="5"/>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1"/>
        <bgColor indexed="64"/>
      </patternFill>
    </fill>
    <fill>
      <patternFill patternType="solid">
        <fgColor theme="5" tint="0.79998168889431442"/>
        <bgColor indexed="64"/>
      </patternFill>
    </fill>
    <fill>
      <patternFill patternType="solid">
        <fgColor rgb="FFFFFF99"/>
        <bgColor indexed="64"/>
      </patternFill>
    </fill>
    <fill>
      <patternFill patternType="solid">
        <fgColor theme="4"/>
        <bgColor indexed="64"/>
      </patternFill>
    </fill>
    <fill>
      <patternFill patternType="solid">
        <fgColor theme="4" tint="0.79998168889431442"/>
        <bgColor indexed="64"/>
      </patternFill>
    </fill>
    <fill>
      <patternFill patternType="solid">
        <fgColor theme="9"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style="thin">
        <color theme="4"/>
      </left>
      <right style="thin">
        <color theme="4"/>
      </right>
      <top style="thin">
        <color theme="4"/>
      </top>
      <bottom style="thin">
        <color theme="4"/>
      </bottom>
      <diagonal/>
    </border>
    <border>
      <left style="thin">
        <color theme="6"/>
      </left>
      <right style="thin">
        <color theme="6"/>
      </right>
      <top style="thin">
        <color theme="6"/>
      </top>
      <bottom style="thin">
        <color theme="6"/>
      </bottom>
      <diagonal/>
    </border>
    <border>
      <left style="thin">
        <color theme="5"/>
      </left>
      <right style="thin">
        <color theme="5"/>
      </right>
      <top style="thin">
        <color theme="5"/>
      </top>
      <bottom style="thin">
        <color theme="5"/>
      </bottom>
      <diagonal/>
    </border>
    <border>
      <left style="thin">
        <color theme="9"/>
      </left>
      <right style="thin">
        <color theme="9"/>
      </right>
      <top style="thin">
        <color theme="9"/>
      </top>
      <bottom style="thin">
        <color theme="9"/>
      </bottom>
      <diagonal/>
    </border>
    <border>
      <left style="thin">
        <color theme="8"/>
      </left>
      <right style="thin">
        <color theme="8"/>
      </right>
      <top style="thin">
        <color theme="8"/>
      </top>
      <bottom style="thin">
        <color theme="8"/>
      </bottom>
      <diagonal/>
    </border>
    <border>
      <left style="thin">
        <color rgb="FFFFFF00"/>
      </left>
      <right style="thin">
        <color rgb="FFFFFF00"/>
      </right>
      <top style="thin">
        <color rgb="FFFFFF00"/>
      </top>
      <bottom style="thin">
        <color rgb="FFFFFF00"/>
      </bottom>
      <diagonal/>
    </border>
    <border>
      <left style="thin">
        <color rgb="FFFFFF00"/>
      </left>
      <right/>
      <top style="thin">
        <color rgb="FFFFFF00"/>
      </top>
      <bottom style="thin">
        <color rgb="FFFFFF00"/>
      </bottom>
      <diagonal/>
    </border>
    <border>
      <left style="thin">
        <color theme="6"/>
      </left>
      <right style="thin">
        <color theme="6"/>
      </right>
      <top/>
      <bottom/>
      <diagonal/>
    </border>
    <border>
      <left/>
      <right/>
      <top style="thin">
        <color indexed="64"/>
      </top>
      <bottom/>
      <diagonal/>
    </border>
    <border>
      <left style="thin">
        <color theme="9"/>
      </left>
      <right/>
      <top style="thin">
        <color theme="9"/>
      </top>
      <bottom style="thin">
        <color theme="9"/>
      </bottom>
      <diagonal/>
    </border>
    <border>
      <left style="thin">
        <color theme="9"/>
      </left>
      <right/>
      <top style="thin">
        <color theme="9"/>
      </top>
      <bottom style="thin">
        <color indexed="64"/>
      </bottom>
      <diagonal/>
    </border>
    <border>
      <left style="thin">
        <color theme="9"/>
      </left>
      <right/>
      <top/>
      <bottom style="thin">
        <color theme="9"/>
      </bottom>
      <diagonal/>
    </border>
    <border>
      <left style="thin">
        <color theme="9"/>
      </left>
      <right style="thin">
        <color theme="9"/>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43" fontId="9" fillId="0" borderId="0" applyFont="0" applyFill="0" applyBorder="0" applyAlignment="0" applyProtection="0"/>
    <xf numFmtId="41" fontId="9"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0" fontId="9" fillId="0" borderId="0"/>
  </cellStyleXfs>
  <cellXfs count="720">
    <xf numFmtId="0" fontId="0" fillId="0" borderId="0" xfId="0"/>
    <xf numFmtId="0" fontId="2" fillId="0" borderId="0" xfId="0" applyFont="1" applyAlignment="1">
      <alignment horizontal="center"/>
    </xf>
    <xf numFmtId="164" fontId="0" fillId="0" borderId="0" xfId="1" applyNumberFormat="1" applyFont="1"/>
    <xf numFmtId="0" fontId="0" fillId="0" borderId="1" xfId="0" applyBorder="1"/>
    <xf numFmtId="0" fontId="0" fillId="0" borderId="1" xfId="0" applyBorder="1" applyAlignment="1">
      <alignment horizontal="center"/>
    </xf>
    <xf numFmtId="164" fontId="0" fillId="0" borderId="1" xfId="0" applyNumberFormat="1" applyBorder="1"/>
    <xf numFmtId="164" fontId="0" fillId="0" borderId="0" xfId="0" applyNumberFormat="1"/>
    <xf numFmtId="9" fontId="0" fillId="0" borderId="1" xfId="0" applyNumberFormat="1" applyBorder="1"/>
    <xf numFmtId="164" fontId="0" fillId="0" borderId="1" xfId="1" applyNumberFormat="1" applyFont="1" applyBorder="1"/>
    <xf numFmtId="0" fontId="2" fillId="2" borderId="1" xfId="0" applyFont="1" applyFill="1" applyBorder="1"/>
    <xf numFmtId="0" fontId="0" fillId="0" borderId="3" xfId="0" applyBorder="1"/>
    <xf numFmtId="0" fontId="0" fillId="0" borderId="4" xfId="0" applyBorder="1"/>
    <xf numFmtId="0" fontId="0" fillId="0" borderId="5" xfId="0" applyBorder="1"/>
    <xf numFmtId="0" fontId="0" fillId="0" borderId="5"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9" fontId="0" fillId="0" borderId="1" xfId="0" applyNumberFormat="1" applyBorder="1" applyAlignment="1">
      <alignment horizontal="center"/>
    </xf>
    <xf numFmtId="9" fontId="0" fillId="0" borderId="1" xfId="2" applyFont="1" applyBorder="1"/>
    <xf numFmtId="0" fontId="0" fillId="0" borderId="0" xfId="0" applyFill="1" applyBorder="1"/>
    <xf numFmtId="0" fontId="4" fillId="5" borderId="0" xfId="0" applyFont="1" applyFill="1" applyAlignment="1">
      <alignment vertical="center"/>
    </xf>
    <xf numFmtId="0" fontId="0" fillId="0" borderId="0" xfId="0" applyAlignment="1"/>
    <xf numFmtId="0" fontId="0" fillId="0" borderId="0" xfId="0" applyFill="1" applyBorder="1" applyAlignment="1">
      <alignment vertical="center"/>
    </xf>
    <xf numFmtId="0" fontId="0" fillId="8" borderId="1" xfId="0" applyFill="1" applyBorder="1"/>
    <xf numFmtId="167" fontId="0" fillId="0" borderId="0" xfId="0" applyNumberFormat="1" applyFill="1" applyBorder="1" applyAlignment="1">
      <alignment vertical="center"/>
    </xf>
    <xf numFmtId="0" fontId="0" fillId="8" borderId="0" xfId="0" applyFont="1" applyFill="1" applyBorder="1" applyAlignment="1"/>
    <xf numFmtId="0" fontId="5" fillId="0" borderId="0" xfId="0" applyFont="1" applyFill="1" applyBorder="1" applyAlignment="1">
      <alignment wrapText="1"/>
    </xf>
    <xf numFmtId="0" fontId="0" fillId="0" borderId="0" xfId="0" applyFill="1"/>
    <xf numFmtId="167" fontId="0" fillId="0" borderId="0" xfId="0" applyNumberFormat="1"/>
    <xf numFmtId="167" fontId="11" fillId="0" borderId="0" xfId="1" applyNumberFormat="1" applyFont="1" applyFill="1"/>
    <xf numFmtId="167" fontId="0" fillId="0" borderId="0" xfId="0" applyNumberFormat="1" applyFill="1"/>
    <xf numFmtId="43" fontId="0" fillId="0" borderId="0" xfId="0" applyNumberFormat="1" applyFill="1"/>
    <xf numFmtId="0" fontId="0" fillId="0" borderId="0" xfId="0" applyFill="1" applyBorder="1" applyAlignment="1"/>
    <xf numFmtId="0" fontId="0" fillId="0" borderId="0" xfId="0" applyBorder="1"/>
    <xf numFmtId="0" fontId="2" fillId="0" borderId="11" xfId="0" applyFont="1" applyBorder="1"/>
    <xf numFmtId="0" fontId="2" fillId="0" borderId="0" xfId="0" applyFont="1" applyFill="1" applyBorder="1"/>
    <xf numFmtId="164" fontId="0" fillId="0" borderId="0" xfId="0" applyNumberFormat="1" applyFill="1" applyBorder="1"/>
    <xf numFmtId="164" fontId="0" fillId="0" borderId="0" xfId="0" applyNumberFormat="1" applyFill="1" applyBorder="1" applyAlignment="1">
      <alignment vertical="center"/>
    </xf>
    <xf numFmtId="164" fontId="10" fillId="0" borderId="0" xfId="0" applyNumberFormat="1" applyFont="1" applyFill="1" applyBorder="1" applyAlignment="1">
      <alignment wrapText="1"/>
    </xf>
    <xf numFmtId="0" fontId="10" fillId="0" borderId="0" xfId="0" applyFont="1" applyFill="1" applyBorder="1" applyAlignment="1">
      <alignment horizontal="center"/>
    </xf>
    <xf numFmtId="0" fontId="10" fillId="5" borderId="1" xfId="0" applyFont="1" applyFill="1" applyBorder="1" applyAlignment="1">
      <alignment horizontal="center"/>
    </xf>
    <xf numFmtId="0" fontId="10" fillId="14" borderId="11" xfId="3" applyFont="1" applyFill="1" applyBorder="1" applyAlignment="1">
      <alignment vertical="top"/>
    </xf>
    <xf numFmtId="0" fontId="10" fillId="8" borderId="11" xfId="3" applyFont="1" applyFill="1" applyBorder="1" applyAlignment="1">
      <alignment vertical="top"/>
    </xf>
    <xf numFmtId="0" fontId="10" fillId="5" borderId="9" xfId="0" applyFont="1" applyFill="1" applyBorder="1" applyAlignment="1"/>
    <xf numFmtId="0" fontId="2" fillId="23" borderId="11" xfId="0" applyFont="1" applyFill="1" applyBorder="1"/>
    <xf numFmtId="167" fontId="0" fillId="0" borderId="0" xfId="0" applyNumberFormat="1" applyAlignment="1"/>
    <xf numFmtId="167" fontId="6" fillId="0" borderId="0" xfId="0" applyNumberFormat="1" applyFont="1"/>
    <xf numFmtId="0" fontId="0" fillId="8" borderId="0" xfId="0" applyFill="1"/>
    <xf numFmtId="0" fontId="11" fillId="8" borderId="0" xfId="0" applyFont="1" applyFill="1"/>
    <xf numFmtId="0" fontId="11" fillId="0" borderId="0" xfId="0" applyFont="1" applyFill="1"/>
    <xf numFmtId="0" fontId="11" fillId="9" borderId="0" xfId="0" applyFont="1" applyFill="1" applyAlignment="1">
      <alignment horizontal="right"/>
    </xf>
    <xf numFmtId="0" fontId="11" fillId="0" borderId="0" xfId="0" applyFont="1" applyFill="1" applyAlignment="1">
      <alignment horizontal="right"/>
    </xf>
    <xf numFmtId="167" fontId="11" fillId="8" borderId="0" xfId="1" applyNumberFormat="1" applyFont="1" applyFill="1"/>
    <xf numFmtId="0" fontId="12" fillId="0" borderId="0" xfId="0" applyFont="1"/>
    <xf numFmtId="9" fontId="0" fillId="0" borderId="0" xfId="0" applyNumberFormat="1"/>
    <xf numFmtId="171" fontId="0" fillId="0" borderId="0" xfId="0" applyNumberFormat="1"/>
    <xf numFmtId="0" fontId="0" fillId="5" borderId="0" xfId="0" applyFill="1" applyAlignment="1"/>
    <xf numFmtId="0" fontId="0" fillId="8" borderId="0" xfId="0" applyFill="1" applyAlignment="1"/>
    <xf numFmtId="0" fontId="0" fillId="10" borderId="0" xfId="0" applyFill="1"/>
    <xf numFmtId="0" fontId="2" fillId="5" borderId="15" xfId="0" applyFont="1" applyFill="1" applyBorder="1" applyAlignment="1">
      <alignment vertical="center" textRotation="90"/>
    </xf>
    <xf numFmtId="0" fontId="2" fillId="5" borderId="16" xfId="0" applyFont="1" applyFill="1" applyBorder="1" applyAlignment="1">
      <alignment vertical="center" textRotation="90"/>
    </xf>
    <xf numFmtId="0" fontId="0" fillId="8" borderId="0" xfId="0" applyFill="1" applyBorder="1"/>
    <xf numFmtId="0" fontId="0" fillId="5" borderId="15" xfId="0" applyFill="1" applyBorder="1"/>
    <xf numFmtId="0" fontId="0" fillId="5" borderId="16" xfId="0" applyFill="1" applyBorder="1"/>
    <xf numFmtId="0" fontId="0" fillId="5" borderId="10" xfId="0" applyFill="1" applyBorder="1"/>
    <xf numFmtId="170" fontId="0" fillId="0" borderId="1" xfId="0" applyNumberFormat="1" applyBorder="1"/>
    <xf numFmtId="164" fontId="0" fillId="0" borderId="0" xfId="1" applyNumberFormat="1" applyFont="1" applyFill="1" applyBorder="1"/>
    <xf numFmtId="164" fontId="2" fillId="5" borderId="16" xfId="1" applyNumberFormat="1" applyFont="1" applyFill="1" applyBorder="1" applyAlignment="1">
      <alignment vertical="center" textRotation="90"/>
    </xf>
    <xf numFmtId="164" fontId="2" fillId="5" borderId="10" xfId="1" applyNumberFormat="1" applyFont="1" applyFill="1" applyBorder="1" applyAlignment="1">
      <alignment vertical="center" textRotation="90"/>
    </xf>
    <xf numFmtId="1" fontId="0" fillId="0" borderId="0" xfId="0" applyNumberFormat="1" applyFill="1"/>
    <xf numFmtId="167" fontId="0" fillId="0" borderId="0" xfId="0" applyNumberFormat="1" applyFill="1" applyBorder="1"/>
    <xf numFmtId="164" fontId="0" fillId="0" borderId="0" xfId="0" applyNumberFormat="1" applyFill="1"/>
    <xf numFmtId="0" fontId="15" fillId="0" borderId="0" xfId="0" applyFont="1"/>
    <xf numFmtId="164" fontId="15" fillId="0" borderId="0" xfId="0" applyNumberFormat="1" applyFont="1"/>
    <xf numFmtId="0" fontId="15" fillId="0" borderId="0" xfId="0" applyFont="1" applyFill="1"/>
    <xf numFmtId="0" fontId="17" fillId="8" borderId="0" xfId="0" applyFont="1" applyFill="1" applyBorder="1"/>
    <xf numFmtId="164" fontId="15" fillId="8" borderId="0" xfId="1" applyNumberFormat="1" applyFont="1" applyFill="1" applyBorder="1"/>
    <xf numFmtId="0" fontId="15" fillId="8" borderId="0" xfId="0" applyFont="1" applyFill="1"/>
    <xf numFmtId="164" fontId="15" fillId="0" borderId="0" xfId="0" applyNumberFormat="1" applyFont="1" applyFill="1"/>
    <xf numFmtId="0" fontId="18" fillId="0" borderId="0" xfId="0" applyFont="1" applyFill="1" applyBorder="1"/>
    <xf numFmtId="164" fontId="18" fillId="0" borderId="0" xfId="1" applyNumberFormat="1" applyFont="1" applyFill="1" applyBorder="1"/>
    <xf numFmtId="0" fontId="5" fillId="8" borderId="0" xfId="0" applyFont="1" applyFill="1" applyBorder="1" applyAlignment="1">
      <alignment horizontal="center"/>
    </xf>
    <xf numFmtId="0" fontId="2" fillId="0" borderId="18" xfId="0" applyFont="1" applyFill="1" applyBorder="1"/>
    <xf numFmtId="164" fontId="0" fillId="0" borderId="18" xfId="1" applyNumberFormat="1" applyFont="1" applyFill="1" applyBorder="1"/>
    <xf numFmtId="0" fontId="0" fillId="0" borderId="18" xfId="0" applyBorder="1"/>
    <xf numFmtId="0" fontId="2" fillId="0" borderId="18" xfId="0" applyFont="1" applyBorder="1" applyAlignment="1">
      <alignment horizontal="left" indent="1"/>
    </xf>
    <xf numFmtId="164" fontId="2" fillId="0" borderId="18" xfId="0" applyNumberFormat="1" applyFont="1" applyFill="1" applyBorder="1"/>
    <xf numFmtId="0" fontId="0" fillId="0" borderId="18" xfId="0" applyBorder="1" applyAlignment="1">
      <alignment horizontal="left" indent="2"/>
    </xf>
    <xf numFmtId="164" fontId="2" fillId="0" borderId="18" xfId="1" applyNumberFormat="1" applyFont="1" applyFill="1" applyBorder="1"/>
    <xf numFmtId="0" fontId="0" fillId="0" borderId="18" xfId="0" applyFont="1" applyBorder="1" applyAlignment="1">
      <alignment horizontal="left" indent="2"/>
    </xf>
    <xf numFmtId="164" fontId="0" fillId="0" borderId="18" xfId="1" applyNumberFormat="1" applyFont="1" applyBorder="1"/>
    <xf numFmtId="0" fontId="0" fillId="0" borderId="18" xfId="0" applyFill="1" applyBorder="1" applyAlignment="1">
      <alignment horizontal="left" indent="2"/>
    </xf>
    <xf numFmtId="0" fontId="2" fillId="24" borderId="18" xfId="0" applyFont="1" applyFill="1" applyBorder="1"/>
    <xf numFmtId="164" fontId="2" fillId="24" borderId="18" xfId="1" applyNumberFormat="1" applyFont="1" applyFill="1" applyBorder="1"/>
    <xf numFmtId="164" fontId="2" fillId="24" borderId="18" xfId="0" applyNumberFormat="1" applyFont="1" applyFill="1" applyBorder="1"/>
    <xf numFmtId="43" fontId="2" fillId="0" borderId="18" xfId="0" applyNumberFormat="1" applyFont="1" applyFill="1" applyBorder="1"/>
    <xf numFmtId="43" fontId="0" fillId="0" borderId="18" xfId="1" applyFont="1" applyFill="1" applyBorder="1"/>
    <xf numFmtId="0" fontId="5" fillId="24" borderId="18" xfId="0" applyFont="1" applyFill="1" applyBorder="1" applyAlignment="1">
      <alignment wrapText="1"/>
    </xf>
    <xf numFmtId="0" fontId="5" fillId="24" borderId="18" xfId="0" applyFont="1" applyFill="1" applyBorder="1" applyAlignment="1">
      <alignment horizontal="center"/>
    </xf>
    <xf numFmtId="0" fontId="17" fillId="13" borderId="19" xfId="0" applyFont="1" applyFill="1" applyBorder="1"/>
    <xf numFmtId="164" fontId="17" fillId="13" borderId="19" xfId="1" applyNumberFormat="1" applyFont="1" applyFill="1" applyBorder="1"/>
    <xf numFmtId="0" fontId="17" fillId="8" borderId="19" xfId="0" applyFont="1" applyFill="1" applyBorder="1" applyAlignment="1">
      <alignment horizontal="left" indent="1"/>
    </xf>
    <xf numFmtId="164" fontId="17" fillId="8" borderId="19" xfId="1" applyNumberFormat="1" applyFont="1" applyFill="1" applyBorder="1"/>
    <xf numFmtId="0" fontId="15" fillId="8" borderId="19" xfId="0" applyFont="1" applyFill="1" applyBorder="1" applyAlignment="1">
      <alignment horizontal="left" indent="2"/>
    </xf>
    <xf numFmtId="164" fontId="15" fillId="8" borderId="19" xfId="1" applyNumberFormat="1" applyFont="1" applyFill="1" applyBorder="1"/>
    <xf numFmtId="0" fontId="15" fillId="17" borderId="19" xfId="0" applyFont="1" applyFill="1" applyBorder="1" applyAlignment="1">
      <alignment horizontal="left" indent="1"/>
    </xf>
    <xf numFmtId="164" fontId="15" fillId="17" borderId="19" xfId="1" applyNumberFormat="1" applyFont="1" applyFill="1" applyBorder="1"/>
    <xf numFmtId="164" fontId="15" fillId="0" borderId="19" xfId="1" applyNumberFormat="1" applyFont="1" applyFill="1" applyBorder="1"/>
    <xf numFmtId="0" fontId="17" fillId="8" borderId="19" xfId="0" applyFont="1" applyFill="1" applyBorder="1" applyAlignment="1">
      <alignment horizontal="left" wrapText="1" indent="1"/>
    </xf>
    <xf numFmtId="0" fontId="15" fillId="0" borderId="19" xfId="0" applyFont="1" applyFill="1" applyBorder="1" applyAlignment="1">
      <alignment horizontal="left" indent="2"/>
    </xf>
    <xf numFmtId="164" fontId="15" fillId="0" borderId="19" xfId="1" applyNumberFormat="1" applyFont="1" applyBorder="1"/>
    <xf numFmtId="0" fontId="18" fillId="13" borderId="19" xfId="0" applyFont="1" applyFill="1" applyBorder="1"/>
    <xf numFmtId="164" fontId="18" fillId="13" borderId="19" xfId="1" applyNumberFormat="1" applyFont="1" applyFill="1" applyBorder="1"/>
    <xf numFmtId="0" fontId="16" fillId="13" borderId="19" xfId="0" applyFont="1" applyFill="1" applyBorder="1"/>
    <xf numFmtId="0" fontId="16" fillId="13" borderId="19" xfId="0" applyFont="1" applyFill="1" applyBorder="1" applyAlignment="1">
      <alignment horizontal="center"/>
    </xf>
    <xf numFmtId="0" fontId="10" fillId="24" borderId="18" xfId="0" applyFont="1" applyFill="1" applyBorder="1"/>
    <xf numFmtId="164" fontId="10" fillId="24" borderId="18" xfId="1" applyNumberFormat="1" applyFont="1" applyFill="1" applyBorder="1"/>
    <xf numFmtId="0" fontId="2" fillId="0" borderId="20" xfId="0" applyFont="1" applyBorder="1"/>
    <xf numFmtId="0" fontId="0" fillId="0" borderId="20" xfId="0" applyBorder="1"/>
    <xf numFmtId="0" fontId="2" fillId="0" borderId="20" xfId="0" applyFont="1" applyBorder="1" applyAlignment="1">
      <alignment horizontal="left" indent="1"/>
    </xf>
    <xf numFmtId="164" fontId="2" fillId="0" borderId="20" xfId="0" applyNumberFormat="1" applyFont="1" applyBorder="1"/>
    <xf numFmtId="0" fontId="2" fillId="0" borderId="20" xfId="0" applyFont="1" applyBorder="1" applyAlignment="1">
      <alignment horizontal="left" indent="2"/>
    </xf>
    <xf numFmtId="164" fontId="2" fillId="0" borderId="20" xfId="1" applyNumberFormat="1" applyFont="1" applyBorder="1"/>
    <xf numFmtId="164" fontId="2" fillId="0" borderId="20" xfId="1" applyNumberFormat="1" applyFont="1" applyFill="1" applyBorder="1"/>
    <xf numFmtId="164" fontId="0" fillId="0" borderId="20" xfId="1" applyNumberFormat="1" applyFont="1" applyBorder="1"/>
    <xf numFmtId="164" fontId="0" fillId="0" borderId="20" xfId="1" applyNumberFormat="1" applyFont="1" applyFill="1" applyBorder="1"/>
    <xf numFmtId="0" fontId="2" fillId="18" borderId="20" xfId="0" applyFont="1" applyFill="1" applyBorder="1" applyAlignment="1">
      <alignment horizontal="left" indent="1"/>
    </xf>
    <xf numFmtId="164" fontId="2" fillId="18" borderId="20" xfId="1" applyNumberFormat="1" applyFont="1" applyFill="1" applyBorder="1"/>
    <xf numFmtId="164" fontId="2" fillId="18" borderId="0" xfId="1" applyNumberFormat="1" applyFont="1" applyFill="1"/>
    <xf numFmtId="0" fontId="2" fillId="18" borderId="11" xfId="0" applyFont="1" applyFill="1" applyBorder="1"/>
    <xf numFmtId="0" fontId="2" fillId="0" borderId="20" xfId="0" applyFont="1" applyFill="1" applyBorder="1"/>
    <xf numFmtId="0" fontId="2" fillId="0" borderId="20" xfId="0" applyFont="1" applyFill="1" applyBorder="1" applyAlignment="1">
      <alignment horizontal="left" indent="1"/>
    </xf>
    <xf numFmtId="0" fontId="2" fillId="18" borderId="20" xfId="0" applyFont="1" applyFill="1" applyBorder="1"/>
    <xf numFmtId="37" fontId="19" fillId="8" borderId="0" xfId="8" applyNumberFormat="1" applyFont="1" applyFill="1" applyBorder="1" applyAlignment="1">
      <alignment vertical="center"/>
    </xf>
    <xf numFmtId="0" fontId="5" fillId="18" borderId="20" xfId="0" applyFont="1" applyFill="1" applyBorder="1" applyAlignment="1">
      <alignment horizontal="center"/>
    </xf>
    <xf numFmtId="37" fontId="20" fillId="18" borderId="20" xfId="8" applyNumberFormat="1" applyFont="1" applyFill="1" applyBorder="1" applyAlignment="1">
      <alignment vertical="center"/>
    </xf>
    <xf numFmtId="164" fontId="1" fillId="0" borderId="18" xfId="1" applyNumberFormat="1" applyFont="1" applyFill="1" applyBorder="1"/>
    <xf numFmtId="0" fontId="0" fillId="0" borderId="18" xfId="0" applyFont="1" applyBorder="1" applyAlignment="1">
      <alignment horizontal="left" wrapText="1" indent="2"/>
    </xf>
    <xf numFmtId="0" fontId="0" fillId="25" borderId="18" xfId="0" applyFont="1" applyFill="1" applyBorder="1" applyAlignment="1">
      <alignment horizontal="left" indent="2"/>
    </xf>
    <xf numFmtId="0" fontId="3" fillId="25" borderId="18" xfId="0" applyFont="1" applyFill="1" applyBorder="1"/>
    <xf numFmtId="164" fontId="0" fillId="25" borderId="18" xfId="1" applyNumberFormat="1" applyFont="1" applyFill="1" applyBorder="1"/>
    <xf numFmtId="0" fontId="0" fillId="0" borderId="18" xfId="0" applyFont="1" applyFill="1" applyBorder="1" applyAlignment="1">
      <alignment horizontal="left" wrapText="1" indent="2"/>
    </xf>
    <xf numFmtId="164" fontId="0" fillId="0" borderId="18" xfId="0" applyNumberFormat="1" applyFont="1" applyFill="1" applyBorder="1"/>
    <xf numFmtId="0" fontId="0" fillId="25" borderId="18" xfId="0" applyFill="1" applyBorder="1" applyAlignment="1">
      <alignment horizontal="left" indent="2"/>
    </xf>
    <xf numFmtId="0" fontId="0" fillId="22" borderId="20" xfId="0" applyFont="1" applyFill="1" applyBorder="1" applyAlignment="1">
      <alignment horizontal="left" indent="3"/>
    </xf>
    <xf numFmtId="164" fontId="1" fillId="22" borderId="20" xfId="1" applyNumberFormat="1" applyFont="1" applyFill="1" applyBorder="1"/>
    <xf numFmtId="0" fontId="2" fillId="0" borderId="20" xfId="0" applyFont="1" applyFill="1" applyBorder="1" applyAlignment="1">
      <alignment horizontal="left" indent="2"/>
    </xf>
    <xf numFmtId="164" fontId="0" fillId="22" borderId="20" xfId="1" applyNumberFormat="1" applyFont="1" applyFill="1" applyBorder="1"/>
    <xf numFmtId="164" fontId="2" fillId="22" borderId="20" xfId="1" applyNumberFormat="1" applyFont="1" applyFill="1" applyBorder="1"/>
    <xf numFmtId="0" fontId="0" fillId="22" borderId="20" xfId="0" applyFill="1" applyBorder="1" applyAlignment="1">
      <alignment horizontal="left" indent="3"/>
    </xf>
    <xf numFmtId="0" fontId="2" fillId="0" borderId="0" xfId="0" applyFont="1" applyFill="1" applyBorder="1" applyAlignment="1">
      <alignment horizontal="center"/>
    </xf>
    <xf numFmtId="10" fontId="0" fillId="0" borderId="1" xfId="2" applyNumberFormat="1" applyFont="1" applyBorder="1"/>
    <xf numFmtId="0" fontId="0" fillId="0" borderId="0" xfId="0"/>
    <xf numFmtId="0" fontId="5" fillId="0" borderId="0" xfId="0" applyFont="1"/>
    <xf numFmtId="166" fontId="0" fillId="0" borderId="0" xfId="1" applyNumberFormat="1" applyFont="1" applyFill="1" applyBorder="1"/>
    <xf numFmtId="6" fontId="0" fillId="0" borderId="0" xfId="0" applyNumberFormat="1" applyFill="1" applyBorder="1"/>
    <xf numFmtId="166" fontId="2" fillId="0" borderId="0" xfId="0" applyNumberFormat="1" applyFont="1" applyFill="1" applyBorder="1"/>
    <xf numFmtId="0" fontId="0" fillId="0" borderId="0" xfId="0" applyFill="1" applyBorder="1" applyAlignment="1">
      <alignment horizontal="center"/>
    </xf>
    <xf numFmtId="10" fontId="0" fillId="0" borderId="0" xfId="0" applyNumberFormat="1" applyFill="1" applyBorder="1" applyAlignment="1">
      <alignment horizontal="center"/>
    </xf>
    <xf numFmtId="10" fontId="2" fillId="0" borderId="0" xfId="0" applyNumberFormat="1" applyFont="1" applyFill="1" applyBorder="1" applyAlignment="1">
      <alignment horizontal="center"/>
    </xf>
    <xf numFmtId="1" fontId="0" fillId="0" borderId="0" xfId="0" applyNumberFormat="1" applyFill="1" applyBorder="1"/>
    <xf numFmtId="170" fontId="2" fillId="0" borderId="21" xfId="2" applyNumberFormat="1" applyFont="1" applyFill="1" applyBorder="1" applyAlignment="1">
      <alignment horizontal="right"/>
    </xf>
    <xf numFmtId="0" fontId="10" fillId="6" borderId="21" xfId="0" applyFont="1" applyFill="1" applyBorder="1" applyAlignment="1"/>
    <xf numFmtId="0" fontId="10" fillId="6" borderId="21" xfId="0" applyFont="1" applyFill="1" applyBorder="1" applyAlignment="1">
      <alignment horizontal="center"/>
    </xf>
    <xf numFmtId="164" fontId="2" fillId="26" borderId="21" xfId="1" applyNumberFormat="1" applyFont="1" applyFill="1" applyBorder="1" applyAlignment="1">
      <alignment horizontal="right"/>
    </xf>
    <xf numFmtId="170" fontId="2" fillId="26" borderId="21" xfId="2" applyNumberFormat="1" applyFont="1" applyFill="1" applyBorder="1" applyAlignment="1">
      <alignment horizontal="right"/>
    </xf>
    <xf numFmtId="166" fontId="2" fillId="26" borderId="21" xfId="1" applyNumberFormat="1" applyFont="1" applyFill="1" applyBorder="1" applyAlignment="1">
      <alignment horizontal="right"/>
    </xf>
    <xf numFmtId="166" fontId="2" fillId="0" borderId="21" xfId="1" applyNumberFormat="1" applyFont="1" applyFill="1" applyBorder="1" applyAlignment="1">
      <alignment horizontal="right"/>
    </xf>
    <xf numFmtId="166" fontId="2" fillId="0" borderId="21" xfId="1" applyNumberFormat="1" applyFont="1" applyFill="1" applyBorder="1" applyAlignment="1">
      <alignment horizontal="center"/>
    </xf>
    <xf numFmtId="166" fontId="2" fillId="26" borderId="21" xfId="1" applyNumberFormat="1" applyFont="1" applyFill="1" applyBorder="1" applyAlignment="1">
      <alignment horizontal="center"/>
    </xf>
    <xf numFmtId="0" fontId="10" fillId="7" borderId="22" xfId="0" applyFont="1" applyFill="1" applyBorder="1" applyAlignment="1">
      <alignment horizontal="center"/>
    </xf>
    <xf numFmtId="0" fontId="2" fillId="11" borderId="22" xfId="0" applyFont="1" applyFill="1" applyBorder="1" applyAlignment="1">
      <alignment horizontal="left"/>
    </xf>
    <xf numFmtId="170" fontId="2" fillId="11" borderId="22" xfId="0" applyNumberFormat="1" applyFont="1" applyFill="1" applyBorder="1" applyAlignment="1">
      <alignment horizontal="right"/>
    </xf>
    <xf numFmtId="0" fontId="2" fillId="0" borderId="22" xfId="0" applyFont="1" applyFill="1" applyBorder="1" applyAlignment="1">
      <alignment horizontal="left"/>
    </xf>
    <xf numFmtId="170" fontId="2" fillId="0" borderId="22" xfId="0" applyNumberFormat="1" applyFont="1" applyFill="1" applyBorder="1" applyAlignment="1">
      <alignment horizontal="right"/>
    </xf>
    <xf numFmtId="164" fontId="2" fillId="11" borderId="22" xfId="1" applyNumberFormat="1" applyFont="1" applyFill="1" applyBorder="1" applyAlignment="1">
      <alignment horizontal="right"/>
    </xf>
    <xf numFmtId="164" fontId="2" fillId="0" borderId="22" xfId="0" applyNumberFormat="1" applyFont="1" applyFill="1" applyBorder="1" applyAlignment="1">
      <alignment horizontal="right"/>
    </xf>
    <xf numFmtId="164" fontId="2" fillId="0" borderId="22" xfId="1" applyNumberFormat="1" applyFont="1" applyFill="1" applyBorder="1" applyAlignment="1">
      <alignment horizontal="right"/>
    </xf>
    <xf numFmtId="0" fontId="2" fillId="5" borderId="23" xfId="0" applyFont="1" applyFill="1" applyBorder="1" applyAlignment="1">
      <alignment horizontal="left"/>
    </xf>
    <xf numFmtId="0" fontId="2" fillId="0" borderId="23" xfId="0" applyFont="1" applyFill="1" applyBorder="1" applyAlignment="1">
      <alignment horizontal="left"/>
    </xf>
    <xf numFmtId="0" fontId="2" fillId="23" borderId="23" xfId="0" applyFont="1" applyFill="1" applyBorder="1" applyAlignment="1">
      <alignment horizontal="left"/>
    </xf>
    <xf numFmtId="9" fontId="2" fillId="0" borderId="24" xfId="0" applyNumberFormat="1" applyFont="1" applyFill="1" applyBorder="1" applyAlignment="1">
      <alignment horizontal="right"/>
    </xf>
    <xf numFmtId="6" fontId="2" fillId="23" borderId="24" xfId="0" applyNumberFormat="1" applyFont="1" applyFill="1" applyBorder="1" applyAlignment="1">
      <alignment horizontal="right"/>
    </xf>
    <xf numFmtId="0" fontId="21" fillId="0" borderId="0" xfId="0" applyFont="1"/>
    <xf numFmtId="0" fontId="16" fillId="6" borderId="21" xfId="0" applyFont="1" applyFill="1" applyBorder="1" applyAlignment="1">
      <alignment horizontal="left"/>
    </xf>
    <xf numFmtId="0" fontId="16" fillId="6" borderId="21" xfId="0" applyFont="1" applyFill="1" applyBorder="1" applyAlignment="1">
      <alignment horizontal="center"/>
    </xf>
    <xf numFmtId="0" fontId="16" fillId="8" borderId="0" xfId="0" applyFont="1" applyFill="1" applyBorder="1" applyAlignment="1">
      <alignment horizontal="left"/>
    </xf>
    <xf numFmtId="0" fontId="16" fillId="8" borderId="0" xfId="0" applyFont="1" applyFill="1" applyBorder="1" applyAlignment="1">
      <alignment horizontal="center"/>
    </xf>
    <xf numFmtId="0" fontId="15" fillId="0" borderId="21" xfId="0" applyFont="1" applyFill="1" applyBorder="1"/>
    <xf numFmtId="164" fontId="15" fillId="0" borderId="21" xfId="1" applyNumberFormat="1" applyFont="1" applyBorder="1"/>
    <xf numFmtId="49" fontId="15" fillId="0" borderId="21" xfId="0" applyNumberFormat="1" applyFont="1" applyFill="1" applyBorder="1"/>
    <xf numFmtId="0" fontId="17" fillId="6" borderId="21" xfId="0" applyFont="1" applyFill="1" applyBorder="1"/>
    <xf numFmtId="164" fontId="17" fillId="6" borderId="21" xfId="0" applyNumberFormat="1" applyFont="1" applyFill="1" applyBorder="1"/>
    <xf numFmtId="49" fontId="22" fillId="0" borderId="21" xfId="0" applyNumberFormat="1" applyFont="1" applyFill="1" applyBorder="1"/>
    <xf numFmtId="0" fontId="10" fillId="8" borderId="21" xfId="0" applyFont="1" applyFill="1" applyBorder="1" applyAlignment="1">
      <alignment horizontal="left"/>
    </xf>
    <xf numFmtId="0" fontId="10" fillId="26" borderId="21" xfId="0" applyFont="1" applyFill="1" applyBorder="1" applyAlignment="1">
      <alignment horizontal="left"/>
    </xf>
    <xf numFmtId="0" fontId="10" fillId="7" borderId="22" xfId="0" applyFont="1" applyFill="1" applyBorder="1" applyAlignment="1">
      <alignment horizontal="left"/>
    </xf>
    <xf numFmtId="0" fontId="2" fillId="5" borderId="23" xfId="0" applyFont="1" applyFill="1" applyBorder="1" applyAlignment="1">
      <alignment horizontal="center"/>
    </xf>
    <xf numFmtId="0" fontId="0" fillId="8" borderId="0" xfId="0" applyFill="1" applyBorder="1" applyAlignment="1"/>
    <xf numFmtId="0" fontId="0" fillId="8" borderId="0" xfId="0" applyFill="1" applyBorder="1" applyAlignment="1">
      <alignment horizontal="left"/>
    </xf>
    <xf numFmtId="166" fontId="0" fillId="8" borderId="0" xfId="1" applyNumberFormat="1" applyFont="1" applyFill="1" applyBorder="1"/>
    <xf numFmtId="0" fontId="0" fillId="8" borderId="0" xfId="0" applyFill="1" applyBorder="1" applyAlignment="1">
      <alignment horizontal="right"/>
    </xf>
    <xf numFmtId="164" fontId="0" fillId="8" borderId="0" xfId="1" applyNumberFormat="1" applyFont="1" applyFill="1" applyBorder="1"/>
    <xf numFmtId="9" fontId="0" fillId="8" borderId="0" xfId="0" applyNumberFormat="1" applyFill="1" applyBorder="1" applyAlignment="1">
      <alignment horizontal="right"/>
    </xf>
    <xf numFmtId="43" fontId="2" fillId="0" borderId="24" xfId="1" applyFont="1" applyFill="1" applyBorder="1" applyAlignment="1">
      <alignment horizontal="right"/>
    </xf>
    <xf numFmtId="0" fontId="0" fillId="0" borderId="0" xfId="0" applyFill="1" applyAlignment="1"/>
    <xf numFmtId="167" fontId="0" fillId="0" borderId="0" xfId="0" applyNumberFormat="1" applyFill="1" applyAlignment="1"/>
    <xf numFmtId="164" fontId="0" fillId="8" borderId="0" xfId="0" applyNumberFormat="1" applyFill="1" applyBorder="1" applyAlignment="1">
      <alignment horizontal="right"/>
    </xf>
    <xf numFmtId="9" fontId="0" fillId="0" borderId="0" xfId="2" applyFont="1" applyAlignment="1"/>
    <xf numFmtId="0" fontId="2" fillId="8" borderId="22" xfId="0" applyFont="1" applyFill="1" applyBorder="1" applyAlignment="1">
      <alignment horizontal="left"/>
    </xf>
    <xf numFmtId="164" fontId="2" fillId="8" borderId="22" xfId="1" applyNumberFormat="1" applyFont="1" applyFill="1" applyBorder="1" applyAlignment="1">
      <alignment horizontal="right"/>
    </xf>
    <xf numFmtId="166" fontId="2" fillId="11" borderId="22" xfId="1" applyNumberFormat="1" applyFont="1" applyFill="1" applyBorder="1" applyAlignment="1">
      <alignment horizontal="right"/>
    </xf>
    <xf numFmtId="170" fontId="2" fillId="8" borderId="22" xfId="0" applyNumberFormat="1" applyFont="1" applyFill="1" applyBorder="1" applyAlignment="1">
      <alignment horizontal="right"/>
    </xf>
    <xf numFmtId="164" fontId="2" fillId="11" borderId="22" xfId="1" applyNumberFormat="1" applyFont="1" applyFill="1" applyBorder="1"/>
    <xf numFmtId="164" fontId="2" fillId="25" borderId="18" xfId="1" applyNumberFormat="1" applyFont="1" applyFill="1" applyBorder="1"/>
    <xf numFmtId="0" fontId="2" fillId="0" borderId="24" xfId="0" applyFont="1" applyFill="1" applyBorder="1" applyAlignment="1">
      <alignment horizontal="left"/>
    </xf>
    <xf numFmtId="0" fontId="2" fillId="23" borderId="24" xfId="0" applyFont="1" applyFill="1" applyBorder="1" applyAlignment="1">
      <alignment horizontal="left"/>
    </xf>
    <xf numFmtId="9" fontId="17" fillId="13" borderId="19" xfId="2" applyFont="1" applyFill="1" applyBorder="1"/>
    <xf numFmtId="170" fontId="17" fillId="8" borderId="19" xfId="2" applyNumberFormat="1" applyFont="1" applyFill="1" applyBorder="1"/>
    <xf numFmtId="173" fontId="17" fillId="8" borderId="19" xfId="2" applyNumberFormat="1" applyFont="1" applyFill="1" applyBorder="1"/>
    <xf numFmtId="0" fontId="23" fillId="13" borderId="19" xfId="0" applyFont="1" applyFill="1" applyBorder="1" applyAlignment="1">
      <alignment horizontal="center"/>
    </xf>
    <xf numFmtId="170" fontId="17" fillId="13" borderId="19" xfId="2" applyNumberFormat="1" applyFont="1" applyFill="1" applyBorder="1"/>
    <xf numFmtId="9" fontId="0" fillId="0" borderId="18" xfId="2" applyNumberFormat="1" applyFont="1" applyFill="1" applyBorder="1"/>
    <xf numFmtId="170" fontId="2" fillId="0" borderId="20" xfId="2" applyNumberFormat="1" applyFont="1" applyBorder="1"/>
    <xf numFmtId="170" fontId="2" fillId="18" borderId="20" xfId="2" applyNumberFormat="1" applyFont="1" applyFill="1" applyBorder="1"/>
    <xf numFmtId="0" fontId="23" fillId="13" borderId="25" xfId="0" applyFont="1" applyFill="1" applyBorder="1" applyAlignment="1">
      <alignment horizontal="center"/>
    </xf>
    <xf numFmtId="9" fontId="0" fillId="0" borderId="0" xfId="2" applyFont="1" applyBorder="1"/>
    <xf numFmtId="170" fontId="0" fillId="0" borderId="1" xfId="2" applyNumberFormat="1" applyFont="1" applyBorder="1"/>
    <xf numFmtId="170" fontId="0" fillId="0" borderId="0" xfId="0" applyNumberFormat="1"/>
    <xf numFmtId="170" fontId="0" fillId="0" borderId="0" xfId="2" applyNumberFormat="1" applyFont="1"/>
    <xf numFmtId="166" fontId="0" fillId="0" borderId="1" xfId="1" applyNumberFormat="1" applyFont="1" applyBorder="1"/>
    <xf numFmtId="170" fontId="0" fillId="0" borderId="0" xfId="0" applyNumberFormat="1" applyFill="1"/>
    <xf numFmtId="170" fontId="0" fillId="4" borderId="0" xfId="0" applyNumberFormat="1" applyFill="1"/>
    <xf numFmtId="166" fontId="0" fillId="0" borderId="0" xfId="1" applyNumberFormat="1" applyFont="1" applyFill="1"/>
    <xf numFmtId="170" fontId="0" fillId="0" borderId="0" xfId="2" applyNumberFormat="1" applyFont="1" applyFill="1"/>
    <xf numFmtId="164" fontId="0" fillId="0" borderId="0" xfId="1" applyNumberFormat="1" applyFont="1" applyFill="1"/>
    <xf numFmtId="10" fontId="0" fillId="0" borderId="0" xfId="2" applyNumberFormat="1" applyFont="1"/>
    <xf numFmtId="43" fontId="5" fillId="0" borderId="0" xfId="1" applyNumberFormat="1" applyFont="1"/>
    <xf numFmtId="43" fontId="0" fillId="0" borderId="0" xfId="1" applyNumberFormat="1" applyFont="1"/>
    <xf numFmtId="10" fontId="0" fillId="4" borderId="0" xfId="0" applyNumberFormat="1" applyFill="1"/>
    <xf numFmtId="0" fontId="10" fillId="5" borderId="2" xfId="0" applyFont="1" applyFill="1" applyBorder="1" applyAlignment="1"/>
    <xf numFmtId="164" fontId="10" fillId="14" borderId="11" xfId="1" applyNumberFormat="1" applyFont="1" applyFill="1" applyBorder="1" applyAlignment="1">
      <alignment vertical="top"/>
    </xf>
    <xf numFmtId="164" fontId="10" fillId="8" borderId="11" xfId="1" applyNumberFormat="1" applyFont="1" applyFill="1" applyBorder="1" applyAlignment="1">
      <alignment vertical="top"/>
    </xf>
    <xf numFmtId="164" fontId="2" fillId="0" borderId="11" xfId="1" applyNumberFormat="1" applyFont="1" applyBorder="1"/>
    <xf numFmtId="164" fontId="2" fillId="23" borderId="11" xfId="1" applyNumberFormat="1" applyFont="1" applyFill="1" applyBorder="1"/>
    <xf numFmtId="164" fontId="10" fillId="5" borderId="9" xfId="1" applyNumberFormat="1" applyFont="1" applyFill="1" applyBorder="1" applyAlignment="1"/>
    <xf numFmtId="170" fontId="10" fillId="14" borderId="11" xfId="2" applyNumberFormat="1" applyFont="1" applyFill="1" applyBorder="1" applyAlignment="1">
      <alignment vertical="top"/>
    </xf>
    <xf numFmtId="170" fontId="2" fillId="0" borderId="11" xfId="2" applyNumberFormat="1" applyFont="1" applyBorder="1"/>
    <xf numFmtId="170" fontId="0" fillId="4" borderId="1" xfId="0" applyNumberFormat="1" applyFill="1" applyBorder="1"/>
    <xf numFmtId="0" fontId="0" fillId="4" borderId="0" xfId="0" applyFill="1"/>
    <xf numFmtId="164" fontId="0" fillId="4" borderId="1" xfId="1" applyNumberFormat="1" applyFont="1" applyFill="1" applyBorder="1"/>
    <xf numFmtId="170" fontId="0" fillId="4" borderId="1" xfId="2" applyNumberFormat="1" applyFont="1" applyFill="1" applyBorder="1"/>
    <xf numFmtId="170" fontId="0" fillId="4" borderId="0" xfId="2" applyNumberFormat="1" applyFont="1" applyFill="1"/>
    <xf numFmtId="164" fontId="0" fillId="4" borderId="0" xfId="1" applyNumberFormat="1" applyFont="1" applyFill="1"/>
    <xf numFmtId="0" fontId="26" fillId="0" borderId="0" xfId="0" applyFont="1"/>
    <xf numFmtId="0" fontId="26" fillId="0" borderId="0" xfId="0" applyFont="1" applyFill="1" applyBorder="1"/>
    <xf numFmtId="164" fontId="26" fillId="0" borderId="0" xfId="0" applyNumberFormat="1" applyFont="1"/>
    <xf numFmtId="0" fontId="27" fillId="0" borderId="0" xfId="0" applyFont="1" applyFill="1" applyBorder="1"/>
    <xf numFmtId="164" fontId="27" fillId="0" borderId="0" xfId="1" applyNumberFormat="1" applyFont="1" applyFill="1" applyBorder="1"/>
    <xf numFmtId="172" fontId="26" fillId="0" borderId="0" xfId="2" applyNumberFormat="1" applyFont="1" applyFill="1" applyBorder="1"/>
    <xf numFmtId="10" fontId="27" fillId="0" borderId="0" xfId="0" applyNumberFormat="1" applyFont="1" applyFill="1" applyBorder="1"/>
    <xf numFmtId="9" fontId="27" fillId="0" borderId="0" xfId="0" applyNumberFormat="1" applyFont="1" applyFill="1" applyBorder="1"/>
    <xf numFmtId="10" fontId="27" fillId="0" borderId="0" xfId="6" applyNumberFormat="1" applyFont="1" applyFill="1" applyBorder="1"/>
    <xf numFmtId="6" fontId="27" fillId="0" borderId="0" xfId="0" applyNumberFormat="1" applyFont="1" applyFill="1" applyBorder="1"/>
    <xf numFmtId="0" fontId="27" fillId="3" borderId="1" xfId="0" applyFont="1" applyFill="1" applyBorder="1" applyAlignment="1">
      <alignment horizontal="center"/>
    </xf>
    <xf numFmtId="0" fontId="27" fillId="0" borderId="0" xfId="0" applyFont="1" applyAlignment="1">
      <alignment horizontal="center"/>
    </xf>
    <xf numFmtId="0" fontId="27" fillId="0" borderId="1" xfId="0" applyFont="1" applyBorder="1" applyAlignment="1">
      <alignment horizontal="center"/>
    </xf>
    <xf numFmtId="0" fontId="24" fillId="12" borderId="1" xfId="0" applyFont="1" applyFill="1" applyBorder="1" applyAlignment="1">
      <alignment horizontal="center"/>
    </xf>
    <xf numFmtId="0" fontId="27" fillId="0" borderId="0" xfId="0" applyFont="1"/>
    <xf numFmtId="0" fontId="28" fillId="0" borderId="0" xfId="0" applyFont="1" applyAlignment="1">
      <alignment horizontal="center"/>
    </xf>
    <xf numFmtId="0" fontId="27" fillId="21" borderId="0" xfId="0" applyFont="1" applyFill="1"/>
    <xf numFmtId="0" fontId="26" fillId="21" borderId="0" xfId="0" applyFont="1" applyFill="1"/>
    <xf numFmtId="0" fontId="29" fillId="5" borderId="0" xfId="0" applyFont="1" applyFill="1" applyAlignment="1">
      <alignment vertical="center"/>
    </xf>
    <xf numFmtId="0" fontId="29" fillId="0" borderId="0" xfId="0" applyFont="1" applyFill="1" applyAlignment="1">
      <alignment vertical="center"/>
    </xf>
    <xf numFmtId="0" fontId="24" fillId="0" borderId="0" xfId="0" applyFont="1"/>
    <xf numFmtId="0" fontId="26" fillId="8" borderId="0" xfId="0" applyFont="1" applyFill="1"/>
    <xf numFmtId="0" fontId="25" fillId="0" borderId="0" xfId="0" applyFont="1"/>
    <xf numFmtId="43" fontId="26" fillId="8" borderId="0" xfId="1" applyFont="1" applyFill="1"/>
    <xf numFmtId="0" fontId="26" fillId="0" borderId="0" xfId="0" applyFont="1" applyAlignment="1"/>
    <xf numFmtId="0" fontId="27" fillId="2" borderId="1" xfId="0" applyFont="1" applyFill="1" applyBorder="1" applyAlignment="1">
      <alignment horizontal="center"/>
    </xf>
    <xf numFmtId="0" fontId="26" fillId="0" borderId="3" xfId="0" applyFont="1" applyBorder="1"/>
    <xf numFmtId="0" fontId="26" fillId="0" borderId="4" xfId="0" applyFont="1" applyBorder="1" applyAlignment="1">
      <alignment horizontal="center"/>
    </xf>
    <xf numFmtId="0" fontId="26" fillId="0" borderId="5" xfId="0" applyFont="1" applyBorder="1"/>
    <xf numFmtId="0" fontId="27" fillId="0" borderId="4" xfId="0" applyFont="1" applyBorder="1" applyAlignment="1">
      <alignment horizontal="center"/>
    </xf>
    <xf numFmtId="0" fontId="26" fillId="0" borderId="5" xfId="0" applyFont="1" applyBorder="1" applyAlignment="1">
      <alignment horizontal="center"/>
    </xf>
    <xf numFmtId="0" fontId="26" fillId="0" borderId="3" xfId="0" applyFont="1" applyBorder="1" applyAlignment="1">
      <alignment horizontal="center"/>
    </xf>
    <xf numFmtId="0" fontId="30" fillId="5" borderId="5" xfId="0" applyFont="1" applyFill="1" applyBorder="1" applyAlignment="1">
      <alignment horizontal="center"/>
    </xf>
    <xf numFmtId="0" fontId="27" fillId="0" borderId="6" xfId="0" applyFont="1" applyBorder="1" applyAlignment="1">
      <alignment horizontal="center"/>
    </xf>
    <xf numFmtId="0" fontId="26" fillId="0" borderId="7" xfId="0" applyFont="1" applyBorder="1" applyAlignment="1">
      <alignment horizontal="center"/>
    </xf>
    <xf numFmtId="0" fontId="26" fillId="0" borderId="0" xfId="0" applyFont="1" applyAlignment="1">
      <alignment horizontal="center"/>
    </xf>
    <xf numFmtId="164" fontId="26" fillId="0" borderId="1" xfId="1" applyNumberFormat="1" applyFont="1" applyBorder="1"/>
    <xf numFmtId="164" fontId="26" fillId="0" borderId="0" xfId="1" applyNumberFormat="1" applyFont="1"/>
    <xf numFmtId="164" fontId="24" fillId="12" borderId="1" xfId="1" applyNumberFormat="1" applyFont="1" applyFill="1" applyBorder="1" applyAlignment="1">
      <alignment horizontal="center"/>
    </xf>
    <xf numFmtId="0" fontId="24" fillId="21" borderId="0" xfId="0" applyFont="1" applyFill="1" applyAlignment="1">
      <alignment horizontal="center"/>
    </xf>
    <xf numFmtId="0" fontId="24" fillId="7" borderId="0" xfId="0" applyFont="1" applyFill="1" applyAlignment="1"/>
    <xf numFmtId="0" fontId="24" fillId="7" borderId="0" xfId="0" applyFont="1" applyFill="1" applyBorder="1" applyAlignment="1"/>
    <xf numFmtId="0" fontId="26" fillId="8" borderId="0" xfId="0" applyFont="1" applyFill="1" applyAlignment="1"/>
    <xf numFmtId="0" fontId="24" fillId="7" borderId="2" xfId="0" applyFont="1" applyFill="1" applyBorder="1" applyAlignment="1">
      <alignment horizontal="center"/>
    </xf>
    <xf numFmtId="0" fontId="24" fillId="7" borderId="8" xfId="0" applyFont="1" applyFill="1" applyBorder="1" applyAlignment="1">
      <alignment horizontal="center"/>
    </xf>
    <xf numFmtId="0" fontId="24" fillId="7" borderId="1" xfId="0" applyFont="1" applyFill="1" applyBorder="1" applyAlignment="1">
      <alignment horizontal="center"/>
    </xf>
    <xf numFmtId="0" fontId="24" fillId="7" borderId="13" xfId="0" applyFont="1" applyFill="1" applyBorder="1" applyAlignment="1">
      <alignment horizontal="center"/>
    </xf>
    <xf numFmtId="0" fontId="31" fillId="11" borderId="8" xfId="1" applyNumberFormat="1" applyFont="1" applyFill="1" applyBorder="1" applyAlignment="1"/>
    <xf numFmtId="167" fontId="27" fillId="8" borderId="11" xfId="1" applyNumberFormat="1" applyFont="1" applyFill="1" applyBorder="1" applyAlignment="1"/>
    <xf numFmtId="164" fontId="27" fillId="19" borderId="8" xfId="1" applyNumberFormat="1" applyFont="1" applyFill="1" applyBorder="1" applyAlignment="1"/>
    <xf numFmtId="164" fontId="32" fillId="8" borderId="8" xfId="1" applyNumberFormat="1" applyFont="1" applyFill="1" applyBorder="1" applyAlignment="1"/>
    <xf numFmtId="167" fontId="31" fillId="19" borderId="11" xfId="1" applyNumberFormat="1" applyFont="1" applyFill="1" applyBorder="1" applyAlignment="1">
      <alignment horizontal="center"/>
    </xf>
    <xf numFmtId="164" fontId="32" fillId="8" borderId="11" xfId="1" applyNumberFormat="1" applyFont="1" applyFill="1" applyBorder="1" applyAlignment="1"/>
    <xf numFmtId="0" fontId="27" fillId="0" borderId="11" xfId="0" applyFont="1" applyBorder="1" applyAlignment="1"/>
    <xf numFmtId="164" fontId="27" fillId="19" borderId="11" xfId="1" applyNumberFormat="1" applyFont="1" applyFill="1" applyBorder="1" applyAlignment="1"/>
    <xf numFmtId="164" fontId="26" fillId="8" borderId="11" xfId="1" applyNumberFormat="1" applyFont="1" applyFill="1" applyBorder="1" applyAlignment="1"/>
    <xf numFmtId="167" fontId="27" fillId="19" borderId="11" xfId="0" applyNumberFormat="1" applyFont="1" applyFill="1" applyBorder="1" applyAlignment="1"/>
    <xf numFmtId="0" fontId="27" fillId="11" borderId="11" xfId="0" applyFont="1" applyFill="1" applyBorder="1" applyAlignment="1"/>
    <xf numFmtId="0" fontId="27" fillId="0" borderId="9" xfId="0" applyFont="1" applyFill="1" applyBorder="1" applyAlignment="1"/>
    <xf numFmtId="167" fontId="27" fillId="8" borderId="9" xfId="1" applyNumberFormat="1" applyFont="1" applyFill="1" applyBorder="1" applyAlignment="1"/>
    <xf numFmtId="164" fontId="27" fillId="19" borderId="9" xfId="1" applyNumberFormat="1" applyFont="1" applyFill="1" applyBorder="1" applyAlignment="1"/>
    <xf numFmtId="164" fontId="26" fillId="8" borderId="9" xfId="1" applyNumberFormat="1" applyFont="1" applyFill="1" applyBorder="1" applyAlignment="1"/>
    <xf numFmtId="167" fontId="27" fillId="19" borderId="9" xfId="0" applyNumberFormat="1" applyFont="1" applyFill="1" applyBorder="1" applyAlignment="1"/>
    <xf numFmtId="0" fontId="24" fillId="16" borderId="0" xfId="0" applyFont="1" applyFill="1"/>
    <xf numFmtId="0" fontId="26" fillId="16" borderId="0" xfId="0" applyFont="1" applyFill="1"/>
    <xf numFmtId="164" fontId="26" fillId="8" borderId="0" xfId="1" applyNumberFormat="1" applyFont="1" applyFill="1"/>
    <xf numFmtId="0" fontId="31" fillId="20" borderId="1" xfId="0" applyFont="1" applyFill="1" applyBorder="1" applyAlignment="1">
      <alignment horizontal="left"/>
    </xf>
    <xf numFmtId="167" fontId="31" fillId="20" borderId="1" xfId="0" applyNumberFormat="1" applyFont="1" applyFill="1" applyBorder="1"/>
    <xf numFmtId="0" fontId="31" fillId="0" borderId="1" xfId="0" applyFont="1" applyFill="1" applyBorder="1" applyAlignment="1">
      <alignment horizontal="left"/>
    </xf>
    <xf numFmtId="167" fontId="31" fillId="0" borderId="1" xfId="0" applyNumberFormat="1" applyFont="1" applyFill="1" applyBorder="1"/>
    <xf numFmtId="167" fontId="26" fillId="0" borderId="0" xfId="0" applyNumberFormat="1" applyFont="1"/>
    <xf numFmtId="0" fontId="27" fillId="0" borderId="0" xfId="0" applyFont="1" applyFill="1" applyBorder="1" applyAlignment="1">
      <alignment horizontal="center"/>
    </xf>
    <xf numFmtId="0" fontId="24" fillId="4" borderId="2" xfId="0" applyFont="1" applyFill="1" applyBorder="1" applyAlignment="1"/>
    <xf numFmtId="0" fontId="24" fillId="4" borderId="13" xfId="0" applyFont="1" applyFill="1" applyBorder="1" applyAlignment="1"/>
    <xf numFmtId="0" fontId="26" fillId="8" borderId="0" xfId="0" applyFont="1" applyFill="1" applyBorder="1" applyAlignment="1"/>
    <xf numFmtId="167" fontId="26" fillId="8" borderId="0" xfId="1" applyNumberFormat="1" applyFont="1" applyFill="1" applyBorder="1" applyAlignment="1"/>
    <xf numFmtId="0" fontId="31" fillId="5" borderId="2" xfId="0" applyFont="1" applyFill="1" applyBorder="1" applyAlignment="1">
      <alignment horizontal="center"/>
    </xf>
    <xf numFmtId="167" fontId="31" fillId="5" borderId="1" xfId="1" applyNumberFormat="1" applyFont="1" applyFill="1" applyBorder="1" applyAlignment="1">
      <alignment horizontal="center"/>
    </xf>
    <xf numFmtId="0" fontId="24" fillId="4" borderId="2" xfId="0" applyFont="1" applyFill="1" applyBorder="1" applyAlignment="1">
      <alignment horizontal="center"/>
    </xf>
    <xf numFmtId="167" fontId="24" fillId="4" borderId="1" xfId="1" applyNumberFormat="1" applyFont="1" applyFill="1" applyBorder="1" applyAlignment="1">
      <alignment horizontal="center"/>
    </xf>
    <xf numFmtId="0" fontId="31" fillId="14" borderId="4" xfId="3" applyFont="1" applyFill="1" applyBorder="1" applyAlignment="1">
      <alignment vertical="top"/>
    </xf>
    <xf numFmtId="167" fontId="27" fillId="14" borderId="11" xfId="1" applyNumberFormat="1" applyFont="1" applyFill="1" applyBorder="1" applyAlignment="1"/>
    <xf numFmtId="0" fontId="31" fillId="22" borderId="4" xfId="3" applyFont="1" applyFill="1" applyBorder="1" applyAlignment="1">
      <alignment vertical="center"/>
    </xf>
    <xf numFmtId="167" fontId="27" fillId="22" borderId="11" xfId="1" applyNumberFormat="1" applyFont="1" applyFill="1" applyBorder="1" applyAlignment="1"/>
    <xf numFmtId="167" fontId="26" fillId="0" borderId="0" xfId="0" applyNumberFormat="1" applyFont="1" applyAlignment="1"/>
    <xf numFmtId="0" fontId="31" fillId="8" borderId="4" xfId="3" applyFont="1" applyFill="1" applyBorder="1" applyAlignment="1">
      <alignment vertical="top"/>
    </xf>
    <xf numFmtId="0" fontId="31" fillId="8" borderId="4" xfId="3" applyFont="1" applyFill="1" applyBorder="1" applyAlignment="1">
      <alignment horizontal="left" vertical="top"/>
    </xf>
    <xf numFmtId="0" fontId="31" fillId="22" borderId="4" xfId="3" applyFont="1" applyFill="1" applyBorder="1" applyAlignment="1">
      <alignment vertical="top"/>
    </xf>
    <xf numFmtId="0" fontId="31" fillId="5" borderId="6" xfId="0" applyFont="1" applyFill="1" applyBorder="1" applyAlignment="1"/>
    <xf numFmtId="167" fontId="31" fillId="5" borderId="9" xfId="0" applyNumberFormat="1" applyFont="1" applyFill="1" applyBorder="1" applyAlignment="1"/>
    <xf numFmtId="0" fontId="24" fillId="4" borderId="6" xfId="0" applyFont="1" applyFill="1" applyBorder="1" applyAlignment="1"/>
    <xf numFmtId="167" fontId="24" fillId="4" borderId="9" xfId="0" applyNumberFormat="1" applyFont="1" applyFill="1" applyBorder="1" applyAlignment="1"/>
    <xf numFmtId="0" fontId="30" fillId="5" borderId="0" xfId="0" applyFont="1" applyFill="1"/>
    <xf numFmtId="3" fontId="26" fillId="0" borderId="0" xfId="0" applyNumberFormat="1" applyFont="1"/>
    <xf numFmtId="164" fontId="26" fillId="0" borderId="0" xfId="1" applyNumberFormat="1" applyFont="1" applyFill="1" applyBorder="1"/>
    <xf numFmtId="0" fontId="26" fillId="8" borderId="0" xfId="0" applyFont="1" applyFill="1" applyBorder="1" applyAlignment="1">
      <alignment horizontal="center"/>
    </xf>
    <xf numFmtId="0" fontId="24" fillId="16" borderId="2" xfId="0" applyFont="1" applyFill="1" applyBorder="1" applyAlignment="1">
      <alignment horizontal="center"/>
    </xf>
    <xf numFmtId="167" fontId="24" fillId="16" borderId="1" xfId="1" applyNumberFormat="1" applyFont="1" applyFill="1" applyBorder="1" applyAlignment="1">
      <alignment horizontal="center"/>
    </xf>
    <xf numFmtId="0" fontId="31" fillId="20" borderId="4" xfId="3" applyFont="1" applyFill="1" applyBorder="1" applyAlignment="1">
      <alignment vertical="center"/>
    </xf>
    <xf numFmtId="167" fontId="27" fillId="20" borderId="11" xfId="1" applyNumberFormat="1" applyFont="1" applyFill="1" applyBorder="1"/>
    <xf numFmtId="167" fontId="27" fillId="8" borderId="11" xfId="1" applyNumberFormat="1" applyFont="1" applyFill="1" applyBorder="1"/>
    <xf numFmtId="0" fontId="31" fillId="20" borderId="4" xfId="3" applyFont="1" applyFill="1" applyBorder="1" applyAlignment="1">
      <alignment horizontal="left" vertical="top"/>
    </xf>
    <xf numFmtId="0" fontId="24" fillId="16" borderId="6" xfId="0" applyFont="1" applyFill="1" applyBorder="1" applyAlignment="1"/>
    <xf numFmtId="167" fontId="24" fillId="16" borderId="9" xfId="0" applyNumberFormat="1" applyFont="1" applyFill="1" applyBorder="1"/>
    <xf numFmtId="0" fontId="24" fillId="18" borderId="2" xfId="0" applyFont="1" applyFill="1" applyBorder="1" applyAlignment="1"/>
    <xf numFmtId="0" fontId="24" fillId="18" borderId="12" xfId="0" applyFont="1" applyFill="1" applyBorder="1" applyAlignment="1"/>
    <xf numFmtId="0" fontId="24" fillId="18" borderId="2" xfId="0" applyFont="1" applyFill="1" applyBorder="1" applyAlignment="1">
      <alignment horizontal="center"/>
    </xf>
    <xf numFmtId="167" fontId="24" fillId="18" borderId="1" xfId="1" applyNumberFormat="1" applyFont="1" applyFill="1" applyBorder="1" applyAlignment="1">
      <alignment horizontal="center"/>
    </xf>
    <xf numFmtId="0" fontId="31" fillId="22" borderId="4" xfId="3" applyFont="1" applyFill="1" applyBorder="1" applyAlignment="1">
      <alignment vertical="center" wrapText="1"/>
    </xf>
    <xf numFmtId="167" fontId="27" fillId="22" borderId="11" xfId="1" applyNumberFormat="1" applyFont="1" applyFill="1" applyBorder="1"/>
    <xf numFmtId="0" fontId="31" fillId="22" borderId="4" xfId="3" applyFont="1" applyFill="1" applyBorder="1" applyAlignment="1">
      <alignment horizontal="left" vertical="top" wrapText="1"/>
    </xf>
    <xf numFmtId="0" fontId="31" fillId="22" borderId="4" xfId="3" applyFont="1" applyFill="1" applyBorder="1" applyAlignment="1">
      <alignment horizontal="left" vertical="top"/>
    </xf>
    <xf numFmtId="0" fontId="24" fillId="18" borderId="6" xfId="0" applyFont="1" applyFill="1" applyBorder="1" applyAlignment="1"/>
    <xf numFmtId="167" fontId="24" fillId="18" borderId="9" xfId="0" applyNumberFormat="1" applyFont="1" applyFill="1" applyBorder="1"/>
    <xf numFmtId="0" fontId="24" fillId="7" borderId="2" xfId="0" applyFont="1" applyFill="1" applyBorder="1" applyAlignment="1"/>
    <xf numFmtId="0" fontId="24" fillId="7" borderId="12" xfId="0" applyFont="1" applyFill="1" applyBorder="1" applyAlignment="1"/>
    <xf numFmtId="0" fontId="24" fillId="7" borderId="13" xfId="0" applyFont="1" applyFill="1" applyBorder="1" applyAlignment="1"/>
    <xf numFmtId="0" fontId="24" fillId="7" borderId="14" xfId="0" applyFont="1" applyFill="1" applyBorder="1" applyAlignment="1">
      <alignment horizontal="center"/>
    </xf>
    <xf numFmtId="167" fontId="24" fillId="7" borderId="8" xfId="1" applyNumberFormat="1" applyFont="1" applyFill="1" applyBorder="1" applyAlignment="1">
      <alignment horizontal="center"/>
    </xf>
    <xf numFmtId="167" fontId="24" fillId="7" borderId="3" xfId="1" applyNumberFormat="1" applyFont="1" applyFill="1" applyBorder="1" applyAlignment="1">
      <alignment horizontal="center"/>
    </xf>
    <xf numFmtId="0" fontId="27" fillId="11" borderId="4" xfId="0" applyFont="1" applyFill="1" applyBorder="1" applyAlignment="1"/>
    <xf numFmtId="1" fontId="27" fillId="11" borderId="11" xfId="0" applyNumberFormat="1" applyFont="1" applyFill="1" applyBorder="1" applyAlignment="1">
      <alignment horizontal="center"/>
    </xf>
    <xf numFmtId="167" fontId="27" fillId="11" borderId="11" xfId="1" applyNumberFormat="1" applyFont="1" applyFill="1" applyBorder="1" applyAlignment="1"/>
    <xf numFmtId="167" fontId="33" fillId="11" borderId="5" xfId="1" applyNumberFormat="1" applyFont="1" applyFill="1" applyBorder="1" applyAlignment="1"/>
    <xf numFmtId="1" fontId="27" fillId="8" borderId="11" xfId="0" applyNumberFormat="1" applyFont="1" applyFill="1" applyBorder="1" applyAlignment="1">
      <alignment horizontal="center"/>
    </xf>
    <xf numFmtId="167" fontId="33" fillId="8" borderId="5" xfId="1" applyNumberFormat="1" applyFont="1" applyFill="1" applyBorder="1" applyAlignment="1"/>
    <xf numFmtId="0" fontId="31" fillId="11" borderId="4" xfId="3" applyFont="1" applyFill="1" applyBorder="1" applyAlignment="1">
      <alignment horizontal="left" vertical="top"/>
    </xf>
    <xf numFmtId="0" fontId="31" fillId="11" borderId="4" xfId="3" applyFont="1" applyFill="1" applyBorder="1" applyAlignment="1">
      <alignment vertical="top"/>
    </xf>
    <xf numFmtId="0" fontId="24" fillId="7" borderId="6" xfId="0" applyFont="1" applyFill="1" applyBorder="1" applyAlignment="1"/>
    <xf numFmtId="0" fontId="24" fillId="7" borderId="9" xfId="0" applyFont="1" applyFill="1" applyBorder="1" applyAlignment="1">
      <alignment horizontal="center"/>
    </xf>
    <xf numFmtId="0" fontId="24" fillId="7" borderId="9" xfId="0" applyFont="1" applyFill="1" applyBorder="1" applyAlignment="1"/>
    <xf numFmtId="167" fontId="24" fillId="7" borderId="7" xfId="0" applyNumberFormat="1" applyFont="1" applyFill="1" applyBorder="1" applyAlignment="1"/>
    <xf numFmtId="0" fontId="24" fillId="12" borderId="2" xfId="0" applyFont="1" applyFill="1" applyBorder="1" applyAlignment="1">
      <alignment horizontal="center"/>
    </xf>
    <xf numFmtId="0" fontId="24" fillId="12" borderId="12" xfId="0" applyFont="1" applyFill="1" applyBorder="1" applyAlignment="1">
      <alignment horizontal="center"/>
    </xf>
    <xf numFmtId="0" fontId="24" fillId="12" borderId="13" xfId="0" applyFont="1" applyFill="1" applyBorder="1" applyAlignment="1">
      <alignment horizontal="center"/>
    </xf>
    <xf numFmtId="0" fontId="24" fillId="12" borderId="14" xfId="0" applyFont="1" applyFill="1" applyBorder="1" applyAlignment="1">
      <alignment horizontal="center"/>
    </xf>
    <xf numFmtId="0" fontId="24" fillId="12" borderId="8" xfId="0" applyFont="1" applyFill="1" applyBorder="1" applyAlignment="1">
      <alignment horizontal="center"/>
    </xf>
    <xf numFmtId="167" fontId="24" fillId="12" borderId="8" xfId="1" applyNumberFormat="1" applyFont="1" applyFill="1" applyBorder="1" applyAlignment="1">
      <alignment horizontal="center"/>
    </xf>
    <xf numFmtId="167" fontId="24" fillId="12" borderId="3" xfId="1" applyNumberFormat="1" applyFont="1" applyFill="1" applyBorder="1" applyAlignment="1">
      <alignment horizontal="center"/>
    </xf>
    <xf numFmtId="0" fontId="27" fillId="10" borderId="4" xfId="0" applyFont="1" applyFill="1" applyBorder="1" applyAlignment="1"/>
    <xf numFmtId="1" fontId="27" fillId="10" borderId="11" xfId="0" applyNumberFormat="1" applyFont="1" applyFill="1" applyBorder="1" applyAlignment="1">
      <alignment horizontal="center"/>
    </xf>
    <xf numFmtId="167" fontId="27" fillId="10" borderId="11" xfId="1" applyNumberFormat="1" applyFont="1" applyFill="1" applyBorder="1" applyAlignment="1"/>
    <xf numFmtId="167" fontId="33" fillId="10" borderId="5" xfId="1" applyNumberFormat="1" applyFont="1" applyFill="1" applyBorder="1" applyAlignment="1"/>
    <xf numFmtId="0" fontId="31" fillId="10" borderId="4" xfId="3" applyFont="1" applyFill="1" applyBorder="1" applyAlignment="1">
      <alignment horizontal="left" vertical="top"/>
    </xf>
    <xf numFmtId="0" fontId="31" fillId="10" borderId="4" xfId="3" applyFont="1" applyFill="1" applyBorder="1" applyAlignment="1">
      <alignment vertical="top"/>
    </xf>
    <xf numFmtId="0" fontId="24" fillId="12" borderId="6" xfId="0" applyFont="1" applyFill="1" applyBorder="1" applyAlignment="1"/>
    <xf numFmtId="0" fontId="24" fillId="12" borderId="9" xfId="0" applyFont="1" applyFill="1" applyBorder="1" applyAlignment="1">
      <alignment horizontal="center"/>
    </xf>
    <xf numFmtId="0" fontId="24" fillId="12" borderId="9" xfId="0" applyFont="1" applyFill="1" applyBorder="1" applyAlignment="1"/>
    <xf numFmtId="167" fontId="24" fillId="12" borderId="7" xfId="0" applyNumberFormat="1" applyFont="1" applyFill="1" applyBorder="1" applyAlignment="1"/>
    <xf numFmtId="37" fontId="34" fillId="18" borderId="20" xfId="8" applyNumberFormat="1" applyFont="1" applyFill="1" applyBorder="1" applyAlignment="1">
      <alignment vertical="center"/>
    </xf>
    <xf numFmtId="0" fontId="24" fillId="18" borderId="20" xfId="0" applyFont="1" applyFill="1" applyBorder="1" applyAlignment="1">
      <alignment horizontal="center"/>
    </xf>
    <xf numFmtId="37" fontId="35" fillId="8" borderId="0" xfId="8" applyNumberFormat="1" applyFont="1" applyFill="1" applyBorder="1" applyAlignment="1">
      <alignment vertical="center"/>
    </xf>
    <xf numFmtId="0" fontId="24" fillId="8" borderId="0" xfId="0" applyFont="1" applyFill="1" applyBorder="1" applyAlignment="1">
      <alignment horizontal="center"/>
    </xf>
    <xf numFmtId="0" fontId="27" fillId="0" borderId="20" xfId="0" applyFont="1" applyBorder="1"/>
    <xf numFmtId="0" fontId="26" fillId="0" borderId="20" xfId="0" applyFont="1" applyBorder="1"/>
    <xf numFmtId="0" fontId="27" fillId="0" borderId="20" xfId="0" applyFont="1" applyBorder="1" applyAlignment="1">
      <alignment horizontal="left" indent="1"/>
    </xf>
    <xf numFmtId="164" fontId="27" fillId="0" borderId="20" xfId="0" applyNumberFormat="1" applyFont="1" applyBorder="1"/>
    <xf numFmtId="0" fontId="26" fillId="0" borderId="0" xfId="0" applyFont="1" applyFill="1"/>
    <xf numFmtId="0" fontId="27" fillId="0" borderId="20" xfId="0" applyFont="1" applyBorder="1" applyAlignment="1">
      <alignment horizontal="left" indent="2"/>
    </xf>
    <xf numFmtId="164" fontId="27" fillId="0" borderId="20" xfId="1" applyNumberFormat="1" applyFont="1" applyBorder="1"/>
    <xf numFmtId="164" fontId="27" fillId="0" borderId="20" xfId="1" applyNumberFormat="1" applyFont="1" applyFill="1" applyBorder="1"/>
    <xf numFmtId="164" fontId="26" fillId="0" borderId="0" xfId="0" applyNumberFormat="1" applyFont="1" applyFill="1"/>
    <xf numFmtId="0" fontId="26" fillId="22" borderId="20" xfId="0" applyFont="1" applyFill="1" applyBorder="1" applyAlignment="1">
      <alignment horizontal="left" indent="3"/>
    </xf>
    <xf numFmtId="164" fontId="26" fillId="22" borderId="20" xfId="1" applyNumberFormat="1" applyFont="1" applyFill="1" applyBorder="1"/>
    <xf numFmtId="0" fontId="27" fillId="18" borderId="20" xfId="0" applyFont="1" applyFill="1" applyBorder="1" applyAlignment="1">
      <alignment horizontal="left" indent="1"/>
    </xf>
    <xf numFmtId="164" fontId="27" fillId="18" borderId="20" xfId="1" applyNumberFormat="1" applyFont="1" applyFill="1" applyBorder="1"/>
    <xf numFmtId="164" fontId="27" fillId="22" borderId="20" xfId="1" applyNumberFormat="1" applyFont="1" applyFill="1" applyBorder="1"/>
    <xf numFmtId="0" fontId="27" fillId="18" borderId="11" xfId="0" applyFont="1" applyFill="1" applyBorder="1"/>
    <xf numFmtId="164" fontId="27" fillId="18" borderId="0" xfId="1" applyNumberFormat="1" applyFont="1" applyFill="1"/>
    <xf numFmtId="0" fontId="27" fillId="0" borderId="20" xfId="0" applyFont="1" applyFill="1" applyBorder="1"/>
    <xf numFmtId="164" fontId="26" fillId="0" borderId="20" xfId="1" applyNumberFormat="1" applyFont="1" applyBorder="1"/>
    <xf numFmtId="0" fontId="27" fillId="0" borderId="20" xfId="0" applyFont="1" applyFill="1" applyBorder="1" applyAlignment="1">
      <alignment horizontal="left" indent="1"/>
    </xf>
    <xf numFmtId="0" fontId="27" fillId="0" borderId="20" xfId="0" applyFont="1" applyFill="1" applyBorder="1" applyAlignment="1">
      <alignment horizontal="left" indent="2"/>
    </xf>
    <xf numFmtId="168" fontId="26" fillId="0" borderId="0" xfId="1" applyNumberFormat="1" applyFont="1"/>
    <xf numFmtId="0" fontId="27" fillId="18" borderId="20" xfId="0" applyFont="1" applyFill="1" applyBorder="1"/>
    <xf numFmtId="164" fontId="26" fillId="0" borderId="20" xfId="1" applyNumberFormat="1" applyFont="1" applyFill="1" applyBorder="1"/>
    <xf numFmtId="164" fontId="26" fillId="0" borderId="0" xfId="1" applyNumberFormat="1" applyFont="1" applyFill="1"/>
    <xf numFmtId="0" fontId="0" fillId="0" borderId="18" xfId="0" applyFill="1" applyBorder="1" applyAlignment="1">
      <alignment horizontal="left" wrapText="1" indent="2"/>
    </xf>
    <xf numFmtId="164" fontId="26" fillId="15" borderId="1" xfId="1" applyNumberFormat="1" applyFont="1" applyFill="1" applyBorder="1"/>
    <xf numFmtId="164" fontId="27" fillId="15" borderId="1" xfId="1" applyNumberFormat="1" applyFont="1" applyFill="1" applyBorder="1"/>
    <xf numFmtId="0" fontId="0" fillId="0" borderId="18" xfId="0" applyFont="1" applyBorder="1" applyAlignment="1">
      <alignment horizontal="left" wrapText="1"/>
    </xf>
    <xf numFmtId="0" fontId="0" fillId="25" borderId="18" xfId="0" applyFont="1" applyFill="1" applyBorder="1" applyAlignment="1">
      <alignment horizontal="left" wrapText="1"/>
    </xf>
    <xf numFmtId="0" fontId="0" fillId="0" borderId="18" xfId="0" applyFont="1" applyFill="1" applyBorder="1" applyAlignment="1">
      <alignment horizontal="left" wrapText="1"/>
    </xf>
    <xf numFmtId="0" fontId="0" fillId="25" borderId="18" xfId="0" applyFill="1" applyBorder="1" applyAlignment="1">
      <alignment horizontal="left" wrapText="1"/>
    </xf>
    <xf numFmtId="0" fontId="0" fillId="0" borderId="18" xfId="0" applyFill="1" applyBorder="1" applyAlignment="1">
      <alignment horizontal="left" wrapText="1"/>
    </xf>
    <xf numFmtId="0" fontId="2" fillId="0" borderId="18" xfId="0" applyFont="1" applyFill="1" applyBorder="1" applyAlignment="1"/>
    <xf numFmtId="0" fontId="2" fillId="0" borderId="18" xfId="0" applyFont="1" applyBorder="1" applyAlignment="1">
      <alignment horizontal="left"/>
    </xf>
    <xf numFmtId="0" fontId="0" fillId="0" borderId="18" xfId="0" applyBorder="1" applyAlignment="1">
      <alignment horizontal="left"/>
    </xf>
    <xf numFmtId="0" fontId="0" fillId="0" borderId="18" xfId="0" applyFont="1" applyBorder="1" applyAlignment="1">
      <alignment horizontal="left"/>
    </xf>
    <xf numFmtId="0" fontId="0" fillId="25" borderId="18" xfId="0" applyFill="1" applyBorder="1" applyAlignment="1">
      <alignment horizontal="left"/>
    </xf>
    <xf numFmtId="0" fontId="0" fillId="0" borderId="18" xfId="0" applyFill="1" applyBorder="1" applyAlignment="1">
      <alignment horizontal="left"/>
    </xf>
    <xf numFmtId="0" fontId="2" fillId="24" borderId="18" xfId="0" applyFont="1" applyFill="1" applyBorder="1" applyAlignment="1"/>
    <xf numFmtId="0" fontId="10" fillId="24" borderId="18" xfId="0" applyFont="1" applyFill="1" applyBorder="1" applyAlignment="1"/>
    <xf numFmtId="164" fontId="27" fillId="15" borderId="0" xfId="1" applyNumberFormat="1" applyFont="1" applyFill="1" applyBorder="1"/>
    <xf numFmtId="164" fontId="26" fillId="15" borderId="0" xfId="1" applyNumberFormat="1" applyFont="1" applyFill="1" applyBorder="1"/>
    <xf numFmtId="0" fontId="26" fillId="0" borderId="0" xfId="0" applyFont="1" applyBorder="1"/>
    <xf numFmtId="0" fontId="24" fillId="0" borderId="0" xfId="0" applyFont="1" applyFill="1" applyBorder="1" applyAlignment="1">
      <alignment horizontal="center"/>
    </xf>
    <xf numFmtId="0" fontId="22" fillId="8" borderId="0" xfId="0" applyFont="1" applyFill="1"/>
    <xf numFmtId="0" fontId="21" fillId="8" borderId="0" xfId="0" applyFont="1" applyFill="1"/>
    <xf numFmtId="174" fontId="0" fillId="0" borderId="0" xfId="0" applyNumberFormat="1"/>
    <xf numFmtId="10" fontId="0" fillId="0" borderId="0" xfId="0" applyNumberFormat="1" applyFill="1" applyBorder="1"/>
    <xf numFmtId="43" fontId="0" fillId="0" borderId="0" xfId="0" applyNumberFormat="1"/>
    <xf numFmtId="0" fontId="6" fillId="0" borderId="5" xfId="0" applyFont="1" applyFill="1" applyBorder="1" applyAlignment="1">
      <alignment horizontal="center"/>
    </xf>
    <xf numFmtId="0" fontId="36" fillId="0" borderId="0" xfId="0" applyFont="1"/>
    <xf numFmtId="0" fontId="36" fillId="0" borderId="0" xfId="0" applyFont="1" applyFill="1" applyBorder="1"/>
    <xf numFmtId="0" fontId="37" fillId="0" borderId="0" xfId="0" applyFont="1" applyFill="1" applyBorder="1" applyAlignment="1">
      <alignment vertical="top" wrapText="1"/>
    </xf>
    <xf numFmtId="0" fontId="36" fillId="0" borderId="0" xfId="0" applyFont="1" applyBorder="1"/>
    <xf numFmtId="43" fontId="36" fillId="0" borderId="0" xfId="0" applyNumberFormat="1" applyFont="1"/>
    <xf numFmtId="10" fontId="36" fillId="0" borderId="0" xfId="2" applyNumberFormat="1" applyFont="1"/>
    <xf numFmtId="0" fontId="32" fillId="8" borderId="0" xfId="0" applyFont="1" applyFill="1" applyBorder="1"/>
    <xf numFmtId="164" fontId="32" fillId="8" borderId="0" xfId="1" applyNumberFormat="1" applyFont="1" applyFill="1" applyBorder="1"/>
    <xf numFmtId="10" fontId="32" fillId="8" borderId="0" xfId="0" applyNumberFormat="1" applyFont="1" applyFill="1" applyBorder="1"/>
    <xf numFmtId="10" fontId="32" fillId="8" borderId="0" xfId="6" applyNumberFormat="1" applyFont="1" applyFill="1" applyBorder="1"/>
    <xf numFmtId="6" fontId="32" fillId="8" borderId="0" xfId="0" applyNumberFormat="1" applyFont="1" applyFill="1" applyBorder="1"/>
    <xf numFmtId="0" fontId="32" fillId="8" borderId="17" xfId="0" applyFont="1" applyFill="1" applyBorder="1"/>
    <xf numFmtId="6" fontId="32" fillId="8" borderId="17" xfId="0" applyNumberFormat="1" applyFont="1" applyFill="1" applyBorder="1"/>
    <xf numFmtId="164" fontId="32" fillId="8" borderId="0" xfId="0" applyNumberFormat="1" applyFont="1" applyFill="1" applyBorder="1"/>
    <xf numFmtId="0" fontId="32" fillId="8" borderId="0" xfId="0" applyFont="1" applyFill="1" applyBorder="1" applyAlignment="1">
      <alignment horizontal="left"/>
    </xf>
    <xf numFmtId="0" fontId="32" fillId="8" borderId="17" xfId="0" applyFont="1" applyFill="1" applyBorder="1" applyAlignment="1">
      <alignment horizontal="left"/>
    </xf>
    <xf numFmtId="0" fontId="31" fillId="8" borderId="12" xfId="0" applyFont="1" applyFill="1" applyBorder="1" applyAlignment="1">
      <alignment horizontal="center"/>
    </xf>
    <xf numFmtId="164" fontId="32" fillId="8" borderId="0" xfId="1" applyNumberFormat="1" applyFont="1" applyFill="1" applyBorder="1" applyAlignment="1">
      <alignment horizontal="left"/>
    </xf>
    <xf numFmtId="10" fontId="32" fillId="8" borderId="0" xfId="2" applyNumberFormat="1" applyFont="1" applyFill="1" applyBorder="1"/>
    <xf numFmtId="2" fontId="32" fillId="8" borderId="0" xfId="0" applyNumberFormat="1" applyFont="1" applyFill="1" applyBorder="1" applyAlignment="1">
      <alignment horizontal="right"/>
    </xf>
    <xf numFmtId="9" fontId="32" fillId="8" borderId="0" xfId="0" applyNumberFormat="1" applyFont="1" applyFill="1" applyBorder="1"/>
    <xf numFmtId="165" fontId="32" fillId="8" borderId="17" xfId="0" applyNumberFormat="1" applyFont="1" applyFill="1" applyBorder="1"/>
    <xf numFmtId="10" fontId="32" fillId="8" borderId="17" xfId="2" applyNumberFormat="1" applyFont="1" applyFill="1" applyBorder="1"/>
    <xf numFmtId="0" fontId="31" fillId="8" borderId="12" xfId="0" applyFont="1" applyFill="1" applyBorder="1" applyAlignment="1" applyProtection="1">
      <alignment horizontal="center"/>
    </xf>
    <xf numFmtId="0" fontId="32" fillId="8" borderId="0" xfId="0" applyFont="1" applyFill="1" applyBorder="1" applyAlignment="1" applyProtection="1">
      <alignment horizontal="left"/>
    </xf>
    <xf numFmtId="164" fontId="32" fillId="8" borderId="0" xfId="1" applyNumberFormat="1" applyFont="1" applyFill="1" applyBorder="1" applyProtection="1"/>
    <xf numFmtId="164" fontId="32" fillId="8" borderId="0" xfId="1" applyNumberFormat="1" applyFont="1" applyFill="1" applyBorder="1" applyAlignment="1" applyProtection="1">
      <alignment horizontal="left"/>
    </xf>
    <xf numFmtId="0" fontId="32" fillId="8" borderId="0" xfId="0" applyFont="1" applyFill="1" applyBorder="1" applyAlignment="1" applyProtection="1">
      <alignment horizontal="center"/>
    </xf>
    <xf numFmtId="0" fontId="32" fillId="8" borderId="17" xfId="0" applyFont="1" applyFill="1" applyBorder="1" applyAlignment="1" applyProtection="1">
      <alignment horizontal="center"/>
    </xf>
    <xf numFmtId="164" fontId="32" fillId="8" borderId="17" xfId="1" applyNumberFormat="1" applyFont="1" applyFill="1" applyBorder="1" applyProtection="1"/>
    <xf numFmtId="164" fontId="32" fillId="8" borderId="17" xfId="1" applyNumberFormat="1" applyFont="1" applyFill="1" applyBorder="1" applyAlignment="1" applyProtection="1">
      <alignment horizontal="left"/>
    </xf>
    <xf numFmtId="164" fontId="32" fillId="8" borderId="17" xfId="1" applyNumberFormat="1" applyFont="1" applyFill="1" applyBorder="1"/>
    <xf numFmtId="164" fontId="32" fillId="8" borderId="17" xfId="1" applyNumberFormat="1" applyFont="1" applyFill="1" applyBorder="1" applyAlignment="1">
      <alignment horizontal="left"/>
    </xf>
    <xf numFmtId="0" fontId="31" fillId="8" borderId="12" xfId="0" applyFont="1" applyFill="1" applyBorder="1" applyAlignment="1"/>
    <xf numFmtId="0" fontId="31" fillId="8" borderId="17" xfId="0" applyFont="1" applyFill="1" applyBorder="1" applyAlignment="1" applyProtection="1">
      <alignment horizontal="center"/>
    </xf>
    <xf numFmtId="164" fontId="31" fillId="8" borderId="17" xfId="1" applyNumberFormat="1" applyFont="1" applyFill="1" applyBorder="1" applyProtection="1"/>
    <xf numFmtId="164" fontId="31" fillId="8" borderId="17" xfId="1" applyNumberFormat="1" applyFont="1" applyFill="1" applyBorder="1" applyAlignment="1" applyProtection="1">
      <alignment horizontal="left"/>
    </xf>
    <xf numFmtId="166" fontId="26" fillId="8" borderId="0" xfId="1" applyNumberFormat="1" applyFont="1" applyFill="1" applyBorder="1" applyAlignment="1">
      <alignment horizontal="center"/>
    </xf>
    <xf numFmtId="170" fontId="26" fillId="8" borderId="0" xfId="2" applyNumberFormat="1" applyFont="1" applyFill="1" applyBorder="1" applyAlignment="1">
      <alignment horizontal="right"/>
    </xf>
    <xf numFmtId="166" fontId="26" fillId="8" borderId="0" xfId="1" applyNumberFormat="1" applyFont="1" applyFill="1" applyBorder="1" applyAlignment="1">
      <alignment horizontal="right"/>
    </xf>
    <xf numFmtId="164" fontId="26" fillId="8" borderId="0" xfId="1" applyNumberFormat="1" applyFont="1" applyFill="1" applyBorder="1" applyAlignment="1">
      <alignment horizontal="right"/>
    </xf>
    <xf numFmtId="0" fontId="31" fillId="8" borderId="12" xfId="0" applyFont="1" applyFill="1" applyBorder="1" applyAlignment="1">
      <alignment horizontal="center" wrapText="1"/>
    </xf>
    <xf numFmtId="170" fontId="26" fillId="8" borderId="17" xfId="2" applyNumberFormat="1" applyFont="1" applyFill="1" applyBorder="1" applyAlignment="1">
      <alignment horizontal="right"/>
    </xf>
    <xf numFmtId="0" fontId="39" fillId="8" borderId="0" xfId="0" applyFont="1" applyFill="1" applyBorder="1" applyAlignment="1">
      <alignment horizontal="center"/>
    </xf>
    <xf numFmtId="0" fontId="39" fillId="8" borderId="17" xfId="0" applyFont="1" applyFill="1" applyBorder="1" applyAlignment="1">
      <alignment horizontal="center"/>
    </xf>
    <xf numFmtId="0" fontId="39" fillId="8" borderId="0" xfId="0" applyFont="1" applyFill="1" applyBorder="1"/>
    <xf numFmtId="10" fontId="39" fillId="8" borderId="0" xfId="0" applyNumberFormat="1" applyFont="1" applyFill="1" applyBorder="1"/>
    <xf numFmtId="0" fontId="40" fillId="8" borderId="17" xfId="0" applyFont="1" applyFill="1" applyBorder="1" applyAlignment="1">
      <alignment horizontal="center" wrapText="1"/>
    </xf>
    <xf numFmtId="0" fontId="40" fillId="8" borderId="17" xfId="0" applyFont="1" applyFill="1" applyBorder="1" applyAlignment="1"/>
    <xf numFmtId="10" fontId="40" fillId="8" borderId="17" xfId="0" applyNumberFormat="1" applyFont="1" applyFill="1" applyBorder="1"/>
    <xf numFmtId="43" fontId="39" fillId="8" borderId="0" xfId="0" applyNumberFormat="1" applyFont="1" applyFill="1" applyBorder="1"/>
    <xf numFmtId="10" fontId="39" fillId="8" borderId="0" xfId="2" applyNumberFormat="1" applyFont="1" applyFill="1" applyBorder="1"/>
    <xf numFmtId="43" fontId="39" fillId="8" borderId="17" xfId="1" applyNumberFormat="1" applyFont="1" applyFill="1" applyBorder="1" applyAlignment="1">
      <alignment horizontal="center" wrapText="1"/>
    </xf>
    <xf numFmtId="0" fontId="40" fillId="8" borderId="12" xfId="0" applyFont="1" applyFill="1" applyBorder="1" applyAlignment="1">
      <alignment horizontal="center" wrapText="1"/>
    </xf>
    <xf numFmtId="43" fontId="40" fillId="8" borderId="12" xfId="1" applyNumberFormat="1" applyFont="1" applyFill="1" applyBorder="1" applyAlignment="1">
      <alignment horizontal="center" wrapText="1"/>
    </xf>
    <xf numFmtId="10" fontId="40" fillId="8" borderId="12" xfId="2" applyNumberFormat="1" applyFont="1" applyFill="1" applyBorder="1" applyAlignment="1">
      <alignment horizontal="center" wrapText="1"/>
    </xf>
    <xf numFmtId="0" fontId="39" fillId="8" borderId="17" xfId="0" applyFont="1" applyFill="1" applyBorder="1"/>
    <xf numFmtId="43" fontId="39" fillId="8" borderId="17" xfId="0" applyNumberFormat="1" applyFont="1" applyFill="1" applyBorder="1"/>
    <xf numFmtId="10" fontId="39" fillId="8" borderId="17" xfId="2" applyNumberFormat="1" applyFont="1" applyFill="1" applyBorder="1"/>
    <xf numFmtId="43" fontId="39" fillId="8" borderId="26" xfId="1" applyNumberFormat="1" applyFont="1" applyFill="1" applyBorder="1" applyAlignment="1">
      <alignment horizontal="center" wrapText="1"/>
    </xf>
    <xf numFmtId="10" fontId="39" fillId="8" borderId="26" xfId="2" applyNumberFormat="1" applyFont="1" applyFill="1" applyBorder="1"/>
    <xf numFmtId="0" fontId="31" fillId="8" borderId="12" xfId="0" applyFont="1" applyFill="1" applyBorder="1" applyAlignment="1">
      <alignment horizontal="center"/>
    </xf>
    <xf numFmtId="0" fontId="32" fillId="8" borderId="0" xfId="0" applyFont="1" applyFill="1" applyBorder="1" applyAlignment="1">
      <alignment horizontal="center"/>
    </xf>
    <xf numFmtId="0" fontId="31" fillId="8" borderId="17" xfId="0" applyFont="1" applyFill="1" applyBorder="1" applyAlignment="1">
      <alignment horizontal="center"/>
    </xf>
    <xf numFmtId="0" fontId="24" fillId="0" borderId="0" xfId="0" applyFont="1" applyFill="1" applyBorder="1" applyAlignment="1"/>
    <xf numFmtId="0" fontId="26" fillId="8" borderId="0" xfId="0" applyFont="1" applyFill="1" applyBorder="1"/>
    <xf numFmtId="0" fontId="27" fillId="0" borderId="0" xfId="0" applyFont="1" applyBorder="1" applyAlignment="1">
      <alignment horizontal="center"/>
    </xf>
    <xf numFmtId="0" fontId="32" fillId="0" borderId="0" xfId="0" applyFont="1" applyFill="1" applyBorder="1"/>
    <xf numFmtId="10" fontId="32" fillId="0" borderId="0" xfId="0" applyNumberFormat="1" applyFont="1" applyFill="1" applyBorder="1"/>
    <xf numFmtId="0" fontId="31" fillId="0" borderId="0" xfId="0" applyFont="1" applyFill="1" applyBorder="1"/>
    <xf numFmtId="0" fontId="31" fillId="0" borderId="0" xfId="0" applyFont="1" applyFill="1" applyBorder="1" applyAlignment="1">
      <alignment horizontal="center"/>
    </xf>
    <xf numFmtId="0" fontId="31" fillId="0" borderId="17" xfId="0" applyFont="1" applyFill="1" applyBorder="1"/>
    <xf numFmtId="0" fontId="27" fillId="0" borderId="17" xfId="0" applyFont="1" applyBorder="1" applyAlignment="1">
      <alignment horizontal="right"/>
    </xf>
    <xf numFmtId="10" fontId="31" fillId="0" borderId="17" xfId="0" applyNumberFormat="1" applyFont="1" applyFill="1" applyBorder="1"/>
    <xf numFmtId="0" fontId="31" fillId="8" borderId="0" xfId="0" applyFont="1" applyFill="1" applyBorder="1" applyAlignment="1" applyProtection="1">
      <alignment horizontal="center"/>
    </xf>
    <xf numFmtId="0" fontId="31" fillId="8" borderId="0" xfId="0" applyFont="1" applyFill="1" applyBorder="1" applyAlignment="1">
      <alignment horizontal="center"/>
    </xf>
    <xf numFmtId="164" fontId="0" fillId="8" borderId="1" xfId="1" applyNumberFormat="1" applyFont="1" applyFill="1" applyBorder="1"/>
    <xf numFmtId="0" fontId="0" fillId="8" borderId="1" xfId="0" applyFont="1" applyFill="1" applyBorder="1"/>
    <xf numFmtId="0" fontId="0" fillId="0" borderId="1" xfId="0" applyFont="1" applyBorder="1" applyAlignment="1">
      <alignment horizontal="right"/>
    </xf>
    <xf numFmtId="0" fontId="0" fillId="8" borderId="1" xfId="0" applyFont="1" applyFill="1" applyBorder="1" applyAlignment="1">
      <alignment horizontal="center"/>
    </xf>
    <xf numFmtId="0" fontId="10" fillId="8" borderId="12" xfId="0" applyFont="1" applyFill="1" applyBorder="1" applyAlignment="1"/>
    <xf numFmtId="0" fontId="10" fillId="8" borderId="12" xfId="0" applyFont="1" applyFill="1" applyBorder="1" applyAlignment="1" applyProtection="1"/>
    <xf numFmtId="0" fontId="10" fillId="8" borderId="0" xfId="0" applyFont="1" applyFill="1" applyProtection="1"/>
    <xf numFmtId="0" fontId="10" fillId="8" borderId="0" xfId="0" applyFont="1" applyFill="1" applyBorder="1" applyAlignment="1" applyProtection="1">
      <alignment horizontal="center"/>
    </xf>
    <xf numFmtId="0" fontId="11" fillId="8" borderId="0" xfId="0" applyNumberFormat="1" applyFont="1" applyFill="1" applyBorder="1" applyAlignment="1" applyProtection="1">
      <alignment horizontal="left"/>
    </xf>
    <xf numFmtId="167" fontId="11" fillId="8" borderId="0" xfId="0" applyNumberFormat="1" applyFont="1" applyFill="1" applyBorder="1" applyAlignment="1" applyProtection="1">
      <alignment horizontal="right"/>
    </xf>
    <xf numFmtId="167" fontId="11" fillId="8" borderId="0" xfId="0" applyNumberFormat="1" applyFont="1" applyFill="1" applyBorder="1" applyAlignment="1" applyProtection="1">
      <alignment horizontal="center"/>
    </xf>
    <xf numFmtId="0" fontId="11" fillId="8" borderId="17" xfId="0" applyNumberFormat="1" applyFont="1" applyFill="1" applyBorder="1" applyAlignment="1" applyProtection="1">
      <alignment horizontal="left"/>
    </xf>
    <xf numFmtId="167" fontId="11" fillId="8" borderId="17" xfId="0" applyNumberFormat="1" applyFont="1" applyFill="1" applyBorder="1" applyAlignment="1" applyProtection="1">
      <alignment horizontal="right"/>
    </xf>
    <xf numFmtId="167" fontId="11" fillId="8" borderId="17" xfId="0" applyNumberFormat="1" applyFont="1" applyFill="1" applyBorder="1" applyAlignment="1" applyProtection="1">
      <alignment horizontal="center"/>
    </xf>
    <xf numFmtId="0" fontId="10" fillId="8" borderId="0" xfId="0" applyFont="1" applyFill="1" applyBorder="1" applyAlignment="1" applyProtection="1"/>
    <xf numFmtId="0" fontId="10" fillId="8" borderId="0" xfId="0" applyFont="1" applyFill="1" applyBorder="1" applyAlignment="1"/>
    <xf numFmtId="0" fontId="10" fillId="8" borderId="0" xfId="0" applyFont="1" applyFill="1" applyBorder="1"/>
    <xf numFmtId="0" fontId="10" fillId="8" borderId="0" xfId="0" applyFont="1" applyFill="1" applyBorder="1" applyAlignment="1">
      <alignment horizontal="center"/>
    </xf>
    <xf numFmtId="0" fontId="11" fillId="8" borderId="0" xfId="0" applyNumberFormat="1" applyFont="1" applyFill="1" applyBorder="1" applyAlignment="1">
      <alignment horizontal="left"/>
    </xf>
    <xf numFmtId="167" fontId="11" fillId="8" borderId="0" xfId="0" applyNumberFormat="1" applyFont="1" applyFill="1" applyBorder="1" applyAlignment="1">
      <alignment horizontal="right"/>
    </xf>
    <xf numFmtId="167" fontId="11" fillId="8" borderId="0" xfId="0" applyNumberFormat="1" applyFont="1" applyFill="1" applyBorder="1" applyAlignment="1">
      <alignment horizontal="center"/>
    </xf>
    <xf numFmtId="170" fontId="11" fillId="8" borderId="0" xfId="2" applyNumberFormat="1" applyFont="1" applyFill="1" applyBorder="1" applyAlignment="1">
      <alignment horizontal="right"/>
    </xf>
    <xf numFmtId="167" fontId="11" fillId="8" borderId="0" xfId="1" applyNumberFormat="1" applyFont="1" applyFill="1" applyBorder="1"/>
    <xf numFmtId="0" fontId="11" fillId="8" borderId="0" xfId="2" applyNumberFormat="1" applyFont="1" applyFill="1" applyBorder="1"/>
    <xf numFmtId="9" fontId="11" fillId="8" borderId="0" xfId="2" applyFont="1" applyFill="1" applyBorder="1" applyAlignment="1">
      <alignment horizontal="right"/>
    </xf>
    <xf numFmtId="0" fontId="11" fillId="8" borderId="0" xfId="1" applyNumberFormat="1" applyFont="1" applyFill="1" applyBorder="1"/>
    <xf numFmtId="0" fontId="11" fillId="8" borderId="0" xfId="1" applyNumberFormat="1" applyFont="1" applyFill="1" applyBorder="1" applyAlignment="1">
      <alignment horizontal="left"/>
    </xf>
    <xf numFmtId="0" fontId="10" fillId="8" borderId="17" xfId="0" applyFont="1" applyFill="1" applyBorder="1"/>
    <xf numFmtId="167" fontId="10" fillId="8" borderId="17" xfId="0" applyNumberFormat="1" applyFont="1" applyFill="1" applyBorder="1"/>
    <xf numFmtId="0" fontId="10" fillId="8" borderId="0" xfId="0" applyFont="1" applyFill="1" applyBorder="1" applyProtection="1"/>
    <xf numFmtId="170" fontId="11" fillId="8" borderId="0" xfId="2" applyNumberFormat="1" applyFont="1" applyFill="1" applyBorder="1" applyAlignment="1" applyProtection="1">
      <alignment horizontal="right"/>
    </xf>
    <xf numFmtId="0" fontId="11" fillId="8" borderId="0" xfId="2" applyNumberFormat="1" applyFont="1" applyFill="1" applyBorder="1" applyProtection="1"/>
    <xf numFmtId="9" fontId="11" fillId="8" borderId="0" xfId="2" applyFont="1" applyFill="1" applyBorder="1" applyAlignment="1" applyProtection="1">
      <alignment horizontal="right"/>
    </xf>
    <xf numFmtId="0" fontId="11" fillId="8" borderId="0" xfId="1" applyNumberFormat="1" applyFont="1" applyFill="1" applyBorder="1" applyProtection="1"/>
    <xf numFmtId="0" fontId="11" fillId="8" borderId="0" xfId="1" applyNumberFormat="1" applyFont="1" applyFill="1" applyBorder="1" applyAlignment="1" applyProtection="1">
      <alignment horizontal="left"/>
    </xf>
    <xf numFmtId="0" fontId="10" fillId="8" borderId="17" xfId="0" applyFont="1" applyFill="1" applyBorder="1" applyProtection="1"/>
    <xf numFmtId="167" fontId="10" fillId="8" borderId="17" xfId="0" applyNumberFormat="1" applyFont="1" applyFill="1" applyBorder="1" applyProtection="1"/>
    <xf numFmtId="0" fontId="10" fillId="8" borderId="26" xfId="0" applyFont="1" applyFill="1" applyBorder="1" applyAlignment="1" applyProtection="1">
      <alignment horizontal="center"/>
    </xf>
    <xf numFmtId="9" fontId="11" fillId="8" borderId="26" xfId="2" applyFont="1" applyFill="1" applyBorder="1" applyAlignment="1" applyProtection="1">
      <alignment horizontal="left"/>
    </xf>
    <xf numFmtId="0" fontId="10" fillId="8" borderId="17" xfId="0" applyFont="1" applyFill="1" applyBorder="1" applyAlignment="1" applyProtection="1">
      <alignment horizontal="center"/>
    </xf>
    <xf numFmtId="9" fontId="11" fillId="8" borderId="17" xfId="2" applyFont="1" applyFill="1" applyBorder="1" applyAlignment="1" applyProtection="1">
      <alignment horizontal="left"/>
    </xf>
    <xf numFmtId="0" fontId="10" fillId="8" borderId="0" xfId="0" applyNumberFormat="1" applyFont="1" applyFill="1" applyBorder="1" applyAlignment="1" applyProtection="1">
      <alignment horizontal="left"/>
    </xf>
    <xf numFmtId="164" fontId="10" fillId="8" borderId="0" xfId="1" applyNumberFormat="1" applyFont="1" applyFill="1" applyBorder="1" applyAlignment="1" applyProtection="1">
      <alignment horizontal="left"/>
    </xf>
    <xf numFmtId="164" fontId="11" fillId="8" borderId="0" xfId="1" applyNumberFormat="1" applyFont="1" applyFill="1" applyBorder="1" applyAlignment="1" applyProtection="1">
      <alignment horizontal="left"/>
    </xf>
    <xf numFmtId="0" fontId="0" fillId="8" borderId="0" xfId="0" applyFill="1" applyAlignment="1" applyProtection="1"/>
    <xf numFmtId="164" fontId="11" fillId="8" borderId="17" xfId="1" applyNumberFormat="1" applyFont="1" applyFill="1" applyBorder="1" applyAlignment="1" applyProtection="1">
      <alignment horizontal="left"/>
    </xf>
    <xf numFmtId="43" fontId="32" fillId="8" borderId="0" xfId="1" applyFont="1" applyFill="1" applyBorder="1"/>
    <xf numFmtId="9" fontId="32" fillId="8" borderId="0" xfId="2" applyFont="1" applyFill="1" applyBorder="1"/>
    <xf numFmtId="14" fontId="32" fillId="8" borderId="0" xfId="0" applyNumberFormat="1" applyFont="1" applyFill="1" applyBorder="1"/>
    <xf numFmtId="0" fontId="32" fillId="0" borderId="0" xfId="0" applyFont="1" applyFill="1" applyBorder="1" applyProtection="1"/>
    <xf numFmtId="0" fontId="10" fillId="8" borderId="27" xfId="0" applyFont="1" applyFill="1" applyBorder="1" applyAlignment="1">
      <alignment horizontal="left"/>
    </xf>
    <xf numFmtId="0" fontId="10" fillId="26" borderId="27" xfId="0" applyFont="1" applyFill="1" applyBorder="1" applyAlignment="1">
      <alignment horizontal="left"/>
    </xf>
    <xf numFmtId="166" fontId="10" fillId="8" borderId="0" xfId="1" applyNumberFormat="1" applyFont="1" applyFill="1" applyBorder="1" applyAlignment="1">
      <alignment horizontal="center"/>
    </xf>
    <xf numFmtId="170" fontId="10" fillId="8" borderId="0" xfId="2" applyNumberFormat="1" applyFont="1" applyFill="1" applyBorder="1" applyAlignment="1">
      <alignment horizontal="right"/>
    </xf>
    <xf numFmtId="166" fontId="10" fillId="8" borderId="0" xfId="1" applyNumberFormat="1" applyFont="1" applyFill="1" applyBorder="1" applyAlignment="1">
      <alignment horizontal="right"/>
    </xf>
    <xf numFmtId="164" fontId="10" fillId="8" borderId="0" xfId="1" applyNumberFormat="1" applyFont="1" applyFill="1" applyBorder="1" applyAlignment="1">
      <alignment horizontal="right"/>
    </xf>
    <xf numFmtId="0" fontId="32" fillId="0" borderId="17" xfId="0" applyFont="1" applyFill="1" applyBorder="1" applyProtection="1"/>
    <xf numFmtId="0" fontId="10" fillId="8" borderId="28" xfId="0" applyFont="1" applyFill="1" applyBorder="1" applyAlignment="1">
      <alignment horizontal="left"/>
    </xf>
    <xf numFmtId="170" fontId="10" fillId="8" borderId="17" xfId="2" applyNumberFormat="1" applyFont="1" applyFill="1" applyBorder="1" applyAlignment="1">
      <alignment horizontal="right"/>
    </xf>
    <xf numFmtId="0" fontId="10" fillId="8" borderId="29" xfId="0" applyFont="1" applyFill="1" applyBorder="1" applyAlignment="1">
      <alignment horizontal="left"/>
    </xf>
    <xf numFmtId="0" fontId="31" fillId="0" borderId="12" xfId="0" applyFont="1" applyFill="1" applyBorder="1" applyAlignment="1" applyProtection="1">
      <alignment horizontal="center"/>
    </xf>
    <xf numFmtId="0" fontId="10" fillId="6" borderId="30" xfId="0" applyFont="1" applyFill="1" applyBorder="1" applyAlignment="1"/>
    <xf numFmtId="0" fontId="32" fillId="8" borderId="0" xfId="0" applyFont="1" applyFill="1" applyBorder="1" applyProtection="1"/>
    <xf numFmtId="0" fontId="11" fillId="8" borderId="0" xfId="0" applyFont="1" applyFill="1" applyBorder="1" applyAlignment="1">
      <alignment horizontal="left"/>
    </xf>
    <xf numFmtId="164" fontId="11" fillId="8" borderId="0" xfId="1" applyNumberFormat="1" applyFont="1" applyFill="1" applyBorder="1"/>
    <xf numFmtId="170" fontId="11" fillId="8" borderId="0" xfId="0" applyNumberFormat="1" applyFont="1" applyFill="1" applyBorder="1" applyAlignment="1">
      <alignment horizontal="right"/>
    </xf>
    <xf numFmtId="164" fontId="11" fillId="8" borderId="0" xfId="1" applyNumberFormat="1" applyFont="1" applyFill="1" applyBorder="1" applyAlignment="1">
      <alignment horizontal="right"/>
    </xf>
    <xf numFmtId="164" fontId="11" fillId="8" borderId="0" xfId="0" applyNumberFormat="1" applyFont="1" applyFill="1" applyBorder="1" applyAlignment="1">
      <alignment horizontal="right"/>
    </xf>
    <xf numFmtId="0" fontId="32" fillId="8" borderId="17" xfId="0" applyFont="1" applyFill="1" applyBorder="1" applyProtection="1"/>
    <xf numFmtId="0" fontId="11" fillId="8" borderId="17" xfId="0" applyFont="1" applyFill="1" applyBorder="1" applyAlignment="1">
      <alignment horizontal="left"/>
    </xf>
    <xf numFmtId="166" fontId="11" fillId="8" borderId="17" xfId="1" applyNumberFormat="1" applyFont="1" applyFill="1" applyBorder="1" applyAlignment="1">
      <alignment horizontal="right"/>
    </xf>
    <xf numFmtId="0" fontId="10" fillId="8" borderId="12" xfId="0" applyFont="1" applyFill="1" applyBorder="1" applyAlignment="1">
      <alignment horizontal="left"/>
    </xf>
    <xf numFmtId="0" fontId="11" fillId="8" borderId="0" xfId="0" applyFont="1" applyFill="1" applyBorder="1" applyAlignment="1">
      <alignment horizontal="center"/>
    </xf>
    <xf numFmtId="43" fontId="11" fillId="8" borderId="0" xfId="1" applyFont="1" applyFill="1" applyBorder="1" applyAlignment="1">
      <alignment horizontal="right"/>
    </xf>
    <xf numFmtId="9" fontId="11" fillId="8" borderId="0" xfId="0" applyNumberFormat="1" applyFont="1" applyFill="1" applyBorder="1" applyAlignment="1">
      <alignment horizontal="right"/>
    </xf>
    <xf numFmtId="0" fontId="11" fillId="8" borderId="0" xfId="0" applyFont="1" applyFill="1" applyBorder="1"/>
    <xf numFmtId="166" fontId="11" fillId="8" borderId="0" xfId="1" applyNumberFormat="1" applyFont="1" applyFill="1" applyBorder="1"/>
    <xf numFmtId="6" fontId="11" fillId="8" borderId="17" xfId="0" applyNumberFormat="1" applyFont="1" applyFill="1" applyBorder="1" applyAlignment="1">
      <alignment horizontal="right"/>
    </xf>
    <xf numFmtId="0" fontId="32" fillId="8" borderId="17" xfId="0" applyFont="1" applyFill="1" applyBorder="1" applyAlignment="1">
      <alignment horizontal="center"/>
    </xf>
    <xf numFmtId="6" fontId="32" fillId="8" borderId="17" xfId="0" applyNumberFormat="1" applyFont="1" applyFill="1" applyBorder="1" applyAlignment="1">
      <alignment horizontal="right"/>
    </xf>
    <xf numFmtId="0" fontId="32" fillId="8" borderId="11" xfId="0" applyFont="1" applyFill="1" applyBorder="1" applyAlignment="1">
      <alignment horizontal="left"/>
    </xf>
    <xf numFmtId="0" fontId="31" fillId="8" borderId="5" xfId="0" applyFont="1" applyFill="1" applyBorder="1" applyAlignment="1">
      <alignment horizontal="center"/>
    </xf>
    <xf numFmtId="6" fontId="32" fillId="8" borderId="5" xfId="0" applyNumberFormat="1" applyFont="1" applyFill="1" applyBorder="1" applyAlignment="1">
      <alignment horizontal="right"/>
    </xf>
    <xf numFmtId="0" fontId="32" fillId="8" borderId="5" xfId="0" applyFont="1" applyFill="1" applyBorder="1"/>
    <xf numFmtId="0" fontId="32" fillId="8" borderId="11" xfId="0" applyFont="1" applyFill="1" applyBorder="1" applyAlignment="1">
      <alignment horizontal="center"/>
    </xf>
    <xf numFmtId="0" fontId="31" fillId="8" borderId="11" xfId="0" applyFont="1" applyFill="1" applyBorder="1" applyAlignment="1">
      <alignment horizontal="center"/>
    </xf>
    <xf numFmtId="164" fontId="31" fillId="8" borderId="0" xfId="1" applyNumberFormat="1" applyFont="1" applyFill="1" applyBorder="1" applyAlignment="1" applyProtection="1">
      <alignment horizontal="center"/>
    </xf>
    <xf numFmtId="164" fontId="31" fillId="8" borderId="26" xfId="1" applyNumberFormat="1" applyFont="1" applyFill="1" applyBorder="1" applyAlignment="1" applyProtection="1">
      <alignment horizontal="center"/>
    </xf>
    <xf numFmtId="164" fontId="31" fillId="8" borderId="12" xfId="1" applyNumberFormat="1" applyFont="1" applyFill="1" applyBorder="1" applyAlignment="1" applyProtection="1">
      <alignment horizontal="center"/>
    </xf>
    <xf numFmtId="0" fontId="26" fillId="0" borderId="12" xfId="0" applyFont="1" applyBorder="1" applyAlignment="1"/>
    <xf numFmtId="9" fontId="32" fillId="8" borderId="0" xfId="2" applyFont="1" applyFill="1" applyBorder="1" applyProtection="1"/>
    <xf numFmtId="0" fontId="32" fillId="8" borderId="26" xfId="0" applyFont="1" applyFill="1" applyBorder="1" applyAlignment="1" applyProtection="1">
      <alignment horizontal="center"/>
    </xf>
    <xf numFmtId="164" fontId="32" fillId="8" borderId="26" xfId="1" applyNumberFormat="1" applyFont="1" applyFill="1" applyBorder="1" applyProtection="1"/>
    <xf numFmtId="164" fontId="0" fillId="0" borderId="0" xfId="1" applyNumberFormat="1" applyFont="1" applyBorder="1"/>
    <xf numFmtId="0" fontId="2" fillId="0" borderId="0" xfId="0" applyFont="1" applyBorder="1" applyAlignment="1">
      <alignment horizontal="center"/>
    </xf>
    <xf numFmtId="0" fontId="2" fillId="0" borderId="17" xfId="0" applyFont="1" applyBorder="1" applyAlignment="1">
      <alignment horizontal="center"/>
    </xf>
    <xf numFmtId="164" fontId="0" fillId="0" borderId="17" xfId="0" applyNumberFormat="1" applyBorder="1"/>
    <xf numFmtId="0" fontId="32" fillId="8" borderId="0" xfId="0" applyNumberFormat="1" applyFont="1" applyFill="1" applyBorder="1" applyAlignment="1">
      <alignment horizontal="left"/>
    </xf>
    <xf numFmtId="167" fontId="32" fillId="8" borderId="0" xfId="0" applyNumberFormat="1" applyFont="1" applyFill="1" applyBorder="1"/>
    <xf numFmtId="0" fontId="32" fillId="8" borderId="0" xfId="1" applyNumberFormat="1" applyFont="1" applyFill="1" applyBorder="1" applyAlignment="1">
      <alignment horizontal="left"/>
    </xf>
    <xf numFmtId="167" fontId="32" fillId="8" borderId="0" xfId="1" applyNumberFormat="1" applyFont="1" applyFill="1" applyBorder="1"/>
    <xf numFmtId="0" fontId="32" fillId="8" borderId="17" xfId="1" applyNumberFormat="1" applyFont="1" applyFill="1" applyBorder="1" applyAlignment="1">
      <alignment horizontal="left"/>
    </xf>
    <xf numFmtId="167" fontId="32" fillId="8" borderId="17" xfId="0" applyNumberFormat="1" applyFont="1" applyFill="1" applyBorder="1"/>
    <xf numFmtId="14" fontId="39" fillId="8" borderId="0" xfId="0" applyNumberFormat="1" applyFont="1" applyFill="1" applyBorder="1" applyAlignment="1">
      <alignment horizontal="left" vertical="center" wrapText="1"/>
    </xf>
    <xf numFmtId="10" fontId="39" fillId="8" borderId="0" xfId="0" applyNumberFormat="1" applyFont="1" applyFill="1" applyBorder="1" applyAlignment="1">
      <alignment horizontal="right" wrapText="1"/>
    </xf>
    <xf numFmtId="0" fontId="41" fillId="8" borderId="0" xfId="0" applyFont="1" applyFill="1" applyBorder="1" applyAlignment="1">
      <alignment horizontal="right" wrapText="1"/>
    </xf>
    <xf numFmtId="0" fontId="40" fillId="8" borderId="17" xfId="0" applyFont="1" applyFill="1" applyBorder="1" applyAlignment="1">
      <alignment horizontal="center" vertical="center" wrapText="1"/>
    </xf>
    <xf numFmtId="0" fontId="38" fillId="0" borderId="0" xfId="0" applyFont="1"/>
    <xf numFmtId="0" fontId="10" fillId="8" borderId="26" xfId="0" applyNumberFormat="1" applyFont="1" applyFill="1" applyBorder="1" applyAlignment="1" applyProtection="1">
      <alignment horizontal="left"/>
    </xf>
    <xf numFmtId="164" fontId="10" fillId="8" borderId="26" xfId="1" applyNumberFormat="1" applyFont="1" applyFill="1" applyBorder="1" applyAlignment="1" applyProtection="1">
      <alignment horizontal="left"/>
    </xf>
    <xf numFmtId="0" fontId="0" fillId="8" borderId="0" xfId="0" applyFill="1" applyProtection="1"/>
    <xf numFmtId="0" fontId="0" fillId="0" borderId="0" xfId="0" applyFill="1" applyBorder="1" applyAlignment="1" applyProtection="1">
      <alignment vertical="center"/>
    </xf>
    <xf numFmtId="0" fontId="11" fillId="8" borderId="0" xfId="0" applyFont="1" applyFill="1" applyBorder="1" applyAlignment="1"/>
    <xf numFmtId="0" fontId="11" fillId="8" borderId="17" xfId="0" applyFont="1" applyFill="1" applyBorder="1" applyAlignment="1"/>
    <xf numFmtId="0" fontId="0" fillId="8" borderId="0" xfId="0" applyFill="1" applyBorder="1" applyProtection="1"/>
    <xf numFmtId="0" fontId="11" fillId="8" borderId="0" xfId="0" applyFont="1" applyFill="1" applyBorder="1" applyAlignment="1" applyProtection="1"/>
    <xf numFmtId="0" fontId="11" fillId="8" borderId="17" xfId="0" applyFont="1" applyFill="1" applyBorder="1" applyAlignment="1" applyProtection="1"/>
    <xf numFmtId="0" fontId="38" fillId="0" borderId="0" xfId="0" applyFont="1" applyFill="1" applyBorder="1"/>
    <xf numFmtId="43" fontId="38" fillId="0" borderId="0" xfId="1" applyNumberFormat="1" applyFont="1" applyFill="1" applyBorder="1" applyAlignment="1">
      <alignment horizontal="center" wrapText="1"/>
    </xf>
    <xf numFmtId="10" fontId="38" fillId="0" borderId="0" xfId="2" applyNumberFormat="1" applyFont="1" applyFill="1" applyBorder="1" applyAlignment="1">
      <alignment horizontal="center" wrapText="1"/>
    </xf>
    <xf numFmtId="43" fontId="38" fillId="0" borderId="0" xfId="0" applyNumberFormat="1" applyFont="1" applyFill="1" applyBorder="1"/>
    <xf numFmtId="10" fontId="38" fillId="0" borderId="0" xfId="2" applyNumberFormat="1" applyFont="1" applyFill="1" applyBorder="1"/>
    <xf numFmtId="0" fontId="10" fillId="8" borderId="12" xfId="0" applyFont="1" applyFill="1" applyBorder="1" applyAlignment="1" applyProtection="1">
      <alignment horizontal="center"/>
    </xf>
    <xf numFmtId="164" fontId="10" fillId="8" borderId="0" xfId="1" applyNumberFormat="1" applyFont="1" applyFill="1" applyBorder="1" applyAlignment="1" applyProtection="1">
      <alignment horizontal="center"/>
    </xf>
    <xf numFmtId="164" fontId="11" fillId="8" borderId="0" xfId="1" applyNumberFormat="1" applyFont="1" applyFill="1" applyBorder="1" applyAlignment="1" applyProtection="1"/>
    <xf numFmtId="164" fontId="10" fillId="8" borderId="0" xfId="1" applyNumberFormat="1" applyFont="1" applyFill="1" applyBorder="1" applyAlignment="1" applyProtection="1"/>
    <xf numFmtId="0" fontId="10" fillId="8" borderId="17" xfId="0" applyNumberFormat="1" applyFont="1" applyFill="1" applyBorder="1" applyAlignment="1" applyProtection="1">
      <alignment horizontal="left"/>
    </xf>
    <xf numFmtId="0" fontId="10" fillId="8" borderId="17" xfId="0" applyFont="1" applyFill="1" applyBorder="1" applyAlignment="1" applyProtection="1"/>
    <xf numFmtId="164" fontId="10" fillId="8" borderId="17" xfId="1" applyNumberFormat="1" applyFont="1" applyFill="1" applyBorder="1" applyAlignment="1" applyProtection="1"/>
    <xf numFmtId="164" fontId="10" fillId="8" borderId="17" xfId="1" applyNumberFormat="1" applyFont="1" applyFill="1" applyBorder="1" applyAlignment="1" applyProtection="1">
      <alignment horizontal="left"/>
    </xf>
    <xf numFmtId="164" fontId="10" fillId="8" borderId="12" xfId="1" applyNumberFormat="1" applyFont="1" applyFill="1" applyBorder="1" applyAlignment="1" applyProtection="1">
      <alignment horizontal="center"/>
    </xf>
    <xf numFmtId="0" fontId="2" fillId="0" borderId="0" xfId="0" applyFont="1"/>
    <xf numFmtId="0" fontId="2" fillId="5" borderId="16" xfId="0" applyFont="1" applyFill="1" applyBorder="1"/>
    <xf numFmtId="164" fontId="11" fillId="8" borderId="17" xfId="1" applyNumberFormat="1" applyFont="1" applyFill="1" applyBorder="1" applyAlignment="1" applyProtection="1"/>
    <xf numFmtId="0" fontId="0" fillId="0" borderId="0" xfId="0" applyFont="1" applyFill="1"/>
    <xf numFmtId="0" fontId="0" fillId="0" borderId="0" xfId="0" applyFont="1"/>
    <xf numFmtId="0" fontId="0" fillId="5" borderId="16" xfId="0" applyFont="1" applyFill="1" applyBorder="1"/>
    <xf numFmtId="167" fontId="10" fillId="8" borderId="0" xfId="1" applyNumberFormat="1" applyFont="1" applyFill="1" applyBorder="1" applyAlignment="1"/>
    <xf numFmtId="167" fontId="10" fillId="8" borderId="17" xfId="1" applyNumberFormat="1" applyFont="1" applyFill="1" applyBorder="1" applyAlignment="1"/>
    <xf numFmtId="167" fontId="11" fillId="8" borderId="0" xfId="1" applyNumberFormat="1" applyFont="1" applyFill="1" applyBorder="1" applyAlignment="1"/>
    <xf numFmtId="0" fontId="11" fillId="8" borderId="26" xfId="0" applyFont="1" applyFill="1" applyBorder="1" applyAlignment="1" applyProtection="1"/>
    <xf numFmtId="167" fontId="11" fillId="8" borderId="17" xfId="1" applyNumberFormat="1" applyFont="1" applyFill="1" applyBorder="1" applyAlignment="1"/>
    <xf numFmtId="0" fontId="2" fillId="8" borderId="0" xfId="0" applyFont="1" applyFill="1"/>
    <xf numFmtId="164" fontId="11" fillId="8" borderId="0" xfId="1" applyNumberFormat="1" applyFont="1" applyFill="1" applyBorder="1" applyAlignment="1"/>
    <xf numFmtId="164" fontId="11" fillId="8" borderId="17" xfId="1" applyNumberFormat="1" applyFont="1" applyFill="1" applyBorder="1" applyAlignment="1"/>
    <xf numFmtId="164" fontId="10" fillId="0" borderId="0" xfId="1" applyNumberFormat="1" applyFont="1" applyFill="1" applyBorder="1"/>
    <xf numFmtId="164" fontId="10" fillId="0" borderId="0" xfId="1" applyNumberFormat="1" applyFont="1" applyFill="1" applyBorder="1" applyAlignment="1">
      <alignment horizontal="center"/>
    </xf>
    <xf numFmtId="0" fontId="11" fillId="0" borderId="0" xfId="0" applyFont="1" applyFill="1" applyBorder="1" applyAlignment="1"/>
    <xf numFmtId="0" fontId="10" fillId="0" borderId="0" xfId="0" applyFont="1" applyFill="1" applyBorder="1" applyAlignment="1">
      <alignment wrapText="1"/>
    </xf>
    <xf numFmtId="167" fontId="10" fillId="0" borderId="0" xfId="1" applyNumberFormat="1" applyFont="1" applyFill="1" applyBorder="1" applyAlignment="1"/>
    <xf numFmtId="0" fontId="11" fillId="0" borderId="0" xfId="0" applyFont="1" applyFill="1" applyBorder="1" applyAlignment="1">
      <alignment wrapText="1"/>
    </xf>
    <xf numFmtId="167" fontId="11" fillId="0" borderId="0" xfId="1" applyNumberFormat="1" applyFont="1" applyFill="1" applyBorder="1" applyAlignment="1"/>
    <xf numFmtId="164" fontId="11" fillId="0" borderId="0" xfId="1" applyNumberFormat="1" applyFont="1" applyFill="1" applyBorder="1"/>
    <xf numFmtId="164" fontId="11" fillId="0" borderId="0" xfId="1" applyNumberFormat="1" applyFont="1" applyFill="1" applyBorder="1" applyAlignment="1">
      <alignment horizontal="center"/>
    </xf>
    <xf numFmtId="0" fontId="11" fillId="0" borderId="0" xfId="3" applyFont="1" applyFill="1" applyBorder="1" applyAlignment="1">
      <alignment vertical="top"/>
    </xf>
    <xf numFmtId="0" fontId="11" fillId="0" borderId="0" xfId="3" applyFont="1" applyFill="1" applyBorder="1" applyAlignment="1">
      <alignment horizontal="left" vertical="top"/>
    </xf>
    <xf numFmtId="0" fontId="10" fillId="0" borderId="12" xfId="0" applyFont="1" applyFill="1" applyBorder="1" applyAlignment="1"/>
    <xf numFmtId="0" fontId="10" fillId="0" borderId="26" xfId="0" applyFont="1" applyFill="1" applyBorder="1" applyAlignment="1"/>
    <xf numFmtId="0" fontId="11" fillId="0" borderId="17" xfId="3" applyFont="1" applyFill="1" applyBorder="1" applyAlignment="1">
      <alignment vertical="top"/>
    </xf>
    <xf numFmtId="0" fontId="11" fillId="0" borderId="17" xfId="0" applyFont="1" applyFill="1" applyBorder="1" applyAlignment="1"/>
    <xf numFmtId="164" fontId="11" fillId="0" borderId="17" xfId="1" applyNumberFormat="1" applyFont="1" applyFill="1" applyBorder="1"/>
    <xf numFmtId="164" fontId="11" fillId="0" borderId="17" xfId="1" applyNumberFormat="1" applyFont="1" applyFill="1" applyBorder="1" applyAlignment="1">
      <alignment horizontal="center"/>
    </xf>
    <xf numFmtId="0" fontId="11" fillId="0" borderId="17" xfId="3" applyFont="1" applyFill="1" applyBorder="1" applyAlignment="1">
      <alignment horizontal="left" vertical="top"/>
    </xf>
    <xf numFmtId="9" fontId="10" fillId="8" borderId="26" xfId="2" applyFont="1" applyFill="1" applyBorder="1" applyAlignment="1" applyProtection="1">
      <alignment horizontal="center"/>
    </xf>
    <xf numFmtId="0" fontId="2" fillId="8" borderId="1" xfId="0" applyFont="1" applyFill="1" applyBorder="1" applyAlignment="1">
      <alignment horizontal="center"/>
    </xf>
    <xf numFmtId="0" fontId="2" fillId="8" borderId="0" xfId="0" applyFont="1" applyFill="1" applyBorder="1" applyAlignment="1">
      <alignment horizontal="center"/>
    </xf>
    <xf numFmtId="0" fontId="0" fillId="8" borderId="2" xfId="0" applyFont="1" applyFill="1" applyBorder="1" applyAlignment="1">
      <alignment horizontal="center"/>
    </xf>
    <xf numFmtId="0" fontId="0" fillId="8" borderId="13" xfId="0" applyFont="1" applyFill="1" applyBorder="1" applyAlignment="1">
      <alignment horizontal="center"/>
    </xf>
    <xf numFmtId="0" fontId="31" fillId="8" borderId="12" xfId="0" applyFont="1" applyFill="1" applyBorder="1" applyAlignment="1">
      <alignment horizontal="center"/>
    </xf>
    <xf numFmtId="0" fontId="31" fillId="5" borderId="2" xfId="0" applyFont="1" applyFill="1" applyBorder="1" applyAlignment="1">
      <alignment horizontal="center"/>
    </xf>
    <xf numFmtId="0" fontId="31" fillId="5" borderId="13" xfId="0" applyFont="1" applyFill="1" applyBorder="1" applyAlignment="1">
      <alignment horizontal="center"/>
    </xf>
    <xf numFmtId="0" fontId="24" fillId="16" borderId="2" xfId="0" applyFont="1" applyFill="1" applyBorder="1" applyAlignment="1">
      <alignment horizontal="center"/>
    </xf>
    <xf numFmtId="0" fontId="24" fillId="16" borderId="12" xfId="0" applyFont="1" applyFill="1" applyBorder="1" applyAlignment="1">
      <alignment horizontal="center"/>
    </xf>
    <xf numFmtId="0" fontId="31" fillId="0" borderId="12" xfId="0" applyFont="1" applyFill="1" applyBorder="1" applyAlignment="1">
      <alignment horizontal="center"/>
    </xf>
    <xf numFmtId="0" fontId="32" fillId="8" borderId="0" xfId="0" applyFont="1" applyFill="1" applyBorder="1" applyAlignment="1">
      <alignment horizontal="center"/>
    </xf>
    <xf numFmtId="0" fontId="31" fillId="8" borderId="26" xfId="0" applyFont="1" applyFill="1" applyBorder="1" applyAlignment="1">
      <alignment horizontal="center"/>
    </xf>
    <xf numFmtId="0" fontId="31" fillId="8" borderId="17" xfId="0" applyFont="1" applyFill="1" applyBorder="1" applyAlignment="1">
      <alignment horizontal="center"/>
    </xf>
    <xf numFmtId="0" fontId="32" fillId="8" borderId="0" xfId="0" applyFont="1" applyFill="1" applyBorder="1" applyAlignment="1">
      <alignment horizontal="center" vertical="center"/>
    </xf>
    <xf numFmtId="0" fontId="32" fillId="8" borderId="17" xfId="0" applyFont="1" applyFill="1" applyBorder="1" applyAlignment="1">
      <alignment horizontal="center" vertical="center"/>
    </xf>
    <xf numFmtId="0" fontId="40" fillId="8" borderId="12" xfId="0" applyFont="1" applyFill="1" applyBorder="1" applyAlignment="1">
      <alignment horizontal="center"/>
    </xf>
    <xf numFmtId="0" fontId="37" fillId="0" borderId="0" xfId="0" applyFont="1" applyAlignment="1">
      <alignment horizontal="center" vertical="top" wrapText="1"/>
    </xf>
    <xf numFmtId="0" fontId="39" fillId="8" borderId="26" xfId="0" applyFont="1" applyFill="1" applyBorder="1" applyAlignment="1">
      <alignment wrapText="1"/>
    </xf>
    <xf numFmtId="0" fontId="40" fillId="8" borderId="26" xfId="0" applyFont="1" applyFill="1" applyBorder="1" applyAlignment="1">
      <alignment horizontal="center" vertical="top" wrapText="1"/>
    </xf>
    <xf numFmtId="0" fontId="37" fillId="0" borderId="0" xfId="0" applyFont="1" applyAlignment="1">
      <alignment horizontal="left" wrapText="1"/>
    </xf>
    <xf numFmtId="0" fontId="38" fillId="0" borderId="0" xfId="0" applyFont="1" applyAlignment="1">
      <alignment horizontal="left" vertical="top" wrapText="1"/>
    </xf>
    <xf numFmtId="0" fontId="40" fillId="8" borderId="17" xfId="0" applyFont="1" applyFill="1" applyBorder="1" applyAlignment="1">
      <alignment horizontal="center"/>
    </xf>
  </cellXfs>
  <cellStyles count="9">
    <cellStyle name="Millares" xfId="1" builtinId="3"/>
    <cellStyle name="Millares [0] 2" xfId="5"/>
    <cellStyle name="Millares 2" xfId="4"/>
    <cellStyle name="Millares 3" xfId="7"/>
    <cellStyle name="Normal" xfId="0" builtinId="0"/>
    <cellStyle name="Normal 2" xfId="3"/>
    <cellStyle name="Normal_DATOS TRABAJO" xfId="8"/>
    <cellStyle name="Porcentual" xfId="2" builtinId="5"/>
    <cellStyle name="Porcentual 2 2" xfId="6"/>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1"/>
  </sheetPr>
  <dimension ref="A1:E47"/>
  <sheetViews>
    <sheetView showGridLines="0" tabSelected="1" zoomScale="90" zoomScaleNormal="90" workbookViewId="0">
      <selection activeCell="B46" sqref="B46"/>
    </sheetView>
  </sheetViews>
  <sheetFormatPr baseColWidth="10" defaultRowHeight="15"/>
  <cols>
    <col min="1" max="1" width="20" bestFit="1" customWidth="1"/>
    <col min="2" max="2" width="22.140625" bestFit="1" customWidth="1"/>
    <col min="3" max="3" width="13.28515625" bestFit="1" customWidth="1"/>
    <col min="4" max="4" width="14.140625" bestFit="1" customWidth="1"/>
    <col min="5" max="5" width="17.28515625" bestFit="1" customWidth="1"/>
  </cols>
  <sheetData>
    <row r="1" spans="1:5">
      <c r="A1" s="665" t="s">
        <v>654</v>
      </c>
    </row>
    <row r="3" spans="1:5">
      <c r="A3" s="535" t="s">
        <v>631</v>
      </c>
      <c r="B3" s="537" t="s">
        <v>632</v>
      </c>
    </row>
    <row r="4" spans="1:5">
      <c r="A4" s="48"/>
      <c r="B4" s="48"/>
    </row>
    <row r="5" spans="1:5">
      <c r="A5" s="24" t="s">
        <v>633</v>
      </c>
      <c r="B5" s="534">
        <f>INVERSION!C21</f>
        <v>281913577.20217615</v>
      </c>
    </row>
    <row r="6" spans="1:5">
      <c r="A6" s="24" t="s">
        <v>634</v>
      </c>
      <c r="B6" s="24">
        <v>5</v>
      </c>
      <c r="E6" s="153"/>
    </row>
    <row r="7" spans="1:5">
      <c r="A7" s="24" t="s">
        <v>635</v>
      </c>
      <c r="B7" s="24">
        <f>B6*12</f>
        <v>60</v>
      </c>
      <c r="E7" s="153"/>
    </row>
    <row r="8" spans="1:5" hidden="1">
      <c r="E8" s="153"/>
    </row>
    <row r="9" spans="1:5" hidden="1">
      <c r="A9" s="9" t="s">
        <v>636</v>
      </c>
      <c r="E9" s="153"/>
    </row>
    <row r="10" spans="1:5">
      <c r="A10" s="3" t="s">
        <v>637</v>
      </c>
      <c r="B10" s="8">
        <v>698999</v>
      </c>
      <c r="E10" s="153"/>
    </row>
    <row r="11" spans="1:5">
      <c r="A11" s="3" t="s">
        <v>638</v>
      </c>
      <c r="B11" s="3">
        <v>1</v>
      </c>
      <c r="E11" s="153"/>
    </row>
    <row r="12" spans="1:5">
      <c r="A12" s="3" t="s">
        <v>636</v>
      </c>
      <c r="B12" s="5">
        <f>B10*B11</f>
        <v>698999</v>
      </c>
      <c r="E12" s="153"/>
    </row>
    <row r="13" spans="1:5" hidden="1">
      <c r="A13" s="3" t="s">
        <v>639</v>
      </c>
      <c r="B13" s="8"/>
      <c r="E13" s="153"/>
    </row>
    <row r="14" spans="1:5" hidden="1">
      <c r="A14" s="3" t="s">
        <v>640</v>
      </c>
      <c r="B14" s="8"/>
      <c r="E14" s="153"/>
    </row>
    <row r="15" spans="1:5">
      <c r="A15" s="3" t="s">
        <v>649</v>
      </c>
      <c r="B15" s="7">
        <f>'TABLA DE AMORTIZACION'!C6</f>
        <v>0.31130000000000002</v>
      </c>
      <c r="E15" s="153"/>
    </row>
    <row r="16" spans="1:5" hidden="1">
      <c r="A16" s="3" t="s">
        <v>641</v>
      </c>
      <c r="B16" s="66">
        <v>0.03</v>
      </c>
      <c r="E16" s="153"/>
    </row>
    <row r="17" spans="1:5" hidden="1">
      <c r="A17" s="3" t="s">
        <v>642</v>
      </c>
      <c r="B17" s="66">
        <v>3.2399999999999998E-2</v>
      </c>
      <c r="E17" s="153"/>
    </row>
    <row r="18" spans="1:5">
      <c r="A18" s="3" t="s">
        <v>651</v>
      </c>
      <c r="B18" s="3">
        <v>30</v>
      </c>
      <c r="E18" s="153"/>
    </row>
    <row r="19" spans="1:5">
      <c r="A19" s="3" t="s">
        <v>650</v>
      </c>
      <c r="B19" s="3">
        <v>30</v>
      </c>
      <c r="E19" s="153"/>
    </row>
    <row r="20" spans="1:5">
      <c r="E20" s="153"/>
    </row>
    <row r="21" spans="1:5">
      <c r="A21" s="700" t="s">
        <v>643</v>
      </c>
      <c r="B21" s="701"/>
      <c r="E21" s="153"/>
    </row>
    <row r="22" spans="1:5">
      <c r="A22" s="3" t="s">
        <v>644</v>
      </c>
      <c r="B22" s="66">
        <v>0.25091987658781678</v>
      </c>
      <c r="C22" s="8">
        <f>B5*B22</f>
        <v>70737720</v>
      </c>
      <c r="D22" s="2"/>
      <c r="E22" s="153"/>
    </row>
    <row r="23" spans="1:5">
      <c r="A23" s="3" t="s">
        <v>645</v>
      </c>
      <c r="B23" s="66">
        <f>100%-B22</f>
        <v>0.74908012341218322</v>
      </c>
      <c r="C23" s="8">
        <f>B5*B23</f>
        <v>211175857.20217615</v>
      </c>
      <c r="E23" s="153"/>
    </row>
    <row r="24" spans="1:5">
      <c r="E24" s="153"/>
    </row>
    <row r="25" spans="1:5">
      <c r="A25" s="535" t="s">
        <v>646</v>
      </c>
      <c r="B25" s="536" t="s">
        <v>257</v>
      </c>
      <c r="E25" s="153"/>
    </row>
    <row r="26" spans="1:5">
      <c r="A26" s="535" t="s">
        <v>652</v>
      </c>
      <c r="B26" s="7">
        <v>0.33</v>
      </c>
      <c r="E26" s="153"/>
    </row>
    <row r="27" spans="1:5">
      <c r="A27" s="535" t="s">
        <v>557</v>
      </c>
      <c r="B27" s="7">
        <v>0.25</v>
      </c>
      <c r="E27" s="153"/>
    </row>
    <row r="28" spans="1:5">
      <c r="A28" s="535" t="s">
        <v>558</v>
      </c>
      <c r="B28" s="7">
        <v>0.08</v>
      </c>
      <c r="E28" s="153"/>
    </row>
    <row r="29" spans="1:5" hidden="1">
      <c r="A29" s="9" t="s">
        <v>647</v>
      </c>
      <c r="B29" s="10"/>
      <c r="E29" s="153"/>
    </row>
    <row r="30" spans="1:5" hidden="1">
      <c r="A30" s="11"/>
      <c r="B30" s="12"/>
      <c r="E30" s="153"/>
    </row>
    <row r="31" spans="1:5" hidden="1">
      <c r="A31" s="16" t="s">
        <v>19</v>
      </c>
      <c r="B31" s="13" t="s">
        <v>20</v>
      </c>
      <c r="E31" s="153"/>
    </row>
    <row r="32" spans="1:5" hidden="1">
      <c r="A32" s="16"/>
      <c r="B32" s="15" t="s">
        <v>21</v>
      </c>
      <c r="E32" s="153"/>
    </row>
    <row r="33" spans="1:5" hidden="1">
      <c r="A33" s="16"/>
      <c r="B33" s="13"/>
      <c r="E33" s="153"/>
    </row>
    <row r="34" spans="1:5" hidden="1">
      <c r="A34" s="16" t="s">
        <v>22</v>
      </c>
      <c r="B34" s="13" t="s">
        <v>23</v>
      </c>
      <c r="E34" s="153"/>
    </row>
    <row r="35" spans="1:5" hidden="1">
      <c r="A35" s="16"/>
      <c r="B35" s="15" t="s">
        <v>24</v>
      </c>
      <c r="E35" s="153"/>
    </row>
    <row r="36" spans="1:5" hidden="1">
      <c r="A36" s="16"/>
      <c r="B36" s="13"/>
      <c r="E36" s="153"/>
    </row>
    <row r="37" spans="1:5" hidden="1">
      <c r="A37" s="16"/>
      <c r="B37" s="457"/>
      <c r="E37" s="153"/>
    </row>
    <row r="38" spans="1:5" hidden="1">
      <c r="A38" s="16"/>
      <c r="B38" s="13"/>
      <c r="E38" s="153"/>
    </row>
    <row r="39" spans="1:5" hidden="1">
      <c r="A39" s="16"/>
      <c r="B39" s="13"/>
      <c r="E39" s="153"/>
    </row>
    <row r="40" spans="1:5" hidden="1">
      <c r="A40" s="16" t="s">
        <v>25</v>
      </c>
      <c r="B40" s="13" t="s">
        <v>258</v>
      </c>
      <c r="E40" s="153"/>
    </row>
    <row r="41" spans="1:5" hidden="1">
      <c r="A41" s="16"/>
      <c r="B41" s="13"/>
      <c r="E41" s="153"/>
    </row>
    <row r="42" spans="1:5" hidden="1">
      <c r="A42" s="16"/>
      <c r="B42" s="13"/>
      <c r="E42" s="153"/>
    </row>
    <row r="43" spans="1:5" hidden="1">
      <c r="A43" s="17" t="s">
        <v>26</v>
      </c>
      <c r="B43" s="14" t="s">
        <v>27</v>
      </c>
      <c r="E43" s="153"/>
    </row>
    <row r="44" spans="1:5">
      <c r="E44" s="153"/>
    </row>
    <row r="45" spans="1:5" s="153" customFormat="1">
      <c r="A45" s="535" t="s">
        <v>648</v>
      </c>
      <c r="B45" s="24">
        <v>1.1100000000000001</v>
      </c>
    </row>
    <row r="46" spans="1:5" s="153" customFormat="1"/>
    <row r="47" spans="1:5">
      <c r="E47" s="153" t="str">
        <f t="shared" ref="E47" si="0">PROPER(A47)</f>
        <v/>
      </c>
    </row>
  </sheetData>
  <sheetProtection sheet="1" objects="1" scenarios="1" formatCells="0" formatColumns="0" formatRows="0" insertColumns="0" insertRows="0" insertHyperlinks="0" deleteColumns="0" deleteRows="0" sort="0" autoFilter="0" pivotTables="0"/>
  <mergeCells count="1">
    <mergeCell ref="A21:B21"/>
  </mergeCells>
  <pageMargins left="0.7" right="0.7" top="0.75" bottom="0.75" header="0.3" footer="0.3"/>
  <pageSetup paperSize="9"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sheetPr>
    <tabColor rgb="FFFF0000"/>
  </sheetPr>
  <dimension ref="B2:L52"/>
  <sheetViews>
    <sheetView showGridLines="0" zoomScale="90" zoomScaleNormal="90" workbookViewId="0">
      <selection activeCell="G48" sqref="G48"/>
    </sheetView>
  </sheetViews>
  <sheetFormatPr baseColWidth="10" defaultRowHeight="15" outlineLevelRow="1"/>
  <cols>
    <col min="1" max="1" width="2.28515625" style="255" customWidth="1"/>
    <col min="2" max="2" width="63.5703125" style="255" bestFit="1" customWidth="1"/>
    <col min="3" max="3" width="17.7109375" style="255" bestFit="1" customWidth="1"/>
    <col min="4" max="5" width="18.28515625" style="255" bestFit="1" customWidth="1"/>
    <col min="6" max="6" width="19.85546875" style="255" bestFit="1" customWidth="1"/>
    <col min="7" max="7" width="19" style="255" bestFit="1" customWidth="1"/>
    <col min="8" max="8" width="19.85546875" style="255" bestFit="1" customWidth="1"/>
    <col min="9" max="9" width="14.85546875" style="255" bestFit="1" customWidth="1"/>
    <col min="10" max="10" width="13.28515625" style="255" bestFit="1" customWidth="1"/>
    <col min="11" max="11" width="11.42578125" style="255"/>
    <col min="12" max="12" width="12.140625" style="255" bestFit="1" customWidth="1"/>
    <col min="13" max="16384" width="11.42578125" style="255"/>
  </cols>
  <sheetData>
    <row r="2" spans="2:10">
      <c r="B2" s="404" t="s">
        <v>545</v>
      </c>
      <c r="C2" s="405" t="s">
        <v>60</v>
      </c>
      <c r="D2" s="405" t="s">
        <v>6</v>
      </c>
      <c r="E2" s="405" t="s">
        <v>12</v>
      </c>
      <c r="F2" s="405" t="s">
        <v>13</v>
      </c>
      <c r="G2" s="405" t="s">
        <v>14</v>
      </c>
      <c r="H2" s="405" t="s">
        <v>15</v>
      </c>
    </row>
    <row r="3" spans="2:10" s="276" customFormat="1">
      <c r="B3" s="406"/>
      <c r="C3" s="407"/>
      <c r="D3" s="407"/>
      <c r="E3" s="407"/>
      <c r="F3" s="407"/>
      <c r="G3" s="407"/>
      <c r="H3" s="407"/>
    </row>
    <row r="4" spans="2:10">
      <c r="B4" s="408" t="s">
        <v>31</v>
      </c>
      <c r="C4" s="409"/>
      <c r="D4" s="409"/>
      <c r="E4" s="409"/>
      <c r="F4" s="409"/>
      <c r="G4" s="409"/>
      <c r="H4" s="409"/>
    </row>
    <row r="5" spans="2:10">
      <c r="B5" s="410" t="s">
        <v>325</v>
      </c>
      <c r="C5" s="411"/>
      <c r="D5" s="411"/>
      <c r="E5" s="411"/>
      <c r="F5" s="408"/>
      <c r="G5" s="408"/>
      <c r="H5" s="408"/>
      <c r="J5" s="412"/>
    </row>
    <row r="6" spans="2:10">
      <c r="B6" s="413" t="s">
        <v>217</v>
      </c>
      <c r="C6" s="414">
        <f>F.E!C64</f>
        <v>34637907.018054843</v>
      </c>
      <c r="D6" s="414">
        <f>F.E!D64</f>
        <v>87765071.36610806</v>
      </c>
      <c r="E6" s="414">
        <f>F.E!E64</f>
        <v>305298025.97553468</v>
      </c>
      <c r="F6" s="415">
        <f>F.E!F64</f>
        <v>631695191.74216735</v>
      </c>
      <c r="G6" s="415">
        <f>F.E!G64</f>
        <v>825514930.71163797</v>
      </c>
      <c r="H6" s="415">
        <f>F.E!H64</f>
        <v>1009349525.2619498</v>
      </c>
      <c r="I6" s="292"/>
      <c r="J6" s="416"/>
    </row>
    <row r="7" spans="2:10">
      <c r="B7" s="413" t="s">
        <v>326</v>
      </c>
      <c r="C7" s="414">
        <f>+C8+C9</f>
        <v>0</v>
      </c>
      <c r="D7" s="414">
        <f t="shared" ref="D7:H7" si="0">+D8+D9</f>
        <v>88488664.615384609</v>
      </c>
      <c r="E7" s="414">
        <f t="shared" si="0"/>
        <v>142936512.06284338</v>
      </c>
      <c r="F7" s="414">
        <f t="shared" si="0"/>
        <v>146373570.71763399</v>
      </c>
      <c r="G7" s="414">
        <f t="shared" si="0"/>
        <v>185098651.4471918</v>
      </c>
      <c r="H7" s="414">
        <f t="shared" si="0"/>
        <v>206326060.93841428</v>
      </c>
      <c r="I7" s="292"/>
      <c r="J7" s="416"/>
    </row>
    <row r="8" spans="2:10" hidden="1" outlineLevel="1">
      <c r="B8" s="417" t="s">
        <v>391</v>
      </c>
      <c r="C8" s="418">
        <v>0</v>
      </c>
      <c r="D8" s="418">
        <f>INGRESOS!X12</f>
        <v>88488664.615384609</v>
      </c>
      <c r="E8" s="418">
        <f>INGRESOS!AK12</f>
        <v>131543232.0628434</v>
      </c>
      <c r="F8" s="418">
        <f>INGRESOS!AX12</f>
        <v>117633234.48413895</v>
      </c>
      <c r="G8" s="418">
        <f>INGRESOS!BK12</f>
        <v>139276791.8963365</v>
      </c>
      <c r="H8" s="418">
        <f>INGRESOS!BX12</f>
        <v>139340357.5880827</v>
      </c>
      <c r="I8" s="292"/>
      <c r="J8" s="416"/>
    </row>
    <row r="9" spans="2:10" hidden="1" outlineLevel="1">
      <c r="B9" s="417" t="s">
        <v>392</v>
      </c>
      <c r="C9" s="418">
        <v>0</v>
      </c>
      <c r="D9" s="418">
        <f>INGRESOS!X16</f>
        <v>0</v>
      </c>
      <c r="E9" s="418">
        <f>INGRESOS!AK16</f>
        <v>11393280</v>
      </c>
      <c r="F9" s="418">
        <f>INGRESOS!AX16</f>
        <v>28740336.233495042</v>
      </c>
      <c r="G9" s="418">
        <f>INGRESOS!BK16</f>
        <v>45821859.550855316</v>
      </c>
      <c r="H9" s="418">
        <f>INGRESOS!BX16</f>
        <v>66985703.35033159</v>
      </c>
      <c r="I9" s="292"/>
      <c r="J9" s="416"/>
    </row>
    <row r="10" spans="2:10" collapsed="1">
      <c r="B10" s="413" t="s">
        <v>327</v>
      </c>
      <c r="C10" s="414">
        <f>SUM(C11:C14)</f>
        <v>23491871.248953395</v>
      </c>
      <c r="D10" s="414">
        <f t="shared" ref="D10:H10" si="1">SUM(D11:D14)</f>
        <v>23491871.248953395</v>
      </c>
      <c r="E10" s="414">
        <f t="shared" si="1"/>
        <v>25280039.792652164</v>
      </c>
      <c r="F10" s="414">
        <f t="shared" si="1"/>
        <v>26025800.966535404</v>
      </c>
      <c r="G10" s="414">
        <f t="shared" si="1"/>
        <v>26759728.553791698</v>
      </c>
      <c r="H10" s="414">
        <f t="shared" si="1"/>
        <v>27482241.224744085</v>
      </c>
      <c r="I10" s="292"/>
      <c r="J10" s="416"/>
    </row>
    <row r="11" spans="2:10" hidden="1" outlineLevel="1">
      <c r="B11" s="417" t="s">
        <v>393</v>
      </c>
      <c r="C11" s="418">
        <f>K.W!C73</f>
        <v>23327036.084118228</v>
      </c>
      <c r="D11" s="418">
        <f>K.W!D73</f>
        <v>23327036.084118228</v>
      </c>
      <c r="E11" s="418">
        <f>K.W!E73</f>
        <v>24047841.499117471</v>
      </c>
      <c r="F11" s="418">
        <f>K.W!F73</f>
        <v>24757252.82334144</v>
      </c>
      <c r="G11" s="418">
        <f>K.W!G73</f>
        <v>25455407.352959663</v>
      </c>
      <c r="H11" s="418">
        <f>K.W!H73</f>
        <v>26142703.351489581</v>
      </c>
      <c r="I11" s="292"/>
      <c r="J11" s="416"/>
    </row>
    <row r="12" spans="2:10" hidden="1" outlineLevel="1">
      <c r="B12" s="417" t="s">
        <v>394</v>
      </c>
      <c r="C12" s="418">
        <f>K.W!C74</f>
        <v>0</v>
      </c>
      <c r="D12" s="418">
        <f>K.W!D74</f>
        <v>0</v>
      </c>
      <c r="E12" s="418">
        <f>K.W!E74</f>
        <v>892341.1506775493</v>
      </c>
      <c r="F12" s="418">
        <f>K.W!F74</f>
        <v>918665.21462253691</v>
      </c>
      <c r="G12" s="418">
        <f>K.W!G74</f>
        <v>944571.57367489289</v>
      </c>
      <c r="H12" s="418">
        <f>K.W!H74</f>
        <v>970075.00616411504</v>
      </c>
      <c r="I12" s="292"/>
      <c r="J12" s="416"/>
    </row>
    <row r="13" spans="2:10" hidden="1" outlineLevel="1">
      <c r="B13" s="417" t="s">
        <v>395</v>
      </c>
      <c r="C13" s="418">
        <f>K.W!C75</f>
        <v>164835.16483516488</v>
      </c>
      <c r="D13" s="418">
        <f>K.W!D75</f>
        <v>164835.16483516488</v>
      </c>
      <c r="E13" s="418">
        <f>K.W!E75</f>
        <v>169928.57142857133</v>
      </c>
      <c r="F13" s="418">
        <f>K.W!F75</f>
        <v>174941.46428571429</v>
      </c>
      <c r="G13" s="418">
        <f>K.W!G75</f>
        <v>179874.81357857145</v>
      </c>
      <c r="H13" s="418">
        <f>K.W!H75</f>
        <v>184731.43354519273</v>
      </c>
      <c r="I13" s="292"/>
      <c r="J13" s="416"/>
    </row>
    <row r="14" spans="2:10" hidden="1" outlineLevel="1">
      <c r="B14" s="417" t="s">
        <v>396</v>
      </c>
      <c r="C14" s="418">
        <f>K.W!C76</f>
        <v>0</v>
      </c>
      <c r="D14" s="418">
        <f>K.W!D76</f>
        <v>0</v>
      </c>
      <c r="E14" s="418">
        <f>K.W!E76</f>
        <v>169928.57142857133</v>
      </c>
      <c r="F14" s="418">
        <f>K.W!F76</f>
        <v>174941.46428571429</v>
      </c>
      <c r="G14" s="418">
        <f>K.W!G76</f>
        <v>179874.81357857145</v>
      </c>
      <c r="H14" s="418">
        <f>K.W!H76</f>
        <v>184731.43354519297</v>
      </c>
      <c r="I14" s="292"/>
      <c r="J14" s="416"/>
    </row>
    <row r="15" spans="2:10" collapsed="1">
      <c r="B15" s="419" t="s">
        <v>328</v>
      </c>
      <c r="C15" s="420">
        <f t="shared" ref="C15:H15" si="2">C10+C7+C6</f>
        <v>58129778.267008238</v>
      </c>
      <c r="D15" s="420">
        <f t="shared" si="2"/>
        <v>199745607.23044607</v>
      </c>
      <c r="E15" s="420">
        <f t="shared" si="2"/>
        <v>473514577.83103025</v>
      </c>
      <c r="F15" s="420">
        <f t="shared" si="2"/>
        <v>804094563.42633677</v>
      </c>
      <c r="G15" s="420">
        <f t="shared" si="2"/>
        <v>1037373310.7126215</v>
      </c>
      <c r="H15" s="420">
        <f t="shared" si="2"/>
        <v>1243157827.4251082</v>
      </c>
      <c r="I15" s="292"/>
      <c r="J15" s="416"/>
    </row>
    <row r="16" spans="2:10">
      <c r="B16" s="410" t="s">
        <v>330</v>
      </c>
      <c r="C16" s="414"/>
      <c r="D16" s="414"/>
      <c r="E16" s="414"/>
      <c r="F16" s="415"/>
      <c r="G16" s="414"/>
      <c r="H16" s="414"/>
      <c r="I16" s="292"/>
      <c r="J16" s="416"/>
    </row>
    <row r="17" spans="2:10">
      <c r="B17" s="413" t="s">
        <v>214</v>
      </c>
      <c r="C17" s="414">
        <f>INVERSION!C17</f>
        <v>142358800</v>
      </c>
      <c r="D17" s="414">
        <f>C17</f>
        <v>142358800</v>
      </c>
      <c r="E17" s="414">
        <f>D17+INVERSION!E17</f>
        <v>294664378.36000001</v>
      </c>
      <c r="F17" s="414">
        <f>E17+INVERSION!F17</f>
        <v>312643420.54162002</v>
      </c>
      <c r="G17" s="414">
        <f>F17+INVERSION!G17</f>
        <v>530741274.02960914</v>
      </c>
      <c r="H17" s="414">
        <f>G17+INVERSION!H17</f>
        <v>871784644.32140255</v>
      </c>
      <c r="I17" s="292"/>
      <c r="J17" s="416"/>
    </row>
    <row r="18" spans="2:10">
      <c r="B18" s="413" t="s">
        <v>329</v>
      </c>
      <c r="C18" s="414">
        <v>0</v>
      </c>
      <c r="D18" s="414">
        <f>C18+-EGRESOS!D224+-EGRESOS!D255</f>
        <v>-8640000</v>
      </c>
      <c r="E18" s="414">
        <f>D18+-EGRESOS!E224+-EGRESOS!E255</f>
        <v>-20248992</v>
      </c>
      <c r="F18" s="415">
        <f>E18+-EGRESOS!F224+-EGRESOS!F255</f>
        <v>-31857984</v>
      </c>
      <c r="G18" s="415">
        <f>F18+-EGRESOS!G224+-EGRESOS!G255</f>
        <v>-44993334.787200004</v>
      </c>
      <c r="H18" s="415">
        <f>G18+-EGRESOS!H224+-EGRESOS!H255</f>
        <v>-59696256.048854403</v>
      </c>
      <c r="I18" s="292"/>
      <c r="J18" s="416"/>
    </row>
    <row r="19" spans="2:10">
      <c r="B19" s="419" t="s">
        <v>338</v>
      </c>
      <c r="C19" s="420">
        <f t="shared" ref="C19:H19" si="3">SUM(C17:C18)</f>
        <v>142358800</v>
      </c>
      <c r="D19" s="420">
        <f t="shared" si="3"/>
        <v>133718800</v>
      </c>
      <c r="E19" s="420">
        <f t="shared" si="3"/>
        <v>274415386.36000001</v>
      </c>
      <c r="F19" s="420">
        <f t="shared" si="3"/>
        <v>280785436.54162002</v>
      </c>
      <c r="G19" s="420">
        <f t="shared" si="3"/>
        <v>485747939.24240911</v>
      </c>
      <c r="H19" s="420">
        <f t="shared" si="3"/>
        <v>812088388.2725482</v>
      </c>
      <c r="I19" s="292"/>
      <c r="J19" s="416"/>
    </row>
    <row r="20" spans="2:10">
      <c r="B20" s="410" t="s">
        <v>324</v>
      </c>
      <c r="C20" s="414"/>
      <c r="D20" s="414"/>
      <c r="E20" s="414"/>
      <c r="F20" s="415"/>
      <c r="G20" s="414"/>
      <c r="H20" s="414"/>
      <c r="I20" s="292"/>
      <c r="J20" s="416"/>
    </row>
    <row r="21" spans="2:10">
      <c r="B21" s="413" t="s">
        <v>497</v>
      </c>
      <c r="C21" s="414">
        <f t="shared" ref="C21:H21" si="4">SUM(C22:C24)</f>
        <v>81424998.935167924</v>
      </c>
      <c r="D21" s="414">
        <f t="shared" si="4"/>
        <v>0</v>
      </c>
      <c r="E21" s="414">
        <f t="shared" si="4"/>
        <v>0</v>
      </c>
      <c r="F21" s="414">
        <f t="shared" si="4"/>
        <v>0</v>
      </c>
      <c r="G21" s="414">
        <f t="shared" si="4"/>
        <v>0</v>
      </c>
      <c r="H21" s="414">
        <f t="shared" si="4"/>
        <v>0</v>
      </c>
      <c r="I21" s="292"/>
      <c r="J21" s="416"/>
    </row>
    <row r="22" spans="2:10" hidden="1" outlineLevel="1">
      <c r="B22" s="417" t="s">
        <v>494</v>
      </c>
      <c r="C22" s="418">
        <f>INVERSION!C18</f>
        <v>71123764.065853238</v>
      </c>
      <c r="D22" s="421">
        <v>0</v>
      </c>
      <c r="E22" s="421">
        <v>0</v>
      </c>
      <c r="F22" s="421">
        <v>0</v>
      </c>
      <c r="G22" s="421">
        <v>0</v>
      </c>
      <c r="H22" s="421">
        <v>0</v>
      </c>
      <c r="I22" s="292"/>
      <c r="J22" s="416"/>
    </row>
    <row r="23" spans="2:10" hidden="1" outlineLevel="1">
      <c r="B23" s="417" t="s">
        <v>495</v>
      </c>
      <c r="C23" s="418">
        <f>INVERSION!C19</f>
        <v>6504500</v>
      </c>
      <c r="D23" s="421">
        <v>0</v>
      </c>
      <c r="E23" s="421">
        <v>0</v>
      </c>
      <c r="F23" s="421">
        <v>0</v>
      </c>
      <c r="G23" s="421">
        <v>0</v>
      </c>
      <c r="H23" s="421">
        <v>0</v>
      </c>
      <c r="I23" s="292"/>
      <c r="J23" s="416"/>
    </row>
    <row r="24" spans="2:10" hidden="1" outlineLevel="1">
      <c r="B24" s="417" t="s">
        <v>496</v>
      </c>
      <c r="C24" s="418">
        <f>INVERSION!C20</f>
        <v>3796734.8693146855</v>
      </c>
      <c r="D24" s="421">
        <v>0</v>
      </c>
      <c r="E24" s="421">
        <v>0</v>
      </c>
      <c r="F24" s="421">
        <v>0</v>
      </c>
      <c r="G24" s="421">
        <v>0</v>
      </c>
      <c r="H24" s="421">
        <v>0</v>
      </c>
      <c r="I24" s="292"/>
      <c r="J24" s="416"/>
    </row>
    <row r="25" spans="2:10" collapsed="1">
      <c r="B25" s="413" t="s">
        <v>337</v>
      </c>
      <c r="C25" s="414">
        <f t="shared" ref="C25:H25" si="5">C21</f>
        <v>81424998.935167924</v>
      </c>
      <c r="D25" s="414">
        <f t="shared" si="5"/>
        <v>0</v>
      </c>
      <c r="E25" s="414">
        <f t="shared" si="5"/>
        <v>0</v>
      </c>
      <c r="F25" s="414">
        <f t="shared" si="5"/>
        <v>0</v>
      </c>
      <c r="G25" s="414">
        <f t="shared" si="5"/>
        <v>0</v>
      </c>
      <c r="H25" s="414">
        <f t="shared" si="5"/>
        <v>0</v>
      </c>
      <c r="I25" s="292"/>
      <c r="J25" s="416"/>
    </row>
    <row r="26" spans="2:10">
      <c r="B26" s="422" t="s">
        <v>32</v>
      </c>
      <c r="C26" s="423">
        <f t="shared" ref="C26:H26" si="6">+C15+C19+C25</f>
        <v>281913577.20217615</v>
      </c>
      <c r="D26" s="423">
        <f t="shared" si="6"/>
        <v>333464407.2304461</v>
      </c>
      <c r="E26" s="423">
        <f t="shared" si="6"/>
        <v>747929964.19103026</v>
      </c>
      <c r="F26" s="423">
        <f t="shared" si="6"/>
        <v>1084879999.9679568</v>
      </c>
      <c r="G26" s="423">
        <f t="shared" si="6"/>
        <v>1523121249.9550304</v>
      </c>
      <c r="H26" s="423">
        <f t="shared" si="6"/>
        <v>2055246215.6976564</v>
      </c>
      <c r="I26" s="292"/>
      <c r="J26" s="416"/>
    </row>
    <row r="27" spans="2:10">
      <c r="B27" s="424" t="s">
        <v>215</v>
      </c>
      <c r="C27" s="425"/>
      <c r="D27" s="425"/>
      <c r="E27" s="425"/>
      <c r="F27" s="425"/>
      <c r="G27" s="425"/>
      <c r="H27" s="425"/>
      <c r="I27" s="292"/>
      <c r="J27" s="416"/>
    </row>
    <row r="28" spans="2:10">
      <c r="B28" s="426" t="s">
        <v>331</v>
      </c>
      <c r="C28" s="414"/>
      <c r="D28" s="414"/>
      <c r="E28" s="414"/>
      <c r="F28" s="414"/>
      <c r="G28" s="414"/>
      <c r="H28" s="414"/>
      <c r="I28" s="292"/>
      <c r="J28" s="416"/>
    </row>
    <row r="29" spans="2:10">
      <c r="B29" s="427" t="s">
        <v>434</v>
      </c>
      <c r="C29" s="414">
        <f>SUM(C30:C33)</f>
        <v>0</v>
      </c>
      <c r="D29" s="414">
        <f t="shared" ref="D29:H29" si="7">SUM(D30:D33)</f>
        <v>45104392.797990516</v>
      </c>
      <c r="E29" s="414">
        <f t="shared" si="7"/>
        <v>69052415.745472774</v>
      </c>
      <c r="F29" s="414">
        <f t="shared" si="7"/>
        <v>65074205.631793216</v>
      </c>
      <c r="G29" s="414">
        <f t="shared" si="7"/>
        <v>79038550.89734602</v>
      </c>
      <c r="H29" s="414">
        <f t="shared" si="7"/>
        <v>82448881.101419762</v>
      </c>
      <c r="I29" s="292"/>
      <c r="J29" s="416"/>
    </row>
    <row r="30" spans="2:10" hidden="1" outlineLevel="1">
      <c r="B30" s="417" t="s">
        <v>397</v>
      </c>
      <c r="C30" s="418">
        <v>0</v>
      </c>
      <c r="D30" s="418">
        <f>EGRESOS!X30</f>
        <v>44787909.281507</v>
      </c>
      <c r="E30" s="418">
        <f>EGRESOS!AK30</f>
        <v>66542649.467042387</v>
      </c>
      <c r="F30" s="418">
        <f>EGRESOS!AX30</f>
        <v>59527728.724738248</v>
      </c>
      <c r="G30" s="418">
        <f>EGRESOS!BK30</f>
        <v>70565845.012187704</v>
      </c>
      <c r="H30" s="418">
        <f>EGRESOS!BX30</f>
        <v>70559638.993096024</v>
      </c>
      <c r="I30" s="292"/>
      <c r="J30" s="416"/>
    </row>
    <row r="31" spans="2:10" hidden="1" outlineLevel="1">
      <c r="B31" s="417" t="s">
        <v>398</v>
      </c>
      <c r="C31" s="418">
        <v>0</v>
      </c>
      <c r="D31" s="418">
        <f>EGRESOS!X72</f>
        <v>0</v>
      </c>
      <c r="E31" s="418">
        <f>EGRESOS!AK72</f>
        <v>1713295.0093008943</v>
      </c>
      <c r="F31" s="418">
        <f>EGRESOS!AX72</f>
        <v>4305870.6563840322</v>
      </c>
      <c r="G31" s="418">
        <f>EGRESOS!BK72</f>
        <v>6698477.1351479413</v>
      </c>
      <c r="H31" s="418">
        <f>EGRESOS!BX72</f>
        <v>9568515.6324069872</v>
      </c>
      <c r="I31" s="292"/>
      <c r="J31" s="416"/>
    </row>
    <row r="32" spans="2:10" hidden="1" outlineLevel="1">
      <c r="B32" s="417" t="s">
        <v>399</v>
      </c>
      <c r="C32" s="418">
        <v>0</v>
      </c>
      <c r="D32" s="418">
        <f>EGRESOS!X103</f>
        <v>316483.51648351649</v>
      </c>
      <c r="E32" s="418">
        <f>EGRESOS!AK103</f>
        <v>470208.41198665061</v>
      </c>
      <c r="F32" s="418">
        <f>EGRESOS!AX103</f>
        <v>420639.07910211117</v>
      </c>
      <c r="G32" s="418">
        <f>EGRESOS!BK103</f>
        <v>498637.40307050408</v>
      </c>
      <c r="H32" s="418">
        <f>EGRESOS!BX103</f>
        <v>498593.54965611146</v>
      </c>
      <c r="I32" s="292"/>
      <c r="J32" s="416"/>
    </row>
    <row r="33" spans="2:12" hidden="1" outlineLevel="1">
      <c r="B33" s="417" t="s">
        <v>400</v>
      </c>
      <c r="C33" s="418">
        <v>0</v>
      </c>
      <c r="D33" s="418">
        <f>EGRESOS!X139</f>
        <v>0</v>
      </c>
      <c r="E33" s="418">
        <f>EGRESOS!AK139</f>
        <v>326262.8571428571</v>
      </c>
      <c r="F33" s="418">
        <f>EGRESOS!AX139</f>
        <v>819967.17156882829</v>
      </c>
      <c r="G33" s="418">
        <f>EGRESOS!BK139</f>
        <v>1275591.3469398597</v>
      </c>
      <c r="H33" s="418">
        <f>EGRESOS!BX139</f>
        <v>1822132.9262606434</v>
      </c>
      <c r="I33" s="292"/>
      <c r="J33" s="416"/>
    </row>
    <row r="34" spans="2:12" collapsed="1">
      <c r="B34" s="413" t="s">
        <v>433</v>
      </c>
      <c r="C34" s="414">
        <v>0</v>
      </c>
      <c r="D34" s="414">
        <f>E.R!D46</f>
        <v>4653041.4155358411</v>
      </c>
      <c r="E34" s="414">
        <f>E.R!E46</f>
        <v>135588785.41246659</v>
      </c>
      <c r="F34" s="414">
        <f>E.R!F46</f>
        <v>216100302.09284076</v>
      </c>
      <c r="G34" s="414">
        <f>E.R!G46</f>
        <v>303891762.51248628</v>
      </c>
      <c r="H34" s="414">
        <f>E.R!H46</f>
        <v>404392404.63590789</v>
      </c>
      <c r="I34" s="292"/>
      <c r="J34" s="416"/>
    </row>
    <row r="35" spans="2:12">
      <c r="B35" s="419" t="s">
        <v>334</v>
      </c>
      <c r="C35" s="420">
        <f>+C29+C34</f>
        <v>0</v>
      </c>
      <c r="D35" s="420">
        <f t="shared" ref="D35:H35" si="8">+D29+D34</f>
        <v>49757434.213526353</v>
      </c>
      <c r="E35" s="420">
        <f t="shared" si="8"/>
        <v>204641201.15793937</v>
      </c>
      <c r="F35" s="420">
        <f t="shared" si="8"/>
        <v>281174507.72463399</v>
      </c>
      <c r="G35" s="420">
        <f t="shared" si="8"/>
        <v>382930313.4098323</v>
      </c>
      <c r="H35" s="420">
        <f t="shared" si="8"/>
        <v>486841285.73732764</v>
      </c>
      <c r="I35" s="292"/>
      <c r="J35" s="416"/>
    </row>
    <row r="36" spans="2:12">
      <c r="B36" s="410" t="s">
        <v>332</v>
      </c>
      <c r="C36" s="414"/>
      <c r="D36" s="414"/>
      <c r="E36" s="414"/>
      <c r="F36" s="415"/>
      <c r="G36" s="414"/>
      <c r="H36" s="414"/>
      <c r="I36" s="292"/>
      <c r="J36" s="416"/>
    </row>
    <row r="37" spans="2:12">
      <c r="B37" s="413" t="s">
        <v>333</v>
      </c>
      <c r="C37" s="414">
        <f>DATOS!C22</f>
        <v>70737720</v>
      </c>
      <c r="D37" s="414">
        <f>C37-EGRESOS!D280</f>
        <v>63084031.728655517</v>
      </c>
      <c r="E37" s="414">
        <f>D37-EGRESOS!E280</f>
        <v>53047750.298441485</v>
      </c>
      <c r="F37" s="415">
        <f>E37-EGRESOS!F280</f>
        <v>39887174.459001809</v>
      </c>
      <c r="G37" s="415">
        <f>F37-EGRESOS!G280</f>
        <v>22629711.360744547</v>
      </c>
      <c r="H37" s="415">
        <f>G37-EGRESOS!H280</f>
        <v>-2.1606683731079102E-7</v>
      </c>
      <c r="I37" s="292"/>
      <c r="J37" s="416"/>
    </row>
    <row r="38" spans="2:12">
      <c r="B38" s="419" t="s">
        <v>335</v>
      </c>
      <c r="C38" s="420">
        <f t="shared" ref="C38:H38" si="9">+C37</f>
        <v>70737720</v>
      </c>
      <c r="D38" s="420">
        <f t="shared" si="9"/>
        <v>63084031.728655517</v>
      </c>
      <c r="E38" s="420">
        <f t="shared" si="9"/>
        <v>53047750.298441485</v>
      </c>
      <c r="F38" s="420">
        <f t="shared" si="9"/>
        <v>39887174.459001809</v>
      </c>
      <c r="G38" s="420">
        <f t="shared" si="9"/>
        <v>22629711.360744547</v>
      </c>
      <c r="H38" s="420">
        <f t="shared" si="9"/>
        <v>-2.1606683731079102E-7</v>
      </c>
      <c r="I38" s="428"/>
      <c r="J38" s="416"/>
      <c r="L38" s="257"/>
    </row>
    <row r="39" spans="2:12">
      <c r="B39" s="429" t="s">
        <v>33</v>
      </c>
      <c r="C39" s="420">
        <f t="shared" ref="C39:H39" si="10">C35+C38</f>
        <v>70737720</v>
      </c>
      <c r="D39" s="420">
        <f t="shared" si="10"/>
        <v>112841465.94218187</v>
      </c>
      <c r="E39" s="420">
        <f t="shared" si="10"/>
        <v>257688951.45638084</v>
      </c>
      <c r="F39" s="420">
        <f t="shared" si="10"/>
        <v>321061682.18363583</v>
      </c>
      <c r="G39" s="420">
        <f t="shared" si="10"/>
        <v>405560024.77057683</v>
      </c>
      <c r="H39" s="420">
        <f t="shared" si="10"/>
        <v>486841285.7373274</v>
      </c>
      <c r="I39" s="292"/>
      <c r="J39" s="416"/>
      <c r="L39" s="257"/>
    </row>
    <row r="40" spans="2:12">
      <c r="B40" s="408" t="s">
        <v>34</v>
      </c>
      <c r="C40" s="425"/>
      <c r="D40" s="425"/>
      <c r="E40" s="425"/>
      <c r="F40" s="430"/>
      <c r="G40" s="425"/>
      <c r="H40" s="425"/>
      <c r="I40" s="292"/>
      <c r="J40" s="416"/>
    </row>
    <row r="41" spans="2:12">
      <c r="B41" s="410" t="s">
        <v>125</v>
      </c>
      <c r="C41" s="414">
        <f>DATOS!C23</f>
        <v>211175857.20217615</v>
      </c>
      <c r="D41" s="414">
        <f>C41</f>
        <v>211175857.20217615</v>
      </c>
      <c r="E41" s="414">
        <f>D41</f>
        <v>211175857.20217615</v>
      </c>
      <c r="F41" s="415">
        <f>E41</f>
        <v>211175857.20217615</v>
      </c>
      <c r="G41" s="415">
        <f>F41</f>
        <v>211175857.20217615</v>
      </c>
      <c r="H41" s="415">
        <f>G41</f>
        <v>211175857.20217615</v>
      </c>
      <c r="I41" s="292"/>
      <c r="J41" s="416"/>
    </row>
    <row r="42" spans="2:12">
      <c r="B42" s="410" t="s">
        <v>430</v>
      </c>
      <c r="C42" s="414"/>
      <c r="D42" s="414"/>
      <c r="E42" s="414">
        <f>'RESERVA LEGAL Y DIVIDENDOS'!D17</f>
        <v>944708.408608792</v>
      </c>
      <c r="F42" s="414">
        <f>'RESERVA LEGAL Y DIVIDENDOS'!E17</f>
        <v>28473340.598412614</v>
      </c>
      <c r="G42" s="414">
        <f>'RESERVA LEGAL Y DIVIDENDOS'!F17</f>
        <v>72348250.417262092</v>
      </c>
      <c r="H42" s="414">
        <f>'RESERVA LEGAL Y DIVIDENDOS'!G17</f>
        <v>134047487.04858507</v>
      </c>
      <c r="I42" s="431"/>
      <c r="J42" s="412"/>
    </row>
    <row r="43" spans="2:12">
      <c r="B43" s="410" t="s">
        <v>336</v>
      </c>
      <c r="C43" s="414">
        <f>'RESERVA LEGAL Y DIVIDENDOS'!B24</f>
        <v>0</v>
      </c>
      <c r="D43" s="414">
        <f>C44</f>
        <v>0</v>
      </c>
      <c r="E43" s="414">
        <f>'RESERVA LEGAL Y DIVIDENDOS'!D30</f>
        <v>2834125.2258263761</v>
      </c>
      <c r="F43" s="414">
        <f>'RESERVA LEGAL Y DIVIDENDOS'!E30</f>
        <v>85420021.795237839</v>
      </c>
      <c r="G43" s="414">
        <f>'RESERVA LEGAL Y DIVIDENDOS'!F30</f>
        <v>217044751.25178626</v>
      </c>
      <c r="H43" s="414">
        <f>'RESERVA LEGAL Y DIVIDENDOS'!G30</f>
        <v>402142461.14575517</v>
      </c>
      <c r="I43" s="292"/>
      <c r="J43" s="416"/>
    </row>
    <row r="44" spans="2:12">
      <c r="B44" s="410" t="s">
        <v>401</v>
      </c>
      <c r="C44" s="414">
        <f>E.R!C49</f>
        <v>0</v>
      </c>
      <c r="D44" s="414">
        <f>E.R!D49</f>
        <v>9447084.0860879198</v>
      </c>
      <c r="E44" s="414">
        <f>E.R!E49</f>
        <v>275286321.89803821</v>
      </c>
      <c r="F44" s="415">
        <f>E.R!F49</f>
        <v>438749098.1884948</v>
      </c>
      <c r="G44" s="414">
        <f>E.R!G49</f>
        <v>616992366.3132298</v>
      </c>
      <c r="H44" s="414">
        <f>E.R!H49</f>
        <v>821039124.56381297</v>
      </c>
      <c r="I44" s="292"/>
      <c r="J44" s="416"/>
    </row>
    <row r="45" spans="2:12">
      <c r="B45" s="429" t="s">
        <v>35</v>
      </c>
      <c r="C45" s="420">
        <f t="shared" ref="C45:H45" si="11">SUM(C41:C44)</f>
        <v>211175857.20217615</v>
      </c>
      <c r="D45" s="420">
        <f t="shared" si="11"/>
        <v>220622941.28826407</v>
      </c>
      <c r="E45" s="420">
        <f t="shared" si="11"/>
        <v>490241012.73464954</v>
      </c>
      <c r="F45" s="420">
        <f t="shared" si="11"/>
        <v>763818317.78432143</v>
      </c>
      <c r="G45" s="420">
        <f t="shared" si="11"/>
        <v>1117561225.1844544</v>
      </c>
      <c r="H45" s="420">
        <f t="shared" si="11"/>
        <v>1568404929.9603293</v>
      </c>
      <c r="I45" s="292"/>
      <c r="J45" s="416"/>
    </row>
    <row r="46" spans="2:12">
      <c r="B46" s="429" t="s">
        <v>36</v>
      </c>
      <c r="C46" s="420">
        <f t="shared" ref="C46:H46" si="12">C45+C39</f>
        <v>281913577.20217615</v>
      </c>
      <c r="D46" s="420">
        <f t="shared" si="12"/>
        <v>333464407.23044592</v>
      </c>
      <c r="E46" s="420">
        <f t="shared" si="12"/>
        <v>747929964.19103038</v>
      </c>
      <c r="F46" s="420">
        <f t="shared" si="12"/>
        <v>1084879999.9679573</v>
      </c>
      <c r="G46" s="420">
        <f t="shared" si="12"/>
        <v>1523121249.9550314</v>
      </c>
      <c r="H46" s="420">
        <f t="shared" si="12"/>
        <v>2055246215.6976566</v>
      </c>
      <c r="I46" s="292"/>
      <c r="J46" s="416"/>
    </row>
    <row r="47" spans="2:12">
      <c r="J47" s="412"/>
    </row>
    <row r="48" spans="2:12">
      <c r="B48" s="258" t="s">
        <v>216</v>
      </c>
      <c r="C48" s="257">
        <f t="shared" ref="C48:H48" si="13">C26-C46</f>
        <v>0</v>
      </c>
      <c r="D48" s="292">
        <f t="shared" si="13"/>
        <v>0</v>
      </c>
      <c r="E48" s="257">
        <f t="shared" si="13"/>
        <v>0</v>
      </c>
      <c r="F48" s="257">
        <f t="shared" si="13"/>
        <v>0</v>
      </c>
      <c r="G48" s="257">
        <f t="shared" si="13"/>
        <v>0</v>
      </c>
      <c r="H48" s="257">
        <f t="shared" si="13"/>
        <v>0</v>
      </c>
    </row>
    <row r="52" spans="3:3">
      <c r="C52" s="257"/>
    </row>
  </sheetData>
  <sheetProtection sheet="1" formatCells="0" formatColumns="0" formatRows="0" insertColumns="0" insertRows="0" insertHyperlinks="0" deleteColumns="0" deleteRows="0" sort="0" autoFilter="0" pivotTables="0"/>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sheetPr>
    <tabColor theme="9"/>
  </sheetPr>
  <dimension ref="A1:Z27"/>
  <sheetViews>
    <sheetView showGridLines="0" zoomScale="90" zoomScaleNormal="90" workbookViewId="0">
      <selection activeCell="G32" sqref="G32"/>
    </sheetView>
  </sheetViews>
  <sheetFormatPr baseColWidth="10" defaultRowHeight="15"/>
  <cols>
    <col min="1" max="1" width="2" style="184" bestFit="1" customWidth="1"/>
    <col min="2" max="2" width="53" style="73" customWidth="1"/>
    <col min="3" max="3" width="17.85546875" style="73" bestFit="1" customWidth="1"/>
    <col min="4" max="4" width="17.28515625" style="73" bestFit="1" customWidth="1"/>
    <col min="5" max="8" width="17.85546875" style="73" bestFit="1" customWidth="1"/>
    <col min="9" max="9" width="6.140625" style="73" customWidth="1"/>
    <col min="10" max="10" width="44" style="73" customWidth="1"/>
    <col min="11" max="11" width="11.85546875" style="73" customWidth="1"/>
    <col min="12" max="12" width="17.28515625" style="73" bestFit="1" customWidth="1"/>
    <col min="13" max="13" width="16.85546875" style="73" bestFit="1" customWidth="1"/>
    <col min="14" max="16" width="15.85546875" style="73" bestFit="1" customWidth="1"/>
    <col min="17" max="17" width="15.42578125" style="73" bestFit="1" customWidth="1"/>
    <col min="18" max="18" width="15" style="73" bestFit="1" customWidth="1"/>
    <col min="19" max="19" width="16" style="73" bestFit="1" customWidth="1"/>
    <col min="20" max="20" width="21.140625" style="73" bestFit="1" customWidth="1"/>
    <col min="21" max="21" width="17.28515625" style="73" bestFit="1" customWidth="1"/>
    <col min="22" max="22" width="20.140625" style="73" bestFit="1" customWidth="1"/>
    <col min="23" max="23" width="19.28515625" style="73" bestFit="1" customWidth="1"/>
    <col min="24" max="24" width="17.28515625" style="73" bestFit="1" customWidth="1"/>
    <col min="25" max="25" width="11.42578125" style="73"/>
    <col min="26" max="26" width="14.85546875" style="73" bestFit="1" customWidth="1"/>
    <col min="27" max="16384" width="11.42578125" style="73"/>
  </cols>
  <sheetData>
    <row r="1" spans="1:26">
      <c r="B1" s="78"/>
      <c r="C1" s="78"/>
      <c r="D1" s="78"/>
      <c r="E1" s="78"/>
      <c r="F1" s="78"/>
      <c r="G1" s="78"/>
      <c r="H1" s="78"/>
      <c r="Z1" s="186" t="s">
        <v>541</v>
      </c>
    </row>
    <row r="2" spans="1:26">
      <c r="B2" s="185" t="s">
        <v>546</v>
      </c>
      <c r="C2" s="186" t="s">
        <v>60</v>
      </c>
      <c r="D2" s="186" t="s">
        <v>6</v>
      </c>
      <c r="E2" s="186" t="s">
        <v>12</v>
      </c>
      <c r="F2" s="186" t="s">
        <v>13</v>
      </c>
      <c r="G2" s="186" t="s">
        <v>14</v>
      </c>
      <c r="H2" s="186" t="s">
        <v>15</v>
      </c>
      <c r="J2" s="185" t="s">
        <v>547</v>
      </c>
      <c r="K2" s="186" t="s">
        <v>130</v>
      </c>
      <c r="L2" s="186" t="s">
        <v>131</v>
      </c>
      <c r="M2" s="186" t="s">
        <v>132</v>
      </c>
      <c r="N2" s="186" t="s">
        <v>133</v>
      </c>
      <c r="O2" s="186" t="s">
        <v>134</v>
      </c>
      <c r="P2" s="186" t="s">
        <v>135</v>
      </c>
      <c r="Q2" s="186" t="s">
        <v>136</v>
      </c>
      <c r="R2" s="186" t="s">
        <v>137</v>
      </c>
      <c r="S2" s="186" t="s">
        <v>138</v>
      </c>
      <c r="T2" s="186" t="s">
        <v>139</v>
      </c>
      <c r="U2" s="186" t="s">
        <v>140</v>
      </c>
      <c r="V2" s="186" t="s">
        <v>141</v>
      </c>
      <c r="W2" s="186" t="s">
        <v>142</v>
      </c>
      <c r="X2" s="186" t="s">
        <v>143</v>
      </c>
    </row>
    <row r="3" spans="1:26" s="78" customFormat="1">
      <c r="A3" s="453"/>
      <c r="B3" s="187"/>
      <c r="C3" s="188"/>
      <c r="D3" s="188"/>
      <c r="E3" s="188"/>
      <c r="F3" s="188"/>
      <c r="G3" s="188"/>
      <c r="H3" s="188"/>
      <c r="J3" s="187"/>
    </row>
    <row r="4" spans="1:26">
      <c r="B4" s="189" t="s">
        <v>455</v>
      </c>
      <c r="C4" s="190">
        <f>E.R!C40</f>
        <v>0</v>
      </c>
      <c r="D4" s="190">
        <f>E.R!D40</f>
        <v>32574980.345104039</v>
      </c>
      <c r="E4" s="190">
        <f>E.R!E40</f>
        <v>426967368.99511552</v>
      </c>
      <c r="F4" s="190">
        <f>E.R!F40</f>
        <v>667817367.55672073</v>
      </c>
      <c r="G4" s="190">
        <f>E.R!G40</f>
        <v>929755208.84228349</v>
      </c>
      <c r="H4" s="190">
        <f>E.R!H40</f>
        <v>1228930360.9538009</v>
      </c>
      <c r="J4" s="189" t="s">
        <v>455</v>
      </c>
      <c r="K4" s="190"/>
      <c r="L4" s="190">
        <f>E.R!L40</f>
        <v>-19543737.119781867</v>
      </c>
      <c r="M4" s="190">
        <f>E.R!M40</f>
        <v>-15496770.062471464</v>
      </c>
      <c r="N4" s="190">
        <f>E.R!N40</f>
        <v>-11449803.005161073</v>
      </c>
      <c r="O4" s="190">
        <f>E.R!O40</f>
        <v>-7402835.9478506595</v>
      </c>
      <c r="P4" s="190">
        <f>E.R!P40</f>
        <v>-3355868.8905402645</v>
      </c>
      <c r="Q4" s="190">
        <f>E.R!Q40</f>
        <v>691098.16677016765</v>
      </c>
      <c r="R4" s="190">
        <f>E.R!R40</f>
        <v>4738065.22408057</v>
      </c>
      <c r="S4" s="190">
        <f>E.R!S40</f>
        <v>8785032.2813909799</v>
      </c>
      <c r="T4" s="190">
        <f>E.R!T40</f>
        <v>12831999.338701382</v>
      </c>
      <c r="U4" s="190">
        <f>E.R!U40</f>
        <v>16878966.396011762</v>
      </c>
      <c r="V4" s="190">
        <f>E.R!V40</f>
        <v>20925933.453322142</v>
      </c>
      <c r="W4" s="190">
        <f>E.R!W40</f>
        <v>24972900.510632589</v>
      </c>
      <c r="X4" s="190">
        <f>SUM(L4:W4)</f>
        <v>32574980.345104262</v>
      </c>
      <c r="Z4" s="190">
        <f>X4-D4</f>
        <v>2.2351741790771484E-7</v>
      </c>
    </row>
    <row r="5" spans="1:26">
      <c r="B5" s="191" t="s">
        <v>457</v>
      </c>
      <c r="C5" s="190">
        <f>C4*DATOS!$B$26</f>
        <v>0</v>
      </c>
      <c r="D5" s="190">
        <f>D4*DATOS!$B$26</f>
        <v>10749743.513884334</v>
      </c>
      <c r="E5" s="190">
        <f>E4*DATOS!$B$26</f>
        <v>140899231.76838812</v>
      </c>
      <c r="F5" s="190">
        <f>F4*DATOS!$B$26</f>
        <v>220379731.29371786</v>
      </c>
      <c r="G5" s="190">
        <f>G4*DATOS!$B$26</f>
        <v>306819218.91795355</v>
      </c>
      <c r="H5" s="190">
        <f>H4*DATOS!$B$26</f>
        <v>405547019.11475432</v>
      </c>
      <c r="J5" s="191" t="s">
        <v>457</v>
      </c>
      <c r="K5" s="190"/>
      <c r="L5" s="190">
        <f>L4*DATOS!$B$26</f>
        <v>-6449433.249528016</v>
      </c>
      <c r="M5" s="190">
        <f>M4*DATOS!$B$26</f>
        <v>-5113934.1206155838</v>
      </c>
      <c r="N5" s="190">
        <f>N4*DATOS!$B$26</f>
        <v>-3778434.9917031545</v>
      </c>
      <c r="O5" s="190">
        <f>O4*DATOS!$B$26</f>
        <v>-2442935.8627907177</v>
      </c>
      <c r="P5" s="190">
        <f>P4*DATOS!$B$26</f>
        <v>-1107436.7338782873</v>
      </c>
      <c r="Q5" s="190">
        <f>Q4*DATOS!$B$26</f>
        <v>228062.39503415534</v>
      </c>
      <c r="R5" s="190">
        <f>R4*DATOS!$B$26</f>
        <v>1563561.5239465882</v>
      </c>
      <c r="S5" s="190">
        <f>S4*DATOS!$B$26</f>
        <v>2899060.6528590233</v>
      </c>
      <c r="T5" s="190">
        <f>T4*DATOS!$B$26</f>
        <v>4234559.7817714559</v>
      </c>
      <c r="U5" s="190">
        <f>U4*DATOS!$B$26</f>
        <v>5570058.9106838815</v>
      </c>
      <c r="V5" s="190">
        <f>V4*DATOS!$B$26</f>
        <v>6905558.0395963071</v>
      </c>
      <c r="W5" s="190">
        <f>W4*DATOS!$B$26</f>
        <v>8241057.168508755</v>
      </c>
      <c r="X5" s="190">
        <f>SUM(L5:W5)</f>
        <v>10749743.513884407</v>
      </c>
      <c r="Z5" s="190">
        <f>X5-D5</f>
        <v>7.2643160820007324E-8</v>
      </c>
    </row>
    <row r="6" spans="1:26">
      <c r="B6" s="192" t="s">
        <v>456</v>
      </c>
      <c r="C6" s="193">
        <f>C4-C5</f>
        <v>0</v>
      </c>
      <c r="D6" s="193">
        <f t="shared" ref="D6:H6" si="0">D4-D5</f>
        <v>21825236.831219703</v>
      </c>
      <c r="E6" s="193">
        <f t="shared" si="0"/>
        <v>286068137.22672737</v>
      </c>
      <c r="F6" s="193">
        <f t="shared" si="0"/>
        <v>447437636.26300287</v>
      </c>
      <c r="G6" s="193">
        <f t="shared" si="0"/>
        <v>622935989.92433</v>
      </c>
      <c r="H6" s="193">
        <f t="shared" si="0"/>
        <v>823383341.8390466</v>
      </c>
      <c r="J6" s="192" t="s">
        <v>456</v>
      </c>
      <c r="K6" s="193"/>
      <c r="L6" s="193">
        <f t="shared" ref="L6:X6" si="1">L4-L5</f>
        <v>-13094303.87025385</v>
      </c>
      <c r="M6" s="193">
        <f t="shared" si="1"/>
        <v>-10382835.941855881</v>
      </c>
      <c r="N6" s="193">
        <f t="shared" si="1"/>
        <v>-7671368.0134579185</v>
      </c>
      <c r="O6" s="193">
        <f t="shared" si="1"/>
        <v>-4959900.0850599417</v>
      </c>
      <c r="P6" s="193">
        <f t="shared" si="1"/>
        <v>-2248432.1566619771</v>
      </c>
      <c r="Q6" s="193">
        <f t="shared" si="1"/>
        <v>463035.77173601231</v>
      </c>
      <c r="R6" s="193">
        <f t="shared" si="1"/>
        <v>3174503.7001339821</v>
      </c>
      <c r="S6" s="193">
        <f t="shared" si="1"/>
        <v>5885971.628531957</v>
      </c>
      <c r="T6" s="193">
        <f t="shared" si="1"/>
        <v>8597439.5569299273</v>
      </c>
      <c r="U6" s="193">
        <f t="shared" si="1"/>
        <v>11308907.485327881</v>
      </c>
      <c r="V6" s="193">
        <f t="shared" si="1"/>
        <v>14020375.413725834</v>
      </c>
      <c r="W6" s="193">
        <f t="shared" si="1"/>
        <v>16731843.342123834</v>
      </c>
      <c r="X6" s="193">
        <f t="shared" si="1"/>
        <v>21825236.831219856</v>
      </c>
      <c r="Z6" s="193">
        <f t="shared" ref="Z6:Z11" si="2">X6-D6</f>
        <v>1.5273690223693848E-7</v>
      </c>
    </row>
    <row r="7" spans="1:26">
      <c r="B7" s="191" t="s">
        <v>515</v>
      </c>
      <c r="C7" s="190">
        <f>E.R!C39</f>
        <v>0</v>
      </c>
      <c r="D7" s="190">
        <f>E.R!D39</f>
        <v>8640000</v>
      </c>
      <c r="E7" s="190">
        <f>E.R!E39</f>
        <v>11608992</v>
      </c>
      <c r="F7" s="190">
        <f>E.R!F39</f>
        <v>11608992</v>
      </c>
      <c r="G7" s="190">
        <f>E.R!G39</f>
        <v>13135350.7872</v>
      </c>
      <c r="H7" s="190">
        <f>E.R!H39</f>
        <v>14702921.261654399</v>
      </c>
      <c r="J7" s="191" t="s">
        <v>515</v>
      </c>
      <c r="K7" s="190"/>
      <c r="L7" s="190">
        <f>E.R!L39</f>
        <v>720000</v>
      </c>
      <c r="M7" s="190">
        <f>E.R!M39</f>
        <v>720000</v>
      </c>
      <c r="N7" s="190">
        <f>E.R!N39</f>
        <v>720000</v>
      </c>
      <c r="O7" s="190">
        <f>E.R!O39</f>
        <v>720000</v>
      </c>
      <c r="P7" s="190">
        <f>E.R!P39</f>
        <v>720000</v>
      </c>
      <c r="Q7" s="190">
        <f>E.R!Q39</f>
        <v>720000</v>
      </c>
      <c r="R7" s="190">
        <f>E.R!R39</f>
        <v>720000</v>
      </c>
      <c r="S7" s="190">
        <f>E.R!S39</f>
        <v>720000</v>
      </c>
      <c r="T7" s="190">
        <f>E.R!T39</f>
        <v>720000</v>
      </c>
      <c r="U7" s="190">
        <f>E.R!U39</f>
        <v>720000</v>
      </c>
      <c r="V7" s="190">
        <f>E.R!V39</f>
        <v>720000</v>
      </c>
      <c r="W7" s="190">
        <f>E.R!W39</f>
        <v>720000</v>
      </c>
      <c r="X7" s="190">
        <f>SUM(L7:W7)</f>
        <v>8640000</v>
      </c>
      <c r="Z7" s="190">
        <f t="shared" si="2"/>
        <v>0</v>
      </c>
    </row>
    <row r="8" spans="1:26">
      <c r="B8" s="192" t="s">
        <v>458</v>
      </c>
      <c r="C8" s="193">
        <f>C6+C7</f>
        <v>0</v>
      </c>
      <c r="D8" s="193">
        <f t="shared" ref="D8:H8" si="3">D6+D7</f>
        <v>30465236.831219703</v>
      </c>
      <c r="E8" s="193">
        <f t="shared" si="3"/>
        <v>297677129.22672737</v>
      </c>
      <c r="F8" s="193">
        <f t="shared" si="3"/>
        <v>459046628.26300287</v>
      </c>
      <c r="G8" s="193">
        <f t="shared" si="3"/>
        <v>636071340.71152997</v>
      </c>
      <c r="H8" s="193">
        <f t="shared" si="3"/>
        <v>838086263.10070097</v>
      </c>
      <c r="J8" s="192" t="s">
        <v>458</v>
      </c>
      <c r="K8" s="193"/>
      <c r="L8" s="193">
        <f t="shared" ref="L8:X8" si="4">L6+L7</f>
        <v>-12374303.87025385</v>
      </c>
      <c r="M8" s="193">
        <f t="shared" si="4"/>
        <v>-9662835.9418558814</v>
      </c>
      <c r="N8" s="193">
        <f t="shared" si="4"/>
        <v>-6951368.0134579185</v>
      </c>
      <c r="O8" s="193">
        <f t="shared" si="4"/>
        <v>-4239900.0850599417</v>
      </c>
      <c r="P8" s="193">
        <f t="shared" si="4"/>
        <v>-1528432.1566619771</v>
      </c>
      <c r="Q8" s="193">
        <f t="shared" si="4"/>
        <v>1183035.7717360123</v>
      </c>
      <c r="R8" s="193">
        <f t="shared" si="4"/>
        <v>3894503.7001339821</v>
      </c>
      <c r="S8" s="193">
        <f t="shared" si="4"/>
        <v>6605971.628531957</v>
      </c>
      <c r="T8" s="193">
        <f t="shared" si="4"/>
        <v>9317439.5569299273</v>
      </c>
      <c r="U8" s="193">
        <f t="shared" si="4"/>
        <v>12028907.485327881</v>
      </c>
      <c r="V8" s="193">
        <f t="shared" si="4"/>
        <v>14740375.413725834</v>
      </c>
      <c r="W8" s="193">
        <f t="shared" si="4"/>
        <v>17451843.342123836</v>
      </c>
      <c r="X8" s="193">
        <f t="shared" si="4"/>
        <v>30465236.831219856</v>
      </c>
      <c r="Z8" s="193">
        <f t="shared" si="2"/>
        <v>1.5273690223693848E-7</v>
      </c>
    </row>
    <row r="9" spans="1:26">
      <c r="B9" s="194" t="s">
        <v>459</v>
      </c>
      <c r="C9" s="190">
        <f>K.W!C82</f>
        <v>23491871.248953395</v>
      </c>
      <c r="D9" s="190">
        <f>K.W!D83</f>
        <v>43384271.8173941</v>
      </c>
      <c r="E9" s="190">
        <f>K.W!E83</f>
        <v>32287993.043675274</v>
      </c>
      <c r="F9" s="190">
        <f>K.W!F83</f>
        <v>8161029.9423534274</v>
      </c>
      <c r="G9" s="190">
        <f>K.W!G83</f>
        <v>25494663.051261291</v>
      </c>
      <c r="H9" s="190">
        <f>K.W!H83</f>
        <v>18539591.958101124</v>
      </c>
      <c r="J9" s="194" t="s">
        <v>459</v>
      </c>
      <c r="K9" s="190"/>
      <c r="L9" s="190">
        <f>K.W!L83</f>
        <v>13557584.942935653</v>
      </c>
      <c r="M9" s="190">
        <f>K.W!M83</f>
        <v>2711516.9885871261</v>
      </c>
      <c r="N9" s="190">
        <f>K.W!N83</f>
        <v>2711516.9885871261</v>
      </c>
      <c r="O9" s="190">
        <f>K.W!O83</f>
        <v>2711516.9885871336</v>
      </c>
      <c r="P9" s="190">
        <f>K.W!P83</f>
        <v>2711516.9885871187</v>
      </c>
      <c r="Q9" s="190">
        <f>K.W!Q83</f>
        <v>2711516.9885871559</v>
      </c>
      <c r="R9" s="190">
        <f>K.W!R83</f>
        <v>2711516.9885871261</v>
      </c>
      <c r="S9" s="190">
        <f>K.W!S83</f>
        <v>2711516.9885871187</v>
      </c>
      <c r="T9" s="190">
        <f>K.W!T83</f>
        <v>2711516.9885871261</v>
      </c>
      <c r="U9" s="190">
        <f>K.W!U83</f>
        <v>2711516.9885871261</v>
      </c>
      <c r="V9" s="190">
        <f>K.W!V83</f>
        <v>2711516.9885871261</v>
      </c>
      <c r="W9" s="190">
        <f>K.W!W83</f>
        <v>2711516.9885871634</v>
      </c>
      <c r="X9" s="190">
        <f>SUM(L9:W9)</f>
        <v>43384271.8173941</v>
      </c>
      <c r="Z9" s="190">
        <f t="shared" si="2"/>
        <v>0</v>
      </c>
    </row>
    <row r="10" spans="1:26">
      <c r="B10" s="189" t="s">
        <v>516</v>
      </c>
      <c r="C10" s="190">
        <f>INVERSION!C17</f>
        <v>142358800</v>
      </c>
      <c r="D10" s="190">
        <f>INVERSION!D17</f>
        <v>0</v>
      </c>
      <c r="E10" s="190">
        <f>INVERSION!E17</f>
        <v>152305578.36000001</v>
      </c>
      <c r="F10" s="190">
        <f>INVERSION!F17</f>
        <v>17979042.181620002</v>
      </c>
      <c r="G10" s="190">
        <f>INVERSION!G17</f>
        <v>218097853.48798913</v>
      </c>
      <c r="H10" s="190">
        <f>INVERSION!H17</f>
        <v>341043370.29179347</v>
      </c>
      <c r="J10" s="189" t="s">
        <v>516</v>
      </c>
      <c r="K10" s="190"/>
      <c r="L10" s="190">
        <v>0</v>
      </c>
      <c r="M10" s="190">
        <v>0</v>
      </c>
      <c r="N10" s="190">
        <v>0</v>
      </c>
      <c r="O10" s="190">
        <v>0</v>
      </c>
      <c r="P10" s="190">
        <v>0</v>
      </c>
      <c r="Q10" s="190">
        <v>0</v>
      </c>
      <c r="R10" s="190">
        <v>0</v>
      </c>
      <c r="S10" s="190">
        <v>0</v>
      </c>
      <c r="T10" s="190">
        <v>0</v>
      </c>
      <c r="U10" s="190">
        <v>0</v>
      </c>
      <c r="V10" s="190">
        <v>0</v>
      </c>
      <c r="W10" s="190">
        <v>0</v>
      </c>
      <c r="X10" s="190">
        <v>0</v>
      </c>
      <c r="Z10" s="190">
        <f t="shared" si="2"/>
        <v>0</v>
      </c>
    </row>
    <row r="11" spans="1:26">
      <c r="B11" s="192" t="s">
        <v>460</v>
      </c>
      <c r="C11" s="193">
        <f>C8-C9-C10</f>
        <v>-165850671.2489534</v>
      </c>
      <c r="D11" s="193">
        <f t="shared" ref="D11:H11" si="5">D8-D9-D10</f>
        <v>-12919034.986174397</v>
      </c>
      <c r="E11" s="193">
        <f t="shared" si="5"/>
        <v>113083557.82305208</v>
      </c>
      <c r="F11" s="193">
        <f t="shared" si="5"/>
        <v>432906556.13902944</v>
      </c>
      <c r="G11" s="193">
        <f t="shared" si="5"/>
        <v>392478824.17227954</v>
      </c>
      <c r="H11" s="193">
        <f t="shared" si="5"/>
        <v>478503300.85080636</v>
      </c>
      <c r="J11" s="192" t="s">
        <v>460</v>
      </c>
      <c r="K11" s="193"/>
      <c r="L11" s="193">
        <f t="shared" ref="L11:X11" si="6">L8-L9-L10</f>
        <v>-25931888.813189503</v>
      </c>
      <c r="M11" s="193">
        <f t="shared" si="6"/>
        <v>-12374352.930443007</v>
      </c>
      <c r="N11" s="193">
        <f t="shared" si="6"/>
        <v>-9662885.0020450447</v>
      </c>
      <c r="O11" s="193">
        <f t="shared" si="6"/>
        <v>-6951417.0736470753</v>
      </c>
      <c r="P11" s="193">
        <f t="shared" si="6"/>
        <v>-4239949.1452490957</v>
      </c>
      <c r="Q11" s="193">
        <f t="shared" si="6"/>
        <v>-1528481.2168511436</v>
      </c>
      <c r="R11" s="193">
        <f t="shared" si="6"/>
        <v>1182986.711546856</v>
      </c>
      <c r="S11" s="193">
        <f t="shared" si="6"/>
        <v>3894454.6399448384</v>
      </c>
      <c r="T11" s="193">
        <f t="shared" si="6"/>
        <v>6605922.5683428012</v>
      </c>
      <c r="U11" s="193">
        <f t="shared" si="6"/>
        <v>9317390.4967407547</v>
      </c>
      <c r="V11" s="193">
        <f t="shared" si="6"/>
        <v>12028858.425138708</v>
      </c>
      <c r="W11" s="193">
        <f t="shared" si="6"/>
        <v>14740326.353536673</v>
      </c>
      <c r="X11" s="193">
        <f t="shared" si="6"/>
        <v>-12919034.986174244</v>
      </c>
      <c r="Z11" s="193">
        <f t="shared" si="2"/>
        <v>1.5273690223693848E-7</v>
      </c>
    </row>
    <row r="12" spans="1:26" s="452" customFormat="1"/>
    <row r="13" spans="1:26" s="452" customFormat="1"/>
    <row r="14" spans="1:26">
      <c r="B14" s="185" t="s">
        <v>546</v>
      </c>
      <c r="C14" s="186" t="s">
        <v>60</v>
      </c>
      <c r="D14" s="186" t="s">
        <v>6</v>
      </c>
      <c r="E14" s="186" t="s">
        <v>12</v>
      </c>
      <c r="F14" s="186" t="s">
        <v>13</v>
      </c>
      <c r="G14" s="186" t="s">
        <v>14</v>
      </c>
      <c r="H14" s="186" t="s">
        <v>15</v>
      </c>
      <c r="J14" s="185" t="s">
        <v>548</v>
      </c>
      <c r="K14" s="186" t="s">
        <v>130</v>
      </c>
      <c r="L14" s="186" t="s">
        <v>131</v>
      </c>
      <c r="M14" s="186" t="s">
        <v>132</v>
      </c>
      <c r="N14" s="186" t="s">
        <v>133</v>
      </c>
      <c r="O14" s="186" t="s">
        <v>134</v>
      </c>
      <c r="P14" s="186" t="s">
        <v>135</v>
      </c>
      <c r="Q14" s="186" t="s">
        <v>136</v>
      </c>
      <c r="R14" s="186" t="s">
        <v>137</v>
      </c>
      <c r="S14" s="186" t="s">
        <v>138</v>
      </c>
      <c r="T14" s="186" t="s">
        <v>139</v>
      </c>
      <c r="U14" s="186" t="s">
        <v>140</v>
      </c>
      <c r="V14" s="186" t="s">
        <v>141</v>
      </c>
      <c r="W14" s="186" t="s">
        <v>142</v>
      </c>
      <c r="X14" s="186" t="s">
        <v>143</v>
      </c>
    </row>
    <row r="15" spans="1:26">
      <c r="B15" s="187"/>
      <c r="C15" s="188"/>
      <c r="D15" s="188"/>
      <c r="E15" s="188"/>
      <c r="F15" s="188"/>
      <c r="G15" s="188"/>
      <c r="H15" s="188"/>
      <c r="J15" s="187"/>
    </row>
    <row r="16" spans="1:26">
      <c r="B16" s="189" t="s">
        <v>461</v>
      </c>
      <c r="C16" s="190">
        <f>E.R!C49</f>
        <v>0</v>
      </c>
      <c r="D16" s="190">
        <f>E.R!D49</f>
        <v>9447084.0860879198</v>
      </c>
      <c r="E16" s="190">
        <f>E.R!E49</f>
        <v>275286321.89803821</v>
      </c>
      <c r="F16" s="190">
        <f>E.R!F49</f>
        <v>438749098.1884948</v>
      </c>
      <c r="G16" s="190">
        <f>E.R!G49</f>
        <v>616992366.3132298</v>
      </c>
      <c r="H16" s="190">
        <f>E.R!H49</f>
        <v>821039124.56381297</v>
      </c>
      <c r="J16" s="189" t="s">
        <v>461</v>
      </c>
      <c r="K16" s="190"/>
      <c r="L16" s="190">
        <f>E.R!L49</f>
        <v>-14176878.522078784</v>
      </c>
      <c r="M16" s="190">
        <f>E.R!M49</f>
        <v>-11456815.899281951</v>
      </c>
      <c r="N16" s="190">
        <f>E.R!N49</f>
        <v>-8736556.9574401192</v>
      </c>
      <c r="O16" s="190">
        <f>E.R!O49</f>
        <v>-6016097.212255667</v>
      </c>
      <c r="P16" s="190">
        <f>E.R!P49</f>
        <v>-3295432.0770012056</v>
      </c>
      <c r="Q16" s="190">
        <f>E.R!Q49</f>
        <v>-574556.86017976585</v>
      </c>
      <c r="R16" s="190">
        <f>E.R!R49</f>
        <v>2146533.2368681859</v>
      </c>
      <c r="S16" s="190">
        <f>E.R!S49</f>
        <v>4867843.1224126965</v>
      </c>
      <c r="T16" s="190">
        <f>E.R!T49</f>
        <v>7589377.8168379311</v>
      </c>
      <c r="U16" s="190">
        <f>E.R!U49</f>
        <v>10311142.455203105</v>
      </c>
      <c r="V16" s="190">
        <f>E.R!V49</f>
        <v>13033142.28986191</v>
      </c>
      <c r="W16" s="190">
        <f>E.R!W49</f>
        <v>15755382.693141732</v>
      </c>
      <c r="X16" s="190">
        <f>SUM(L16:W16)</f>
        <v>9447084.0860880688</v>
      </c>
      <c r="Z16" s="190">
        <f>X16-D16</f>
        <v>1.4901161193847656E-7</v>
      </c>
    </row>
    <row r="17" spans="2:26">
      <c r="B17" s="191" t="s">
        <v>515</v>
      </c>
      <c r="C17" s="190">
        <f>E.R!C39</f>
        <v>0</v>
      </c>
      <c r="D17" s="190">
        <f>E.R!D39</f>
        <v>8640000</v>
      </c>
      <c r="E17" s="190">
        <f>E.R!E39</f>
        <v>11608992</v>
      </c>
      <c r="F17" s="190">
        <f>E.R!F39</f>
        <v>11608992</v>
      </c>
      <c r="G17" s="190">
        <f>E.R!G39</f>
        <v>13135350.7872</v>
      </c>
      <c r="H17" s="190">
        <f>E.R!H39</f>
        <v>14702921.261654399</v>
      </c>
      <c r="J17" s="191" t="s">
        <v>515</v>
      </c>
      <c r="K17" s="190"/>
      <c r="L17" s="190">
        <f>E.R!L39</f>
        <v>720000</v>
      </c>
      <c r="M17" s="190">
        <f>E.R!M39</f>
        <v>720000</v>
      </c>
      <c r="N17" s="190">
        <f>E.R!N39</f>
        <v>720000</v>
      </c>
      <c r="O17" s="190">
        <f>E.R!O39</f>
        <v>720000</v>
      </c>
      <c r="P17" s="190">
        <f>E.R!P39</f>
        <v>720000</v>
      </c>
      <c r="Q17" s="190">
        <f>E.R!Q39</f>
        <v>720000</v>
      </c>
      <c r="R17" s="190">
        <f>E.R!R39</f>
        <v>720000</v>
      </c>
      <c r="S17" s="190">
        <f>E.R!S39</f>
        <v>720000</v>
      </c>
      <c r="T17" s="190">
        <f>E.R!T39</f>
        <v>720000</v>
      </c>
      <c r="U17" s="190">
        <f>E.R!U39</f>
        <v>720000</v>
      </c>
      <c r="V17" s="190">
        <f>E.R!V39</f>
        <v>720000</v>
      </c>
      <c r="W17" s="190">
        <f>E.R!W39</f>
        <v>720000</v>
      </c>
      <c r="X17" s="190">
        <f t="shared" ref="X17:X24" si="7">SUM(L17:W17)</f>
        <v>8640000</v>
      </c>
      <c r="Z17" s="190">
        <f t="shared" ref="Z17:Z25" si="8">X17-D17</f>
        <v>0</v>
      </c>
    </row>
    <row r="18" spans="2:26">
      <c r="B18" s="191" t="s">
        <v>462</v>
      </c>
      <c r="C18" s="190">
        <f>E.R!C44</f>
        <v>0</v>
      </c>
      <c r="D18" s="190">
        <f>E.R!D44</f>
        <v>18474854.843480278</v>
      </c>
      <c r="E18" s="190">
        <f>E.R!E44</f>
        <v>16092261.68461073</v>
      </c>
      <c r="F18" s="190">
        <f>E.R!F44</f>
        <v>12967967.275385091</v>
      </c>
      <c r="G18" s="190">
        <f>E.R!G44</f>
        <v>8871080.0165675059</v>
      </c>
      <c r="H18" s="190">
        <f>E.R!H44</f>
        <v>3498831.7540800017</v>
      </c>
      <c r="J18" s="191" t="s">
        <v>462</v>
      </c>
      <c r="K18" s="190"/>
      <c r="L18" s="190">
        <f>E.R!L44</f>
        <v>1615783.0624252737</v>
      </c>
      <c r="M18" s="190">
        <f>E.R!M44</f>
        <v>1602955.1603374181</v>
      </c>
      <c r="N18" s="190">
        <f>E.R!N44</f>
        <v>1589834.2447495516</v>
      </c>
      <c r="O18" s="190">
        <f>E.R!O44</f>
        <v>1576413.6226801868</v>
      </c>
      <c r="P18" s="190">
        <f>E.R!P44</f>
        <v>1562686.4482675055</v>
      </c>
      <c r="Q18" s="190">
        <f>E.R!Q44</f>
        <v>1548645.7192772808</v>
      </c>
      <c r="R18" s="190">
        <f>E.R!R44</f>
        <v>1534284.2735310383</v>
      </c>
      <c r="S18" s="190">
        <f>E.R!S44</f>
        <v>1519594.7852526261</v>
      </c>
      <c r="T18" s="190">
        <f>E.R!T44</f>
        <v>1504569.7613313354</v>
      </c>
      <c r="U18" s="190">
        <f>E.R!U44</f>
        <v>1489201.5374996637</v>
      </c>
      <c r="V18" s="190">
        <f>E.R!V44</f>
        <v>1473482.2744237701</v>
      </c>
      <c r="W18" s="190">
        <f>E.R!W44</f>
        <v>1457403.9537046298</v>
      </c>
      <c r="X18" s="190">
        <f t="shared" si="7"/>
        <v>18474854.843480278</v>
      </c>
      <c r="Z18" s="190">
        <f t="shared" si="8"/>
        <v>0</v>
      </c>
    </row>
    <row r="19" spans="2:26">
      <c r="B19" s="192" t="s">
        <v>458</v>
      </c>
      <c r="C19" s="193">
        <f>C16+C17+C18</f>
        <v>0</v>
      </c>
      <c r="D19" s="193">
        <f t="shared" ref="D19:H19" si="9">D16+D17+D18</f>
        <v>36561938.929568201</v>
      </c>
      <c r="E19" s="193">
        <f t="shared" si="9"/>
        <v>302987575.58264893</v>
      </c>
      <c r="F19" s="193">
        <f t="shared" si="9"/>
        <v>463326057.46387988</v>
      </c>
      <c r="G19" s="193">
        <f t="shared" si="9"/>
        <v>638998797.11699724</v>
      </c>
      <c r="H19" s="193">
        <f t="shared" si="9"/>
        <v>839240877.57954741</v>
      </c>
      <c r="J19" s="192" t="s">
        <v>458</v>
      </c>
      <c r="K19" s="193"/>
      <c r="L19" s="193">
        <f t="shared" ref="L19:X19" si="10">L16+L17+L18</f>
        <v>-11841095.45965351</v>
      </c>
      <c r="M19" s="193">
        <f t="shared" si="10"/>
        <v>-9133860.7389445323</v>
      </c>
      <c r="N19" s="193">
        <f t="shared" si="10"/>
        <v>-6426722.7126905676</v>
      </c>
      <c r="O19" s="193">
        <f t="shared" si="10"/>
        <v>-3719683.5895754802</v>
      </c>
      <c r="P19" s="193">
        <f t="shared" si="10"/>
        <v>-1012745.6287337001</v>
      </c>
      <c r="Q19" s="193">
        <f t="shared" si="10"/>
        <v>1694088.859097515</v>
      </c>
      <c r="R19" s="193">
        <f t="shared" si="10"/>
        <v>4400817.5103992242</v>
      </c>
      <c r="S19" s="193">
        <f t="shared" si="10"/>
        <v>7107437.9076653225</v>
      </c>
      <c r="T19" s="193">
        <f t="shared" si="10"/>
        <v>9813947.5781692658</v>
      </c>
      <c r="U19" s="193">
        <f t="shared" si="10"/>
        <v>12520343.992702769</v>
      </c>
      <c r="V19" s="193">
        <f t="shared" si="10"/>
        <v>15226624.564285681</v>
      </c>
      <c r="W19" s="193">
        <f t="shared" si="10"/>
        <v>17932786.646846361</v>
      </c>
      <c r="X19" s="193">
        <f t="shared" si="10"/>
        <v>36561938.92956835</v>
      </c>
      <c r="Z19" s="193">
        <f t="shared" si="8"/>
        <v>1.4901161193847656E-7</v>
      </c>
    </row>
    <row r="20" spans="2:26">
      <c r="B20" s="194" t="s">
        <v>459</v>
      </c>
      <c r="C20" s="190">
        <f>K.W!C82</f>
        <v>23491871.248953395</v>
      </c>
      <c r="D20" s="190">
        <f>K.W!D83</f>
        <v>43384271.8173941</v>
      </c>
      <c r="E20" s="190">
        <f>K.W!E83</f>
        <v>32287993.043675274</v>
      </c>
      <c r="F20" s="190">
        <f>K.W!F83</f>
        <v>8161029.9423534274</v>
      </c>
      <c r="G20" s="190">
        <f>K.W!G83</f>
        <v>25494663.051261291</v>
      </c>
      <c r="H20" s="190">
        <f>K.W!H83</f>
        <v>18539591.958101124</v>
      </c>
      <c r="J20" s="194" t="s">
        <v>459</v>
      </c>
      <c r="K20" s="190" t="s">
        <v>549</v>
      </c>
      <c r="L20" s="190">
        <f>K.W!L83</f>
        <v>13557584.942935653</v>
      </c>
      <c r="M20" s="190">
        <f>K.W!M83</f>
        <v>2711516.9885871261</v>
      </c>
      <c r="N20" s="190">
        <f>K.W!N83</f>
        <v>2711516.9885871261</v>
      </c>
      <c r="O20" s="190">
        <f>K.W!O83</f>
        <v>2711516.9885871336</v>
      </c>
      <c r="P20" s="190">
        <f>K.W!P83</f>
        <v>2711516.9885871187</v>
      </c>
      <c r="Q20" s="190">
        <f>K.W!Q83</f>
        <v>2711516.9885871559</v>
      </c>
      <c r="R20" s="190">
        <f>K.W!R83</f>
        <v>2711516.9885871261</v>
      </c>
      <c r="S20" s="190">
        <f>K.W!S83</f>
        <v>2711516.9885871187</v>
      </c>
      <c r="T20" s="190">
        <f>K.W!T83</f>
        <v>2711516.9885871261</v>
      </c>
      <c r="U20" s="190">
        <f>K.W!U83</f>
        <v>2711516.9885871261</v>
      </c>
      <c r="V20" s="190">
        <f>K.W!V83</f>
        <v>2711516.9885871261</v>
      </c>
      <c r="W20" s="190">
        <f>K.W!W83</f>
        <v>2711516.9885871634</v>
      </c>
      <c r="X20" s="190">
        <f t="shared" si="7"/>
        <v>43384271.8173941</v>
      </c>
      <c r="Z20" s="190">
        <f t="shared" si="8"/>
        <v>0</v>
      </c>
    </row>
    <row r="21" spans="2:26">
      <c r="B21" s="189" t="s">
        <v>516</v>
      </c>
      <c r="C21" s="190">
        <f>INVERSION!C17</f>
        <v>142358800</v>
      </c>
      <c r="D21" s="190">
        <f>INVERSION!D17</f>
        <v>0</v>
      </c>
      <c r="E21" s="190">
        <f>INVERSION!E17</f>
        <v>152305578.36000001</v>
      </c>
      <c r="F21" s="190">
        <f>INVERSION!F17</f>
        <v>17979042.181620002</v>
      </c>
      <c r="G21" s="190">
        <f>INVERSION!G17</f>
        <v>218097853.48798913</v>
      </c>
      <c r="H21" s="190">
        <f>INVERSION!H17</f>
        <v>341043370.29179347</v>
      </c>
      <c r="J21" s="189" t="s">
        <v>516</v>
      </c>
      <c r="K21" s="190"/>
      <c r="L21" s="190">
        <f>L10</f>
        <v>0</v>
      </c>
      <c r="M21" s="190">
        <f t="shared" ref="M21:W21" si="11">M10</f>
        <v>0</v>
      </c>
      <c r="N21" s="190">
        <f t="shared" si="11"/>
        <v>0</v>
      </c>
      <c r="O21" s="190">
        <f t="shared" si="11"/>
        <v>0</v>
      </c>
      <c r="P21" s="190">
        <f t="shared" si="11"/>
        <v>0</v>
      </c>
      <c r="Q21" s="190">
        <f t="shared" si="11"/>
        <v>0</v>
      </c>
      <c r="R21" s="190">
        <f t="shared" si="11"/>
        <v>0</v>
      </c>
      <c r="S21" s="190">
        <f t="shared" si="11"/>
        <v>0</v>
      </c>
      <c r="T21" s="190">
        <f t="shared" si="11"/>
        <v>0</v>
      </c>
      <c r="U21" s="190">
        <f t="shared" si="11"/>
        <v>0</v>
      </c>
      <c r="V21" s="190">
        <f t="shared" si="11"/>
        <v>0</v>
      </c>
      <c r="W21" s="190">
        <f t="shared" si="11"/>
        <v>0</v>
      </c>
      <c r="X21" s="190">
        <f t="shared" si="7"/>
        <v>0</v>
      </c>
      <c r="Z21" s="190">
        <f t="shared" si="8"/>
        <v>0</v>
      </c>
    </row>
    <row r="22" spans="2:26">
      <c r="B22" s="192" t="s">
        <v>517</v>
      </c>
      <c r="C22" s="193">
        <f>C19-C20-C21</f>
        <v>-165850671.2489534</v>
      </c>
      <c r="D22" s="193">
        <f t="shared" ref="D22:H22" si="12">D19-D20-D21</f>
        <v>-6822332.8878258988</v>
      </c>
      <c r="E22" s="193">
        <f t="shared" si="12"/>
        <v>118394004.17897367</v>
      </c>
      <c r="F22" s="193">
        <f t="shared" si="12"/>
        <v>437185985.33990645</v>
      </c>
      <c r="G22" s="193">
        <f t="shared" si="12"/>
        <v>395406280.57774681</v>
      </c>
      <c r="H22" s="193">
        <f t="shared" si="12"/>
        <v>479657915.32965279</v>
      </c>
      <c r="J22" s="192" t="s">
        <v>517</v>
      </c>
      <c r="K22" s="193"/>
      <c r="L22" s="193">
        <f t="shared" ref="L22:X22" si="13">L19-L20-L21</f>
        <v>-25398680.402589165</v>
      </c>
      <c r="M22" s="193">
        <f t="shared" si="13"/>
        <v>-11845377.727531658</v>
      </c>
      <c r="N22" s="193">
        <f t="shared" si="13"/>
        <v>-9138239.7012776937</v>
      </c>
      <c r="O22" s="193">
        <f t="shared" si="13"/>
        <v>-6431200.5781626143</v>
      </c>
      <c r="P22" s="193">
        <f t="shared" si="13"/>
        <v>-3724262.6173208188</v>
      </c>
      <c r="Q22" s="193">
        <f t="shared" si="13"/>
        <v>-1017428.1294896409</v>
      </c>
      <c r="R22" s="193">
        <f t="shared" si="13"/>
        <v>1689300.5218120981</v>
      </c>
      <c r="S22" s="193">
        <f t="shared" si="13"/>
        <v>4395920.9190782038</v>
      </c>
      <c r="T22" s="193">
        <f t="shared" si="13"/>
        <v>7102430.5895821396</v>
      </c>
      <c r="U22" s="193">
        <f t="shared" si="13"/>
        <v>9808827.004115643</v>
      </c>
      <c r="V22" s="193">
        <f t="shared" si="13"/>
        <v>12515107.575698555</v>
      </c>
      <c r="W22" s="193">
        <f t="shared" si="13"/>
        <v>15221269.658259198</v>
      </c>
      <c r="X22" s="193">
        <f t="shared" si="13"/>
        <v>-6822332.8878257498</v>
      </c>
      <c r="Z22" s="193">
        <f t="shared" si="8"/>
        <v>1.4901161193847656E-7</v>
      </c>
    </row>
    <row r="23" spans="2:26">
      <c r="B23" s="189" t="s">
        <v>248</v>
      </c>
      <c r="C23" s="190">
        <f>F.E!C47</f>
        <v>0</v>
      </c>
      <c r="D23" s="190">
        <f>F.E!D47</f>
        <v>7653688.2713444866</v>
      </c>
      <c r="E23" s="190">
        <f>F.E!E47</f>
        <v>10036281.430214036</v>
      </c>
      <c r="F23" s="190">
        <f>F.E!F47</f>
        <v>13160575.839439675</v>
      </c>
      <c r="G23" s="190">
        <f>F.E!G47</f>
        <v>17257463.098257262</v>
      </c>
      <c r="H23" s="190">
        <f>F.E!H47</f>
        <v>22629711.360744763</v>
      </c>
      <c r="J23" s="189" t="s">
        <v>248</v>
      </c>
      <c r="K23" s="190"/>
      <c r="L23" s="190">
        <f>EGRESOS!M280</f>
        <v>561595.53047679015</v>
      </c>
      <c r="M23" s="190">
        <f>EGRESOS!N280</f>
        <v>574423.43256464577</v>
      </c>
      <c r="N23" s="190">
        <f>EGRESOS!O280</f>
        <v>587544.34815251222</v>
      </c>
      <c r="O23" s="190">
        <f>EGRESOS!P280</f>
        <v>600964.9702218771</v>
      </c>
      <c r="P23" s="190">
        <f>EGRESOS!Q280</f>
        <v>614692.14463455835</v>
      </c>
      <c r="Q23" s="190">
        <f>EGRESOS!R280</f>
        <v>628732.87362478301</v>
      </c>
      <c r="R23" s="190">
        <f>EGRESOS!S280</f>
        <v>643094.31937102554</v>
      </c>
      <c r="S23" s="190">
        <f>EGRESOS!T280</f>
        <v>657783.8076494378</v>
      </c>
      <c r="T23" s="190">
        <f>EGRESOS!U280</f>
        <v>672808.83157072845</v>
      </c>
      <c r="U23" s="190">
        <f>EGRESOS!V280</f>
        <v>688177.0554024002</v>
      </c>
      <c r="V23" s="190">
        <f>EGRESOS!W280</f>
        <v>703896.31847829372</v>
      </c>
      <c r="W23" s="190">
        <f>EGRESOS!X280</f>
        <v>719974.63919743407</v>
      </c>
      <c r="X23" s="190">
        <f t="shared" si="7"/>
        <v>7653688.2713444866</v>
      </c>
      <c r="Z23" s="190">
        <f t="shared" si="8"/>
        <v>0</v>
      </c>
    </row>
    <row r="24" spans="2:26">
      <c r="B24" s="191" t="s">
        <v>462</v>
      </c>
      <c r="C24" s="190">
        <f>E.R!C44</f>
        <v>0</v>
      </c>
      <c r="D24" s="190">
        <f>E.R!D44</f>
        <v>18474854.843480278</v>
      </c>
      <c r="E24" s="190">
        <f>E.R!E44</f>
        <v>16092261.68461073</v>
      </c>
      <c r="F24" s="190">
        <f>E.R!F44</f>
        <v>12967967.275385091</v>
      </c>
      <c r="G24" s="190">
        <f>E.R!G44</f>
        <v>8871080.0165675059</v>
      </c>
      <c r="H24" s="190">
        <f>E.R!H44</f>
        <v>3498831.7540800017</v>
      </c>
      <c r="J24" s="191" t="s">
        <v>462</v>
      </c>
      <c r="K24" s="190"/>
      <c r="L24" s="190">
        <f>E.R!L44</f>
        <v>1615783.0624252737</v>
      </c>
      <c r="M24" s="190">
        <f>E.R!M44</f>
        <v>1602955.1603374181</v>
      </c>
      <c r="N24" s="190">
        <f>E.R!N44</f>
        <v>1589834.2447495516</v>
      </c>
      <c r="O24" s="190">
        <f>E.R!O44</f>
        <v>1576413.6226801868</v>
      </c>
      <c r="P24" s="190">
        <f>E.R!P44</f>
        <v>1562686.4482675055</v>
      </c>
      <c r="Q24" s="190">
        <f>E.R!Q44</f>
        <v>1548645.7192772808</v>
      </c>
      <c r="R24" s="190">
        <f>E.R!R44</f>
        <v>1534284.2735310383</v>
      </c>
      <c r="S24" s="190">
        <f>E.R!S44</f>
        <v>1519594.7852526261</v>
      </c>
      <c r="T24" s="190">
        <f>E.R!T44</f>
        <v>1504569.7613313354</v>
      </c>
      <c r="U24" s="190">
        <f>E.R!U44</f>
        <v>1489201.5374996637</v>
      </c>
      <c r="V24" s="190">
        <f>E.R!V44</f>
        <v>1473482.2744237701</v>
      </c>
      <c r="W24" s="190">
        <f>E.R!W44</f>
        <v>1457403.9537046298</v>
      </c>
      <c r="X24" s="190">
        <f t="shared" si="7"/>
        <v>18474854.843480278</v>
      </c>
      <c r="Z24" s="190">
        <f t="shared" si="8"/>
        <v>0</v>
      </c>
    </row>
    <row r="25" spans="2:26">
      <c r="B25" s="192" t="s">
        <v>463</v>
      </c>
      <c r="C25" s="193">
        <f>C22-C23-C24</f>
        <v>-165850671.2489534</v>
      </c>
      <c r="D25" s="193">
        <f t="shared" ref="D25:H25" si="14">D22-D23-D24</f>
        <v>-32950876.002650663</v>
      </c>
      <c r="E25" s="193">
        <f t="shared" si="14"/>
        <v>92265461.064148918</v>
      </c>
      <c r="F25" s="193">
        <f t="shared" si="14"/>
        <v>411057442.22508168</v>
      </c>
      <c r="G25" s="193">
        <f t="shared" si="14"/>
        <v>369277737.46292204</v>
      </c>
      <c r="H25" s="193">
        <f t="shared" si="14"/>
        <v>453529372.21482801</v>
      </c>
      <c r="J25" s="192" t="s">
        <v>463</v>
      </c>
      <c r="K25" s="193"/>
      <c r="L25" s="193">
        <f t="shared" ref="L25:X25" si="15">L22-L23-L24</f>
        <v>-27576058.995491229</v>
      </c>
      <c r="M25" s="193">
        <f t="shared" si="15"/>
        <v>-14022756.320433723</v>
      </c>
      <c r="N25" s="193">
        <f t="shared" si="15"/>
        <v>-11315618.294179758</v>
      </c>
      <c r="O25" s="193">
        <f t="shared" si="15"/>
        <v>-8608579.1710646786</v>
      </c>
      <c r="P25" s="193">
        <f t="shared" si="15"/>
        <v>-5901641.2102228822</v>
      </c>
      <c r="Q25" s="193">
        <f t="shared" si="15"/>
        <v>-3194806.722391705</v>
      </c>
      <c r="R25" s="193">
        <f t="shared" si="15"/>
        <v>-488078.07108996576</v>
      </c>
      <c r="S25" s="193">
        <f t="shared" si="15"/>
        <v>2218542.32617614</v>
      </c>
      <c r="T25" s="193">
        <f t="shared" si="15"/>
        <v>4925051.9966800753</v>
      </c>
      <c r="U25" s="193">
        <f t="shared" si="15"/>
        <v>7631448.4112135796</v>
      </c>
      <c r="V25" s="193">
        <f t="shared" si="15"/>
        <v>10337728.98279649</v>
      </c>
      <c r="W25" s="193">
        <f t="shared" si="15"/>
        <v>13043891.065357136</v>
      </c>
      <c r="X25" s="193">
        <f t="shared" si="15"/>
        <v>-32950876.002650514</v>
      </c>
      <c r="Z25" s="193">
        <f t="shared" si="8"/>
        <v>1.4901161193847656E-7</v>
      </c>
    </row>
    <row r="27" spans="2:26">
      <c r="D27" s="74"/>
      <c r="E27" s="74"/>
      <c r="F27" s="74"/>
      <c r="G27" s="74"/>
      <c r="H27" s="74"/>
    </row>
  </sheetData>
  <sheetProtection sheet="1" objects="1" scenarios="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tabColor rgb="FF7030A0"/>
  </sheetPr>
  <dimension ref="A1:N744"/>
  <sheetViews>
    <sheetView showGridLines="0" zoomScale="90" zoomScaleNormal="90" workbookViewId="0">
      <selection activeCell="F8" sqref="F8"/>
    </sheetView>
  </sheetViews>
  <sheetFormatPr baseColWidth="10" defaultRowHeight="15"/>
  <cols>
    <col min="1" max="1" width="2.5703125" style="153" customWidth="1"/>
    <col min="2" max="2" width="22.140625" style="255" bestFit="1" customWidth="1"/>
    <col min="3" max="3" width="17.140625" style="255" customWidth="1"/>
    <col min="4" max="4" width="28.28515625" style="255" bestFit="1" customWidth="1"/>
    <col min="5" max="5" width="26.85546875" style="255" bestFit="1" customWidth="1"/>
    <col min="6" max="6" width="7.28515625" style="255" bestFit="1" customWidth="1"/>
    <col min="7" max="7" width="11.42578125" style="255"/>
    <col min="9" max="9" width="11.5703125" bestFit="1" customWidth="1"/>
    <col min="10" max="10" width="12.42578125" style="239" bestFit="1" customWidth="1"/>
    <col min="11" max="11" width="12.7109375" bestFit="1" customWidth="1"/>
    <col min="12" max="12" width="4.28515625" bestFit="1" customWidth="1"/>
    <col min="13" max="13" width="24.5703125" bestFit="1" customWidth="1"/>
    <col min="14" max="14" width="24.140625" bestFit="1" customWidth="1"/>
  </cols>
  <sheetData>
    <row r="1" spans="2:14" s="153" customFormat="1">
      <c r="B1" s="255"/>
      <c r="C1" s="255"/>
      <c r="D1" s="255"/>
      <c r="E1" s="255"/>
      <c r="F1" s="255"/>
      <c r="G1" s="255"/>
      <c r="J1" s="239"/>
    </row>
    <row r="2" spans="2:14" s="154" customFormat="1">
      <c r="B2" s="707" t="s">
        <v>628</v>
      </c>
      <c r="C2" s="707"/>
      <c r="D2" s="707"/>
      <c r="E2" s="707"/>
      <c r="F2" s="522"/>
      <c r="G2" s="275"/>
      <c r="J2" s="238"/>
    </row>
    <row r="3" spans="2:14">
      <c r="B3" s="527"/>
      <c r="C3" s="527"/>
      <c r="D3" s="527"/>
      <c r="E3" s="527"/>
      <c r="F3" s="523"/>
      <c r="I3" s="702" t="s">
        <v>470</v>
      </c>
      <c r="J3" s="702" t="s">
        <v>120</v>
      </c>
      <c r="K3" s="519" t="s">
        <v>471</v>
      </c>
      <c r="M3" s="519" t="s">
        <v>472</v>
      </c>
      <c r="N3" s="519" t="s">
        <v>473</v>
      </c>
    </row>
    <row r="4" spans="2:14" s="54" customFormat="1">
      <c r="B4" s="528" t="s">
        <v>482</v>
      </c>
      <c r="C4" s="528" t="s">
        <v>483</v>
      </c>
      <c r="D4" s="528" t="s">
        <v>484</v>
      </c>
      <c r="E4" s="528" t="s">
        <v>485</v>
      </c>
      <c r="F4" s="407"/>
      <c r="G4" s="277"/>
      <c r="I4" s="582">
        <v>40182</v>
      </c>
      <c r="J4" s="580">
        <v>11641.37</v>
      </c>
      <c r="K4" s="581"/>
      <c r="M4" s="476">
        <f>AVERAGE(K499:K744)</f>
        <v>6.0986228769709127E-4</v>
      </c>
      <c r="N4" s="476">
        <f>EXP(M4*252)-1</f>
        <v>0.16612384577083805</v>
      </c>
    </row>
    <row r="5" spans="2:14">
      <c r="B5" s="525" t="s">
        <v>486</v>
      </c>
      <c r="C5" s="526">
        <f>DATOS!B22</f>
        <v>0.25091987658781678</v>
      </c>
      <c r="D5" s="526">
        <f>F12</f>
        <v>0.20857099999999998</v>
      </c>
      <c r="E5" s="526">
        <f>C5*D5</f>
        <v>5.2334609579797527E-2</v>
      </c>
      <c r="F5" s="523"/>
      <c r="I5" s="582">
        <v>40183</v>
      </c>
      <c r="J5" s="580">
        <v>11667.41</v>
      </c>
      <c r="K5" s="476">
        <f>LN(J5/J4)</f>
        <v>2.2343521053742313E-3</v>
      </c>
    </row>
    <row r="6" spans="2:14">
      <c r="B6" s="525" t="s">
        <v>487</v>
      </c>
      <c r="C6" s="526">
        <f>DATOS!B23</f>
        <v>0.74908012341218322</v>
      </c>
      <c r="D6" s="526">
        <f>C12</f>
        <v>0.1943949716483343</v>
      </c>
      <c r="E6" s="526">
        <f>C6*D6</f>
        <v>0.14561740935304213</v>
      </c>
      <c r="F6" s="523"/>
      <c r="I6" s="582">
        <v>40184</v>
      </c>
      <c r="J6" s="580">
        <v>11626.59</v>
      </c>
      <c r="K6" s="476">
        <f t="shared" ref="K6:K69" si="0">LN(J6/J5)</f>
        <v>-3.5047687631181625E-3</v>
      </c>
    </row>
    <row r="7" spans="2:14">
      <c r="B7" s="529"/>
      <c r="C7" s="529"/>
      <c r="D7" s="530" t="s">
        <v>47</v>
      </c>
      <c r="E7" s="531">
        <f>SUM(E5:E6)</f>
        <v>0.19795201893283965</v>
      </c>
      <c r="F7" s="524"/>
      <c r="I7" s="582">
        <v>40185</v>
      </c>
      <c r="J7" s="580">
        <v>11594.89</v>
      </c>
      <c r="K7" s="476">
        <f t="shared" si="0"/>
        <v>-2.7302324995159603E-3</v>
      </c>
    </row>
    <row r="8" spans="2:14">
      <c r="B8" s="276"/>
      <c r="C8" s="276"/>
      <c r="D8" s="278"/>
      <c r="E8" s="276"/>
      <c r="F8" s="276"/>
      <c r="I8" s="582">
        <v>40186</v>
      </c>
      <c r="J8" s="580">
        <v>11647.21</v>
      </c>
      <c r="K8" s="476">
        <f t="shared" si="0"/>
        <v>4.5021825373467265E-3</v>
      </c>
    </row>
    <row r="9" spans="2:14">
      <c r="B9" s="276"/>
      <c r="C9" s="276"/>
      <c r="D9" s="276"/>
      <c r="E9" s="276"/>
      <c r="F9" s="276"/>
      <c r="I9" s="582">
        <v>40190</v>
      </c>
      <c r="J9" s="580">
        <v>11575.9</v>
      </c>
      <c r="K9" s="476">
        <f t="shared" si="0"/>
        <v>-6.1413156227351461E-3</v>
      </c>
    </row>
    <row r="10" spans="2:14">
      <c r="B10" s="709" t="s">
        <v>48</v>
      </c>
      <c r="C10" s="709"/>
      <c r="D10" s="464"/>
      <c r="E10" s="709" t="s">
        <v>49</v>
      </c>
      <c r="F10" s="709"/>
      <c r="I10" s="582">
        <v>40191</v>
      </c>
      <c r="J10" s="580">
        <v>11639.31</v>
      </c>
      <c r="K10" s="476">
        <f t="shared" si="0"/>
        <v>5.4628114664183767E-3</v>
      </c>
    </row>
    <row r="11" spans="2:14">
      <c r="B11" s="710" t="s">
        <v>50</v>
      </c>
      <c r="C11" s="710"/>
      <c r="D11" s="464"/>
      <c r="E11" s="710" t="s">
        <v>51</v>
      </c>
      <c r="F11" s="710"/>
      <c r="I11" s="582">
        <v>40192</v>
      </c>
      <c r="J11" s="580">
        <v>11709.91</v>
      </c>
      <c r="K11" s="476">
        <f t="shared" si="0"/>
        <v>6.0473296456602498E-3</v>
      </c>
    </row>
    <row r="12" spans="2:14">
      <c r="B12" s="464" t="s">
        <v>52</v>
      </c>
      <c r="C12" s="476">
        <f>(C15+(C16-C15)*C20)</f>
        <v>0.1943949716483343</v>
      </c>
      <c r="D12" s="466"/>
      <c r="E12" s="464" t="s">
        <v>53</v>
      </c>
      <c r="F12" s="476">
        <f>F14*(1-C17)</f>
        <v>0.20857099999999998</v>
      </c>
      <c r="I12" s="582">
        <v>40193</v>
      </c>
      <c r="J12" s="580">
        <v>11718.81</v>
      </c>
      <c r="K12" s="476">
        <f t="shared" si="0"/>
        <v>7.5975131617141535E-4</v>
      </c>
    </row>
    <row r="13" spans="2:14">
      <c r="B13" s="464"/>
      <c r="C13" s="464"/>
      <c r="D13" s="464"/>
      <c r="E13" s="464"/>
      <c r="F13" s="464"/>
      <c r="I13" s="582">
        <v>40196</v>
      </c>
      <c r="J13" s="580">
        <v>11717.17</v>
      </c>
      <c r="K13" s="476">
        <f t="shared" si="0"/>
        <v>-1.3995574349151191E-4</v>
      </c>
    </row>
    <row r="14" spans="2:14">
      <c r="B14" s="464" t="s">
        <v>488</v>
      </c>
      <c r="C14" s="477">
        <f>DATOS!$B$45</f>
        <v>1.1100000000000001</v>
      </c>
      <c r="D14" s="464"/>
      <c r="E14" s="469" t="s">
        <v>56</v>
      </c>
      <c r="F14" s="480">
        <f>'TABLA DE AMORTIZACION'!$C$6</f>
        <v>0.31130000000000002</v>
      </c>
      <c r="I14" s="582">
        <v>40197</v>
      </c>
      <c r="J14" s="580">
        <v>11780.68</v>
      </c>
      <c r="K14" s="476">
        <f t="shared" si="0"/>
        <v>5.405614100888999E-3</v>
      </c>
    </row>
    <row r="15" spans="2:14">
      <c r="B15" s="464" t="s">
        <v>439</v>
      </c>
      <c r="C15" s="466">
        <v>8.7400000000000005E-2</v>
      </c>
      <c r="D15" s="464"/>
      <c r="E15" s="464"/>
      <c r="F15" s="464"/>
      <c r="I15" s="582">
        <v>40198</v>
      </c>
      <c r="J15" s="580">
        <v>11730.08</v>
      </c>
      <c r="K15" s="476">
        <f t="shared" si="0"/>
        <v>-4.3044187534953008E-3</v>
      </c>
    </row>
    <row r="16" spans="2:14">
      <c r="B16" s="464" t="s">
        <v>440</v>
      </c>
      <c r="C16" s="466">
        <f>N4</f>
        <v>0.16612384577083805</v>
      </c>
      <c r="D16" s="464"/>
      <c r="E16" s="464"/>
      <c r="F16" s="464"/>
      <c r="I16" s="582">
        <v>40199</v>
      </c>
      <c r="J16" s="580">
        <v>11469.9</v>
      </c>
      <c r="K16" s="476">
        <f t="shared" si="0"/>
        <v>-2.2430270054020589E-2</v>
      </c>
    </row>
    <row r="17" spans="2:11">
      <c r="B17" s="464" t="s">
        <v>438</v>
      </c>
      <c r="C17" s="478">
        <f>DATOS!$B$26</f>
        <v>0.33</v>
      </c>
      <c r="D17" s="464"/>
      <c r="E17" s="464"/>
      <c r="F17" s="464"/>
      <c r="I17" s="582">
        <v>40200</v>
      </c>
      <c r="J17" s="580">
        <v>11536.2</v>
      </c>
      <c r="K17" s="476">
        <f t="shared" si="0"/>
        <v>5.7637047167501338E-3</v>
      </c>
    </row>
    <row r="18" spans="2:11">
      <c r="B18" s="464"/>
      <c r="C18" s="464"/>
      <c r="D18" s="464"/>
      <c r="E18" s="464"/>
      <c r="F18" s="464"/>
      <c r="I18" s="582">
        <v>40203</v>
      </c>
      <c r="J18" s="580">
        <v>11378.82</v>
      </c>
      <c r="K18" s="476">
        <f t="shared" si="0"/>
        <v>-1.3736184787687853E-2</v>
      </c>
    </row>
    <row r="19" spans="2:11">
      <c r="B19" s="708" t="s">
        <v>54</v>
      </c>
      <c r="C19" s="708"/>
      <c r="D19" s="464"/>
      <c r="E19" s="464"/>
      <c r="F19" s="464"/>
      <c r="I19" s="582">
        <v>40203</v>
      </c>
      <c r="J19" s="580">
        <v>11378.82</v>
      </c>
      <c r="K19" s="476">
        <f t="shared" si="0"/>
        <v>0</v>
      </c>
    </row>
    <row r="20" spans="2:11">
      <c r="B20" s="469" t="s">
        <v>55</v>
      </c>
      <c r="C20" s="479">
        <f>C14*(1+(1-C17)*(C5/C6))</f>
        <v>1.359117693002351</v>
      </c>
      <c r="D20" s="464"/>
      <c r="E20" s="464"/>
      <c r="F20" s="464"/>
      <c r="I20" s="582">
        <v>40204</v>
      </c>
      <c r="J20" s="580">
        <v>11475.95</v>
      </c>
      <c r="K20" s="476">
        <f t="shared" si="0"/>
        <v>8.49980855431888E-3</v>
      </c>
    </row>
    <row r="21" spans="2:11">
      <c r="B21" s="276"/>
      <c r="C21" s="276"/>
      <c r="D21" s="276"/>
      <c r="E21" s="276"/>
      <c r="F21" s="276"/>
      <c r="I21" s="582">
        <v>40205</v>
      </c>
      <c r="J21" s="580">
        <v>11453.94</v>
      </c>
      <c r="K21" s="476">
        <f t="shared" si="0"/>
        <v>-1.919765577577625E-3</v>
      </c>
    </row>
    <row r="22" spans="2:11">
      <c r="I22" s="582">
        <v>40206</v>
      </c>
      <c r="J22" s="580">
        <v>11469.81</v>
      </c>
      <c r="K22" s="476">
        <f t="shared" si="0"/>
        <v>1.384590438767825E-3</v>
      </c>
    </row>
    <row r="23" spans="2:11">
      <c r="I23" s="582">
        <v>40207</v>
      </c>
      <c r="J23" s="580">
        <v>11551.45</v>
      </c>
      <c r="K23" s="476">
        <f t="shared" si="0"/>
        <v>7.0926041616860098E-3</v>
      </c>
    </row>
    <row r="24" spans="2:11">
      <c r="I24" s="582">
        <v>40210</v>
      </c>
      <c r="J24" s="580">
        <v>11510</v>
      </c>
      <c r="K24" s="476">
        <f t="shared" si="0"/>
        <v>-3.5947474799248439E-3</v>
      </c>
    </row>
    <row r="25" spans="2:11">
      <c r="I25" s="582">
        <v>40211</v>
      </c>
      <c r="J25" s="580">
        <v>11551.99</v>
      </c>
      <c r="K25" s="476">
        <f t="shared" si="0"/>
        <v>3.6414937653349733E-3</v>
      </c>
    </row>
    <row r="26" spans="2:11">
      <c r="I26" s="582">
        <v>40212</v>
      </c>
      <c r="J26" s="580">
        <v>11501.64</v>
      </c>
      <c r="K26" s="476">
        <f t="shared" si="0"/>
        <v>-4.3680826019230189E-3</v>
      </c>
    </row>
    <row r="27" spans="2:11">
      <c r="I27" s="582">
        <v>40213</v>
      </c>
      <c r="J27" s="580">
        <v>11333.99</v>
      </c>
      <c r="K27" s="476">
        <f t="shared" si="0"/>
        <v>-1.4683458451206027E-2</v>
      </c>
    </row>
    <row r="28" spans="2:11">
      <c r="I28" s="582">
        <v>40214</v>
      </c>
      <c r="J28" s="580">
        <v>11222.65</v>
      </c>
      <c r="K28" s="476">
        <f t="shared" si="0"/>
        <v>-9.8721178555794108E-3</v>
      </c>
    </row>
    <row r="29" spans="2:11">
      <c r="I29" s="582">
        <v>40217</v>
      </c>
      <c r="J29" s="580">
        <v>11234.23</v>
      </c>
      <c r="K29" s="476">
        <f t="shared" si="0"/>
        <v>1.0313098726425661E-3</v>
      </c>
    </row>
    <row r="30" spans="2:11">
      <c r="I30" s="582">
        <v>40218</v>
      </c>
      <c r="J30" s="580">
        <v>11377.28</v>
      </c>
      <c r="K30" s="476">
        <f t="shared" si="0"/>
        <v>1.2653016849068553E-2</v>
      </c>
    </row>
    <row r="31" spans="2:11">
      <c r="I31" s="582">
        <v>40219</v>
      </c>
      <c r="J31" s="580">
        <v>11442.82</v>
      </c>
      <c r="K31" s="476">
        <f t="shared" si="0"/>
        <v>5.74407475903133E-3</v>
      </c>
    </row>
    <row r="32" spans="2:11">
      <c r="I32" s="582">
        <v>40220</v>
      </c>
      <c r="J32" s="580">
        <v>11476.25</v>
      </c>
      <c r="K32" s="476">
        <f t="shared" si="0"/>
        <v>2.9172234046123554E-3</v>
      </c>
    </row>
    <row r="33" spans="9:11">
      <c r="I33" s="582">
        <v>40221</v>
      </c>
      <c r="J33" s="580">
        <v>11469.31</v>
      </c>
      <c r="K33" s="476">
        <f t="shared" si="0"/>
        <v>-6.0491007511880739E-4</v>
      </c>
    </row>
    <row r="34" spans="9:11">
      <c r="I34" s="582">
        <v>40224</v>
      </c>
      <c r="J34" s="580">
        <v>11474.14</v>
      </c>
      <c r="K34" s="476">
        <f t="shared" si="0"/>
        <v>4.2103520362896037E-4</v>
      </c>
    </row>
    <row r="35" spans="9:11">
      <c r="I35" s="582">
        <v>40225</v>
      </c>
      <c r="J35" s="580">
        <v>11530.89</v>
      </c>
      <c r="K35" s="476">
        <f t="shared" si="0"/>
        <v>4.9337136369833915E-3</v>
      </c>
    </row>
    <row r="36" spans="9:11">
      <c r="I36" s="582">
        <v>40226</v>
      </c>
      <c r="J36" s="580">
        <v>11538.43</v>
      </c>
      <c r="K36" s="476">
        <f t="shared" si="0"/>
        <v>6.5368205638385304E-4</v>
      </c>
    </row>
    <row r="37" spans="9:11">
      <c r="I37" s="582">
        <v>40227</v>
      </c>
      <c r="J37" s="580">
        <v>11462.93</v>
      </c>
      <c r="K37" s="476">
        <f t="shared" si="0"/>
        <v>-6.5648527872788284E-3</v>
      </c>
    </row>
    <row r="38" spans="9:11">
      <c r="I38" s="582">
        <v>40228</v>
      </c>
      <c r="J38" s="580">
        <v>11588.01</v>
      </c>
      <c r="K38" s="476">
        <f t="shared" si="0"/>
        <v>1.0852592358044727E-2</v>
      </c>
    </row>
    <row r="39" spans="9:11">
      <c r="I39" s="582">
        <v>40231</v>
      </c>
      <c r="J39" s="580">
        <v>11596.57</v>
      </c>
      <c r="K39" s="476">
        <f t="shared" si="0"/>
        <v>7.3842186392473401E-4</v>
      </c>
    </row>
    <row r="40" spans="9:11">
      <c r="I40" s="582">
        <v>40232</v>
      </c>
      <c r="J40" s="580">
        <v>11621.04</v>
      </c>
      <c r="K40" s="476">
        <f t="shared" si="0"/>
        <v>2.1078835470465145E-3</v>
      </c>
    </row>
    <row r="41" spans="9:11">
      <c r="I41" s="582">
        <v>40233</v>
      </c>
      <c r="J41" s="580">
        <v>11797.69</v>
      </c>
      <c r="K41" s="476">
        <f t="shared" si="0"/>
        <v>1.508650131634655E-2</v>
      </c>
    </row>
    <row r="42" spans="9:11">
      <c r="I42" s="582">
        <v>40234</v>
      </c>
      <c r="J42" s="580">
        <v>11670.03</v>
      </c>
      <c r="K42" s="476">
        <f t="shared" si="0"/>
        <v>-1.0879732606486087E-2</v>
      </c>
    </row>
    <row r="43" spans="9:11">
      <c r="I43" s="582">
        <v>40235</v>
      </c>
      <c r="J43" s="580">
        <v>11724.52</v>
      </c>
      <c r="K43" s="476">
        <f t="shared" si="0"/>
        <v>4.6583583387942639E-3</v>
      </c>
    </row>
    <row r="44" spans="9:11">
      <c r="I44" s="582">
        <v>40238</v>
      </c>
      <c r="J44" s="580">
        <v>11753.52</v>
      </c>
      <c r="K44" s="476">
        <f t="shared" si="0"/>
        <v>2.4703948667397554E-3</v>
      </c>
    </row>
    <row r="45" spans="9:11">
      <c r="I45" s="582">
        <v>40239</v>
      </c>
      <c r="J45" s="580">
        <v>11737.08</v>
      </c>
      <c r="K45" s="476">
        <f t="shared" si="0"/>
        <v>-1.3997090482222201E-3</v>
      </c>
    </row>
    <row r="46" spans="9:11">
      <c r="I46" s="582">
        <v>40240</v>
      </c>
      <c r="J46" s="580">
        <v>11836.59</v>
      </c>
      <c r="K46" s="476">
        <f t="shared" si="0"/>
        <v>8.4425200706322659E-3</v>
      </c>
    </row>
    <row r="47" spans="9:11">
      <c r="I47" s="582">
        <v>40241</v>
      </c>
      <c r="J47" s="580">
        <v>11811.27</v>
      </c>
      <c r="K47" s="476">
        <f t="shared" si="0"/>
        <v>-2.1414208030486174E-3</v>
      </c>
    </row>
    <row r="48" spans="9:11">
      <c r="I48" s="582">
        <v>40242</v>
      </c>
      <c r="J48" s="580">
        <v>11815.59</v>
      </c>
      <c r="K48" s="476">
        <f t="shared" si="0"/>
        <v>3.6568549931226279E-4</v>
      </c>
    </row>
    <row r="49" spans="9:11">
      <c r="I49" s="582">
        <v>40245</v>
      </c>
      <c r="J49" s="580">
        <v>11900.35</v>
      </c>
      <c r="K49" s="476">
        <f t="shared" si="0"/>
        <v>7.1479655362163578E-3</v>
      </c>
    </row>
    <row r="50" spans="9:11">
      <c r="I50" s="582">
        <v>40246</v>
      </c>
      <c r="J50" s="580">
        <v>11852.19</v>
      </c>
      <c r="K50" s="476">
        <f t="shared" si="0"/>
        <v>-4.0551508172372982E-3</v>
      </c>
    </row>
    <row r="51" spans="9:11">
      <c r="I51" s="582">
        <v>40247</v>
      </c>
      <c r="J51" s="580">
        <v>11836.31</v>
      </c>
      <c r="K51" s="476">
        <f t="shared" si="0"/>
        <v>-1.3407351566191326E-3</v>
      </c>
    </row>
    <row r="52" spans="9:11">
      <c r="I52" s="582">
        <v>40248</v>
      </c>
      <c r="J52" s="580">
        <v>11849.16</v>
      </c>
      <c r="K52" s="476">
        <f t="shared" si="0"/>
        <v>1.0850535168384591E-3</v>
      </c>
    </row>
    <row r="53" spans="9:11">
      <c r="I53" s="582">
        <v>40249</v>
      </c>
      <c r="J53" s="580">
        <v>11870.26</v>
      </c>
      <c r="K53" s="476">
        <f t="shared" si="0"/>
        <v>1.779133348596279E-3</v>
      </c>
    </row>
    <row r="54" spans="9:11">
      <c r="I54" s="582">
        <v>40252</v>
      </c>
      <c r="J54" s="580">
        <v>11826.61</v>
      </c>
      <c r="K54" s="476">
        <f t="shared" si="0"/>
        <v>-3.6840350112528316E-3</v>
      </c>
    </row>
    <row r="55" spans="9:11">
      <c r="I55" s="582">
        <v>40253</v>
      </c>
      <c r="J55" s="580">
        <v>11890.11</v>
      </c>
      <c r="K55" s="476">
        <f t="shared" si="0"/>
        <v>5.3548848017233204E-3</v>
      </c>
    </row>
    <row r="56" spans="9:11">
      <c r="I56" s="582">
        <v>40254</v>
      </c>
      <c r="J56" s="580">
        <v>12046.44</v>
      </c>
      <c r="K56" s="476">
        <f t="shared" si="0"/>
        <v>1.3062218470576498E-2</v>
      </c>
    </row>
    <row r="57" spans="9:11">
      <c r="I57" s="582">
        <v>40255</v>
      </c>
      <c r="J57" s="580">
        <v>12066.36</v>
      </c>
      <c r="K57" s="476">
        <f t="shared" si="0"/>
        <v>1.6522348737268834E-3</v>
      </c>
    </row>
    <row r="58" spans="9:11">
      <c r="I58" s="582">
        <v>40256</v>
      </c>
      <c r="J58" s="580">
        <v>11920.52</v>
      </c>
      <c r="K58" s="476">
        <f t="shared" si="0"/>
        <v>-1.216013062925287E-2</v>
      </c>
    </row>
    <row r="59" spans="9:11">
      <c r="I59" s="582">
        <v>40260</v>
      </c>
      <c r="J59" s="580">
        <v>12008.56</v>
      </c>
      <c r="K59" s="476">
        <f t="shared" si="0"/>
        <v>7.3584439732671163E-3</v>
      </c>
    </row>
    <row r="60" spans="9:11">
      <c r="I60" s="582">
        <v>40261</v>
      </c>
      <c r="J60" s="580">
        <v>11978.01</v>
      </c>
      <c r="K60" s="476">
        <f t="shared" si="0"/>
        <v>-2.5472601141992555E-3</v>
      </c>
    </row>
    <row r="61" spans="9:11">
      <c r="I61" s="582">
        <v>40262</v>
      </c>
      <c r="J61" s="580">
        <v>12006.68</v>
      </c>
      <c r="K61" s="476">
        <f t="shared" si="0"/>
        <v>2.3906928674143433E-3</v>
      </c>
    </row>
    <row r="62" spans="9:11">
      <c r="I62" s="582">
        <v>40263</v>
      </c>
      <c r="J62" s="580">
        <v>11965.32</v>
      </c>
      <c r="K62" s="476">
        <f t="shared" si="0"/>
        <v>-3.4506958985895705E-3</v>
      </c>
    </row>
    <row r="63" spans="9:11">
      <c r="I63" s="582">
        <v>40266</v>
      </c>
      <c r="J63" s="580">
        <v>12016.4</v>
      </c>
      <c r="K63" s="476">
        <f t="shared" si="0"/>
        <v>4.2599177411191862E-3</v>
      </c>
    </row>
    <row r="64" spans="9:11">
      <c r="I64" s="582">
        <v>40267</v>
      </c>
      <c r="J64" s="580">
        <v>12042.19</v>
      </c>
      <c r="K64" s="476">
        <f t="shared" si="0"/>
        <v>2.1439336119481534E-3</v>
      </c>
    </row>
    <row r="65" spans="9:11">
      <c r="I65" s="582">
        <v>40268</v>
      </c>
      <c r="J65" s="580">
        <v>12118.31</v>
      </c>
      <c r="K65" s="476">
        <f t="shared" si="0"/>
        <v>6.3012149470291177E-3</v>
      </c>
    </row>
    <row r="66" spans="9:11">
      <c r="I66" s="582">
        <v>40273</v>
      </c>
      <c r="J66" s="580">
        <v>12190.87</v>
      </c>
      <c r="K66" s="476">
        <f t="shared" si="0"/>
        <v>5.9697789470937561E-3</v>
      </c>
    </row>
    <row r="67" spans="9:11">
      <c r="I67" s="582">
        <v>40274</v>
      </c>
      <c r="J67" s="580">
        <v>12266.98</v>
      </c>
      <c r="K67" s="476">
        <f t="shared" si="0"/>
        <v>6.2237887369528304E-3</v>
      </c>
    </row>
    <row r="68" spans="9:11">
      <c r="I68" s="582">
        <v>40275</v>
      </c>
      <c r="J68" s="580">
        <v>12360.39</v>
      </c>
      <c r="K68" s="476">
        <f t="shared" si="0"/>
        <v>7.5859052709976432E-3</v>
      </c>
    </row>
    <row r="69" spans="9:11">
      <c r="I69" s="582">
        <v>40276</v>
      </c>
      <c r="J69" s="580">
        <v>12397.66</v>
      </c>
      <c r="K69" s="476">
        <f t="shared" si="0"/>
        <v>3.0107401958552964E-3</v>
      </c>
    </row>
    <row r="70" spans="9:11">
      <c r="I70" s="582">
        <v>40277</v>
      </c>
      <c r="J70" s="580">
        <v>12369.36</v>
      </c>
      <c r="K70" s="476">
        <f t="shared" ref="K70:K133" si="1">LN(J70/J69)</f>
        <v>-2.2852981357144001E-3</v>
      </c>
    </row>
    <row r="71" spans="9:11">
      <c r="I71" s="582">
        <v>40280</v>
      </c>
      <c r="J71" s="580">
        <v>12385.99</v>
      </c>
      <c r="K71" s="476">
        <f t="shared" si="1"/>
        <v>1.3435481624455188E-3</v>
      </c>
    </row>
    <row r="72" spans="9:11">
      <c r="I72" s="582">
        <v>40281</v>
      </c>
      <c r="J72" s="580">
        <v>12398.73</v>
      </c>
      <c r="K72" s="476">
        <f t="shared" si="1"/>
        <v>1.028052858540802E-3</v>
      </c>
    </row>
    <row r="73" spans="9:11">
      <c r="I73" s="582">
        <v>40282</v>
      </c>
      <c r="J73" s="580">
        <v>12512.65</v>
      </c>
      <c r="K73" s="476">
        <f t="shared" si="1"/>
        <v>9.1460845705392466E-3</v>
      </c>
    </row>
    <row r="74" spans="9:11">
      <c r="I74" s="582">
        <v>40283</v>
      </c>
      <c r="J74" s="580">
        <v>12526.89</v>
      </c>
      <c r="K74" s="476">
        <f t="shared" si="1"/>
        <v>1.1374012090612268E-3</v>
      </c>
    </row>
    <row r="75" spans="9:11">
      <c r="I75" s="582">
        <v>40284</v>
      </c>
      <c r="J75" s="580">
        <v>12362.14</v>
      </c>
      <c r="K75" s="476">
        <f t="shared" si="1"/>
        <v>-1.3238957589266142E-2</v>
      </c>
    </row>
    <row r="76" spans="9:11">
      <c r="I76" s="582">
        <v>40287</v>
      </c>
      <c r="J76" s="580">
        <v>12289.67</v>
      </c>
      <c r="K76" s="476">
        <f t="shared" si="1"/>
        <v>-5.8795040822742428E-3</v>
      </c>
    </row>
    <row r="77" spans="9:11">
      <c r="I77" s="582">
        <v>40287</v>
      </c>
      <c r="J77" s="580">
        <v>12289.67</v>
      </c>
      <c r="K77" s="476">
        <f t="shared" si="1"/>
        <v>0</v>
      </c>
    </row>
    <row r="78" spans="9:11">
      <c r="I78" s="582">
        <v>40288</v>
      </c>
      <c r="J78" s="580">
        <v>12425.36</v>
      </c>
      <c r="K78" s="476">
        <f t="shared" si="1"/>
        <v>1.0980473287024803E-2</v>
      </c>
    </row>
    <row r="79" spans="9:11">
      <c r="I79" s="582">
        <v>40289</v>
      </c>
      <c r="J79" s="580">
        <v>12477.06</v>
      </c>
      <c r="K79" s="476">
        <f t="shared" si="1"/>
        <v>4.1522128595854677E-3</v>
      </c>
    </row>
    <row r="80" spans="9:11">
      <c r="I80" s="582">
        <v>40290</v>
      </c>
      <c r="J80" s="580">
        <v>12514.47</v>
      </c>
      <c r="K80" s="476">
        <f t="shared" si="1"/>
        <v>2.9938165404001971E-3</v>
      </c>
    </row>
    <row r="81" spans="9:11">
      <c r="I81" s="582">
        <v>40291</v>
      </c>
      <c r="J81" s="580">
        <v>12615.1</v>
      </c>
      <c r="K81" s="476">
        <f t="shared" si="1"/>
        <v>8.0089343265466184E-3</v>
      </c>
    </row>
    <row r="82" spans="9:11">
      <c r="I82" s="582">
        <v>40294</v>
      </c>
      <c r="J82" s="580">
        <v>12585.69</v>
      </c>
      <c r="K82" s="476">
        <f t="shared" si="1"/>
        <v>-2.3340548730161111E-3</v>
      </c>
    </row>
    <row r="83" spans="9:11">
      <c r="I83" s="582">
        <v>40295</v>
      </c>
      <c r="J83" s="580">
        <v>12469.08</v>
      </c>
      <c r="K83" s="476">
        <f t="shared" si="1"/>
        <v>-9.3084743542055023E-3</v>
      </c>
    </row>
    <row r="84" spans="9:11">
      <c r="I84" s="582">
        <v>40296</v>
      </c>
      <c r="J84" s="580">
        <v>12369.12</v>
      </c>
      <c r="K84" s="476">
        <f t="shared" si="1"/>
        <v>-8.0489358859771373E-3</v>
      </c>
    </row>
    <row r="85" spans="9:11">
      <c r="I85" s="582">
        <v>40297</v>
      </c>
      <c r="J85" s="580">
        <v>12512.15</v>
      </c>
      <c r="K85" s="476">
        <f t="shared" si="1"/>
        <v>1.1497128202791978E-2</v>
      </c>
    </row>
    <row r="86" spans="9:11">
      <c r="I86" s="582">
        <v>40298</v>
      </c>
      <c r="J86" s="580">
        <v>12512.61</v>
      </c>
      <c r="K86" s="476">
        <f t="shared" si="1"/>
        <v>3.6763589345404638E-5</v>
      </c>
    </row>
    <row r="87" spans="9:11">
      <c r="I87" s="582">
        <v>40301</v>
      </c>
      <c r="J87" s="580">
        <v>12697.7</v>
      </c>
      <c r="K87" s="476">
        <f t="shared" si="1"/>
        <v>1.4683938889840219E-2</v>
      </c>
    </row>
    <row r="88" spans="9:11">
      <c r="I88" s="582">
        <v>40302</v>
      </c>
      <c r="J88" s="580">
        <v>12593.1</v>
      </c>
      <c r="K88" s="476">
        <f t="shared" si="1"/>
        <v>-8.2718297895889789E-3</v>
      </c>
    </row>
    <row r="89" spans="9:11">
      <c r="I89" s="582">
        <v>40303</v>
      </c>
      <c r="J89" s="580">
        <v>12319.61</v>
      </c>
      <c r="K89" s="476">
        <f t="shared" si="1"/>
        <v>-2.1956743151577824E-2</v>
      </c>
    </row>
    <row r="90" spans="9:11">
      <c r="I90" s="582">
        <v>40304</v>
      </c>
      <c r="J90" s="580">
        <v>11969.15</v>
      </c>
      <c r="K90" s="476">
        <f t="shared" si="1"/>
        <v>-2.885979557215446E-2</v>
      </c>
    </row>
    <row r="91" spans="9:11">
      <c r="I91" s="582">
        <v>40305</v>
      </c>
      <c r="J91" s="580">
        <v>12003.37</v>
      </c>
      <c r="K91" s="476">
        <f t="shared" si="1"/>
        <v>2.8549375070278482E-3</v>
      </c>
    </row>
    <row r="92" spans="9:11">
      <c r="I92" s="582">
        <v>40308</v>
      </c>
      <c r="J92" s="580">
        <v>12215.94</v>
      </c>
      <c r="K92" s="476">
        <f t="shared" si="1"/>
        <v>1.7554212617879487E-2</v>
      </c>
    </row>
    <row r="93" spans="9:11">
      <c r="I93" s="582">
        <v>40309</v>
      </c>
      <c r="J93" s="580">
        <v>12289.79</v>
      </c>
      <c r="K93" s="476">
        <f t="shared" si="1"/>
        <v>6.0271800563916882E-3</v>
      </c>
    </row>
    <row r="94" spans="9:11">
      <c r="I94" s="582">
        <v>40310</v>
      </c>
      <c r="J94" s="580">
        <v>12341.01</v>
      </c>
      <c r="K94" s="476">
        <f t="shared" si="1"/>
        <v>4.1590264085190742E-3</v>
      </c>
    </row>
    <row r="95" spans="9:11">
      <c r="I95" s="582">
        <v>40311</v>
      </c>
      <c r="J95" s="580">
        <v>12347.53</v>
      </c>
      <c r="K95" s="476">
        <f t="shared" si="1"/>
        <v>5.2818029349464791E-4</v>
      </c>
    </row>
    <row r="96" spans="9:11">
      <c r="I96" s="582">
        <v>40312</v>
      </c>
      <c r="J96" s="580">
        <v>12220.51</v>
      </c>
      <c r="K96" s="476">
        <f t="shared" si="1"/>
        <v>-1.0340355337861202E-2</v>
      </c>
    </row>
    <row r="97" spans="9:11">
      <c r="I97" s="582">
        <v>40316</v>
      </c>
      <c r="J97" s="580">
        <v>12021.47</v>
      </c>
      <c r="K97" s="476">
        <f t="shared" si="1"/>
        <v>-1.6421469930918902E-2</v>
      </c>
    </row>
    <row r="98" spans="9:11">
      <c r="I98" s="582">
        <v>40316</v>
      </c>
      <c r="J98" s="580">
        <v>12021.47</v>
      </c>
      <c r="K98" s="476">
        <f t="shared" si="1"/>
        <v>0</v>
      </c>
    </row>
    <row r="99" spans="9:11">
      <c r="I99" s="582">
        <v>40317</v>
      </c>
      <c r="J99" s="580">
        <v>11932.91</v>
      </c>
      <c r="K99" s="476">
        <f t="shared" si="1"/>
        <v>-7.3940885535770948E-3</v>
      </c>
    </row>
    <row r="100" spans="9:11">
      <c r="I100" s="582">
        <v>40318</v>
      </c>
      <c r="J100" s="580">
        <v>11855.35</v>
      </c>
      <c r="K100" s="476">
        <f t="shared" si="1"/>
        <v>-6.5208867595555981E-3</v>
      </c>
    </row>
    <row r="101" spans="9:11">
      <c r="I101" s="582">
        <v>40319</v>
      </c>
      <c r="J101" s="580">
        <v>11869.75</v>
      </c>
      <c r="K101" s="476">
        <f t="shared" si="1"/>
        <v>1.2139044107949964E-3</v>
      </c>
    </row>
    <row r="102" spans="9:11">
      <c r="I102" s="582">
        <v>40322</v>
      </c>
      <c r="J102" s="580">
        <v>11976.5</v>
      </c>
      <c r="K102" s="476">
        <f t="shared" si="1"/>
        <v>8.9532495126124299E-3</v>
      </c>
    </row>
    <row r="103" spans="9:11">
      <c r="I103" s="582">
        <v>40323</v>
      </c>
      <c r="J103" s="580">
        <v>11852.7</v>
      </c>
      <c r="K103" s="476">
        <f t="shared" si="1"/>
        <v>-1.0390706683844274E-2</v>
      </c>
    </row>
    <row r="104" spans="9:11">
      <c r="I104" s="582">
        <v>40324</v>
      </c>
      <c r="J104" s="580">
        <v>12101.56</v>
      </c>
      <c r="K104" s="476">
        <f t="shared" si="1"/>
        <v>2.0778680183366909E-2</v>
      </c>
    </row>
    <row r="105" spans="9:11">
      <c r="I105" s="582">
        <v>40325</v>
      </c>
      <c r="J105" s="580">
        <v>12107.97</v>
      </c>
      <c r="K105" s="476">
        <f t="shared" si="1"/>
        <v>5.2954354337224699E-4</v>
      </c>
    </row>
    <row r="106" spans="9:11">
      <c r="I106" s="582">
        <v>40326</v>
      </c>
      <c r="J106" s="580">
        <v>12227.2</v>
      </c>
      <c r="K106" s="476">
        <f t="shared" si="1"/>
        <v>9.7990648147349667E-3</v>
      </c>
    </row>
    <row r="107" spans="9:11">
      <c r="I107" s="582">
        <v>40329</v>
      </c>
      <c r="J107" s="580">
        <v>12236.19</v>
      </c>
      <c r="K107" s="476">
        <f t="shared" si="1"/>
        <v>7.3497584796632554E-4</v>
      </c>
    </row>
    <row r="108" spans="9:11">
      <c r="I108" s="582">
        <v>40330</v>
      </c>
      <c r="J108" s="580">
        <v>12282.16</v>
      </c>
      <c r="K108" s="476">
        <f t="shared" si="1"/>
        <v>3.7498488982120781E-3</v>
      </c>
    </row>
    <row r="109" spans="9:11">
      <c r="I109" s="582">
        <v>40331</v>
      </c>
      <c r="J109" s="580">
        <v>12311.27</v>
      </c>
      <c r="K109" s="476">
        <f t="shared" si="1"/>
        <v>2.3673000142424936E-3</v>
      </c>
    </row>
    <row r="110" spans="9:11">
      <c r="I110" s="582">
        <v>40332</v>
      </c>
      <c r="J110" s="580">
        <v>12332.77</v>
      </c>
      <c r="K110" s="476">
        <f t="shared" si="1"/>
        <v>1.7448442264089937E-3</v>
      </c>
    </row>
    <row r="111" spans="9:11">
      <c r="I111" s="582">
        <v>40333</v>
      </c>
      <c r="J111" s="580">
        <v>12222.65</v>
      </c>
      <c r="K111" s="476">
        <f t="shared" si="1"/>
        <v>-8.969159413562619E-3</v>
      </c>
    </row>
    <row r="112" spans="9:11">
      <c r="I112" s="582">
        <v>40337</v>
      </c>
      <c r="J112" s="580">
        <v>12182.97</v>
      </c>
      <c r="K112" s="476">
        <f t="shared" si="1"/>
        <v>-3.2517129221455053E-3</v>
      </c>
    </row>
    <row r="113" spans="9:11">
      <c r="I113" s="582">
        <v>40338</v>
      </c>
      <c r="J113" s="580">
        <v>12267.24</v>
      </c>
      <c r="K113" s="476">
        <f t="shared" si="1"/>
        <v>6.8932196234056508E-3</v>
      </c>
    </row>
    <row r="114" spans="9:11">
      <c r="I114" s="582">
        <v>40339</v>
      </c>
      <c r="J114" s="580">
        <v>12273.2</v>
      </c>
      <c r="K114" s="476">
        <f t="shared" si="1"/>
        <v>4.8572887178716367E-4</v>
      </c>
    </row>
    <row r="115" spans="9:11">
      <c r="I115" s="582">
        <v>40340</v>
      </c>
      <c r="J115" s="580">
        <v>12305.77</v>
      </c>
      <c r="K115" s="476">
        <f t="shared" si="1"/>
        <v>2.6502346569940373E-3</v>
      </c>
    </row>
    <row r="116" spans="9:11">
      <c r="I116" s="582">
        <v>40344</v>
      </c>
      <c r="J116" s="580">
        <v>12337.96</v>
      </c>
      <c r="K116" s="476">
        <f t="shared" si="1"/>
        <v>2.6124306919047642E-3</v>
      </c>
    </row>
    <row r="117" spans="9:11">
      <c r="I117" s="582">
        <v>40345</v>
      </c>
      <c r="J117" s="580">
        <v>12413.38</v>
      </c>
      <c r="K117" s="476">
        <f t="shared" si="1"/>
        <v>6.0942343665290185E-3</v>
      </c>
    </row>
    <row r="118" spans="9:11">
      <c r="I118" s="582">
        <v>40346</v>
      </c>
      <c r="J118" s="580">
        <v>12406.63</v>
      </c>
      <c r="K118" s="476">
        <f t="shared" si="1"/>
        <v>-5.4391599088091645E-4</v>
      </c>
    </row>
    <row r="119" spans="9:11">
      <c r="I119" s="582">
        <v>40347</v>
      </c>
      <c r="J119" s="580">
        <v>12496.31</v>
      </c>
      <c r="K119" s="476">
        <f t="shared" si="1"/>
        <v>7.2023935868532974E-3</v>
      </c>
    </row>
    <row r="120" spans="9:11">
      <c r="I120" s="582">
        <v>40350</v>
      </c>
      <c r="J120" s="580">
        <v>12472.26</v>
      </c>
      <c r="K120" s="476">
        <f t="shared" si="1"/>
        <v>-1.9264224933721544E-3</v>
      </c>
    </row>
    <row r="121" spans="9:11">
      <c r="I121" s="582">
        <v>40351</v>
      </c>
      <c r="J121" s="580">
        <v>12485.74</v>
      </c>
      <c r="K121" s="476">
        <f t="shared" si="1"/>
        <v>1.0802148658367193E-3</v>
      </c>
    </row>
    <row r="122" spans="9:11">
      <c r="I122" s="582">
        <v>40352</v>
      </c>
      <c r="J122" s="580">
        <v>12503.67</v>
      </c>
      <c r="K122" s="476">
        <f t="shared" si="1"/>
        <v>1.4350081155866973E-3</v>
      </c>
    </row>
    <row r="123" spans="9:11">
      <c r="I123" s="582">
        <v>40353</v>
      </c>
      <c r="J123" s="580">
        <v>12497.09</v>
      </c>
      <c r="K123" s="476">
        <f t="shared" si="1"/>
        <v>-5.263840100807049E-4</v>
      </c>
    </row>
    <row r="124" spans="9:11">
      <c r="I124" s="582">
        <v>40354</v>
      </c>
      <c r="J124" s="580">
        <v>12522.03</v>
      </c>
      <c r="K124" s="476">
        <f t="shared" si="1"/>
        <v>1.9936758975408154E-3</v>
      </c>
    </row>
    <row r="125" spans="9:11">
      <c r="I125" s="582">
        <v>40357</v>
      </c>
      <c r="J125" s="580">
        <v>12510.27</v>
      </c>
      <c r="K125" s="476">
        <f t="shared" si="1"/>
        <v>-9.3958612394118215E-4</v>
      </c>
    </row>
    <row r="126" spans="9:11">
      <c r="I126" s="582">
        <v>40358</v>
      </c>
      <c r="J126" s="580">
        <v>12345.91</v>
      </c>
      <c r="K126" s="476">
        <f t="shared" si="1"/>
        <v>-1.322507284506051E-2</v>
      </c>
    </row>
    <row r="127" spans="9:11">
      <c r="I127" s="582">
        <v>40359</v>
      </c>
      <c r="J127" s="580">
        <v>12449.9</v>
      </c>
      <c r="K127" s="476">
        <f t="shared" si="1"/>
        <v>8.3877566152763192E-3</v>
      </c>
    </row>
    <row r="128" spans="9:11">
      <c r="I128" s="582">
        <v>40360</v>
      </c>
      <c r="J128" s="580">
        <v>12388.51</v>
      </c>
      <c r="K128" s="476">
        <f t="shared" si="1"/>
        <v>-4.943160613300265E-3</v>
      </c>
    </row>
    <row r="129" spans="9:11">
      <c r="I129" s="582">
        <v>40361</v>
      </c>
      <c r="J129" s="580">
        <v>12345.01</v>
      </c>
      <c r="K129" s="476">
        <f t="shared" si="1"/>
        <v>-3.5174972952774011E-3</v>
      </c>
    </row>
    <row r="130" spans="9:11">
      <c r="I130" s="582">
        <v>40365</v>
      </c>
      <c r="J130" s="580">
        <v>12391.55</v>
      </c>
      <c r="K130" s="476">
        <f t="shared" si="1"/>
        <v>3.7628558630331379E-3</v>
      </c>
    </row>
    <row r="131" spans="9:11">
      <c r="I131" s="582">
        <v>40366</v>
      </c>
      <c r="J131" s="580">
        <v>12408.7</v>
      </c>
      <c r="K131" s="476">
        <f t="shared" si="1"/>
        <v>1.3830507945487886E-3</v>
      </c>
    </row>
    <row r="132" spans="9:11">
      <c r="I132" s="582">
        <v>40367</v>
      </c>
      <c r="J132" s="580">
        <v>12511.31</v>
      </c>
      <c r="K132" s="476">
        <f t="shared" si="1"/>
        <v>8.2351957245277857E-3</v>
      </c>
    </row>
    <row r="133" spans="9:11">
      <c r="I133" s="582">
        <v>40368</v>
      </c>
      <c r="J133" s="580">
        <v>12548.47</v>
      </c>
      <c r="K133" s="476">
        <f t="shared" si="1"/>
        <v>2.9657105718037661E-3</v>
      </c>
    </row>
    <row r="134" spans="9:11">
      <c r="I134" s="582">
        <v>40371</v>
      </c>
      <c r="J134" s="580">
        <v>12703.92</v>
      </c>
      <c r="K134" s="476">
        <f t="shared" ref="K134:K197" si="2">LN(J134/J133)</f>
        <v>1.2311861460452486E-2</v>
      </c>
    </row>
    <row r="135" spans="9:11">
      <c r="I135" s="582">
        <v>40372</v>
      </c>
      <c r="J135" s="580">
        <v>12776.95</v>
      </c>
      <c r="K135" s="476">
        <f t="shared" si="2"/>
        <v>5.732159064118024E-3</v>
      </c>
    </row>
    <row r="136" spans="9:11">
      <c r="I136" s="582">
        <v>40373</v>
      </c>
      <c r="J136" s="580">
        <v>12870.89</v>
      </c>
      <c r="K136" s="476">
        <f t="shared" si="2"/>
        <v>7.32540596637385E-3</v>
      </c>
    </row>
    <row r="137" spans="9:11">
      <c r="I137" s="582">
        <v>40374</v>
      </c>
      <c r="J137" s="580">
        <v>12957.59</v>
      </c>
      <c r="K137" s="476">
        <f t="shared" si="2"/>
        <v>6.713544555672548E-3</v>
      </c>
    </row>
    <row r="138" spans="9:11">
      <c r="I138" s="582">
        <v>40375</v>
      </c>
      <c r="J138" s="580">
        <v>12918.72</v>
      </c>
      <c r="K138" s="476">
        <f t="shared" si="2"/>
        <v>-3.004294602748413E-3</v>
      </c>
    </row>
    <row r="139" spans="9:11">
      <c r="I139" s="582">
        <v>40378</v>
      </c>
      <c r="J139" s="580">
        <v>12940.49</v>
      </c>
      <c r="K139" s="476">
        <f t="shared" si="2"/>
        <v>1.6837331954908227E-3</v>
      </c>
    </row>
    <row r="140" spans="9:11">
      <c r="I140" s="582">
        <v>40380</v>
      </c>
      <c r="J140" s="580">
        <v>13203.77</v>
      </c>
      <c r="K140" s="476">
        <f t="shared" si="2"/>
        <v>2.0141239440644221E-2</v>
      </c>
    </row>
    <row r="141" spans="9:11">
      <c r="I141" s="582">
        <v>40381</v>
      </c>
      <c r="J141" s="580">
        <v>13221.02</v>
      </c>
      <c r="K141" s="476">
        <f t="shared" si="2"/>
        <v>1.3055923964067433E-3</v>
      </c>
    </row>
    <row r="142" spans="9:11">
      <c r="I142" s="582">
        <v>40382</v>
      </c>
      <c r="J142" s="580">
        <v>13269.82</v>
      </c>
      <c r="K142" s="476">
        <f t="shared" si="2"/>
        <v>3.6842965493799435E-3</v>
      </c>
    </row>
    <row r="143" spans="9:11">
      <c r="I143" s="582">
        <v>40385</v>
      </c>
      <c r="J143" s="580">
        <v>13480.9</v>
      </c>
      <c r="K143" s="476">
        <f t="shared" si="2"/>
        <v>1.5781585013003054E-2</v>
      </c>
    </row>
    <row r="144" spans="9:11">
      <c r="I144" s="582">
        <v>40386</v>
      </c>
      <c r="J144" s="580">
        <v>13518.26</v>
      </c>
      <c r="K144" s="476">
        <f t="shared" si="2"/>
        <v>2.7674952735649411E-3</v>
      </c>
    </row>
    <row r="145" spans="9:11">
      <c r="I145" s="582">
        <v>40387</v>
      </c>
      <c r="J145" s="580">
        <v>13419.84</v>
      </c>
      <c r="K145" s="476">
        <f t="shared" si="2"/>
        <v>-7.3071551389025007E-3</v>
      </c>
    </row>
    <row r="146" spans="9:11">
      <c r="I146" s="582">
        <v>40388</v>
      </c>
      <c r="J146" s="580">
        <v>13195.85</v>
      </c>
      <c r="K146" s="476">
        <f t="shared" si="2"/>
        <v>-1.683182274794072E-2</v>
      </c>
    </row>
    <row r="147" spans="9:11">
      <c r="I147" s="582">
        <v>40389</v>
      </c>
      <c r="J147" s="580">
        <v>13283.28</v>
      </c>
      <c r="K147" s="476">
        <f t="shared" si="2"/>
        <v>6.6037152827967465E-3</v>
      </c>
    </row>
    <row r="148" spans="9:11">
      <c r="I148" s="582">
        <v>40392</v>
      </c>
      <c r="J148" s="580">
        <v>13340.48</v>
      </c>
      <c r="K148" s="476">
        <f t="shared" si="2"/>
        <v>4.2969203455437734E-3</v>
      </c>
    </row>
    <row r="149" spans="9:11">
      <c r="I149" s="582">
        <v>40393</v>
      </c>
      <c r="J149" s="580">
        <v>13428.4</v>
      </c>
      <c r="K149" s="476">
        <f t="shared" si="2"/>
        <v>6.5688453266221506E-3</v>
      </c>
    </row>
    <row r="150" spans="9:11">
      <c r="I150" s="582">
        <v>40394</v>
      </c>
      <c r="J150" s="580">
        <v>13486.51</v>
      </c>
      <c r="K150" s="476">
        <f t="shared" si="2"/>
        <v>4.3180594169901255E-3</v>
      </c>
    </row>
    <row r="151" spans="9:11">
      <c r="I151" s="582">
        <v>40395</v>
      </c>
      <c r="J151" s="580">
        <v>13574.55</v>
      </c>
      <c r="K151" s="476">
        <f t="shared" si="2"/>
        <v>6.5067895065340515E-3</v>
      </c>
    </row>
    <row r="152" spans="9:11">
      <c r="I152" s="582">
        <v>40396</v>
      </c>
      <c r="J152" s="580">
        <v>13397.41</v>
      </c>
      <c r="K152" s="476">
        <f t="shared" si="2"/>
        <v>-1.3135311406185157E-2</v>
      </c>
    </row>
    <row r="153" spans="9:11">
      <c r="I153" s="582">
        <v>40399</v>
      </c>
      <c r="J153" s="580">
        <v>13409.8</v>
      </c>
      <c r="K153" s="476">
        <f t="shared" si="2"/>
        <v>9.2437824616917565E-4</v>
      </c>
    </row>
    <row r="154" spans="9:11">
      <c r="I154" s="582">
        <v>40400</v>
      </c>
      <c r="J154" s="580">
        <v>13380.92</v>
      </c>
      <c r="K154" s="476">
        <f t="shared" si="2"/>
        <v>-2.1559712606974389E-3</v>
      </c>
    </row>
    <row r="155" spans="9:11">
      <c r="I155" s="582">
        <v>40401</v>
      </c>
      <c r="J155" s="580">
        <v>13224.02</v>
      </c>
      <c r="K155" s="476">
        <f t="shared" si="2"/>
        <v>-1.1794938759295765E-2</v>
      </c>
    </row>
    <row r="156" spans="9:11">
      <c r="I156" s="582">
        <v>40402</v>
      </c>
      <c r="J156" s="580">
        <v>13199.73</v>
      </c>
      <c r="K156" s="476">
        <f t="shared" si="2"/>
        <v>-1.8384980815998155E-3</v>
      </c>
    </row>
    <row r="157" spans="9:11">
      <c r="I157" s="582">
        <v>40403</v>
      </c>
      <c r="J157" s="580">
        <v>13301.28</v>
      </c>
      <c r="K157" s="476">
        <f t="shared" si="2"/>
        <v>7.6638963607087145E-3</v>
      </c>
    </row>
    <row r="158" spans="9:11">
      <c r="I158" s="582">
        <v>40407</v>
      </c>
      <c r="J158" s="580">
        <v>13339.58</v>
      </c>
      <c r="K158" s="476">
        <f t="shared" si="2"/>
        <v>2.8752845355846201E-3</v>
      </c>
    </row>
    <row r="159" spans="9:11">
      <c r="I159" s="582">
        <v>40408</v>
      </c>
      <c r="J159" s="580">
        <v>13395.84</v>
      </c>
      <c r="K159" s="476">
        <f t="shared" si="2"/>
        <v>4.2086552628226824E-3</v>
      </c>
    </row>
    <row r="160" spans="9:11">
      <c r="I160" s="582">
        <v>40409</v>
      </c>
      <c r="J160" s="580">
        <v>13438.32</v>
      </c>
      <c r="K160" s="476">
        <f t="shared" si="2"/>
        <v>3.1661162850627521E-3</v>
      </c>
    </row>
    <row r="161" spans="9:11">
      <c r="I161" s="582">
        <v>40410</v>
      </c>
      <c r="J161" s="580">
        <v>13453.25</v>
      </c>
      <c r="K161" s="476">
        <f t="shared" si="2"/>
        <v>1.1103852645274071E-3</v>
      </c>
    </row>
    <row r="162" spans="9:11">
      <c r="I162" s="582">
        <v>40413</v>
      </c>
      <c r="J162" s="580">
        <v>13602.04</v>
      </c>
      <c r="K162" s="476">
        <f t="shared" si="2"/>
        <v>1.0999068946751584E-2</v>
      </c>
    </row>
    <row r="163" spans="9:11">
      <c r="I163" s="582">
        <v>40414</v>
      </c>
      <c r="J163" s="580">
        <v>13600.74</v>
      </c>
      <c r="K163" s="476">
        <f t="shared" si="2"/>
        <v>-9.5578466685461921E-5</v>
      </c>
    </row>
    <row r="164" spans="9:11">
      <c r="I164" s="582">
        <v>40415</v>
      </c>
      <c r="J164" s="580">
        <v>13588.11</v>
      </c>
      <c r="K164" s="476">
        <f t="shared" si="2"/>
        <v>-9.290573826007838E-4</v>
      </c>
    </row>
    <row r="165" spans="9:11">
      <c r="I165" s="582">
        <v>40416</v>
      </c>
      <c r="J165" s="580">
        <v>13696.42</v>
      </c>
      <c r="K165" s="476">
        <f t="shared" si="2"/>
        <v>7.9393391732029035E-3</v>
      </c>
    </row>
    <row r="166" spans="9:11">
      <c r="I166" s="582">
        <v>40417</v>
      </c>
      <c r="J166" s="580">
        <v>13904.18</v>
      </c>
      <c r="K166" s="476">
        <f t="shared" si="2"/>
        <v>1.5055029537035311E-2</v>
      </c>
    </row>
    <row r="167" spans="9:11">
      <c r="I167" s="582">
        <v>40420</v>
      </c>
      <c r="J167" s="580">
        <v>13908.21</v>
      </c>
      <c r="K167" s="476">
        <f t="shared" si="2"/>
        <v>2.897989010080129E-4</v>
      </c>
    </row>
    <row r="168" spans="9:11">
      <c r="I168" s="582">
        <v>40421</v>
      </c>
      <c r="J168" s="580">
        <v>14105.47</v>
      </c>
      <c r="K168" s="476">
        <f t="shared" si="2"/>
        <v>1.4083352160911267E-2</v>
      </c>
    </row>
    <row r="169" spans="9:11">
      <c r="I169" s="582">
        <v>40422</v>
      </c>
      <c r="J169" s="580">
        <v>14474.52</v>
      </c>
      <c r="K169" s="476">
        <f t="shared" si="2"/>
        <v>2.5827196871469088E-2</v>
      </c>
    </row>
    <row r="170" spans="9:11">
      <c r="I170" s="582">
        <v>40423</v>
      </c>
      <c r="J170" s="580">
        <v>13985.66</v>
      </c>
      <c r="K170" s="476">
        <f t="shared" si="2"/>
        <v>-3.4357343325600108E-2</v>
      </c>
    </row>
    <row r="171" spans="9:11">
      <c r="I171" s="582">
        <v>40424</v>
      </c>
      <c r="J171" s="580">
        <v>14066.55</v>
      </c>
      <c r="K171" s="476">
        <f t="shared" si="2"/>
        <v>5.7671195387280477E-3</v>
      </c>
    </row>
    <row r="172" spans="9:11">
      <c r="I172" s="582">
        <v>40427</v>
      </c>
      <c r="J172" s="580">
        <v>14258.66</v>
      </c>
      <c r="K172" s="476">
        <f t="shared" si="2"/>
        <v>1.3564802925713413E-2</v>
      </c>
    </row>
    <row r="173" spans="9:11">
      <c r="I173" s="582">
        <v>40428</v>
      </c>
      <c r="J173" s="580">
        <v>14208.87</v>
      </c>
      <c r="K173" s="476">
        <f t="shared" si="2"/>
        <v>-3.4980239430609833E-3</v>
      </c>
    </row>
    <row r="174" spans="9:11">
      <c r="I174" s="582">
        <v>40429</v>
      </c>
      <c r="J174" s="580">
        <v>14411.19</v>
      </c>
      <c r="K174" s="476">
        <f t="shared" si="2"/>
        <v>1.4138570659107745E-2</v>
      </c>
    </row>
    <row r="175" spans="9:11">
      <c r="I175" s="582">
        <v>40430</v>
      </c>
      <c r="J175" s="580">
        <v>14374.5</v>
      </c>
      <c r="K175" s="476">
        <f t="shared" si="2"/>
        <v>-2.5491846725703184E-3</v>
      </c>
    </row>
    <row r="176" spans="9:11">
      <c r="I176" s="582">
        <v>40431</v>
      </c>
      <c r="J176" s="580">
        <v>14147.34</v>
      </c>
      <c r="K176" s="476">
        <f t="shared" si="2"/>
        <v>-1.5929182917824816E-2</v>
      </c>
    </row>
    <row r="177" spans="9:11">
      <c r="I177" s="582">
        <v>40434</v>
      </c>
      <c r="J177" s="580">
        <v>14128.29</v>
      </c>
      <c r="K177" s="476">
        <f t="shared" si="2"/>
        <v>-1.3474502872119682E-3</v>
      </c>
    </row>
    <row r="178" spans="9:11">
      <c r="I178" s="582">
        <v>40435</v>
      </c>
      <c r="J178" s="580">
        <v>14193.31</v>
      </c>
      <c r="K178" s="476">
        <f t="shared" si="2"/>
        <v>4.5915565668172426E-3</v>
      </c>
    </row>
    <row r="179" spans="9:11">
      <c r="I179" s="582">
        <v>40436</v>
      </c>
      <c r="J179" s="580">
        <v>14095.68</v>
      </c>
      <c r="K179" s="476">
        <f t="shared" si="2"/>
        <v>-6.9023593710244293E-3</v>
      </c>
    </row>
    <row r="180" spans="9:11">
      <c r="I180" s="582">
        <v>40437</v>
      </c>
      <c r="J180" s="580">
        <v>14086.69</v>
      </c>
      <c r="K180" s="476">
        <f t="shared" si="2"/>
        <v>-6.3798752943283396E-4</v>
      </c>
    </row>
    <row r="181" spans="9:11">
      <c r="I181" s="582">
        <v>40438</v>
      </c>
      <c r="J181" s="580">
        <v>14043.5</v>
      </c>
      <c r="K181" s="476">
        <f t="shared" si="2"/>
        <v>-3.0707246511877044E-3</v>
      </c>
    </row>
    <row r="182" spans="9:11">
      <c r="I182" s="582">
        <v>40441</v>
      </c>
      <c r="J182" s="580">
        <v>14204.45</v>
      </c>
      <c r="K182" s="476">
        <f t="shared" si="2"/>
        <v>1.1395640515636215E-2</v>
      </c>
    </row>
    <row r="183" spans="9:11">
      <c r="I183" s="582">
        <v>40442</v>
      </c>
      <c r="J183" s="580">
        <v>14246.03</v>
      </c>
      <c r="K183" s="476">
        <f t="shared" si="2"/>
        <v>2.922975612658551E-3</v>
      </c>
    </row>
    <row r="184" spans="9:11">
      <c r="I184" s="582">
        <v>40443</v>
      </c>
      <c r="J184" s="580">
        <v>14170.36</v>
      </c>
      <c r="K184" s="476">
        <f t="shared" si="2"/>
        <v>-5.3258122414784562E-3</v>
      </c>
    </row>
    <row r="185" spans="9:11">
      <c r="I185" s="582">
        <v>40444</v>
      </c>
      <c r="J185" s="580">
        <v>14064.04</v>
      </c>
      <c r="K185" s="476">
        <f t="shared" si="2"/>
        <v>-7.5312740868951822E-3</v>
      </c>
    </row>
    <row r="186" spans="9:11">
      <c r="I186" s="582">
        <v>40445</v>
      </c>
      <c r="J186" s="580">
        <v>14125.1</v>
      </c>
      <c r="K186" s="476">
        <f t="shared" si="2"/>
        <v>4.3321715736158121E-3</v>
      </c>
    </row>
    <row r="187" spans="9:11">
      <c r="I187" s="582">
        <v>40448</v>
      </c>
      <c r="J187" s="580">
        <v>14252.12</v>
      </c>
      <c r="K187" s="476">
        <f t="shared" si="2"/>
        <v>8.9523109255762023E-3</v>
      </c>
    </row>
    <row r="188" spans="9:11">
      <c r="I188" s="582">
        <v>40449</v>
      </c>
      <c r="J188" s="580">
        <v>14520.47</v>
      </c>
      <c r="K188" s="476">
        <f t="shared" si="2"/>
        <v>1.865371043974795E-2</v>
      </c>
    </row>
    <row r="189" spans="9:11">
      <c r="I189" s="582">
        <v>40450</v>
      </c>
      <c r="J189" s="580">
        <v>14701.55</v>
      </c>
      <c r="K189" s="476">
        <f t="shared" si="2"/>
        <v>1.2393552384139639E-2</v>
      </c>
    </row>
    <row r="190" spans="9:11">
      <c r="I190" s="582">
        <v>40451</v>
      </c>
      <c r="J190" s="580">
        <v>14710.97</v>
      </c>
      <c r="K190" s="476">
        <f t="shared" si="2"/>
        <v>6.4054357274269435E-4</v>
      </c>
    </row>
    <row r="191" spans="9:11">
      <c r="I191" s="582">
        <v>40452</v>
      </c>
      <c r="J191" s="580">
        <v>14697.55</v>
      </c>
      <c r="K191" s="476">
        <f t="shared" si="2"/>
        <v>-9.1266074807680052E-4</v>
      </c>
    </row>
    <row r="192" spans="9:11">
      <c r="I192" s="582">
        <v>40455</v>
      </c>
      <c r="J192" s="580">
        <v>14688.34</v>
      </c>
      <c r="K192" s="476">
        <f t="shared" si="2"/>
        <v>-6.2683146922299521E-4</v>
      </c>
    </row>
    <row r="193" spans="9:11">
      <c r="I193" s="582">
        <v>40456</v>
      </c>
      <c r="J193" s="580">
        <v>14927.93</v>
      </c>
      <c r="K193" s="476">
        <f t="shared" si="2"/>
        <v>1.6179973160919896E-2</v>
      </c>
    </row>
    <row r="194" spans="9:11">
      <c r="I194" s="582">
        <v>40457</v>
      </c>
      <c r="J194" s="580">
        <v>15169.07</v>
      </c>
      <c r="K194" s="476">
        <f t="shared" si="2"/>
        <v>1.6024531354264498E-2</v>
      </c>
    </row>
    <row r="195" spans="9:11">
      <c r="I195" s="582">
        <v>40458</v>
      </c>
      <c r="J195" s="580">
        <v>15059.61</v>
      </c>
      <c r="K195" s="476">
        <f t="shared" si="2"/>
        <v>-7.2421606514660938E-3</v>
      </c>
    </row>
    <row r="196" spans="9:11">
      <c r="I196" s="582">
        <v>40459</v>
      </c>
      <c r="J196" s="580">
        <v>15233.82</v>
      </c>
      <c r="K196" s="476">
        <f t="shared" si="2"/>
        <v>1.1501630583240932E-2</v>
      </c>
    </row>
    <row r="197" spans="9:11">
      <c r="I197" s="582">
        <v>40462</v>
      </c>
      <c r="J197" s="580">
        <v>15405.39</v>
      </c>
      <c r="K197" s="476">
        <f t="shared" si="2"/>
        <v>1.1199491978543512E-2</v>
      </c>
    </row>
    <row r="198" spans="9:11">
      <c r="I198" s="582">
        <v>40463</v>
      </c>
      <c r="J198" s="580">
        <v>15415.32</v>
      </c>
      <c r="K198" s="476">
        <f t="shared" ref="K198:K261" si="3">LN(J198/J197)</f>
        <v>6.4437193975035655E-4</v>
      </c>
    </row>
    <row r="199" spans="9:11">
      <c r="I199" s="582">
        <v>40464</v>
      </c>
      <c r="J199" s="580">
        <v>15567.54</v>
      </c>
      <c r="K199" s="476">
        <f t="shared" si="3"/>
        <v>9.8261570931438991E-3</v>
      </c>
    </row>
    <row r="200" spans="9:11">
      <c r="I200" s="582">
        <v>40465</v>
      </c>
      <c r="J200" s="580">
        <v>15464.31</v>
      </c>
      <c r="K200" s="476">
        <f t="shared" si="3"/>
        <v>-6.6531889519137535E-3</v>
      </c>
    </row>
    <row r="201" spans="9:11">
      <c r="I201" s="582">
        <v>40466</v>
      </c>
      <c r="J201" s="580">
        <v>15317.15</v>
      </c>
      <c r="K201" s="476">
        <f t="shared" si="3"/>
        <v>-9.5616725899738079E-3</v>
      </c>
    </row>
    <row r="202" spans="9:11">
      <c r="I202" s="582">
        <v>40470</v>
      </c>
      <c r="J202" s="580">
        <v>15531.71</v>
      </c>
      <c r="K202" s="476">
        <f t="shared" si="3"/>
        <v>1.3910624889665879E-2</v>
      </c>
    </row>
    <row r="203" spans="9:11">
      <c r="I203" s="582">
        <v>40471</v>
      </c>
      <c r="J203" s="580">
        <v>15576.68</v>
      </c>
      <c r="K203" s="476">
        <f t="shared" si="3"/>
        <v>2.8911834604831519E-3</v>
      </c>
    </row>
    <row r="204" spans="9:11">
      <c r="I204" s="582">
        <v>40472</v>
      </c>
      <c r="J204" s="580">
        <v>15715.95</v>
      </c>
      <c r="K204" s="476">
        <f t="shared" si="3"/>
        <v>8.9011961950130544E-3</v>
      </c>
    </row>
    <row r="205" spans="9:11">
      <c r="I205" s="582">
        <v>40473</v>
      </c>
      <c r="J205" s="580">
        <v>15915.86</v>
      </c>
      <c r="K205" s="476">
        <f t="shared" si="3"/>
        <v>1.2639976126010727E-2</v>
      </c>
    </row>
    <row r="206" spans="9:11">
      <c r="I206" s="582">
        <v>40476</v>
      </c>
      <c r="J206" s="580">
        <v>15866</v>
      </c>
      <c r="K206" s="476">
        <f t="shared" si="3"/>
        <v>-3.1376414662397283E-3</v>
      </c>
    </row>
    <row r="207" spans="9:11">
      <c r="I207" s="582">
        <v>40477</v>
      </c>
      <c r="J207" s="580">
        <v>15626.32</v>
      </c>
      <c r="K207" s="476">
        <f t="shared" si="3"/>
        <v>-1.5221782825580295E-2</v>
      </c>
    </row>
    <row r="208" spans="9:11">
      <c r="I208" s="582">
        <v>40478</v>
      </c>
      <c r="J208" s="580">
        <v>15563.17</v>
      </c>
      <c r="K208" s="476">
        <f t="shared" si="3"/>
        <v>-4.0494465471889512E-3</v>
      </c>
    </row>
    <row r="209" spans="9:11">
      <c r="I209" s="582">
        <v>40479</v>
      </c>
      <c r="J209" s="580">
        <v>15662.36</v>
      </c>
      <c r="K209" s="476">
        <f t="shared" si="3"/>
        <v>6.3531561277097651E-3</v>
      </c>
    </row>
    <row r="210" spans="9:11">
      <c r="I210" s="582">
        <v>40480</v>
      </c>
      <c r="J210" s="580">
        <v>15899.57</v>
      </c>
      <c r="K210" s="476">
        <f t="shared" si="3"/>
        <v>1.5031683200580806E-2</v>
      </c>
    </row>
    <row r="211" spans="9:11">
      <c r="I211" s="582">
        <v>40484</v>
      </c>
      <c r="J211" s="580">
        <v>16003.97</v>
      </c>
      <c r="K211" s="476">
        <f t="shared" si="3"/>
        <v>6.5447516265320135E-3</v>
      </c>
    </row>
    <row r="212" spans="9:11">
      <c r="I212" s="582">
        <v>40485</v>
      </c>
      <c r="J212" s="580">
        <v>16096.99</v>
      </c>
      <c r="K212" s="476">
        <f t="shared" si="3"/>
        <v>5.7954815282646212E-3</v>
      </c>
    </row>
    <row r="213" spans="9:11">
      <c r="I213" s="582">
        <v>40486</v>
      </c>
      <c r="J213" s="580">
        <v>16262.62</v>
      </c>
      <c r="K213" s="476">
        <f t="shared" si="3"/>
        <v>1.0236924760547918E-2</v>
      </c>
    </row>
    <row r="214" spans="9:11">
      <c r="I214" s="582">
        <v>40487</v>
      </c>
      <c r="J214" s="580">
        <v>16278.88</v>
      </c>
      <c r="K214" s="476">
        <f t="shared" si="3"/>
        <v>9.9933938836302676E-4</v>
      </c>
    </row>
    <row r="215" spans="9:11">
      <c r="I215" s="582">
        <v>40490</v>
      </c>
      <c r="J215" s="580">
        <v>16263.59</v>
      </c>
      <c r="K215" s="476">
        <f t="shared" si="3"/>
        <v>-9.3969518141198347E-4</v>
      </c>
    </row>
    <row r="216" spans="9:11">
      <c r="I216" s="582">
        <v>40491</v>
      </c>
      <c r="J216" s="580">
        <v>16243.07</v>
      </c>
      <c r="K216" s="476">
        <f t="shared" si="3"/>
        <v>-1.2625106809266752E-3</v>
      </c>
    </row>
    <row r="217" spans="9:11">
      <c r="I217" s="582">
        <v>40492</v>
      </c>
      <c r="J217" s="580">
        <v>15830.63</v>
      </c>
      <c r="K217" s="476">
        <f t="shared" si="3"/>
        <v>-2.5719685323514693E-2</v>
      </c>
    </row>
    <row r="218" spans="9:11">
      <c r="I218" s="582">
        <v>40493</v>
      </c>
      <c r="J218" s="580">
        <v>15460.18</v>
      </c>
      <c r="K218" s="476">
        <f t="shared" si="3"/>
        <v>-2.3678984912142102E-2</v>
      </c>
    </row>
    <row r="219" spans="9:11">
      <c r="I219" s="582">
        <v>40494</v>
      </c>
      <c r="J219" s="580">
        <v>15170.5</v>
      </c>
      <c r="K219" s="476">
        <f t="shared" si="3"/>
        <v>-1.8914933434708219E-2</v>
      </c>
    </row>
    <row r="220" spans="9:11">
      <c r="I220" s="582">
        <v>40498</v>
      </c>
      <c r="J220" s="580">
        <v>14575.07</v>
      </c>
      <c r="K220" s="476">
        <f t="shared" si="3"/>
        <v>-4.0040217636888011E-2</v>
      </c>
    </row>
    <row r="221" spans="9:11">
      <c r="I221" s="582">
        <v>40499</v>
      </c>
      <c r="J221" s="580">
        <v>15067.22</v>
      </c>
      <c r="K221" s="476">
        <f t="shared" si="3"/>
        <v>3.3208988189973691E-2</v>
      </c>
    </row>
    <row r="222" spans="9:11">
      <c r="I222" s="582">
        <v>40500</v>
      </c>
      <c r="J222" s="580">
        <v>15266.73</v>
      </c>
      <c r="K222" s="476">
        <f t="shared" si="3"/>
        <v>1.3154427755618588E-2</v>
      </c>
    </row>
    <row r="223" spans="9:11">
      <c r="I223" s="582">
        <v>40501</v>
      </c>
      <c r="J223" s="580">
        <v>14955.2</v>
      </c>
      <c r="K223" s="476">
        <f t="shared" si="3"/>
        <v>-2.061688546885837E-2</v>
      </c>
    </row>
    <row r="224" spans="9:11">
      <c r="I224" s="582">
        <v>40504</v>
      </c>
      <c r="J224" s="580">
        <v>14925.77</v>
      </c>
      <c r="K224" s="476">
        <f t="shared" si="3"/>
        <v>-1.9698162085187284E-3</v>
      </c>
    </row>
    <row r="225" spans="9:11">
      <c r="I225" s="582">
        <v>40505</v>
      </c>
      <c r="J225" s="580">
        <v>14708</v>
      </c>
      <c r="K225" s="476">
        <f t="shared" si="3"/>
        <v>-1.4697685798637665E-2</v>
      </c>
    </row>
    <row r="226" spans="9:11">
      <c r="I226" s="582">
        <v>40506</v>
      </c>
      <c r="J226" s="580">
        <v>15062.09</v>
      </c>
      <c r="K226" s="476">
        <f t="shared" si="3"/>
        <v>2.3789427524367138E-2</v>
      </c>
    </row>
    <row r="227" spans="9:11">
      <c r="I227" s="582">
        <v>40507</v>
      </c>
      <c r="J227" s="580">
        <v>15035.74</v>
      </c>
      <c r="K227" s="476">
        <f t="shared" si="3"/>
        <v>-1.7509572439008973E-3</v>
      </c>
    </row>
    <row r="228" spans="9:11">
      <c r="I228" s="582">
        <v>40508</v>
      </c>
      <c r="J228" s="580">
        <v>14915.26</v>
      </c>
      <c r="K228" s="476">
        <f t="shared" si="3"/>
        <v>-8.045183789397373E-3</v>
      </c>
    </row>
    <row r="229" spans="9:11">
      <c r="I229" s="582">
        <v>40511</v>
      </c>
      <c r="J229" s="580">
        <v>14822.3</v>
      </c>
      <c r="K229" s="476">
        <f t="shared" si="3"/>
        <v>-6.252046422246145E-3</v>
      </c>
    </row>
    <row r="230" spans="9:11">
      <c r="I230" s="582">
        <v>40512</v>
      </c>
      <c r="J230" s="580">
        <v>14935.58</v>
      </c>
      <c r="K230" s="476">
        <f t="shared" si="3"/>
        <v>7.6134823576238572E-3</v>
      </c>
    </row>
    <row r="231" spans="9:11">
      <c r="I231" s="582">
        <v>40513</v>
      </c>
      <c r="J231" s="580">
        <v>15081.78</v>
      </c>
      <c r="K231" s="476">
        <f t="shared" si="3"/>
        <v>9.7411068837818873E-3</v>
      </c>
    </row>
    <row r="232" spans="9:11">
      <c r="I232" s="582">
        <v>40514</v>
      </c>
      <c r="J232" s="580">
        <v>15338.23</v>
      </c>
      <c r="K232" s="476">
        <f t="shared" si="3"/>
        <v>1.6861011917154643E-2</v>
      </c>
    </row>
    <row r="233" spans="9:11">
      <c r="I233" s="582">
        <v>40515</v>
      </c>
      <c r="J233" s="580">
        <v>15377.64</v>
      </c>
      <c r="K233" s="476">
        <f t="shared" si="3"/>
        <v>2.5661016032319153E-3</v>
      </c>
    </row>
    <row r="234" spans="9:11">
      <c r="I234" s="582">
        <v>40518</v>
      </c>
      <c r="J234" s="580">
        <v>15463.5</v>
      </c>
      <c r="K234" s="476">
        <f t="shared" si="3"/>
        <v>5.5679019527713402E-3</v>
      </c>
    </row>
    <row r="235" spans="9:11">
      <c r="I235" s="582">
        <v>40519</v>
      </c>
      <c r="J235" s="580">
        <v>15448.08</v>
      </c>
      <c r="K235" s="476">
        <f t="shared" si="3"/>
        <v>-9.9768444570323797E-4</v>
      </c>
    </row>
    <row r="236" spans="9:11">
      <c r="I236" s="582">
        <v>40521</v>
      </c>
      <c r="J236" s="580">
        <v>15364.74</v>
      </c>
      <c r="K236" s="476">
        <f t="shared" si="3"/>
        <v>-5.409449912440396E-3</v>
      </c>
    </row>
    <row r="237" spans="9:11">
      <c r="I237" s="582">
        <v>40522</v>
      </c>
      <c r="J237" s="580">
        <v>15399.83</v>
      </c>
      <c r="K237" s="476">
        <f t="shared" si="3"/>
        <v>2.2811965333462709E-3</v>
      </c>
    </row>
    <row r="238" spans="9:11">
      <c r="I238" s="582">
        <v>40525</v>
      </c>
      <c r="J238" s="580">
        <v>15507.31</v>
      </c>
      <c r="K238" s="476">
        <f t="shared" si="3"/>
        <v>6.955055256399602E-3</v>
      </c>
    </row>
    <row r="239" spans="9:11">
      <c r="I239" s="582">
        <v>40526</v>
      </c>
      <c r="J239" s="580">
        <v>15539.89</v>
      </c>
      <c r="K239" s="476">
        <f t="shared" si="3"/>
        <v>2.0987407533558764E-3</v>
      </c>
    </row>
    <row r="240" spans="9:11">
      <c r="I240" s="582">
        <v>40527</v>
      </c>
      <c r="J240" s="580">
        <v>15353.98</v>
      </c>
      <c r="K240" s="476">
        <f t="shared" si="3"/>
        <v>-1.2035542594670174E-2</v>
      </c>
    </row>
    <row r="241" spans="9:11">
      <c r="I241" s="582">
        <v>40528</v>
      </c>
      <c r="J241" s="580">
        <v>15384.47</v>
      </c>
      <c r="K241" s="476">
        <f t="shared" si="3"/>
        <v>1.9838352291483299E-3</v>
      </c>
    </row>
    <row r="242" spans="9:11">
      <c r="I242" s="582">
        <v>40529</v>
      </c>
      <c r="J242" s="580">
        <v>15379.05</v>
      </c>
      <c r="K242" s="476">
        <f t="shared" si="3"/>
        <v>-3.5236540266394515E-4</v>
      </c>
    </row>
    <row r="243" spans="9:11">
      <c r="I243" s="582">
        <v>40532</v>
      </c>
      <c r="J243" s="580">
        <v>15308.76</v>
      </c>
      <c r="K243" s="476">
        <f t="shared" si="3"/>
        <v>-4.580980064840731E-3</v>
      </c>
    </row>
    <row r="244" spans="9:11">
      <c r="I244" s="582">
        <v>40533</v>
      </c>
      <c r="J244" s="580">
        <v>15380.06</v>
      </c>
      <c r="K244" s="476">
        <f t="shared" si="3"/>
        <v>4.6466516658956493E-3</v>
      </c>
    </row>
    <row r="245" spans="9:11">
      <c r="I245" s="582">
        <v>40534</v>
      </c>
      <c r="J245" s="580">
        <v>15523.63</v>
      </c>
      <c r="K245" s="476">
        <f t="shared" si="3"/>
        <v>9.2915139189989216E-3</v>
      </c>
    </row>
    <row r="246" spans="9:11">
      <c r="I246" s="582">
        <v>40535</v>
      </c>
      <c r="J246" s="580">
        <v>15617.79</v>
      </c>
      <c r="K246" s="476">
        <f t="shared" si="3"/>
        <v>6.0472699670277791E-3</v>
      </c>
    </row>
    <row r="247" spans="9:11">
      <c r="I247" s="582">
        <v>40536</v>
      </c>
      <c r="J247" s="580">
        <v>15667.49</v>
      </c>
      <c r="K247" s="476">
        <f t="shared" si="3"/>
        <v>3.1772157263015178E-3</v>
      </c>
    </row>
    <row r="248" spans="9:11">
      <c r="I248" s="582">
        <v>40539</v>
      </c>
      <c r="J248" s="580">
        <v>15805.05</v>
      </c>
      <c r="K248" s="476">
        <f t="shared" si="3"/>
        <v>8.7416443658461084E-3</v>
      </c>
    </row>
    <row r="249" spans="9:11">
      <c r="I249" s="582">
        <v>40540</v>
      </c>
      <c r="J249" s="580">
        <v>15660.89</v>
      </c>
      <c r="K249" s="476">
        <f t="shared" si="3"/>
        <v>-9.162987575909446E-3</v>
      </c>
    </row>
    <row r="250" spans="9:11">
      <c r="I250" s="582">
        <v>40541</v>
      </c>
      <c r="J250" s="580">
        <v>15542.77</v>
      </c>
      <c r="K250" s="476">
        <f t="shared" si="3"/>
        <v>-7.5709429093395288E-3</v>
      </c>
    </row>
    <row r="251" spans="9:11">
      <c r="I251" s="582">
        <v>40542</v>
      </c>
      <c r="J251" s="580">
        <v>15496.77</v>
      </c>
      <c r="K251" s="476">
        <f t="shared" si="3"/>
        <v>-2.963963620345966E-3</v>
      </c>
    </row>
    <row r="252" spans="9:11">
      <c r="I252" s="582">
        <v>40546</v>
      </c>
      <c r="J252" s="580">
        <v>15306.33</v>
      </c>
      <c r="K252" s="476">
        <f t="shared" si="3"/>
        <v>-1.2365146785025335E-2</v>
      </c>
    </row>
    <row r="253" spans="9:11">
      <c r="I253" s="582">
        <v>40547</v>
      </c>
      <c r="J253" s="580">
        <v>15270.85</v>
      </c>
      <c r="K253" s="476">
        <f t="shared" si="3"/>
        <v>-2.320685944444365E-3</v>
      </c>
    </row>
    <row r="254" spans="9:11">
      <c r="I254" s="582">
        <v>40548</v>
      </c>
      <c r="J254" s="580">
        <v>15255.57</v>
      </c>
      <c r="K254" s="476">
        <f t="shared" si="3"/>
        <v>-1.0011001143361801E-3</v>
      </c>
    </row>
    <row r="255" spans="9:11">
      <c r="I255" s="582">
        <v>40549</v>
      </c>
      <c r="J255" s="580">
        <v>15040.01</v>
      </c>
      <c r="K255" s="476">
        <f t="shared" si="3"/>
        <v>-1.4230698853923272E-2</v>
      </c>
    </row>
    <row r="256" spans="9:11">
      <c r="I256" s="582">
        <v>40550</v>
      </c>
      <c r="J256" s="580">
        <v>14962.86</v>
      </c>
      <c r="K256" s="476">
        <f t="shared" si="3"/>
        <v>-5.1428526700630049E-3</v>
      </c>
    </row>
    <row r="257" spans="9:11">
      <c r="I257" s="582">
        <v>40554</v>
      </c>
      <c r="J257" s="580">
        <v>15000.92</v>
      </c>
      <c r="K257" s="476">
        <f t="shared" si="3"/>
        <v>2.5404018097047757E-3</v>
      </c>
    </row>
    <row r="258" spans="9:11">
      <c r="I258" s="582">
        <v>40555</v>
      </c>
      <c r="J258" s="580">
        <v>15168.44</v>
      </c>
      <c r="K258" s="476">
        <f t="shared" si="3"/>
        <v>1.1105420976016502E-2</v>
      </c>
    </row>
    <row r="259" spans="9:11">
      <c r="I259" s="582">
        <v>40556</v>
      </c>
      <c r="J259" s="580">
        <v>15227.75</v>
      </c>
      <c r="K259" s="476">
        <f t="shared" si="3"/>
        <v>3.9024677283943489E-3</v>
      </c>
    </row>
    <row r="260" spans="9:11">
      <c r="I260" s="582">
        <v>40557</v>
      </c>
      <c r="J260" s="580">
        <v>15175.86</v>
      </c>
      <c r="K260" s="476">
        <f t="shared" si="3"/>
        <v>-3.4134137612314422E-3</v>
      </c>
    </row>
    <row r="261" spans="9:11">
      <c r="I261" s="582">
        <v>40560</v>
      </c>
      <c r="J261" s="580">
        <v>15208.48</v>
      </c>
      <c r="K261" s="476">
        <f t="shared" si="3"/>
        <v>2.1471595257500373E-3</v>
      </c>
    </row>
    <row r="262" spans="9:11">
      <c r="I262" s="582">
        <v>40561</v>
      </c>
      <c r="J262" s="580">
        <v>15149.39</v>
      </c>
      <c r="K262" s="476">
        <f t="shared" ref="K262:K325" si="4">LN(J262/J261)</f>
        <v>-3.8928999053029663E-3</v>
      </c>
    </row>
    <row r="263" spans="9:11">
      <c r="I263" s="582">
        <v>40562</v>
      </c>
      <c r="J263" s="580">
        <v>14951.05</v>
      </c>
      <c r="K263" s="476">
        <f t="shared" si="4"/>
        <v>-1.3178735634249964E-2</v>
      </c>
    </row>
    <row r="264" spans="9:11">
      <c r="I264" s="582">
        <v>40563</v>
      </c>
      <c r="J264" s="580">
        <v>14798.71</v>
      </c>
      <c r="K264" s="476">
        <f t="shared" si="4"/>
        <v>-1.0241516675042712E-2</v>
      </c>
    </row>
    <row r="265" spans="9:11">
      <c r="I265" s="582">
        <v>40564</v>
      </c>
      <c r="J265" s="580">
        <v>14951.81</v>
      </c>
      <c r="K265" s="476">
        <f t="shared" si="4"/>
        <v>1.0292347933334712E-2</v>
      </c>
    </row>
    <row r="266" spans="9:11">
      <c r="I266" s="582">
        <v>40567</v>
      </c>
      <c r="J266" s="580">
        <v>14955.57</v>
      </c>
      <c r="K266" s="476">
        <f t="shared" si="4"/>
        <v>2.5144295620743392E-4</v>
      </c>
    </row>
    <row r="267" spans="9:11">
      <c r="I267" s="582">
        <v>40568</v>
      </c>
      <c r="J267" s="580">
        <v>14908.9</v>
      </c>
      <c r="K267" s="476">
        <f t="shared" si="4"/>
        <v>-3.1254556328114175E-3</v>
      </c>
    </row>
    <row r="268" spans="9:11">
      <c r="I268" s="582">
        <v>40569</v>
      </c>
      <c r="J268" s="580">
        <v>15098.13</v>
      </c>
      <c r="K268" s="476">
        <f t="shared" si="4"/>
        <v>1.2612545026542819E-2</v>
      </c>
    </row>
    <row r="269" spans="9:11">
      <c r="I269" s="582">
        <v>40570</v>
      </c>
      <c r="J269" s="580">
        <v>15090.22</v>
      </c>
      <c r="K269" s="476">
        <f t="shared" si="4"/>
        <v>-5.2404322733905196E-4</v>
      </c>
    </row>
    <row r="270" spans="9:11">
      <c r="I270" s="582">
        <v>40571</v>
      </c>
      <c r="J270" s="580">
        <v>15066.08</v>
      </c>
      <c r="K270" s="476">
        <f t="shared" si="4"/>
        <v>-1.6009925061268209E-3</v>
      </c>
    </row>
    <row r="271" spans="9:11">
      <c r="I271" s="582">
        <v>40574</v>
      </c>
      <c r="J271" s="580">
        <v>15077.93</v>
      </c>
      <c r="K271" s="476">
        <f t="shared" si="4"/>
        <v>7.8622589432695677E-4</v>
      </c>
    </row>
    <row r="272" spans="9:11">
      <c r="I272" s="582">
        <v>40575</v>
      </c>
      <c r="J272" s="580">
        <v>15027.2</v>
      </c>
      <c r="K272" s="476">
        <f t="shared" si="4"/>
        <v>-3.3701929217234165E-3</v>
      </c>
    </row>
    <row r="273" spans="9:11">
      <c r="I273" s="582">
        <v>40576</v>
      </c>
      <c r="J273" s="580">
        <v>14943.01</v>
      </c>
      <c r="K273" s="476">
        <f t="shared" si="4"/>
        <v>-5.618260362780683E-3</v>
      </c>
    </row>
    <row r="274" spans="9:11">
      <c r="I274" s="582">
        <v>40577</v>
      </c>
      <c r="J274" s="580">
        <v>14850.61</v>
      </c>
      <c r="K274" s="476">
        <f t="shared" si="4"/>
        <v>-6.2026901225643695E-3</v>
      </c>
    </row>
    <row r="275" spans="9:11">
      <c r="I275" s="582">
        <v>40578</v>
      </c>
      <c r="J275" s="580">
        <v>14619.62</v>
      </c>
      <c r="K275" s="476">
        <f t="shared" si="4"/>
        <v>-1.5676479654356822E-2</v>
      </c>
    </row>
    <row r="276" spans="9:11">
      <c r="I276" s="582">
        <v>40581</v>
      </c>
      <c r="J276" s="580">
        <v>14417.71</v>
      </c>
      <c r="K276" s="476">
        <f t="shared" si="4"/>
        <v>-1.3907150158377228E-2</v>
      </c>
    </row>
    <row r="277" spans="9:11">
      <c r="I277" s="582">
        <v>40582</v>
      </c>
      <c r="J277" s="580">
        <v>14548.36</v>
      </c>
      <c r="K277" s="476">
        <f t="shared" si="4"/>
        <v>9.0209604546842032E-3</v>
      </c>
    </row>
    <row r="278" spans="9:11">
      <c r="I278" s="582">
        <v>40583</v>
      </c>
      <c r="J278" s="580">
        <v>14504.31</v>
      </c>
      <c r="K278" s="476">
        <f t="shared" si="4"/>
        <v>-3.0324258497091694E-3</v>
      </c>
    </row>
    <row r="279" spans="9:11">
      <c r="I279" s="582">
        <v>40584</v>
      </c>
      <c r="J279" s="580">
        <v>14427.35</v>
      </c>
      <c r="K279" s="476">
        <f t="shared" si="4"/>
        <v>-5.3201359010794994E-3</v>
      </c>
    </row>
    <row r="280" spans="9:11">
      <c r="I280" s="582">
        <v>40585</v>
      </c>
      <c r="J280" s="580">
        <v>14443.58</v>
      </c>
      <c r="K280" s="476">
        <f t="shared" si="4"/>
        <v>1.1243144373715799E-3</v>
      </c>
    </row>
    <row r="281" spans="9:11">
      <c r="I281" s="582">
        <v>40588</v>
      </c>
      <c r="J281" s="580">
        <v>14544.59</v>
      </c>
      <c r="K281" s="476">
        <f t="shared" si="4"/>
        <v>6.9690779943139226E-3</v>
      </c>
    </row>
    <row r="282" spans="9:11">
      <c r="I282" s="582">
        <v>40589</v>
      </c>
      <c r="J282" s="580">
        <v>14498.1</v>
      </c>
      <c r="K282" s="476">
        <f t="shared" si="4"/>
        <v>-3.2014968109759069E-3</v>
      </c>
    </row>
    <row r="283" spans="9:11">
      <c r="I283" s="582">
        <v>40590</v>
      </c>
      <c r="J283" s="580">
        <v>14487.19</v>
      </c>
      <c r="K283" s="476">
        <f t="shared" si="4"/>
        <v>-7.5279567775419121E-4</v>
      </c>
    </row>
    <row r="284" spans="9:11">
      <c r="I284" s="582">
        <v>40591</v>
      </c>
      <c r="J284" s="580">
        <v>14329.74</v>
      </c>
      <c r="K284" s="476">
        <f t="shared" si="4"/>
        <v>-1.0927712759129033E-2</v>
      </c>
    </row>
    <row r="285" spans="9:11">
      <c r="I285" s="582">
        <v>40592</v>
      </c>
      <c r="J285" s="580">
        <v>14127.75</v>
      </c>
      <c r="K285" s="476">
        <f t="shared" si="4"/>
        <v>-1.4196149572817994E-2</v>
      </c>
    </row>
    <row r="286" spans="9:11">
      <c r="I286" s="582">
        <v>40595</v>
      </c>
      <c r="J286" s="580">
        <v>14263.52</v>
      </c>
      <c r="K286" s="476">
        <f t="shared" si="4"/>
        <v>9.5642804965778705E-3</v>
      </c>
    </row>
    <row r="287" spans="9:11">
      <c r="I287" s="582">
        <v>40596</v>
      </c>
      <c r="J287" s="580">
        <v>14289.45</v>
      </c>
      <c r="K287" s="476">
        <f t="shared" si="4"/>
        <v>1.8162739027334394E-3</v>
      </c>
    </row>
    <row r="288" spans="9:11">
      <c r="I288" s="582">
        <v>40597</v>
      </c>
      <c r="J288" s="580">
        <v>14602.91</v>
      </c>
      <c r="K288" s="476">
        <f t="shared" si="4"/>
        <v>2.1699321174562081E-2</v>
      </c>
    </row>
    <row r="289" spans="9:11">
      <c r="I289" s="582">
        <v>40598</v>
      </c>
      <c r="J289" s="580">
        <v>14576.47</v>
      </c>
      <c r="K289" s="476">
        <f t="shared" si="4"/>
        <v>-1.8122391384745801E-3</v>
      </c>
    </row>
    <row r="290" spans="9:11">
      <c r="I290" s="582">
        <v>40599</v>
      </c>
      <c r="J290" s="580">
        <v>14746.12</v>
      </c>
      <c r="K290" s="476">
        <f t="shared" si="4"/>
        <v>1.1571412550728554E-2</v>
      </c>
    </row>
    <row r="291" spans="9:11">
      <c r="I291" s="582">
        <v>40602</v>
      </c>
      <c r="J291" s="580">
        <v>15008.36</v>
      </c>
      <c r="K291" s="476">
        <f t="shared" si="4"/>
        <v>1.7627381848574878E-2</v>
      </c>
    </row>
    <row r="292" spans="9:11">
      <c r="I292" s="582">
        <v>40603</v>
      </c>
      <c r="J292" s="580">
        <v>15134.22</v>
      </c>
      <c r="K292" s="476">
        <f t="shared" si="4"/>
        <v>8.3510257882140702E-3</v>
      </c>
    </row>
    <row r="293" spans="9:11">
      <c r="I293" s="582">
        <v>40604</v>
      </c>
      <c r="J293" s="580">
        <v>15140.43</v>
      </c>
      <c r="K293" s="476">
        <f t="shared" si="4"/>
        <v>4.1024421997267092E-4</v>
      </c>
    </row>
    <row r="294" spans="9:11">
      <c r="I294" s="582">
        <v>40605</v>
      </c>
      <c r="J294" s="580">
        <v>15334.59</v>
      </c>
      <c r="K294" s="476">
        <f t="shared" si="4"/>
        <v>1.2742411793282078E-2</v>
      </c>
    </row>
    <row r="295" spans="9:11">
      <c r="I295" s="582">
        <v>40606</v>
      </c>
      <c r="J295" s="580">
        <v>15381.15</v>
      </c>
      <c r="K295" s="476">
        <f t="shared" si="4"/>
        <v>3.03167272943632E-3</v>
      </c>
    </row>
    <row r="296" spans="9:11">
      <c r="I296" s="582">
        <v>40609</v>
      </c>
      <c r="J296" s="580">
        <v>15283.51</v>
      </c>
      <c r="K296" s="476">
        <f t="shared" si="4"/>
        <v>-6.3682643134205345E-3</v>
      </c>
    </row>
    <row r="297" spans="9:11">
      <c r="I297" s="582">
        <v>40610</v>
      </c>
      <c r="J297" s="580">
        <v>15115.33</v>
      </c>
      <c r="K297" s="476">
        <f t="shared" si="4"/>
        <v>-1.1065008790788693E-2</v>
      </c>
    </row>
    <row r="298" spans="9:11">
      <c r="I298" s="582">
        <v>40611</v>
      </c>
      <c r="J298" s="580">
        <v>15187.99</v>
      </c>
      <c r="K298" s="476">
        <f t="shared" si="4"/>
        <v>4.7955233451020228E-3</v>
      </c>
    </row>
    <row r="299" spans="9:11">
      <c r="I299" s="582">
        <v>40612</v>
      </c>
      <c r="J299" s="580">
        <v>14862.89</v>
      </c>
      <c r="K299" s="476">
        <f t="shared" si="4"/>
        <v>-2.1637481743910576E-2</v>
      </c>
    </row>
    <row r="300" spans="9:11">
      <c r="I300" s="582">
        <v>40613</v>
      </c>
      <c r="J300" s="580">
        <v>14538.42</v>
      </c>
      <c r="K300" s="476">
        <f t="shared" si="4"/>
        <v>-2.2072701759723808E-2</v>
      </c>
    </row>
    <row r="301" spans="9:11">
      <c r="I301" s="582">
        <v>40616</v>
      </c>
      <c r="J301" s="580">
        <v>14289.95</v>
      </c>
      <c r="K301" s="476">
        <f t="shared" si="4"/>
        <v>-1.7238307465827059E-2</v>
      </c>
    </row>
    <row r="302" spans="9:11">
      <c r="I302" s="582">
        <v>40617</v>
      </c>
      <c r="J302" s="580">
        <v>13942.09</v>
      </c>
      <c r="K302" s="476">
        <f t="shared" si="4"/>
        <v>-2.4644170627092395E-2</v>
      </c>
    </row>
    <row r="303" spans="9:11">
      <c r="I303" s="582">
        <v>40618</v>
      </c>
      <c r="J303" s="580">
        <v>13877.37</v>
      </c>
      <c r="K303" s="476">
        <f t="shared" si="4"/>
        <v>-4.6528665014438728E-3</v>
      </c>
    </row>
    <row r="304" spans="9:11">
      <c r="I304" s="582">
        <v>40619</v>
      </c>
      <c r="J304" s="580">
        <v>14407.42</v>
      </c>
      <c r="K304" s="476">
        <f t="shared" si="4"/>
        <v>3.7483895792921461E-2</v>
      </c>
    </row>
    <row r="305" spans="9:11">
      <c r="I305" s="582">
        <v>40620</v>
      </c>
      <c r="J305" s="580">
        <v>14649.35</v>
      </c>
      <c r="K305" s="476">
        <f t="shared" si="4"/>
        <v>1.6652614228353384E-2</v>
      </c>
    </row>
    <row r="306" spans="9:11">
      <c r="I306" s="582">
        <v>40624</v>
      </c>
      <c r="J306" s="580">
        <v>14608.62</v>
      </c>
      <c r="K306" s="476">
        <f t="shared" si="4"/>
        <v>-2.7842004288611256E-3</v>
      </c>
    </row>
    <row r="307" spans="9:11">
      <c r="I307" s="582">
        <v>40625</v>
      </c>
      <c r="J307" s="580">
        <v>14646.62</v>
      </c>
      <c r="K307" s="476">
        <f t="shared" si="4"/>
        <v>2.5978266711120428E-3</v>
      </c>
    </row>
    <row r="308" spans="9:11">
      <c r="I308" s="582">
        <v>40626</v>
      </c>
      <c r="J308" s="580">
        <v>14667.28</v>
      </c>
      <c r="K308" s="476">
        <f t="shared" si="4"/>
        <v>1.4095704372846325E-3</v>
      </c>
    </row>
    <row r="309" spans="9:11">
      <c r="I309" s="582">
        <v>40627</v>
      </c>
      <c r="J309" s="580">
        <v>14556.84</v>
      </c>
      <c r="K309" s="476">
        <f t="shared" si="4"/>
        <v>-7.5581763111695986E-3</v>
      </c>
    </row>
    <row r="310" spans="9:11">
      <c r="I310" s="582">
        <v>40630</v>
      </c>
      <c r="J310" s="580">
        <v>14479.66</v>
      </c>
      <c r="K310" s="476">
        <f t="shared" si="4"/>
        <v>-5.3160802275326047E-3</v>
      </c>
    </row>
    <row r="311" spans="9:11">
      <c r="I311" s="582">
        <v>40631</v>
      </c>
      <c r="J311" s="580">
        <v>14361.45</v>
      </c>
      <c r="K311" s="476">
        <f t="shared" si="4"/>
        <v>-8.1973725660965738E-3</v>
      </c>
    </row>
    <row r="312" spans="9:11">
      <c r="I312" s="582">
        <v>40632</v>
      </c>
      <c r="J312" s="580">
        <v>14303.74</v>
      </c>
      <c r="K312" s="476">
        <f t="shared" si="4"/>
        <v>-4.0264919206364196E-3</v>
      </c>
    </row>
    <row r="313" spans="9:11">
      <c r="I313" s="582">
        <v>40633</v>
      </c>
      <c r="J313" s="580">
        <v>14469.66</v>
      </c>
      <c r="K313" s="476">
        <f t="shared" si="4"/>
        <v>1.1533001945040047E-2</v>
      </c>
    </row>
    <row r="314" spans="9:11">
      <c r="I314" s="582">
        <v>40634</v>
      </c>
      <c r="J314" s="580">
        <v>14364.27</v>
      </c>
      <c r="K314" s="476">
        <f t="shared" si="4"/>
        <v>-7.3101702975624126E-3</v>
      </c>
    </row>
    <row r="315" spans="9:11">
      <c r="I315" s="582">
        <v>40637</v>
      </c>
      <c r="J315" s="580">
        <v>14367.88</v>
      </c>
      <c r="K315" s="476">
        <f t="shared" si="4"/>
        <v>2.5128645221433247E-4</v>
      </c>
    </row>
    <row r="316" spans="9:11">
      <c r="I316" s="582">
        <v>40638</v>
      </c>
      <c r="J316" s="580">
        <v>14607.09</v>
      </c>
      <c r="K316" s="476">
        <f t="shared" si="4"/>
        <v>1.6511867647272912E-2</v>
      </c>
    </row>
    <row r="317" spans="9:11">
      <c r="I317" s="582">
        <v>40639</v>
      </c>
      <c r="J317" s="580">
        <v>14632.93</v>
      </c>
      <c r="K317" s="476">
        <f t="shared" si="4"/>
        <v>1.7674411116466297E-3</v>
      </c>
    </row>
    <row r="318" spans="9:11">
      <c r="I318" s="582">
        <v>40640</v>
      </c>
      <c r="J318" s="580">
        <v>14668.79</v>
      </c>
      <c r="K318" s="476">
        <f t="shared" si="4"/>
        <v>2.4476391080738655E-3</v>
      </c>
    </row>
    <row r="319" spans="9:11">
      <c r="I319" s="582">
        <v>40641</v>
      </c>
      <c r="J319" s="580">
        <v>14556.07</v>
      </c>
      <c r="K319" s="476">
        <f t="shared" si="4"/>
        <v>-7.7140187470489535E-3</v>
      </c>
    </row>
    <row r="320" spans="9:11">
      <c r="I320" s="582">
        <v>40644</v>
      </c>
      <c r="J320" s="580">
        <v>14482.01</v>
      </c>
      <c r="K320" s="476">
        <f t="shared" si="4"/>
        <v>-5.1008992730645283E-3</v>
      </c>
    </row>
    <row r="321" spans="9:11">
      <c r="I321" s="582">
        <v>40645</v>
      </c>
      <c r="J321" s="580">
        <v>14196.15</v>
      </c>
      <c r="K321" s="476">
        <f t="shared" si="4"/>
        <v>-1.9936388393604086E-2</v>
      </c>
    </row>
    <row r="322" spans="9:11">
      <c r="I322" s="582">
        <v>40646</v>
      </c>
      <c r="J322" s="580">
        <v>14260.01</v>
      </c>
      <c r="K322" s="476">
        <f t="shared" si="4"/>
        <v>4.4883151630294854E-3</v>
      </c>
    </row>
    <row r="323" spans="9:11">
      <c r="I323" s="582">
        <v>40647</v>
      </c>
      <c r="J323" s="580">
        <v>14071.38</v>
      </c>
      <c r="K323" s="476">
        <f t="shared" si="4"/>
        <v>-1.3316168908053434E-2</v>
      </c>
    </row>
    <row r="324" spans="9:11">
      <c r="I324" s="582">
        <v>40648</v>
      </c>
      <c r="J324" s="580">
        <v>14102.75</v>
      </c>
      <c r="K324" s="476">
        <f t="shared" si="4"/>
        <v>2.2268664880499998E-3</v>
      </c>
    </row>
    <row r="325" spans="9:11">
      <c r="I325" s="582">
        <v>40651</v>
      </c>
      <c r="J325" s="580">
        <v>13938.08</v>
      </c>
      <c r="K325" s="476">
        <f t="shared" si="4"/>
        <v>-1.174515112391232E-2</v>
      </c>
    </row>
    <row r="326" spans="9:11">
      <c r="I326" s="582">
        <v>40652</v>
      </c>
      <c r="J326" s="580">
        <v>14052.65</v>
      </c>
      <c r="K326" s="476">
        <f t="shared" ref="K326:K389" si="5">LN(J326/J325)</f>
        <v>8.186327390112793E-3</v>
      </c>
    </row>
    <row r="327" spans="9:11">
      <c r="I327" s="582">
        <v>40653</v>
      </c>
      <c r="J327" s="580">
        <v>14342.66</v>
      </c>
      <c r="K327" s="476">
        <f t="shared" si="5"/>
        <v>2.0427322993558407E-2</v>
      </c>
    </row>
    <row r="328" spans="9:11">
      <c r="I328" s="582">
        <v>40658</v>
      </c>
      <c r="J328" s="580">
        <v>14236.78</v>
      </c>
      <c r="K328" s="476">
        <f t="shared" si="5"/>
        <v>-7.4095562694023029E-3</v>
      </c>
    </row>
    <row r="329" spans="9:11">
      <c r="I329" s="582">
        <v>40659</v>
      </c>
      <c r="J329" s="580">
        <v>14295.9</v>
      </c>
      <c r="K329" s="476">
        <f t="shared" si="5"/>
        <v>4.1440260505066183E-3</v>
      </c>
    </row>
    <row r="330" spans="9:11">
      <c r="I330" s="582">
        <v>40660</v>
      </c>
      <c r="J330" s="580">
        <v>14231.55</v>
      </c>
      <c r="K330" s="476">
        <f t="shared" si="5"/>
        <v>-4.5114518924045978E-3</v>
      </c>
    </row>
    <row r="331" spans="9:11">
      <c r="I331" s="582">
        <v>40661</v>
      </c>
      <c r="J331" s="580">
        <v>14300.67</v>
      </c>
      <c r="K331" s="476">
        <f t="shared" si="5"/>
        <v>4.8450583385091436E-3</v>
      </c>
    </row>
    <row r="332" spans="9:11">
      <c r="I332" s="582">
        <v>40662</v>
      </c>
      <c r="J332" s="580">
        <v>14384.2</v>
      </c>
      <c r="K332" s="476">
        <f t="shared" si="5"/>
        <v>5.8239926556133016E-3</v>
      </c>
    </row>
    <row r="333" spans="9:11">
      <c r="I333" s="582">
        <v>40665</v>
      </c>
      <c r="J333" s="580">
        <v>14316.39</v>
      </c>
      <c r="K333" s="476">
        <f t="shared" si="5"/>
        <v>-4.7253471915999525E-3</v>
      </c>
    </row>
    <row r="334" spans="9:11">
      <c r="I334" s="582">
        <v>40666</v>
      </c>
      <c r="J334" s="580">
        <v>14113.62</v>
      </c>
      <c r="K334" s="476">
        <f t="shared" si="5"/>
        <v>-1.4264746184897922E-2</v>
      </c>
    </row>
    <row r="335" spans="9:11">
      <c r="I335" s="582">
        <v>40667</v>
      </c>
      <c r="J335" s="580">
        <v>14070.68</v>
      </c>
      <c r="K335" s="476">
        <f t="shared" si="5"/>
        <v>-3.0470888561310258E-3</v>
      </c>
    </row>
    <row r="336" spans="9:11">
      <c r="I336" s="582">
        <v>40668</v>
      </c>
      <c r="J336" s="580">
        <v>13767.12</v>
      </c>
      <c r="K336" s="476">
        <f t="shared" si="5"/>
        <v>-2.1810059199338209E-2</v>
      </c>
    </row>
    <row r="337" spans="9:11">
      <c r="I337" s="582">
        <v>40669</v>
      </c>
      <c r="J337" s="580">
        <v>13841.64</v>
      </c>
      <c r="K337" s="476">
        <f t="shared" si="5"/>
        <v>5.3982997403356865E-3</v>
      </c>
    </row>
    <row r="338" spans="9:11">
      <c r="I338" s="582">
        <v>40672</v>
      </c>
      <c r="J338" s="580">
        <v>13977.61</v>
      </c>
      <c r="K338" s="476">
        <f t="shared" si="5"/>
        <v>9.7753233993097873E-3</v>
      </c>
    </row>
    <row r="339" spans="9:11">
      <c r="I339" s="582">
        <v>40673</v>
      </c>
      <c r="J339" s="580">
        <v>14173.14</v>
      </c>
      <c r="K339" s="476">
        <f t="shared" si="5"/>
        <v>1.3891860394472178E-2</v>
      </c>
    </row>
    <row r="340" spans="9:11">
      <c r="I340" s="582">
        <v>40674</v>
      </c>
      <c r="J340" s="580">
        <v>14201.11</v>
      </c>
      <c r="K340" s="476">
        <f t="shared" si="5"/>
        <v>1.9715064933572292E-3</v>
      </c>
    </row>
    <row r="341" spans="9:11">
      <c r="I341" s="582">
        <v>40675</v>
      </c>
      <c r="J341" s="580">
        <v>14276.59</v>
      </c>
      <c r="K341" s="476">
        <f t="shared" si="5"/>
        <v>5.3010023107801993E-3</v>
      </c>
    </row>
    <row r="342" spans="9:11">
      <c r="I342" s="582">
        <v>40676</v>
      </c>
      <c r="J342" s="580">
        <v>14262.56</v>
      </c>
      <c r="K342" s="476">
        <f t="shared" si="5"/>
        <v>-9.8321086158750966E-4</v>
      </c>
    </row>
    <row r="343" spans="9:11">
      <c r="I343" s="582">
        <v>40679</v>
      </c>
      <c r="J343" s="580">
        <v>14163.89</v>
      </c>
      <c r="K343" s="476">
        <f t="shared" si="5"/>
        <v>-6.9421539637028098E-3</v>
      </c>
    </row>
    <row r="344" spans="9:11">
      <c r="I344" s="582">
        <v>40680</v>
      </c>
      <c r="J344" s="580">
        <v>14245.16</v>
      </c>
      <c r="K344" s="476">
        <f t="shared" si="5"/>
        <v>5.7214318462739449E-3</v>
      </c>
    </row>
    <row r="345" spans="9:11">
      <c r="I345" s="582">
        <v>40681</v>
      </c>
      <c r="J345" s="580">
        <v>14209.12</v>
      </c>
      <c r="K345" s="476">
        <f t="shared" si="5"/>
        <v>-2.5331879262107948E-3</v>
      </c>
    </row>
    <row r="346" spans="9:11">
      <c r="I346" s="582">
        <v>40682</v>
      </c>
      <c r="J346" s="580">
        <v>14115.18</v>
      </c>
      <c r="K346" s="476">
        <f t="shared" si="5"/>
        <v>-6.6331979565993132E-3</v>
      </c>
    </row>
    <row r="347" spans="9:11">
      <c r="I347" s="582">
        <v>40683</v>
      </c>
      <c r="J347" s="580">
        <v>14129.43</v>
      </c>
      <c r="K347" s="476">
        <f t="shared" si="5"/>
        <v>1.0090421647932894E-3</v>
      </c>
    </row>
    <row r="348" spans="9:11">
      <c r="I348" s="582">
        <v>40686</v>
      </c>
      <c r="J348" s="580">
        <v>14128.23</v>
      </c>
      <c r="K348" s="476">
        <f t="shared" si="5"/>
        <v>-8.4932722718110095E-5</v>
      </c>
    </row>
    <row r="349" spans="9:11">
      <c r="I349" s="582">
        <v>40687</v>
      </c>
      <c r="J349" s="580">
        <v>14148.14</v>
      </c>
      <c r="K349" s="476">
        <f t="shared" si="5"/>
        <v>1.408243228559646E-3</v>
      </c>
    </row>
    <row r="350" spans="9:11">
      <c r="I350" s="582">
        <v>40688</v>
      </c>
      <c r="J350" s="580">
        <v>14180.03</v>
      </c>
      <c r="K350" s="476">
        <f t="shared" si="5"/>
        <v>2.2514700717469142E-3</v>
      </c>
    </row>
    <row r="351" spans="9:11">
      <c r="I351" s="582">
        <v>40689</v>
      </c>
      <c r="J351" s="580">
        <v>14343.92</v>
      </c>
      <c r="K351" s="476">
        <f t="shared" si="5"/>
        <v>1.1491522284841038E-2</v>
      </c>
    </row>
    <row r="352" spans="9:11">
      <c r="I352" s="582">
        <v>40690</v>
      </c>
      <c r="J352" s="580">
        <v>14338.1</v>
      </c>
      <c r="K352" s="476">
        <f t="shared" si="5"/>
        <v>-4.0582916265154194E-4</v>
      </c>
    </row>
    <row r="353" spans="9:11">
      <c r="I353" s="582">
        <v>40693</v>
      </c>
      <c r="J353" s="580">
        <v>14388.46</v>
      </c>
      <c r="K353" s="476">
        <f t="shared" si="5"/>
        <v>3.506166529543817E-3</v>
      </c>
    </row>
    <row r="354" spans="9:11">
      <c r="I354" s="582">
        <v>40694</v>
      </c>
      <c r="J354" s="580">
        <v>14550.52</v>
      </c>
      <c r="K354" s="476">
        <f t="shared" si="5"/>
        <v>1.1200235401169824E-2</v>
      </c>
    </row>
    <row r="355" spans="9:11">
      <c r="I355" s="582">
        <v>40695</v>
      </c>
      <c r="J355" s="580">
        <v>14462.77</v>
      </c>
      <c r="K355" s="476">
        <f t="shared" si="5"/>
        <v>-6.048970493489958E-3</v>
      </c>
    </row>
    <row r="356" spans="9:11">
      <c r="I356" s="582">
        <v>40696</v>
      </c>
      <c r="J356" s="580">
        <v>14443.03</v>
      </c>
      <c r="K356" s="476">
        <f t="shared" si="5"/>
        <v>-1.3658160693474151E-3</v>
      </c>
    </row>
    <row r="357" spans="9:11">
      <c r="I357" s="582">
        <v>40697</v>
      </c>
      <c r="J357" s="580">
        <v>14444.02</v>
      </c>
      <c r="K357" s="476">
        <f t="shared" si="5"/>
        <v>6.8542824579741329E-5</v>
      </c>
    </row>
    <row r="358" spans="9:11">
      <c r="I358" s="582">
        <v>40701</v>
      </c>
      <c r="J358" s="580">
        <v>14416.15</v>
      </c>
      <c r="K358" s="476">
        <f t="shared" si="5"/>
        <v>-1.9313821549543908E-3</v>
      </c>
    </row>
    <row r="359" spans="9:11">
      <c r="I359" s="582">
        <v>40702</v>
      </c>
      <c r="J359" s="580">
        <v>14438.69</v>
      </c>
      <c r="K359" s="476">
        <f t="shared" si="5"/>
        <v>1.5623032104575033E-3</v>
      </c>
    </row>
    <row r="360" spans="9:11">
      <c r="I360" s="582">
        <v>40703</v>
      </c>
      <c r="J360" s="580">
        <v>14424.11</v>
      </c>
      <c r="K360" s="476">
        <f t="shared" si="5"/>
        <v>-1.0102970772170423E-3</v>
      </c>
    </row>
    <row r="361" spans="9:11">
      <c r="I361" s="582">
        <v>40704</v>
      </c>
      <c r="J361" s="580">
        <v>14406.57</v>
      </c>
      <c r="K361" s="476">
        <f t="shared" si="5"/>
        <v>-1.2167595189571168E-3</v>
      </c>
    </row>
    <row r="362" spans="9:11">
      <c r="I362" s="582">
        <v>40707</v>
      </c>
      <c r="J362" s="580">
        <v>14248.27</v>
      </c>
      <c r="K362" s="476">
        <f t="shared" si="5"/>
        <v>-1.1048856695685973E-2</v>
      </c>
    </row>
    <row r="363" spans="9:11">
      <c r="I363" s="582">
        <v>40708</v>
      </c>
      <c r="J363" s="580">
        <v>14272.9</v>
      </c>
      <c r="K363" s="476">
        <f t="shared" si="5"/>
        <v>1.7271385516528447E-3</v>
      </c>
    </row>
    <row r="364" spans="9:11">
      <c r="I364" s="582">
        <v>40709</v>
      </c>
      <c r="J364" s="580">
        <v>14030.47</v>
      </c>
      <c r="K364" s="476">
        <f t="shared" si="5"/>
        <v>-1.7131241190648121E-2</v>
      </c>
    </row>
    <row r="365" spans="9:11">
      <c r="I365" s="582">
        <v>40710</v>
      </c>
      <c r="J365" s="580">
        <v>14026.12</v>
      </c>
      <c r="K365" s="476">
        <f t="shared" si="5"/>
        <v>-3.1008757905749077E-4</v>
      </c>
    </row>
    <row r="366" spans="9:11">
      <c r="I366" s="582">
        <v>40711</v>
      </c>
      <c r="J366" s="580">
        <v>14031.16</v>
      </c>
      <c r="K366" s="476">
        <f t="shared" si="5"/>
        <v>3.5926505022638538E-4</v>
      </c>
    </row>
    <row r="367" spans="9:11">
      <c r="I367" s="582">
        <v>40714</v>
      </c>
      <c r="J367" s="580">
        <v>14058.45</v>
      </c>
      <c r="K367" s="476">
        <f t="shared" si="5"/>
        <v>1.9430678166157216E-3</v>
      </c>
    </row>
    <row r="368" spans="9:11">
      <c r="I368" s="582">
        <v>40715</v>
      </c>
      <c r="J368" s="580">
        <v>14197.88</v>
      </c>
      <c r="K368" s="476">
        <f t="shared" si="5"/>
        <v>9.8690192021689445E-3</v>
      </c>
    </row>
    <row r="369" spans="9:11">
      <c r="I369" s="582">
        <v>40716</v>
      </c>
      <c r="J369" s="580">
        <v>14274.1</v>
      </c>
      <c r="K369" s="476">
        <f t="shared" si="5"/>
        <v>5.3540485822026014E-3</v>
      </c>
    </row>
    <row r="370" spans="9:11">
      <c r="I370" s="582">
        <v>40717</v>
      </c>
      <c r="J370" s="580">
        <v>14214.98</v>
      </c>
      <c r="K370" s="476">
        <f t="shared" si="5"/>
        <v>-4.1503681315470664E-3</v>
      </c>
    </row>
    <row r="371" spans="9:11">
      <c r="I371" s="582">
        <v>40718</v>
      </c>
      <c r="J371" s="580">
        <v>14131.72</v>
      </c>
      <c r="K371" s="476">
        <f t="shared" si="5"/>
        <v>-5.8744220268078023E-3</v>
      </c>
    </row>
    <row r="372" spans="9:11">
      <c r="I372" s="582">
        <v>40722</v>
      </c>
      <c r="J372" s="580">
        <v>14137.69</v>
      </c>
      <c r="K372" s="476">
        <f t="shared" si="5"/>
        <v>4.2236467536827552E-4</v>
      </c>
    </row>
    <row r="373" spans="9:11">
      <c r="I373" s="582">
        <v>40723</v>
      </c>
      <c r="J373" s="580">
        <v>14204.34</v>
      </c>
      <c r="K373" s="476">
        <f t="shared" si="5"/>
        <v>4.7032709274760299E-3</v>
      </c>
    </row>
    <row r="374" spans="9:11">
      <c r="I374" s="582">
        <v>40724</v>
      </c>
      <c r="J374" s="580">
        <v>14067.73</v>
      </c>
      <c r="K374" s="476">
        <f t="shared" si="5"/>
        <v>-9.6640297795804846E-3</v>
      </c>
    </row>
    <row r="375" spans="9:11">
      <c r="I375" s="582">
        <v>40725</v>
      </c>
      <c r="J375" s="580">
        <v>14015.58</v>
      </c>
      <c r="K375" s="476">
        <f t="shared" si="5"/>
        <v>-3.7139539423264338E-3</v>
      </c>
    </row>
    <row r="376" spans="9:11">
      <c r="I376" s="582">
        <v>40729</v>
      </c>
      <c r="J376" s="580">
        <v>14159.21</v>
      </c>
      <c r="K376" s="476">
        <f t="shared" si="5"/>
        <v>1.0195727757119265E-2</v>
      </c>
    </row>
    <row r="377" spans="9:11">
      <c r="I377" s="582">
        <v>40730</v>
      </c>
      <c r="J377" s="580">
        <v>13865.99</v>
      </c>
      <c r="K377" s="476">
        <f t="shared" si="5"/>
        <v>-2.0926216417228184E-2</v>
      </c>
    </row>
    <row r="378" spans="9:11">
      <c r="I378" s="582">
        <v>40731</v>
      </c>
      <c r="J378" s="580">
        <v>13846.66</v>
      </c>
      <c r="K378" s="476">
        <f t="shared" si="5"/>
        <v>-1.3950310154288079E-3</v>
      </c>
    </row>
    <row r="379" spans="9:11">
      <c r="I379" s="582">
        <v>40732</v>
      </c>
      <c r="J379" s="580">
        <v>13740.63</v>
      </c>
      <c r="K379" s="476">
        <f t="shared" si="5"/>
        <v>-7.6869110446528399E-3</v>
      </c>
    </row>
    <row r="380" spans="9:11">
      <c r="I380" s="582">
        <v>40735</v>
      </c>
      <c r="J380" s="580">
        <v>13372.39</v>
      </c>
      <c r="K380" s="476">
        <f t="shared" si="5"/>
        <v>-2.7165003718607545E-2</v>
      </c>
    </row>
    <row r="381" spans="9:11">
      <c r="I381" s="582">
        <v>40736</v>
      </c>
      <c r="J381" s="580">
        <v>13271.7</v>
      </c>
      <c r="K381" s="476">
        <f t="shared" si="5"/>
        <v>-7.5581848984612818E-3</v>
      </c>
    </row>
    <row r="382" spans="9:11">
      <c r="I382" s="582">
        <v>40737</v>
      </c>
      <c r="J382" s="580">
        <v>13343.71</v>
      </c>
      <c r="K382" s="476">
        <f t="shared" si="5"/>
        <v>5.41116411195582E-3</v>
      </c>
    </row>
    <row r="383" spans="9:11">
      <c r="I383" s="582">
        <v>40738</v>
      </c>
      <c r="J383" s="580">
        <v>13134.13</v>
      </c>
      <c r="K383" s="476">
        <f t="shared" si="5"/>
        <v>-1.5830927071806992E-2</v>
      </c>
    </row>
    <row r="384" spans="9:11">
      <c r="I384" s="582">
        <v>40739</v>
      </c>
      <c r="J384" s="580">
        <v>13134.13</v>
      </c>
      <c r="K384" s="476">
        <f t="shared" si="5"/>
        <v>0</v>
      </c>
    </row>
    <row r="385" spans="9:11">
      <c r="I385" s="582">
        <v>40742</v>
      </c>
      <c r="J385" s="580">
        <v>13189.13</v>
      </c>
      <c r="K385" s="476">
        <f t="shared" si="5"/>
        <v>4.1788197994165202E-3</v>
      </c>
    </row>
    <row r="386" spans="9:11">
      <c r="I386" s="582">
        <v>40743</v>
      </c>
      <c r="J386" s="580">
        <v>13591.02</v>
      </c>
      <c r="K386" s="476">
        <f t="shared" si="5"/>
        <v>3.0016275040255797E-2</v>
      </c>
    </row>
    <row r="387" spans="9:11">
      <c r="I387" s="582">
        <v>40745</v>
      </c>
      <c r="J387" s="580">
        <v>13880.9</v>
      </c>
      <c r="K387" s="476">
        <f t="shared" si="5"/>
        <v>2.1104513940907729E-2</v>
      </c>
    </row>
    <row r="388" spans="9:11">
      <c r="I388" s="582">
        <v>40746</v>
      </c>
      <c r="J388" s="580">
        <v>13822.9</v>
      </c>
      <c r="K388" s="476">
        <f t="shared" si="5"/>
        <v>-4.187157338658291E-3</v>
      </c>
    </row>
    <row r="389" spans="9:11">
      <c r="I389" s="582">
        <v>40749</v>
      </c>
      <c r="J389" s="580">
        <v>13878.85</v>
      </c>
      <c r="K389" s="476">
        <f t="shared" si="5"/>
        <v>4.0394614837800848E-3</v>
      </c>
    </row>
    <row r="390" spans="9:11">
      <c r="I390" s="582">
        <v>40750</v>
      </c>
      <c r="J390" s="580">
        <v>14052.59</v>
      </c>
      <c r="K390" s="476">
        <f t="shared" ref="K390:K453" si="6">LN(J390/J389)</f>
        <v>1.2440621807713288E-2</v>
      </c>
    </row>
    <row r="391" spans="9:11">
      <c r="I391" s="582">
        <v>40751</v>
      </c>
      <c r="J391" s="580">
        <v>13945.91</v>
      </c>
      <c r="K391" s="476">
        <f t="shared" si="6"/>
        <v>-7.6204451132970748E-3</v>
      </c>
    </row>
    <row r="392" spans="9:11">
      <c r="I392" s="582">
        <v>40752</v>
      </c>
      <c r="J392" s="580">
        <v>14069.38</v>
      </c>
      <c r="K392" s="476">
        <f t="shared" si="6"/>
        <v>8.8145294534042601E-3</v>
      </c>
    </row>
    <row r="393" spans="9:11">
      <c r="I393" s="582">
        <v>40753</v>
      </c>
      <c r="J393" s="580">
        <v>14039.31</v>
      </c>
      <c r="K393" s="476">
        <f t="shared" si="6"/>
        <v>-2.1395526771909724E-3</v>
      </c>
    </row>
    <row r="394" spans="9:11">
      <c r="I394" s="582">
        <v>40756</v>
      </c>
      <c r="J394" s="580">
        <v>14100.52</v>
      </c>
      <c r="K394" s="476">
        <f t="shared" si="6"/>
        <v>4.3504240458671533E-3</v>
      </c>
    </row>
    <row r="395" spans="9:11">
      <c r="I395" s="582">
        <v>40757</v>
      </c>
      <c r="J395" s="580">
        <v>13957.98</v>
      </c>
      <c r="K395" s="476">
        <f t="shared" si="6"/>
        <v>-1.0160288412822609E-2</v>
      </c>
    </row>
    <row r="396" spans="9:11">
      <c r="I396" s="582">
        <v>40758</v>
      </c>
      <c r="J396" s="580">
        <v>13868.93</v>
      </c>
      <c r="K396" s="476">
        <f t="shared" si="6"/>
        <v>-6.4003012900638251E-3</v>
      </c>
    </row>
    <row r="397" spans="9:11">
      <c r="I397" s="582">
        <v>40759</v>
      </c>
      <c r="J397" s="580">
        <v>13420.71</v>
      </c>
      <c r="K397" s="476">
        <f t="shared" si="6"/>
        <v>-3.2852050179490895E-2</v>
      </c>
    </row>
    <row r="398" spans="9:11">
      <c r="I398" s="582">
        <v>40760</v>
      </c>
      <c r="J398" s="580">
        <v>13247.13</v>
      </c>
      <c r="K398" s="476">
        <f t="shared" si="6"/>
        <v>-1.3018111057679041E-2</v>
      </c>
    </row>
    <row r="399" spans="9:11">
      <c r="I399" s="582">
        <v>40763</v>
      </c>
      <c r="J399" s="580">
        <v>12702.19</v>
      </c>
      <c r="K399" s="476">
        <f t="shared" si="6"/>
        <v>-4.2006505653464046E-2</v>
      </c>
    </row>
    <row r="400" spans="9:11">
      <c r="I400" s="582">
        <v>40764</v>
      </c>
      <c r="J400" s="580">
        <v>13086.2</v>
      </c>
      <c r="K400" s="476">
        <f t="shared" si="6"/>
        <v>2.9783820296652302E-2</v>
      </c>
    </row>
    <row r="401" spans="9:11">
      <c r="I401" s="582">
        <v>40765</v>
      </c>
      <c r="J401" s="580">
        <v>13071.59</v>
      </c>
      <c r="K401" s="476">
        <f t="shared" si="6"/>
        <v>-1.1170669631681222E-3</v>
      </c>
    </row>
    <row r="402" spans="9:11">
      <c r="I402" s="582">
        <v>40766</v>
      </c>
      <c r="J402" s="580">
        <v>13262.02</v>
      </c>
      <c r="K402" s="476">
        <f t="shared" si="6"/>
        <v>1.4463138137022311E-2</v>
      </c>
    </row>
    <row r="403" spans="9:11">
      <c r="I403" s="582">
        <v>40767</v>
      </c>
      <c r="J403" s="580">
        <v>13413.84</v>
      </c>
      <c r="K403" s="476">
        <f t="shared" si="6"/>
        <v>1.1382698756116241E-2</v>
      </c>
    </row>
    <row r="404" spans="9:11">
      <c r="I404" s="582">
        <v>40771</v>
      </c>
      <c r="J404" s="580">
        <v>13489.13</v>
      </c>
      <c r="K404" s="476">
        <f t="shared" si="6"/>
        <v>5.5971661536757681E-3</v>
      </c>
    </row>
    <row r="405" spans="9:11">
      <c r="I405" s="582">
        <v>40772</v>
      </c>
      <c r="J405" s="580">
        <v>13473.33</v>
      </c>
      <c r="K405" s="476">
        <f t="shared" si="6"/>
        <v>-1.1720000184368383E-3</v>
      </c>
    </row>
    <row r="406" spans="9:11">
      <c r="I406" s="582">
        <v>40773</v>
      </c>
      <c r="J406" s="580">
        <v>13049.39</v>
      </c>
      <c r="K406" s="476">
        <f t="shared" si="6"/>
        <v>-3.1970786523877207E-2</v>
      </c>
    </row>
    <row r="407" spans="9:11">
      <c r="I407" s="582">
        <v>40774</v>
      </c>
      <c r="J407" s="580">
        <v>12948.56</v>
      </c>
      <c r="K407" s="476">
        <f t="shared" si="6"/>
        <v>-7.7568043296664183E-3</v>
      </c>
    </row>
    <row r="408" spans="9:11">
      <c r="I408" s="582">
        <v>40777</v>
      </c>
      <c r="J408" s="580">
        <v>13050.58</v>
      </c>
      <c r="K408" s="476">
        <f t="shared" si="6"/>
        <v>7.8479921740067845E-3</v>
      </c>
    </row>
    <row r="409" spans="9:11">
      <c r="I409" s="582">
        <v>40778</v>
      </c>
      <c r="J409" s="580">
        <v>13276.95</v>
      </c>
      <c r="K409" s="476">
        <f t="shared" si="6"/>
        <v>1.7196871770178337E-2</v>
      </c>
    </row>
    <row r="410" spans="9:11">
      <c r="I410" s="582">
        <v>40779</v>
      </c>
      <c r="J410" s="580">
        <v>13343.79</v>
      </c>
      <c r="K410" s="476">
        <f t="shared" si="6"/>
        <v>5.0216590867846848E-3</v>
      </c>
    </row>
    <row r="411" spans="9:11">
      <c r="I411" s="582">
        <v>40780</v>
      </c>
      <c r="J411" s="580">
        <v>13200.37</v>
      </c>
      <c r="K411" s="476">
        <f t="shared" si="6"/>
        <v>-1.0806248579970805E-2</v>
      </c>
    </row>
    <row r="412" spans="9:11">
      <c r="I412" s="582">
        <v>40781</v>
      </c>
      <c r="J412" s="580">
        <v>13208.27</v>
      </c>
      <c r="K412" s="476">
        <f t="shared" si="6"/>
        <v>5.9828906264388694E-4</v>
      </c>
    </row>
    <row r="413" spans="9:11">
      <c r="I413" s="582">
        <v>40784</v>
      </c>
      <c r="J413" s="580">
        <v>13476.02</v>
      </c>
      <c r="K413" s="476">
        <f t="shared" si="6"/>
        <v>2.0068661097964319E-2</v>
      </c>
    </row>
    <row r="414" spans="9:11">
      <c r="I414" s="582">
        <v>40785</v>
      </c>
      <c r="J414" s="580">
        <v>13499.62</v>
      </c>
      <c r="K414" s="476">
        <f t="shared" si="6"/>
        <v>1.7497272369471145E-3</v>
      </c>
    </row>
    <row r="415" spans="9:11">
      <c r="I415" s="582">
        <v>40786</v>
      </c>
      <c r="J415" s="580">
        <v>13421</v>
      </c>
      <c r="K415" s="476">
        <f t="shared" si="6"/>
        <v>-5.8408924844002138E-3</v>
      </c>
    </row>
    <row r="416" spans="9:11">
      <c r="I416" s="582">
        <v>40787</v>
      </c>
      <c r="J416" s="580">
        <v>13470.37</v>
      </c>
      <c r="K416" s="476">
        <f t="shared" si="6"/>
        <v>3.671814077756741E-3</v>
      </c>
    </row>
    <row r="417" spans="9:11">
      <c r="I417" s="582">
        <v>40788</v>
      </c>
      <c r="J417" s="580">
        <v>13458.55</v>
      </c>
      <c r="K417" s="476">
        <f t="shared" si="6"/>
        <v>-8.7786667709601547E-4</v>
      </c>
    </row>
    <row r="418" spans="9:11">
      <c r="I418" s="582">
        <v>40791</v>
      </c>
      <c r="J418" s="580">
        <v>13210.79</v>
      </c>
      <c r="K418" s="476">
        <f t="shared" si="6"/>
        <v>-1.8580671890824969E-2</v>
      </c>
    </row>
    <row r="419" spans="9:11">
      <c r="I419" s="582">
        <v>40792</v>
      </c>
      <c r="J419" s="580">
        <v>13429.43</v>
      </c>
      <c r="K419" s="476">
        <f t="shared" si="6"/>
        <v>1.6414647415568914E-2</v>
      </c>
    </row>
    <row r="420" spans="9:11">
      <c r="I420" s="582">
        <v>40793</v>
      </c>
      <c r="J420" s="580">
        <v>13543.3</v>
      </c>
      <c r="K420" s="476">
        <f t="shared" si="6"/>
        <v>8.4433927518829614E-3</v>
      </c>
    </row>
    <row r="421" spans="9:11">
      <c r="I421" s="582">
        <v>40794</v>
      </c>
      <c r="J421" s="580">
        <v>13515.5</v>
      </c>
      <c r="K421" s="476">
        <f t="shared" si="6"/>
        <v>-2.0547851184304989E-3</v>
      </c>
    </row>
    <row r="422" spans="9:11">
      <c r="I422" s="582">
        <v>40795</v>
      </c>
      <c r="J422" s="580">
        <v>13413.45</v>
      </c>
      <c r="K422" s="476">
        <f t="shared" si="6"/>
        <v>-7.5792400758563734E-3</v>
      </c>
    </row>
    <row r="423" spans="9:11">
      <c r="I423" s="582">
        <v>40798</v>
      </c>
      <c r="J423" s="580">
        <v>13417.83</v>
      </c>
      <c r="K423" s="476">
        <f t="shared" si="6"/>
        <v>3.2648461339947562E-4</v>
      </c>
    </row>
    <row r="424" spans="9:11">
      <c r="I424" s="582">
        <v>40799</v>
      </c>
      <c r="J424" s="580">
        <v>13486.61</v>
      </c>
      <c r="K424" s="476">
        <f t="shared" si="6"/>
        <v>5.1129218699213826E-3</v>
      </c>
    </row>
    <row r="425" spans="9:11">
      <c r="I425" s="582">
        <v>40800</v>
      </c>
      <c r="J425" s="580">
        <v>13555</v>
      </c>
      <c r="K425" s="476">
        <f t="shared" si="6"/>
        <v>5.0581415686385515E-3</v>
      </c>
    </row>
    <row r="426" spans="9:11">
      <c r="I426" s="582">
        <v>40801</v>
      </c>
      <c r="J426" s="580">
        <v>13684.26</v>
      </c>
      <c r="K426" s="476">
        <f t="shared" si="6"/>
        <v>9.4907842765384193E-3</v>
      </c>
    </row>
    <row r="427" spans="9:11">
      <c r="I427" s="582">
        <v>40802</v>
      </c>
      <c r="J427" s="580">
        <v>13884.17</v>
      </c>
      <c r="K427" s="476">
        <f t="shared" si="6"/>
        <v>1.4503075007408845E-2</v>
      </c>
    </row>
    <row r="428" spans="9:11">
      <c r="I428" s="582">
        <v>40805</v>
      </c>
      <c r="J428" s="580">
        <v>13838.99</v>
      </c>
      <c r="K428" s="476">
        <f t="shared" si="6"/>
        <v>-3.2593715866071457E-3</v>
      </c>
    </row>
    <row r="429" spans="9:11">
      <c r="I429" s="582">
        <v>40806</v>
      </c>
      <c r="J429" s="580">
        <v>13879.58</v>
      </c>
      <c r="K429" s="476">
        <f t="shared" si="6"/>
        <v>2.9287246068715779E-3</v>
      </c>
    </row>
    <row r="430" spans="9:11">
      <c r="I430" s="582">
        <v>40807</v>
      </c>
      <c r="J430" s="580">
        <v>13640.22</v>
      </c>
      <c r="K430" s="476">
        <f t="shared" si="6"/>
        <v>-1.7395913937337772E-2</v>
      </c>
    </row>
    <row r="431" spans="9:11">
      <c r="I431" s="582">
        <v>40808</v>
      </c>
      <c r="J431" s="580">
        <v>13187.09</v>
      </c>
      <c r="K431" s="476">
        <f t="shared" si="6"/>
        <v>-3.3784460611916277E-2</v>
      </c>
    </row>
    <row r="432" spans="9:11">
      <c r="I432" s="582">
        <v>40809</v>
      </c>
      <c r="J432" s="580">
        <v>12971.77</v>
      </c>
      <c r="K432" s="476">
        <f t="shared" si="6"/>
        <v>-1.6462862914155819E-2</v>
      </c>
    </row>
    <row r="433" spans="9:11">
      <c r="I433" s="582">
        <v>40812</v>
      </c>
      <c r="J433" s="580">
        <v>12853.7</v>
      </c>
      <c r="K433" s="476">
        <f t="shared" si="6"/>
        <v>-9.1437501531272513E-3</v>
      </c>
    </row>
    <row r="434" spans="9:11">
      <c r="I434" s="582">
        <v>40813</v>
      </c>
      <c r="J434" s="580">
        <v>12968.43</v>
      </c>
      <c r="K434" s="476">
        <f t="shared" si="6"/>
        <v>8.8862347894480241E-3</v>
      </c>
    </row>
    <row r="435" spans="9:11">
      <c r="I435" s="582">
        <v>40814</v>
      </c>
      <c r="J435" s="580">
        <v>12878.3</v>
      </c>
      <c r="K435" s="476">
        <f t="shared" si="6"/>
        <v>-6.9742180403103296E-3</v>
      </c>
    </row>
    <row r="436" spans="9:11">
      <c r="I436" s="582">
        <v>40815</v>
      </c>
      <c r="J436" s="580">
        <v>12933.41</v>
      </c>
      <c r="K436" s="476">
        <f t="shared" si="6"/>
        <v>4.2701613911591456E-3</v>
      </c>
    </row>
    <row r="437" spans="9:11">
      <c r="I437" s="582">
        <v>40816</v>
      </c>
      <c r="J437" s="580">
        <v>12915.8</v>
      </c>
      <c r="K437" s="476">
        <f t="shared" si="6"/>
        <v>-1.3625176726365499E-3</v>
      </c>
    </row>
    <row r="438" spans="9:11">
      <c r="I438" s="582">
        <v>40819</v>
      </c>
      <c r="J438" s="580">
        <v>12518.78</v>
      </c>
      <c r="K438" s="476">
        <f t="shared" si="6"/>
        <v>-3.1221451271451591E-2</v>
      </c>
    </row>
    <row r="439" spans="9:11">
      <c r="I439" s="582">
        <v>40820</v>
      </c>
      <c r="J439" s="580">
        <v>12579.23</v>
      </c>
      <c r="K439" s="476">
        <f t="shared" si="6"/>
        <v>4.8171242973894021E-3</v>
      </c>
    </row>
    <row r="440" spans="9:11">
      <c r="I440" s="582">
        <v>40821</v>
      </c>
      <c r="J440" s="580">
        <v>12693.99</v>
      </c>
      <c r="K440" s="476">
        <f t="shared" si="6"/>
        <v>9.0816119783153296E-3</v>
      </c>
    </row>
    <row r="441" spans="9:11">
      <c r="I441" s="582">
        <v>40822</v>
      </c>
      <c r="J441" s="580">
        <v>12965.01</v>
      </c>
      <c r="K441" s="476">
        <f t="shared" si="6"/>
        <v>2.1125537187479535E-2</v>
      </c>
    </row>
    <row r="442" spans="9:11">
      <c r="I442" s="582">
        <v>40823</v>
      </c>
      <c r="J442" s="580">
        <v>12871.86</v>
      </c>
      <c r="K442" s="476">
        <f t="shared" si="6"/>
        <v>-7.2106569874577963E-3</v>
      </c>
    </row>
    <row r="443" spans="9:11">
      <c r="I443" s="582">
        <v>40826</v>
      </c>
      <c r="J443" s="580">
        <v>13097.07</v>
      </c>
      <c r="K443" s="476">
        <f t="shared" si="6"/>
        <v>1.7345007758179851E-2</v>
      </c>
    </row>
    <row r="444" spans="9:11">
      <c r="I444" s="582">
        <v>40827</v>
      </c>
      <c r="J444" s="580">
        <v>13063.42</v>
      </c>
      <c r="K444" s="476">
        <f t="shared" si="6"/>
        <v>-2.5725832014988352E-3</v>
      </c>
    </row>
    <row r="445" spans="9:11">
      <c r="I445" s="582">
        <v>40828</v>
      </c>
      <c r="J445" s="580">
        <v>13288.15</v>
      </c>
      <c r="K445" s="476">
        <f t="shared" si="6"/>
        <v>1.7056702760854529E-2</v>
      </c>
    </row>
    <row r="446" spans="9:11">
      <c r="I446" s="582">
        <v>40829</v>
      </c>
      <c r="J446" s="580">
        <v>13307.11</v>
      </c>
      <c r="K446" s="476">
        <f t="shared" si="6"/>
        <v>1.4258182256592137E-3</v>
      </c>
    </row>
    <row r="447" spans="9:11">
      <c r="I447" s="582">
        <v>40830</v>
      </c>
      <c r="J447" s="580">
        <v>13355.48</v>
      </c>
      <c r="K447" s="476">
        <f t="shared" si="6"/>
        <v>3.6283086575154056E-3</v>
      </c>
    </row>
    <row r="448" spans="9:11">
      <c r="I448" s="582">
        <v>40834</v>
      </c>
      <c r="J448" s="580">
        <v>13463.17</v>
      </c>
      <c r="K448" s="476">
        <f t="shared" si="6"/>
        <v>8.0310216069019776E-3</v>
      </c>
    </row>
    <row r="449" spans="9:11">
      <c r="I449" s="582">
        <v>40835</v>
      </c>
      <c r="J449" s="580">
        <v>13358.03</v>
      </c>
      <c r="K449" s="476">
        <f t="shared" si="6"/>
        <v>-7.8401069717419433E-3</v>
      </c>
    </row>
    <row r="450" spans="9:11">
      <c r="I450" s="582">
        <v>40836</v>
      </c>
      <c r="J450" s="580">
        <v>13363.53</v>
      </c>
      <c r="K450" s="476">
        <f t="shared" si="6"/>
        <v>4.1165261890904059E-4</v>
      </c>
    </row>
    <row r="451" spans="9:11">
      <c r="I451" s="582">
        <v>40837</v>
      </c>
      <c r="J451" s="580">
        <v>13507.95</v>
      </c>
      <c r="K451" s="476">
        <f t="shared" si="6"/>
        <v>1.0749046241236775E-2</v>
      </c>
    </row>
    <row r="452" spans="9:11">
      <c r="I452" s="582">
        <v>40840</v>
      </c>
      <c r="J452" s="580">
        <v>13603.34</v>
      </c>
      <c r="K452" s="476">
        <f t="shared" si="6"/>
        <v>7.036949819191834E-3</v>
      </c>
    </row>
    <row r="453" spans="9:11">
      <c r="I453" s="582">
        <v>40841</v>
      </c>
      <c r="J453" s="580">
        <v>13386.36</v>
      </c>
      <c r="K453" s="476">
        <f t="shared" si="6"/>
        <v>-1.6079072739016664E-2</v>
      </c>
    </row>
    <row r="454" spans="9:11">
      <c r="I454" s="582">
        <v>40842</v>
      </c>
      <c r="J454" s="580">
        <v>13391.29</v>
      </c>
      <c r="K454" s="476">
        <f t="shared" ref="K454:K517" si="7">LN(J454/J453)</f>
        <v>3.6821752884992447E-4</v>
      </c>
    </row>
    <row r="455" spans="9:11">
      <c r="I455" s="582">
        <v>40843</v>
      </c>
      <c r="J455" s="580">
        <v>13391.29</v>
      </c>
      <c r="K455" s="476">
        <f t="shared" si="7"/>
        <v>0</v>
      </c>
    </row>
    <row r="456" spans="9:11">
      <c r="I456" s="582">
        <v>40844</v>
      </c>
      <c r="J456" s="580">
        <v>13527.44</v>
      </c>
      <c r="K456" s="476">
        <f t="shared" si="7"/>
        <v>1.0115719500286023E-2</v>
      </c>
    </row>
    <row r="457" spans="9:11">
      <c r="I457" s="582">
        <v>40847</v>
      </c>
      <c r="J457" s="580">
        <v>13322.06</v>
      </c>
      <c r="K457" s="476">
        <f t="shared" si="7"/>
        <v>-1.5298907306466056E-2</v>
      </c>
    </row>
    <row r="458" spans="9:11">
      <c r="I458" s="582">
        <v>40848</v>
      </c>
      <c r="J458" s="580">
        <v>13077.68</v>
      </c>
      <c r="K458" s="476">
        <f t="shared" si="7"/>
        <v>-1.8514347542552038E-2</v>
      </c>
    </row>
    <row r="459" spans="9:11">
      <c r="I459" s="582">
        <v>40849</v>
      </c>
      <c r="J459" s="580">
        <v>13024.52</v>
      </c>
      <c r="K459" s="476">
        <f t="shared" si="7"/>
        <v>-4.073225513469737E-3</v>
      </c>
    </row>
    <row r="460" spans="9:11">
      <c r="I460" s="582">
        <v>40850</v>
      </c>
      <c r="J460" s="580">
        <v>13256.92</v>
      </c>
      <c r="K460" s="476">
        <f t="shared" si="7"/>
        <v>1.7685945497640767E-2</v>
      </c>
    </row>
    <row r="461" spans="9:11">
      <c r="I461" s="582">
        <v>40851</v>
      </c>
      <c r="J461" s="580">
        <v>13017.65</v>
      </c>
      <c r="K461" s="476">
        <f t="shared" si="7"/>
        <v>-1.8213551312314988E-2</v>
      </c>
    </row>
    <row r="462" spans="9:11">
      <c r="I462" s="582">
        <v>40855</v>
      </c>
      <c r="J462" s="580">
        <v>13055.76</v>
      </c>
      <c r="K462" s="476">
        <f t="shared" si="7"/>
        <v>2.9232867614488625E-3</v>
      </c>
    </row>
    <row r="463" spans="9:11">
      <c r="I463" s="582">
        <v>40856</v>
      </c>
      <c r="J463" s="580">
        <v>12781.74</v>
      </c>
      <c r="K463" s="476">
        <f t="shared" si="7"/>
        <v>-2.1211825783324006E-2</v>
      </c>
    </row>
    <row r="464" spans="9:11">
      <c r="I464" s="582">
        <v>40857</v>
      </c>
      <c r="J464" s="580">
        <v>12714.19</v>
      </c>
      <c r="K464" s="476">
        <f t="shared" si="7"/>
        <v>-5.2988973579257814E-3</v>
      </c>
    </row>
    <row r="465" spans="9:11">
      <c r="I465" s="582">
        <v>40858</v>
      </c>
      <c r="J465" s="580">
        <v>12892.48</v>
      </c>
      <c r="K465" s="476">
        <f t="shared" si="7"/>
        <v>1.3925503093661527E-2</v>
      </c>
    </row>
    <row r="466" spans="9:11">
      <c r="I466" s="582">
        <v>40862</v>
      </c>
      <c r="J466" s="580">
        <v>12821.41</v>
      </c>
      <c r="K466" s="476">
        <f t="shared" si="7"/>
        <v>-5.5277658082048837E-3</v>
      </c>
    </row>
    <row r="467" spans="9:11">
      <c r="I467" s="582">
        <v>40863</v>
      </c>
      <c r="J467" s="580">
        <v>12723.22</v>
      </c>
      <c r="K467" s="476">
        <f t="shared" si="7"/>
        <v>-7.6877593136968929E-3</v>
      </c>
    </row>
    <row r="468" spans="9:11">
      <c r="I468" s="582">
        <v>40864</v>
      </c>
      <c r="J468" s="580">
        <v>12707.62</v>
      </c>
      <c r="K468" s="476">
        <f t="shared" si="7"/>
        <v>-1.2268569938491973E-3</v>
      </c>
    </row>
    <row r="469" spans="9:11">
      <c r="I469" s="582">
        <v>40865</v>
      </c>
      <c r="J469" s="580">
        <v>12668.61</v>
      </c>
      <c r="K469" s="476">
        <f t="shared" si="7"/>
        <v>-3.0745331934117106E-3</v>
      </c>
    </row>
    <row r="470" spans="9:11">
      <c r="I470" s="582">
        <v>40868</v>
      </c>
      <c r="J470" s="580">
        <v>12480.09</v>
      </c>
      <c r="K470" s="476">
        <f t="shared" si="7"/>
        <v>-1.4992705889361437E-2</v>
      </c>
    </row>
    <row r="471" spans="9:11">
      <c r="I471" s="582">
        <v>40869</v>
      </c>
      <c r="J471" s="580">
        <v>12465.03</v>
      </c>
      <c r="K471" s="476">
        <f t="shared" si="7"/>
        <v>-1.2074507422461921E-3</v>
      </c>
    </row>
    <row r="472" spans="9:11">
      <c r="I472" s="582">
        <v>40870</v>
      </c>
      <c r="J472" s="580">
        <v>12151.08</v>
      </c>
      <c r="K472" s="476">
        <f t="shared" si="7"/>
        <v>-2.550906898643077E-2</v>
      </c>
    </row>
    <row r="473" spans="9:11">
      <c r="I473" s="582">
        <v>40871</v>
      </c>
      <c r="J473" s="580">
        <v>12168.17</v>
      </c>
      <c r="K473" s="476">
        <f t="shared" si="7"/>
        <v>1.4054712059975044E-3</v>
      </c>
    </row>
    <row r="474" spans="9:11">
      <c r="I474" s="582">
        <v>40872</v>
      </c>
      <c r="J474" s="580">
        <v>12163</v>
      </c>
      <c r="K474" s="476">
        <f t="shared" si="7"/>
        <v>-4.2496929476122625E-4</v>
      </c>
    </row>
    <row r="475" spans="9:11">
      <c r="I475" s="582">
        <v>40875</v>
      </c>
      <c r="J475" s="580">
        <v>12501.82</v>
      </c>
      <c r="K475" s="476">
        <f t="shared" si="7"/>
        <v>2.7475677073304765E-2</v>
      </c>
    </row>
    <row r="476" spans="9:11">
      <c r="I476" s="582">
        <v>40876</v>
      </c>
      <c r="J476" s="580">
        <v>12529.52</v>
      </c>
      <c r="K476" s="476">
        <f t="shared" si="7"/>
        <v>2.2132264039458039E-3</v>
      </c>
    </row>
    <row r="477" spans="9:11">
      <c r="I477" s="582">
        <v>40877</v>
      </c>
      <c r="J477" s="580">
        <v>12924.33</v>
      </c>
      <c r="K477" s="476">
        <f t="shared" si="7"/>
        <v>3.102412141315386E-2</v>
      </c>
    </row>
    <row r="478" spans="9:11">
      <c r="I478" s="582">
        <v>40878</v>
      </c>
      <c r="J478" s="580">
        <v>12924.52</v>
      </c>
      <c r="K478" s="476">
        <f t="shared" si="7"/>
        <v>1.4700847426738452E-5</v>
      </c>
    </row>
    <row r="479" spans="9:11">
      <c r="I479" s="582">
        <v>40879</v>
      </c>
      <c r="J479" s="580">
        <v>13011.24</v>
      </c>
      <c r="K479" s="476">
        <f t="shared" si="7"/>
        <v>6.6873169074506801E-3</v>
      </c>
    </row>
    <row r="480" spans="9:11">
      <c r="I480" s="582">
        <v>40882</v>
      </c>
      <c r="J480" s="580">
        <v>12900.32</v>
      </c>
      <c r="K480" s="476">
        <f t="shared" si="7"/>
        <v>-8.561482020073289E-3</v>
      </c>
    </row>
    <row r="481" spans="9:11">
      <c r="I481" s="582">
        <v>40883</v>
      </c>
      <c r="J481" s="580">
        <v>12665.32</v>
      </c>
      <c r="K481" s="476">
        <f t="shared" si="7"/>
        <v>-1.8384567644629812E-2</v>
      </c>
    </row>
    <row r="482" spans="9:11">
      <c r="I482" s="582">
        <v>40884</v>
      </c>
      <c r="J482" s="580">
        <v>12884.55</v>
      </c>
      <c r="K482" s="476">
        <f t="shared" si="7"/>
        <v>1.7161369546964372E-2</v>
      </c>
    </row>
    <row r="483" spans="9:11">
      <c r="I483" s="582">
        <v>40886</v>
      </c>
      <c r="J483" s="580">
        <v>12819.47</v>
      </c>
      <c r="K483" s="476">
        <f t="shared" si="7"/>
        <v>-5.063810179574647E-3</v>
      </c>
    </row>
    <row r="484" spans="9:11">
      <c r="I484" s="582">
        <v>40889</v>
      </c>
      <c r="J484" s="580">
        <v>12770.03</v>
      </c>
      <c r="K484" s="476">
        <f t="shared" si="7"/>
        <v>-3.8640896865106472E-3</v>
      </c>
    </row>
    <row r="485" spans="9:11">
      <c r="I485" s="582">
        <v>40890</v>
      </c>
      <c r="J485" s="580">
        <v>12770.03</v>
      </c>
      <c r="K485" s="476">
        <f t="shared" si="7"/>
        <v>0</v>
      </c>
    </row>
    <row r="486" spans="9:11">
      <c r="I486" s="582">
        <v>40891</v>
      </c>
      <c r="J486" s="580">
        <v>12407.92</v>
      </c>
      <c r="K486" s="476">
        <f t="shared" si="7"/>
        <v>-2.8766040897560616E-2</v>
      </c>
    </row>
    <row r="487" spans="9:11">
      <c r="I487" s="582">
        <v>40892</v>
      </c>
      <c r="J487" s="580">
        <v>12314.19</v>
      </c>
      <c r="K487" s="476">
        <f t="shared" si="7"/>
        <v>-7.5827224378793631E-3</v>
      </c>
    </row>
    <row r="488" spans="9:11">
      <c r="I488" s="582">
        <v>40893</v>
      </c>
      <c r="J488" s="580">
        <v>12590.31</v>
      </c>
      <c r="K488" s="476">
        <f t="shared" si="7"/>
        <v>2.2175214507245817E-2</v>
      </c>
    </row>
    <row r="489" spans="9:11">
      <c r="I489" s="582">
        <v>40896</v>
      </c>
      <c r="J489" s="580">
        <v>12489.13</v>
      </c>
      <c r="K489" s="476">
        <f t="shared" si="7"/>
        <v>-8.0688044827293293E-3</v>
      </c>
    </row>
    <row r="490" spans="9:11">
      <c r="I490" s="582">
        <v>40897</v>
      </c>
      <c r="J490" s="580">
        <v>12688.95</v>
      </c>
      <c r="K490" s="476">
        <f t="shared" si="7"/>
        <v>1.5872869999343266E-2</v>
      </c>
    </row>
    <row r="491" spans="9:11">
      <c r="I491" s="582">
        <v>40898</v>
      </c>
      <c r="J491" s="580">
        <v>12647.34</v>
      </c>
      <c r="K491" s="476">
        <f t="shared" si="7"/>
        <v>-3.2846196037305746E-3</v>
      </c>
    </row>
    <row r="492" spans="9:11">
      <c r="I492" s="582">
        <v>40899</v>
      </c>
      <c r="J492" s="580">
        <v>12798.2</v>
      </c>
      <c r="K492" s="476">
        <f t="shared" si="7"/>
        <v>1.1857619654502466E-2</v>
      </c>
    </row>
    <row r="493" spans="9:11">
      <c r="I493" s="582">
        <v>40900</v>
      </c>
      <c r="J493" s="580">
        <v>12778.96</v>
      </c>
      <c r="K493" s="476">
        <f t="shared" si="7"/>
        <v>-1.5044675506602344E-3</v>
      </c>
    </row>
    <row r="494" spans="9:11">
      <c r="I494" s="582">
        <v>40903</v>
      </c>
      <c r="J494" s="580">
        <v>12667.06</v>
      </c>
      <c r="K494" s="476">
        <f t="shared" si="7"/>
        <v>-8.7951452785569439E-3</v>
      </c>
    </row>
    <row r="495" spans="9:11">
      <c r="I495" s="582">
        <v>40904</v>
      </c>
      <c r="J495" s="580">
        <v>12693.02</v>
      </c>
      <c r="K495" s="476">
        <f t="shared" si="7"/>
        <v>2.0473128686968266E-3</v>
      </c>
    </row>
    <row r="496" spans="9:11">
      <c r="I496" s="582">
        <v>40905</v>
      </c>
      <c r="J496" s="580">
        <v>12693.02</v>
      </c>
      <c r="K496" s="476">
        <f t="shared" si="7"/>
        <v>0</v>
      </c>
    </row>
    <row r="497" spans="9:14">
      <c r="I497" s="582">
        <v>40906</v>
      </c>
      <c r="J497" s="580">
        <v>12665.71</v>
      </c>
      <c r="K497" s="476">
        <f t="shared" si="7"/>
        <v>-2.1538941861980374E-3</v>
      </c>
    </row>
    <row r="498" spans="9:14">
      <c r="I498" s="582">
        <v>40907</v>
      </c>
      <c r="J498" s="580">
        <v>12665.71</v>
      </c>
      <c r="K498" s="476">
        <f t="shared" si="7"/>
        <v>0</v>
      </c>
    </row>
    <row r="499" spans="9:14">
      <c r="I499" s="582">
        <v>40910</v>
      </c>
      <c r="J499" s="580">
        <v>12735.77</v>
      </c>
      <c r="K499" s="476">
        <f t="shared" si="7"/>
        <v>5.5162280035038385E-3</v>
      </c>
      <c r="L499" s="153" t="s">
        <v>583</v>
      </c>
      <c r="M499" s="456">
        <f>AVERAGE(J499:J520)</f>
        <v>13302.102727272724</v>
      </c>
      <c r="N499" s="237">
        <f>AVERAGE(K499:K520)</f>
        <v>4.1067673979107737E-3</v>
      </c>
    </row>
    <row r="500" spans="9:14">
      <c r="I500" s="582">
        <v>40911</v>
      </c>
      <c r="J500" s="580">
        <v>12951.94</v>
      </c>
      <c r="K500" s="476">
        <f t="shared" si="7"/>
        <v>1.6831013981678536E-2</v>
      </c>
    </row>
    <row r="501" spans="9:14">
      <c r="I501" s="582">
        <v>40912</v>
      </c>
      <c r="J501" s="580">
        <v>12934.52</v>
      </c>
      <c r="K501" s="476">
        <f t="shared" si="7"/>
        <v>-1.3458775459856997E-3</v>
      </c>
    </row>
    <row r="502" spans="9:14">
      <c r="I502" s="582">
        <v>40913</v>
      </c>
      <c r="J502" s="580">
        <v>12972.03</v>
      </c>
      <c r="K502" s="476">
        <f t="shared" si="7"/>
        <v>2.8957947864203517E-3</v>
      </c>
    </row>
    <row r="503" spans="9:14">
      <c r="I503" s="582">
        <v>40914</v>
      </c>
      <c r="J503" s="580">
        <v>12932.56</v>
      </c>
      <c r="K503" s="476">
        <f t="shared" si="7"/>
        <v>-3.0473387568841909E-3</v>
      </c>
    </row>
    <row r="504" spans="9:14">
      <c r="I504" s="582">
        <v>40917</v>
      </c>
      <c r="J504" s="580">
        <v>12932.56</v>
      </c>
      <c r="K504" s="476">
        <f t="shared" si="7"/>
        <v>0</v>
      </c>
    </row>
    <row r="505" spans="9:14">
      <c r="I505" s="582">
        <v>40918</v>
      </c>
      <c r="J505" s="580">
        <v>13307.98</v>
      </c>
      <c r="K505" s="476">
        <f t="shared" si="7"/>
        <v>2.8615692940712065E-2</v>
      </c>
    </row>
    <row r="506" spans="9:14">
      <c r="I506" s="582">
        <v>40919</v>
      </c>
      <c r="J506" s="580">
        <v>13274.18</v>
      </c>
      <c r="K506" s="476">
        <f t="shared" si="7"/>
        <v>-2.543060324354353E-3</v>
      </c>
    </row>
    <row r="507" spans="9:14">
      <c r="I507" s="582">
        <v>40920</v>
      </c>
      <c r="J507" s="580">
        <v>13079.57</v>
      </c>
      <c r="K507" s="476">
        <f t="shared" si="7"/>
        <v>-1.4769324104387761E-2</v>
      </c>
    </row>
    <row r="508" spans="9:14">
      <c r="I508" s="582">
        <v>40921</v>
      </c>
      <c r="J508" s="580">
        <v>13123.86</v>
      </c>
      <c r="K508" s="476">
        <f t="shared" si="7"/>
        <v>3.3804766915967693E-3</v>
      </c>
    </row>
    <row r="509" spans="9:14">
      <c r="I509" s="582">
        <v>40924</v>
      </c>
      <c r="J509" s="580">
        <v>13080.71</v>
      </c>
      <c r="K509" s="476">
        <f t="shared" si="7"/>
        <v>-3.2933216610908484E-3</v>
      </c>
    </row>
    <row r="510" spans="9:14">
      <c r="I510" s="582">
        <v>40925</v>
      </c>
      <c r="J510" s="580">
        <v>13291.73</v>
      </c>
      <c r="K510" s="476">
        <f t="shared" si="7"/>
        <v>1.6003411414389601E-2</v>
      </c>
    </row>
    <row r="511" spans="9:14">
      <c r="I511" s="582">
        <v>40926</v>
      </c>
      <c r="J511" s="580">
        <v>13467.94</v>
      </c>
      <c r="K511" s="476">
        <f t="shared" si="7"/>
        <v>1.3170008968620542E-2</v>
      </c>
    </row>
    <row r="512" spans="9:14">
      <c r="I512" s="582">
        <v>40927</v>
      </c>
      <c r="J512" s="580">
        <v>13476.59</v>
      </c>
      <c r="K512" s="476">
        <f t="shared" si="7"/>
        <v>6.420598390215823E-4</v>
      </c>
    </row>
    <row r="513" spans="9:14">
      <c r="I513" s="582">
        <v>40928</v>
      </c>
      <c r="J513" s="580">
        <v>13499.58</v>
      </c>
      <c r="K513" s="476">
        <f t="shared" si="7"/>
        <v>1.704467725840863E-3</v>
      </c>
    </row>
    <row r="514" spans="9:14">
      <c r="I514" s="582">
        <v>40931</v>
      </c>
      <c r="J514" s="580">
        <v>13579.77</v>
      </c>
      <c r="K514" s="476">
        <f t="shared" si="7"/>
        <v>5.9226114662353172E-3</v>
      </c>
    </row>
    <row r="515" spans="9:14">
      <c r="I515" s="582">
        <v>40932</v>
      </c>
      <c r="J515" s="580">
        <v>13543.15</v>
      </c>
      <c r="K515" s="476">
        <f t="shared" si="7"/>
        <v>-2.7003008711161164E-3</v>
      </c>
    </row>
    <row r="516" spans="9:14">
      <c r="I516" s="582">
        <v>40933</v>
      </c>
      <c r="J516" s="580">
        <v>13654.22</v>
      </c>
      <c r="K516" s="476">
        <f t="shared" si="7"/>
        <v>8.1677469163596861E-3</v>
      </c>
    </row>
    <row r="517" spans="9:14">
      <c r="I517" s="582">
        <v>40934</v>
      </c>
      <c r="J517" s="580">
        <v>13582.29</v>
      </c>
      <c r="K517" s="476">
        <f t="shared" si="7"/>
        <v>-5.2818931080045803E-3</v>
      </c>
    </row>
    <row r="518" spans="9:14">
      <c r="I518" s="582">
        <v>40935</v>
      </c>
      <c r="J518" s="580">
        <v>13595.07</v>
      </c>
      <c r="K518" s="476">
        <f t="shared" ref="K518:K581" si="8">LN(J518/J517)</f>
        <v>9.4048877021262378E-4</v>
      </c>
    </row>
    <row r="519" spans="9:14">
      <c r="I519" s="582">
        <v>40938</v>
      </c>
      <c r="J519" s="580">
        <v>13766.91</v>
      </c>
      <c r="K519" s="476">
        <f t="shared" si="8"/>
        <v>1.2560659664462119E-2</v>
      </c>
    </row>
    <row r="520" spans="9:14">
      <c r="I520" s="582">
        <v>40939</v>
      </c>
      <c r="J520" s="580">
        <v>13863.33</v>
      </c>
      <c r="K520" s="476">
        <f t="shared" si="8"/>
        <v>6.979337956806695E-3</v>
      </c>
    </row>
    <row r="521" spans="9:14">
      <c r="I521" s="582">
        <v>40940</v>
      </c>
      <c r="J521" s="580">
        <v>13870.6</v>
      </c>
      <c r="K521" s="476">
        <f t="shared" si="8"/>
        <v>5.2426757884773941E-4</v>
      </c>
      <c r="L521" s="153" t="s">
        <v>582</v>
      </c>
      <c r="M521" s="456">
        <f>AVERAGE(J521:J541)</f>
        <v>14372.49857142857</v>
      </c>
      <c r="N521" s="237">
        <f>AVERAGE(K521:K541)</f>
        <v>3.5387419453155487E-3</v>
      </c>
    </row>
    <row r="522" spans="9:14">
      <c r="I522" s="582">
        <v>40941</v>
      </c>
      <c r="J522" s="580">
        <v>13918.23</v>
      </c>
      <c r="K522" s="476">
        <f t="shared" si="8"/>
        <v>3.4279994258398644E-3</v>
      </c>
    </row>
    <row r="523" spans="9:14">
      <c r="I523" s="582">
        <v>40942</v>
      </c>
      <c r="J523" s="580">
        <v>13954.58</v>
      </c>
      <c r="K523" s="476">
        <f t="shared" si="8"/>
        <v>2.6082781468940832E-3</v>
      </c>
    </row>
    <row r="524" spans="9:14">
      <c r="I524" s="582">
        <v>40945</v>
      </c>
      <c r="J524" s="580">
        <v>13940.14</v>
      </c>
      <c r="K524" s="476">
        <f t="shared" si="8"/>
        <v>-1.0353214722959741E-3</v>
      </c>
    </row>
    <row r="525" spans="9:14">
      <c r="I525" s="582">
        <v>40946</v>
      </c>
      <c r="J525" s="580">
        <v>14019.03</v>
      </c>
      <c r="K525" s="476">
        <f t="shared" si="8"/>
        <v>5.6432440134765293E-3</v>
      </c>
    </row>
    <row r="526" spans="9:14">
      <c r="I526" s="582">
        <v>40947</v>
      </c>
      <c r="J526" s="580">
        <v>14052.98</v>
      </c>
      <c r="K526" s="476">
        <f t="shared" si="8"/>
        <v>2.4187805969031325E-3</v>
      </c>
    </row>
    <row r="527" spans="9:14">
      <c r="I527" s="582">
        <v>40948</v>
      </c>
      <c r="J527" s="580">
        <v>14111.22</v>
      </c>
      <c r="K527" s="476">
        <f t="shared" si="8"/>
        <v>4.1357526940993452E-3</v>
      </c>
    </row>
    <row r="528" spans="9:14">
      <c r="I528" s="582">
        <v>40949</v>
      </c>
      <c r="J528" s="580">
        <v>14084.97</v>
      </c>
      <c r="K528" s="476">
        <f t="shared" si="8"/>
        <v>-1.861954227417679E-3</v>
      </c>
    </row>
    <row r="529" spans="9:14">
      <c r="I529" s="582">
        <v>40952</v>
      </c>
      <c r="J529" s="580">
        <v>14158.93</v>
      </c>
      <c r="K529" s="476">
        <f t="shared" si="8"/>
        <v>5.2372490380309467E-3</v>
      </c>
    </row>
    <row r="530" spans="9:14">
      <c r="I530" s="582">
        <v>40953</v>
      </c>
      <c r="J530" s="580">
        <v>14220.55</v>
      </c>
      <c r="K530" s="476">
        <f t="shared" si="8"/>
        <v>4.342581106902178E-3</v>
      </c>
    </row>
    <row r="531" spans="9:14">
      <c r="I531" s="582">
        <v>40954</v>
      </c>
      <c r="J531" s="580">
        <v>14275.68</v>
      </c>
      <c r="K531" s="476">
        <f t="shared" si="8"/>
        <v>3.8692885887757914E-3</v>
      </c>
    </row>
    <row r="532" spans="9:14">
      <c r="I532" s="582">
        <v>40955</v>
      </c>
      <c r="J532" s="580">
        <v>14521.57</v>
      </c>
      <c r="K532" s="476">
        <f t="shared" si="8"/>
        <v>1.7077740138816539E-2</v>
      </c>
    </row>
    <row r="533" spans="9:14">
      <c r="I533" s="582">
        <v>40956</v>
      </c>
      <c r="J533" s="580">
        <v>14573.77</v>
      </c>
      <c r="K533" s="476">
        <f t="shared" si="8"/>
        <v>3.5882073216705586E-3</v>
      </c>
    </row>
    <row r="534" spans="9:14">
      <c r="I534" s="582">
        <v>40959</v>
      </c>
      <c r="J534" s="580">
        <v>14646.81</v>
      </c>
      <c r="K534" s="476">
        <f t="shared" si="8"/>
        <v>4.9992267175763584E-3</v>
      </c>
    </row>
    <row r="535" spans="9:14">
      <c r="I535" s="582">
        <v>40960</v>
      </c>
      <c r="J535" s="580">
        <v>14570.92</v>
      </c>
      <c r="K535" s="476">
        <f t="shared" si="8"/>
        <v>-5.1948026533015761E-3</v>
      </c>
    </row>
    <row r="536" spans="9:14">
      <c r="I536" s="582">
        <v>40961</v>
      </c>
      <c r="J536" s="580">
        <v>14566.05</v>
      </c>
      <c r="K536" s="476">
        <f t="shared" si="8"/>
        <v>-3.342832178741239E-4</v>
      </c>
    </row>
    <row r="537" spans="9:14">
      <c r="I537" s="582">
        <v>40962</v>
      </c>
      <c r="J537" s="580">
        <v>14921.95</v>
      </c>
      <c r="K537" s="476">
        <f t="shared" si="8"/>
        <v>2.4139804845225873E-2</v>
      </c>
    </row>
    <row r="538" spans="9:14">
      <c r="I538" s="582">
        <v>40963</v>
      </c>
      <c r="J538" s="580">
        <v>14954.3</v>
      </c>
      <c r="K538" s="476">
        <f t="shared" si="8"/>
        <v>2.1656006120570818E-3</v>
      </c>
    </row>
    <row r="539" spans="9:14">
      <c r="I539" s="582">
        <v>40966</v>
      </c>
      <c r="J539" s="580">
        <v>14800.38</v>
      </c>
      <c r="K539" s="476">
        <f t="shared" si="8"/>
        <v>-1.034602778236442E-2</v>
      </c>
    </row>
    <row r="540" spans="9:14">
      <c r="I540" s="582">
        <v>40967</v>
      </c>
      <c r="J540" s="580">
        <v>14727</v>
      </c>
      <c r="K540" s="476">
        <f t="shared" si="8"/>
        <v>-4.9703123721053146E-3</v>
      </c>
    </row>
    <row r="541" spans="9:14">
      <c r="I541" s="582">
        <v>40968</v>
      </c>
      <c r="J541" s="580">
        <v>14932.81</v>
      </c>
      <c r="K541" s="476">
        <f t="shared" si="8"/>
        <v>1.3878261751869604E-2</v>
      </c>
    </row>
    <row r="542" spans="9:14">
      <c r="I542" s="582">
        <v>40969</v>
      </c>
      <c r="J542" s="580">
        <v>15169.74</v>
      </c>
      <c r="K542" s="476">
        <f t="shared" si="8"/>
        <v>1.5741848627360406E-2</v>
      </c>
      <c r="L542" s="153" t="s">
        <v>581</v>
      </c>
      <c r="M542" s="456">
        <f>AVERAGE(J542:J562)</f>
        <v>15013.645238095234</v>
      </c>
      <c r="N542" s="237">
        <f>AVERAGE(K542:K562)</f>
        <v>3.3508642112671055E-4</v>
      </c>
    </row>
    <row r="543" spans="9:14">
      <c r="I543" s="582">
        <v>40970</v>
      </c>
      <c r="J543" s="580">
        <v>15209.56</v>
      </c>
      <c r="K543" s="476">
        <f t="shared" si="8"/>
        <v>2.6215233928933612E-3</v>
      </c>
    </row>
    <row r="544" spans="9:14">
      <c r="I544" s="582">
        <v>40973</v>
      </c>
      <c r="J544" s="580">
        <v>15152.57</v>
      </c>
      <c r="K544" s="476">
        <f t="shared" si="8"/>
        <v>-3.7540229837966558E-3</v>
      </c>
    </row>
    <row r="545" spans="9:11">
      <c r="I545" s="582">
        <v>40974</v>
      </c>
      <c r="J545" s="580">
        <v>14800.17</v>
      </c>
      <c r="K545" s="476">
        <f t="shared" si="8"/>
        <v>-2.3531487341765044E-2</v>
      </c>
    </row>
    <row r="546" spans="9:11">
      <c r="I546" s="582">
        <v>40975</v>
      </c>
      <c r="J546" s="580">
        <v>14827.65</v>
      </c>
      <c r="K546" s="476">
        <f t="shared" si="8"/>
        <v>1.8550138268738313E-3</v>
      </c>
    </row>
    <row r="547" spans="9:11">
      <c r="I547" s="582">
        <v>40976</v>
      </c>
      <c r="J547" s="580">
        <v>14973.31</v>
      </c>
      <c r="K547" s="476">
        <f t="shared" si="8"/>
        <v>9.7756018575452693E-3</v>
      </c>
    </row>
    <row r="548" spans="9:11">
      <c r="I548" s="582">
        <v>40977</v>
      </c>
      <c r="J548" s="580">
        <v>15040.23</v>
      </c>
      <c r="K548" s="476">
        <f t="shared" si="8"/>
        <v>4.4593280829495346E-3</v>
      </c>
    </row>
    <row r="549" spans="9:11">
      <c r="I549" s="582">
        <v>40980</v>
      </c>
      <c r="J549" s="580">
        <v>15029.99</v>
      </c>
      <c r="K549" s="476">
        <f t="shared" si="8"/>
        <v>-6.8107252928823012E-4</v>
      </c>
    </row>
    <row r="550" spans="9:11">
      <c r="I550" s="582">
        <v>40981</v>
      </c>
      <c r="J550" s="580">
        <v>15288.01</v>
      </c>
      <c r="K550" s="476">
        <f t="shared" si="8"/>
        <v>1.7021322616887952E-2</v>
      </c>
    </row>
    <row r="551" spans="9:11">
      <c r="I551" s="582">
        <v>40982</v>
      </c>
      <c r="J551" s="580">
        <v>15169.35</v>
      </c>
      <c r="K551" s="476">
        <f t="shared" si="8"/>
        <v>-7.7919163288786824E-3</v>
      </c>
    </row>
    <row r="552" spans="9:11">
      <c r="I552" s="582">
        <v>40983</v>
      </c>
      <c r="J552" s="580">
        <v>15214.39</v>
      </c>
      <c r="K552" s="476">
        <f t="shared" si="8"/>
        <v>2.9647458140923243E-3</v>
      </c>
    </row>
    <row r="553" spans="9:11">
      <c r="I553" s="582">
        <v>40984</v>
      </c>
      <c r="J553" s="580">
        <v>14892.58</v>
      </c>
      <c r="K553" s="476">
        <f t="shared" si="8"/>
        <v>-2.1378588193032629E-2</v>
      </c>
    </row>
    <row r="554" spans="9:11">
      <c r="I554" s="582">
        <v>40988</v>
      </c>
      <c r="J554" s="580">
        <v>14784.44</v>
      </c>
      <c r="K554" s="476">
        <f t="shared" si="8"/>
        <v>-7.2878259765224388E-3</v>
      </c>
    </row>
    <row r="555" spans="9:11">
      <c r="I555" s="582">
        <v>40989</v>
      </c>
      <c r="J555" s="580">
        <v>14831.24</v>
      </c>
      <c r="K555" s="476">
        <f t="shared" si="8"/>
        <v>3.1604905884940349E-3</v>
      </c>
    </row>
    <row r="556" spans="9:11">
      <c r="I556" s="582">
        <v>40990</v>
      </c>
      <c r="J556" s="580">
        <v>14674.14</v>
      </c>
      <c r="K556" s="476">
        <f t="shared" si="8"/>
        <v>-1.0649006019213845E-2</v>
      </c>
    </row>
    <row r="557" spans="9:11">
      <c r="I557" s="582">
        <v>40991</v>
      </c>
      <c r="J557" s="580">
        <v>14955.57</v>
      </c>
      <c r="K557" s="476">
        <f t="shared" si="8"/>
        <v>1.899704476811347E-2</v>
      </c>
    </row>
    <row r="558" spans="9:11">
      <c r="I558" s="582">
        <v>40994</v>
      </c>
      <c r="J558" s="580">
        <v>15109.53</v>
      </c>
      <c r="K558" s="476">
        <f t="shared" si="8"/>
        <v>1.0241864873937693E-2</v>
      </c>
    </row>
    <row r="559" spans="9:11">
      <c r="I559" s="582">
        <v>40995</v>
      </c>
      <c r="J559" s="580">
        <v>14956</v>
      </c>
      <c r="K559" s="476">
        <f t="shared" si="8"/>
        <v>-1.021311345767768E-2</v>
      </c>
    </row>
    <row r="560" spans="9:11">
      <c r="I560" s="582">
        <v>40996</v>
      </c>
      <c r="J560" s="580">
        <v>15014.85</v>
      </c>
      <c r="K560" s="476">
        <f t="shared" si="8"/>
        <v>3.9271542605359222E-3</v>
      </c>
    </row>
    <row r="561" spans="9:14">
      <c r="I561" s="582">
        <v>40997</v>
      </c>
      <c r="J561" s="580">
        <v>15154.97</v>
      </c>
      <c r="K561" s="476">
        <f t="shared" si="8"/>
        <v>9.2888195876992003E-3</v>
      </c>
    </row>
    <row r="562" spans="9:14">
      <c r="I562" s="582">
        <v>40998</v>
      </c>
      <c r="J562" s="580">
        <v>15038.26</v>
      </c>
      <c r="K562" s="476">
        <f t="shared" si="8"/>
        <v>-7.7309106235468779E-3</v>
      </c>
    </row>
    <row r="563" spans="9:14">
      <c r="I563" s="582">
        <v>41001</v>
      </c>
      <c r="J563" s="580">
        <v>15038.71</v>
      </c>
      <c r="K563" s="476">
        <f t="shared" si="8"/>
        <v>2.9923226976132487E-5</v>
      </c>
      <c r="L563" s="153" t="s">
        <v>580</v>
      </c>
      <c r="M563" s="456">
        <f>AVERAGE(J563:J581)</f>
        <v>15034.354736842108</v>
      </c>
      <c r="N563" s="237">
        <f>AVERAGE(K563:K581)</f>
        <v>6.1765404706213536E-4</v>
      </c>
    </row>
    <row r="564" spans="9:14">
      <c r="I564" s="582">
        <v>41002</v>
      </c>
      <c r="J564" s="580">
        <v>15003.53</v>
      </c>
      <c r="K564" s="476">
        <f t="shared" si="8"/>
        <v>-2.3420368175334524E-3</v>
      </c>
    </row>
    <row r="565" spans="9:14">
      <c r="I565" s="582">
        <v>41003</v>
      </c>
      <c r="J565" s="580">
        <v>14949.73</v>
      </c>
      <c r="K565" s="476">
        <f t="shared" si="8"/>
        <v>-3.5922672760590681E-3</v>
      </c>
    </row>
    <row r="566" spans="9:14">
      <c r="I566" s="582">
        <v>41008</v>
      </c>
      <c r="J566" s="580">
        <v>14900.33</v>
      </c>
      <c r="K566" s="476">
        <f t="shared" si="8"/>
        <v>-3.3098791157745769E-3</v>
      </c>
    </row>
    <row r="567" spans="9:14">
      <c r="I567" s="582">
        <v>41009</v>
      </c>
      <c r="J567" s="580">
        <v>14864.86</v>
      </c>
      <c r="K567" s="476">
        <f t="shared" si="8"/>
        <v>-2.383322047653175E-3</v>
      </c>
    </row>
    <row r="568" spans="9:14">
      <c r="I568" s="582">
        <v>41010</v>
      </c>
      <c r="J568" s="580">
        <v>15114.2</v>
      </c>
      <c r="K568" s="476">
        <f t="shared" si="8"/>
        <v>1.6634660965788979E-2</v>
      </c>
    </row>
    <row r="569" spans="9:14">
      <c r="I569" s="582">
        <v>41011</v>
      </c>
      <c r="J569" s="580">
        <v>15114.98</v>
      </c>
      <c r="K569" s="476">
        <f t="shared" si="8"/>
        <v>5.1605766360348389E-5</v>
      </c>
    </row>
    <row r="570" spans="9:14">
      <c r="I570" s="582">
        <v>41012</v>
      </c>
      <c r="J570" s="580">
        <v>15073.02</v>
      </c>
      <c r="K570" s="476">
        <f t="shared" si="8"/>
        <v>-2.7799143382780012E-3</v>
      </c>
    </row>
    <row r="571" spans="9:14">
      <c r="I571" s="582">
        <v>41015</v>
      </c>
      <c r="J571" s="580">
        <v>15138.58</v>
      </c>
      <c r="K571" s="476">
        <f t="shared" si="8"/>
        <v>4.3400616258688915E-3</v>
      </c>
    </row>
    <row r="572" spans="9:14">
      <c r="I572" s="582">
        <v>41016</v>
      </c>
      <c r="J572" s="580">
        <v>15180.66</v>
      </c>
      <c r="K572" s="476">
        <f t="shared" si="8"/>
        <v>2.7757969539495705E-3</v>
      </c>
    </row>
    <row r="573" spans="9:14">
      <c r="I573" s="582">
        <v>41017</v>
      </c>
      <c r="J573" s="580">
        <v>15123.47</v>
      </c>
      <c r="K573" s="476">
        <f t="shared" si="8"/>
        <v>-3.7744075078064323E-3</v>
      </c>
    </row>
    <row r="574" spans="9:14">
      <c r="I574" s="582">
        <v>41018</v>
      </c>
      <c r="J574" s="580">
        <v>14998.22</v>
      </c>
      <c r="K574" s="476">
        <f t="shared" si="8"/>
        <v>-8.3163143812974814E-3</v>
      </c>
    </row>
    <row r="575" spans="9:14">
      <c r="I575" s="582">
        <v>41019</v>
      </c>
      <c r="J575" s="580">
        <v>15016.67</v>
      </c>
      <c r="K575" s="476">
        <f t="shared" si="8"/>
        <v>1.2293899676979268E-3</v>
      </c>
    </row>
    <row r="576" spans="9:14">
      <c r="I576" s="582">
        <v>41022</v>
      </c>
      <c r="J576" s="580">
        <v>14915.56</v>
      </c>
      <c r="K576" s="476">
        <f t="shared" si="8"/>
        <v>-6.7559540053847749E-3</v>
      </c>
    </row>
    <row r="577" spans="9:14">
      <c r="I577" s="582">
        <v>41023</v>
      </c>
      <c r="J577" s="580">
        <v>14830.18</v>
      </c>
      <c r="K577" s="476">
        <f t="shared" si="8"/>
        <v>-5.7406697212273134E-3</v>
      </c>
    </row>
    <row r="578" spans="9:14">
      <c r="I578" s="582">
        <v>41024</v>
      </c>
      <c r="J578" s="580">
        <v>14957.25</v>
      </c>
      <c r="K578" s="476">
        <f t="shared" si="8"/>
        <v>8.5318384841204572E-3</v>
      </c>
    </row>
    <row r="579" spans="9:14">
      <c r="I579" s="582">
        <v>41025</v>
      </c>
      <c r="J579" s="580">
        <v>15086</v>
      </c>
      <c r="K579" s="476">
        <f t="shared" si="8"/>
        <v>8.5710293121355387E-3</v>
      </c>
    </row>
    <row r="580" spans="9:14">
      <c r="I580" s="582">
        <v>41026</v>
      </c>
      <c r="J580" s="580">
        <v>15131.01</v>
      </c>
      <c r="K580" s="476">
        <f t="shared" si="8"/>
        <v>2.9791189326278775E-3</v>
      </c>
    </row>
    <row r="581" spans="9:14">
      <c r="I581" s="582">
        <v>41029</v>
      </c>
      <c r="J581" s="580">
        <v>15215.78</v>
      </c>
      <c r="K581" s="476">
        <f t="shared" si="8"/>
        <v>5.5867668696691266E-3</v>
      </c>
    </row>
    <row r="582" spans="9:14">
      <c r="I582" s="582">
        <v>41031</v>
      </c>
      <c r="J582" s="580">
        <v>15460.97</v>
      </c>
      <c r="K582" s="476">
        <f t="shared" ref="K582:K645" si="9">LN(J582/J581)</f>
        <v>1.5985736518756684E-2</v>
      </c>
      <c r="L582" s="153" t="s">
        <v>579</v>
      </c>
      <c r="M582" s="456">
        <f>AVERAGE(J582:J602)</f>
        <v>14778.519523809526</v>
      </c>
      <c r="N582" s="237">
        <f>AVERAGE(K582:K602)</f>
        <v>-2.0110383269881641E-3</v>
      </c>
    </row>
    <row r="583" spans="9:14">
      <c r="I583" s="582">
        <v>41032</v>
      </c>
      <c r="J583" s="580">
        <v>15423.75</v>
      </c>
      <c r="K583" s="476">
        <f t="shared" si="9"/>
        <v>-2.4102545218861139E-3</v>
      </c>
    </row>
    <row r="584" spans="9:14">
      <c r="I584" s="582">
        <v>41033</v>
      </c>
      <c r="J584" s="580">
        <v>15208.24</v>
      </c>
      <c r="K584" s="476">
        <f t="shared" si="9"/>
        <v>-1.4071143001193352E-2</v>
      </c>
    </row>
    <row r="585" spans="9:14">
      <c r="I585" s="582">
        <v>41036</v>
      </c>
      <c r="J585" s="580">
        <v>15240.93</v>
      </c>
      <c r="K585" s="476">
        <f t="shared" si="9"/>
        <v>2.1471857892689E-3</v>
      </c>
    </row>
    <row r="586" spans="9:14">
      <c r="I586" s="582">
        <v>41037</v>
      </c>
      <c r="J586" s="580">
        <v>15187.15</v>
      </c>
      <c r="K586" s="476">
        <f t="shared" si="9"/>
        <v>-3.5348964509507646E-3</v>
      </c>
    </row>
    <row r="587" spans="9:14">
      <c r="I587" s="582">
        <v>41038</v>
      </c>
      <c r="J587" s="580">
        <v>15169.65</v>
      </c>
      <c r="K587" s="476">
        <f t="shared" si="9"/>
        <v>-1.1529543257898156E-3</v>
      </c>
    </row>
    <row r="588" spans="9:14">
      <c r="I588" s="582">
        <v>41039</v>
      </c>
      <c r="J588" s="580">
        <v>15051.5</v>
      </c>
      <c r="K588" s="476">
        <f t="shared" si="9"/>
        <v>-7.819067239472937E-3</v>
      </c>
    </row>
    <row r="589" spans="9:14">
      <c r="I589" s="582">
        <v>41040</v>
      </c>
      <c r="J589" s="580">
        <v>15017.55</v>
      </c>
      <c r="K589" s="476">
        <f t="shared" si="9"/>
        <v>-2.2581368168555372E-3</v>
      </c>
    </row>
    <row r="590" spans="9:14">
      <c r="I590" s="582">
        <v>41043</v>
      </c>
      <c r="J590" s="580">
        <v>14685.95</v>
      </c>
      <c r="K590" s="476">
        <f t="shared" si="9"/>
        <v>-2.2328262765013155E-2</v>
      </c>
    </row>
    <row r="591" spans="9:14">
      <c r="I591" s="582">
        <v>41044</v>
      </c>
      <c r="J591" s="580">
        <v>14581.17</v>
      </c>
      <c r="K591" s="476">
        <f t="shared" si="9"/>
        <v>-7.160284146118817E-3</v>
      </c>
    </row>
    <row r="592" spans="9:14">
      <c r="I592" s="582">
        <v>41045</v>
      </c>
      <c r="J592" s="580">
        <v>14535.49</v>
      </c>
      <c r="K592" s="476">
        <f t="shared" si="9"/>
        <v>-3.1377251015632041E-3</v>
      </c>
    </row>
    <row r="593" spans="9:14">
      <c r="I593" s="582">
        <v>41046</v>
      </c>
      <c r="J593" s="580">
        <v>14293.73</v>
      </c>
      <c r="K593" s="476">
        <f t="shared" si="9"/>
        <v>-1.6772265597885156E-2</v>
      </c>
    </row>
    <row r="594" spans="9:14">
      <c r="I594" s="582">
        <v>41047</v>
      </c>
      <c r="J594" s="580">
        <v>14393.48</v>
      </c>
      <c r="K594" s="476">
        <f t="shared" si="9"/>
        <v>6.954346694335074E-3</v>
      </c>
    </row>
    <row r="595" spans="9:14">
      <c r="I595" s="582">
        <v>41051</v>
      </c>
      <c r="J595" s="580">
        <v>14588.05</v>
      </c>
      <c r="K595" s="476">
        <f t="shared" si="9"/>
        <v>1.3427374145829002E-2</v>
      </c>
    </row>
    <row r="596" spans="9:14">
      <c r="I596" s="582">
        <v>41052</v>
      </c>
      <c r="J596" s="580">
        <v>14519.91</v>
      </c>
      <c r="K596" s="476">
        <f t="shared" si="9"/>
        <v>-4.6818893848638646E-3</v>
      </c>
    </row>
    <row r="597" spans="9:14">
      <c r="I597" s="582">
        <v>41053</v>
      </c>
      <c r="J597" s="580">
        <v>14455.85</v>
      </c>
      <c r="K597" s="476">
        <f t="shared" si="9"/>
        <v>-4.4216341085728632E-3</v>
      </c>
    </row>
    <row r="598" spans="9:14">
      <c r="I598" s="582">
        <v>41054</v>
      </c>
      <c r="J598" s="580">
        <v>14473.77</v>
      </c>
      <c r="K598" s="476">
        <f t="shared" si="9"/>
        <v>1.2388688335320938E-3</v>
      </c>
    </row>
    <row r="599" spans="9:14">
      <c r="I599" s="582">
        <v>41057</v>
      </c>
      <c r="J599" s="580">
        <v>14442.18</v>
      </c>
      <c r="K599" s="476">
        <f t="shared" si="9"/>
        <v>-2.1849541562783824E-3</v>
      </c>
    </row>
    <row r="600" spans="9:14">
      <c r="I600" s="582">
        <v>41058</v>
      </c>
      <c r="J600" s="580">
        <v>14637.75</v>
      </c>
      <c r="K600" s="476">
        <f t="shared" si="9"/>
        <v>1.3450716598270358E-2</v>
      </c>
    </row>
    <row r="601" spans="9:14">
      <c r="I601" s="582">
        <v>41059</v>
      </c>
      <c r="J601" s="580">
        <v>14395.27</v>
      </c>
      <c r="K601" s="476">
        <f t="shared" si="9"/>
        <v>-1.6704127796367835E-2</v>
      </c>
    </row>
    <row r="602" spans="9:14">
      <c r="I602" s="582">
        <v>41060</v>
      </c>
      <c r="J602" s="580">
        <v>14586.57</v>
      </c>
      <c r="K602" s="476">
        <f t="shared" si="9"/>
        <v>1.3201561966068243E-2</v>
      </c>
    </row>
    <row r="603" spans="9:14">
      <c r="I603" s="582">
        <v>41061</v>
      </c>
      <c r="J603" s="580">
        <v>14130.05</v>
      </c>
      <c r="K603" s="476">
        <f t="shared" si="9"/>
        <v>-3.1797507106391391E-2</v>
      </c>
      <c r="L603" s="153" t="s">
        <v>578</v>
      </c>
      <c r="M603" s="456">
        <f>AVERAGE(J603:J621)</f>
        <v>13754.180526315789</v>
      </c>
      <c r="N603" s="237">
        <f>AVERAGE(K603:K621)</f>
        <v>-4.3968774738469578E-3</v>
      </c>
    </row>
    <row r="604" spans="9:14">
      <c r="I604" s="582">
        <v>41064</v>
      </c>
      <c r="J604" s="580">
        <v>14041.42</v>
      </c>
      <c r="K604" s="476">
        <f t="shared" si="9"/>
        <v>-6.2922021760528557E-3</v>
      </c>
    </row>
    <row r="605" spans="9:14">
      <c r="I605" s="582">
        <v>41065</v>
      </c>
      <c r="J605" s="580">
        <v>14014.05</v>
      </c>
      <c r="K605" s="476">
        <f t="shared" si="9"/>
        <v>-1.9511352818520264E-3</v>
      </c>
    </row>
    <row r="606" spans="9:14">
      <c r="I606" s="582">
        <v>41066</v>
      </c>
      <c r="J606" s="580">
        <v>14094.59</v>
      </c>
      <c r="K606" s="476">
        <f t="shared" si="9"/>
        <v>5.7306380111194107E-3</v>
      </c>
    </row>
    <row r="607" spans="9:14">
      <c r="I607" s="582">
        <v>41067</v>
      </c>
      <c r="J607" s="580">
        <v>14149.32</v>
      </c>
      <c r="K607" s="476">
        <f t="shared" si="9"/>
        <v>3.875530583584209E-3</v>
      </c>
    </row>
    <row r="608" spans="9:14">
      <c r="I608" s="582">
        <v>41068</v>
      </c>
      <c r="J608" s="580">
        <v>14036.93</v>
      </c>
      <c r="K608" s="476">
        <f t="shared" si="9"/>
        <v>-7.974852678182754E-3</v>
      </c>
    </row>
    <row r="609" spans="9:14">
      <c r="I609" s="582">
        <v>41072</v>
      </c>
      <c r="J609" s="580">
        <v>13901.89</v>
      </c>
      <c r="K609" s="476">
        <f t="shared" si="9"/>
        <v>-9.6669116027902485E-3</v>
      </c>
    </row>
    <row r="610" spans="9:14">
      <c r="I610" s="582">
        <v>41073</v>
      </c>
      <c r="J610" s="580">
        <v>13899.07</v>
      </c>
      <c r="K610" s="476">
        <f t="shared" si="9"/>
        <v>-2.0287069293087827E-4</v>
      </c>
    </row>
    <row r="611" spans="9:14">
      <c r="I611" s="582">
        <v>41074</v>
      </c>
      <c r="J611" s="580">
        <v>13943.74</v>
      </c>
      <c r="K611" s="476">
        <f t="shared" si="9"/>
        <v>3.2087306077708587E-3</v>
      </c>
    </row>
    <row r="612" spans="9:14">
      <c r="I612" s="582">
        <v>41075</v>
      </c>
      <c r="J612" s="580">
        <v>13884.36</v>
      </c>
      <c r="K612" s="476">
        <f t="shared" si="9"/>
        <v>-4.2676352408202696E-3</v>
      </c>
    </row>
    <row r="613" spans="9:14">
      <c r="I613" s="582">
        <v>41079</v>
      </c>
      <c r="J613" s="580">
        <v>13995.65</v>
      </c>
      <c r="K613" s="476">
        <f t="shared" si="9"/>
        <v>7.983540257420511E-3</v>
      </c>
    </row>
    <row r="614" spans="9:14">
      <c r="I614" s="582">
        <v>41080</v>
      </c>
      <c r="J614" s="580">
        <v>13966.57</v>
      </c>
      <c r="K614" s="476">
        <f t="shared" si="9"/>
        <v>-2.0799500528788442E-3</v>
      </c>
    </row>
    <row r="615" spans="9:14">
      <c r="I615" s="582">
        <v>41081</v>
      </c>
      <c r="J615" s="580">
        <v>13552.38</v>
      </c>
      <c r="K615" s="476">
        <f t="shared" si="9"/>
        <v>-3.0104439336722681E-2</v>
      </c>
    </row>
    <row r="616" spans="9:14">
      <c r="I616" s="582">
        <v>41082</v>
      </c>
      <c r="J616" s="580">
        <v>13439.95</v>
      </c>
      <c r="K616" s="476">
        <f t="shared" si="9"/>
        <v>-8.3305628082693591E-3</v>
      </c>
    </row>
    <row r="617" spans="9:14">
      <c r="I617" s="582">
        <v>41085</v>
      </c>
      <c r="J617" s="580">
        <v>13081.1</v>
      </c>
      <c r="K617" s="476">
        <f t="shared" si="9"/>
        <v>-2.7063174497634988E-2</v>
      </c>
    </row>
    <row r="618" spans="9:14">
      <c r="I618" s="582">
        <v>41086</v>
      </c>
      <c r="J618" s="580">
        <v>13141.9</v>
      </c>
      <c r="K618" s="476">
        <f t="shared" si="9"/>
        <v>4.637158902469035E-3</v>
      </c>
    </row>
    <row r="619" spans="9:14">
      <c r="I619" s="582">
        <v>41087</v>
      </c>
      <c r="J619" s="580">
        <v>13425.65</v>
      </c>
      <c r="K619" s="476">
        <f t="shared" si="9"/>
        <v>2.1361457100250537E-2</v>
      </c>
    </row>
    <row r="620" spans="9:14">
      <c r="I620" s="582">
        <v>41088</v>
      </c>
      <c r="J620" s="580">
        <v>13213.3</v>
      </c>
      <c r="K620" s="476">
        <f t="shared" si="9"/>
        <v>-1.5943158268916461E-2</v>
      </c>
    </row>
    <row r="621" spans="9:14">
      <c r="I621" s="582">
        <v>41089</v>
      </c>
      <c r="J621" s="580">
        <v>13417.51</v>
      </c>
      <c r="K621" s="476">
        <f t="shared" si="9"/>
        <v>1.5336672277735979E-2</v>
      </c>
    </row>
    <row r="622" spans="9:14">
      <c r="I622" s="582">
        <v>41093</v>
      </c>
      <c r="J622" s="580">
        <v>13703.17</v>
      </c>
      <c r="K622" s="476">
        <f t="shared" si="9"/>
        <v>2.1066622565689731E-2</v>
      </c>
      <c r="L622" s="153" t="s">
        <v>577</v>
      </c>
      <c r="M622" s="456">
        <f>AVERAGE(J622:J641)</f>
        <v>13661.288500000001</v>
      </c>
      <c r="N622" s="237">
        <f>AVERAGE(K622:K641)</f>
        <v>1.2909586248491833E-3</v>
      </c>
    </row>
    <row r="623" spans="9:14">
      <c r="I623" s="582">
        <v>41094</v>
      </c>
      <c r="J623" s="580">
        <v>13723.33</v>
      </c>
      <c r="K623" s="476">
        <f t="shared" si="9"/>
        <v>1.4701112887798913E-3</v>
      </c>
    </row>
    <row r="624" spans="9:14">
      <c r="I624" s="582">
        <v>41095</v>
      </c>
      <c r="J624" s="580">
        <v>13823.86</v>
      </c>
      <c r="K624" s="476">
        <f t="shared" si="9"/>
        <v>7.2987804772413432E-3</v>
      </c>
    </row>
    <row r="625" spans="9:11">
      <c r="I625" s="582">
        <v>41096</v>
      </c>
      <c r="J625" s="580">
        <v>13711.64</v>
      </c>
      <c r="K625" s="476">
        <f t="shared" si="9"/>
        <v>-8.1509775605609156E-3</v>
      </c>
    </row>
    <row r="626" spans="9:11">
      <c r="I626" s="582">
        <v>41099</v>
      </c>
      <c r="J626" s="580">
        <v>13713.28</v>
      </c>
      <c r="K626" s="476">
        <f t="shared" si="9"/>
        <v>1.195992551268928E-4</v>
      </c>
    </row>
    <row r="627" spans="9:11">
      <c r="I627" s="582">
        <v>41100</v>
      </c>
      <c r="J627" s="580">
        <v>13563.46</v>
      </c>
      <c r="K627" s="476">
        <f t="shared" si="9"/>
        <v>-1.098529418438021E-2</v>
      </c>
    </row>
    <row r="628" spans="9:11">
      <c r="I628" s="582">
        <v>41101</v>
      </c>
      <c r="J628" s="580">
        <v>13675.13</v>
      </c>
      <c r="K628" s="476">
        <f t="shared" si="9"/>
        <v>8.1994424556076553E-3</v>
      </c>
    </row>
    <row r="629" spans="9:11">
      <c r="I629" s="582">
        <v>41102</v>
      </c>
      <c r="J629" s="580">
        <v>13508.03</v>
      </c>
      <c r="K629" s="476">
        <f t="shared" si="9"/>
        <v>-1.2294531234411959E-2</v>
      </c>
    </row>
    <row r="630" spans="9:11">
      <c r="I630" s="582">
        <v>41103</v>
      </c>
      <c r="J630" s="580">
        <v>13664.64</v>
      </c>
      <c r="K630" s="476">
        <f t="shared" si="9"/>
        <v>1.1527150929839367E-2</v>
      </c>
    </row>
    <row r="631" spans="9:11">
      <c r="I631" s="582">
        <v>41106</v>
      </c>
      <c r="J631" s="580">
        <v>13576.91</v>
      </c>
      <c r="K631" s="476">
        <f t="shared" si="9"/>
        <v>-6.4409186182778754E-3</v>
      </c>
    </row>
    <row r="632" spans="9:11">
      <c r="I632" s="582">
        <v>41107</v>
      </c>
      <c r="J632" s="580">
        <v>13653.13</v>
      </c>
      <c r="K632" s="476">
        <f t="shared" si="9"/>
        <v>5.5982436355756495E-3</v>
      </c>
    </row>
    <row r="633" spans="9:11">
      <c r="I633" s="582">
        <v>41108</v>
      </c>
      <c r="J633" s="580">
        <v>13671.9</v>
      </c>
      <c r="K633" s="476">
        <f t="shared" si="9"/>
        <v>1.3738321935771835E-3</v>
      </c>
    </row>
    <row r="634" spans="9:11">
      <c r="I634" s="582">
        <v>41109</v>
      </c>
      <c r="J634" s="580">
        <v>13723.39</v>
      </c>
      <c r="K634" s="476">
        <f t="shared" si="9"/>
        <v>3.7590447577850387E-3</v>
      </c>
    </row>
    <row r="635" spans="9:11">
      <c r="I635" s="582">
        <v>41113</v>
      </c>
      <c r="J635" s="580">
        <v>13576.66</v>
      </c>
      <c r="K635" s="476">
        <f t="shared" si="9"/>
        <v>-1.0749534371939968E-2</v>
      </c>
    </row>
    <row r="636" spans="9:11">
      <c r="I636" s="582">
        <v>41114</v>
      </c>
      <c r="J636" s="580">
        <v>13558.91</v>
      </c>
      <c r="K636" s="476">
        <f t="shared" si="9"/>
        <v>-1.3082461530460525E-3</v>
      </c>
    </row>
    <row r="637" spans="9:11">
      <c r="I637" s="582">
        <v>41115</v>
      </c>
      <c r="J637" s="580">
        <v>13373.03</v>
      </c>
      <c r="K637" s="476">
        <f t="shared" si="9"/>
        <v>-1.3803903586250235E-2</v>
      </c>
    </row>
    <row r="638" spans="9:11">
      <c r="I638" s="582">
        <v>41116</v>
      </c>
      <c r="J638" s="580">
        <v>13489.24</v>
      </c>
      <c r="K638" s="476">
        <f t="shared" si="9"/>
        <v>8.6523383902010666E-3</v>
      </c>
    </row>
    <row r="639" spans="9:11">
      <c r="I639" s="582">
        <v>41117</v>
      </c>
      <c r="J639" s="580">
        <v>13858.17</v>
      </c>
      <c r="K639" s="476">
        <f t="shared" si="9"/>
        <v>2.6982619807934042E-2</v>
      </c>
    </row>
    <row r="640" spans="9:11">
      <c r="I640" s="582">
        <v>41120</v>
      </c>
      <c r="J640" s="580">
        <v>13889.44</v>
      </c>
      <c r="K640" s="476">
        <f t="shared" si="9"/>
        <v>2.2538887664681154E-3</v>
      </c>
    </row>
    <row r="641" spans="9:14">
      <c r="I641" s="582">
        <v>41121</v>
      </c>
      <c r="J641" s="580">
        <v>13768.45</v>
      </c>
      <c r="K641" s="476">
        <f t="shared" si="9"/>
        <v>-8.749096317975092E-3</v>
      </c>
    </row>
    <row r="642" spans="9:14">
      <c r="I642" s="582">
        <v>41122</v>
      </c>
      <c r="J642" s="580">
        <v>13673.38</v>
      </c>
      <c r="K642" s="476">
        <f t="shared" si="9"/>
        <v>-6.9288659212923863E-3</v>
      </c>
      <c r="L642" s="153" t="s">
        <v>576</v>
      </c>
      <c r="M642" s="456">
        <f>AVERAGE(J642:J662)</f>
        <v>13949.149999999998</v>
      </c>
      <c r="N642" s="237">
        <f>AVERAGE(K642:K662)</f>
        <v>1.0943113570452564E-3</v>
      </c>
    </row>
    <row r="643" spans="9:14">
      <c r="I643" s="582">
        <v>41123</v>
      </c>
      <c r="J643" s="580">
        <v>13486.4</v>
      </c>
      <c r="K643" s="476">
        <f t="shared" si="9"/>
        <v>-1.3769106678503231E-2</v>
      </c>
    </row>
    <row r="644" spans="9:14">
      <c r="I644" s="582">
        <v>41124</v>
      </c>
      <c r="J644" s="580">
        <v>13487.4</v>
      </c>
      <c r="K644" s="476">
        <f t="shared" si="9"/>
        <v>7.4146023212009142E-5</v>
      </c>
    </row>
    <row r="645" spans="9:14">
      <c r="I645" s="582">
        <v>41127</v>
      </c>
      <c r="J645" s="580">
        <v>13429.17</v>
      </c>
      <c r="K645" s="476">
        <f t="shared" si="9"/>
        <v>-4.3267095949290815E-3</v>
      </c>
    </row>
    <row r="646" spans="9:14">
      <c r="I646" s="582">
        <v>41129</v>
      </c>
      <c r="J646" s="580">
        <v>13283.02</v>
      </c>
      <c r="K646" s="476">
        <f t="shared" ref="K646:K709" si="10">LN(J646/J645)</f>
        <v>-1.0942678856173891E-2</v>
      </c>
    </row>
    <row r="647" spans="9:14">
      <c r="I647" s="582">
        <v>41130</v>
      </c>
      <c r="J647" s="580">
        <v>13669.43</v>
      </c>
      <c r="K647" s="476">
        <f t="shared" si="10"/>
        <v>2.8675424886280981E-2</v>
      </c>
    </row>
    <row r="648" spans="9:14">
      <c r="I648" s="582">
        <v>41131</v>
      </c>
      <c r="J648" s="580">
        <v>13872.59</v>
      </c>
      <c r="K648" s="476">
        <f t="shared" si="10"/>
        <v>1.4752998132837208E-2</v>
      </c>
    </row>
    <row r="649" spans="9:14">
      <c r="I649" s="582">
        <v>41134</v>
      </c>
      <c r="J649" s="580">
        <v>13895.06</v>
      </c>
      <c r="K649" s="476">
        <f t="shared" si="10"/>
        <v>1.6184304328720773E-3</v>
      </c>
    </row>
    <row r="650" spans="9:14">
      <c r="I650" s="582">
        <v>41135</v>
      </c>
      <c r="J650" s="580">
        <v>13927.67</v>
      </c>
      <c r="K650" s="476">
        <f t="shared" si="10"/>
        <v>2.3441276202935198E-3</v>
      </c>
    </row>
    <row r="651" spans="9:14">
      <c r="I651" s="582">
        <v>41136</v>
      </c>
      <c r="J651" s="580">
        <v>14076.43</v>
      </c>
      <c r="K651" s="476">
        <f t="shared" si="10"/>
        <v>1.0624258538535396E-2</v>
      </c>
    </row>
    <row r="652" spans="9:14">
      <c r="I652" s="582">
        <v>41137</v>
      </c>
      <c r="J652" s="580">
        <v>14242.27</v>
      </c>
      <c r="K652" s="476">
        <f t="shared" si="10"/>
        <v>1.1712535947738637E-2</v>
      </c>
    </row>
    <row r="653" spans="9:14">
      <c r="I653" s="582">
        <v>41138</v>
      </c>
      <c r="J653" s="580">
        <v>14245.48</v>
      </c>
      <c r="K653" s="476">
        <f t="shared" si="10"/>
        <v>2.2536002412157995E-4</v>
      </c>
    </row>
    <row r="654" spans="9:14">
      <c r="I654" s="582">
        <v>41142</v>
      </c>
      <c r="J654" s="580">
        <v>14204.05</v>
      </c>
      <c r="K654" s="476">
        <f t="shared" si="10"/>
        <v>-2.9125282060500409E-3</v>
      </c>
    </row>
    <row r="655" spans="9:14">
      <c r="I655" s="582">
        <v>41143</v>
      </c>
      <c r="J655" s="580">
        <v>14245.24</v>
      </c>
      <c r="K655" s="476">
        <f t="shared" si="10"/>
        <v>2.8956806149743799E-3</v>
      </c>
    </row>
    <row r="656" spans="9:14">
      <c r="I656" s="582">
        <v>41144</v>
      </c>
      <c r="J656" s="580">
        <v>14198.26</v>
      </c>
      <c r="K656" s="476">
        <f t="shared" si="10"/>
        <v>-3.3033939368982703E-3</v>
      </c>
    </row>
    <row r="657" spans="9:14">
      <c r="I657" s="582">
        <v>41145</v>
      </c>
      <c r="J657" s="580">
        <v>14162.35</v>
      </c>
      <c r="K657" s="476">
        <f t="shared" si="10"/>
        <v>-2.5323869402563109E-3</v>
      </c>
    </row>
    <row r="658" spans="9:14">
      <c r="I658" s="582">
        <v>41148</v>
      </c>
      <c r="J658" s="580">
        <v>14199.69</v>
      </c>
      <c r="K658" s="476">
        <f t="shared" si="10"/>
        <v>2.6330984353612761E-3</v>
      </c>
    </row>
    <row r="659" spans="9:14">
      <c r="I659" s="582">
        <v>41149</v>
      </c>
      <c r="J659" s="580">
        <v>14303.24</v>
      </c>
      <c r="K659" s="476">
        <f t="shared" si="10"/>
        <v>7.2659516455525833E-3</v>
      </c>
    </row>
    <row r="660" spans="9:14">
      <c r="I660" s="582">
        <v>41150</v>
      </c>
      <c r="J660" s="580">
        <v>14195.65</v>
      </c>
      <c r="K660" s="476">
        <f t="shared" si="10"/>
        <v>-7.5505053805851484E-3</v>
      </c>
    </row>
    <row r="661" spans="9:14">
      <c r="I661" s="582">
        <v>41151</v>
      </c>
      <c r="J661" s="580">
        <v>14046.85</v>
      </c>
      <c r="K661" s="476">
        <f t="shared" si="10"/>
        <v>-1.0537408292886451E-2</v>
      </c>
    </row>
    <row r="662" spans="9:14">
      <c r="I662" s="582">
        <v>41152</v>
      </c>
      <c r="J662" s="580">
        <v>14088.52</v>
      </c>
      <c r="K662" s="476">
        <f t="shared" si="10"/>
        <v>2.9621100037455577E-3</v>
      </c>
    </row>
    <row r="663" spans="9:14">
      <c r="I663" s="582">
        <v>41155</v>
      </c>
      <c r="J663" s="580">
        <v>14099.05</v>
      </c>
      <c r="K663" s="476">
        <f t="shared" si="10"/>
        <v>7.4713786891401077E-4</v>
      </c>
      <c r="L663" s="153" t="s">
        <v>575</v>
      </c>
      <c r="M663" s="456">
        <f>AVERAGE(J663:J682)</f>
        <v>14163.611999999999</v>
      </c>
      <c r="N663" s="237">
        <f>AVERAGE(K663:K682)</f>
        <v>-1.1341224939005862E-4</v>
      </c>
    </row>
    <row r="664" spans="9:14">
      <c r="I664" s="582">
        <v>41156</v>
      </c>
      <c r="J664" s="580">
        <v>13940.66</v>
      </c>
      <c r="K664" s="476">
        <f t="shared" si="10"/>
        <v>-1.1297669248563104E-2</v>
      </c>
    </row>
    <row r="665" spans="9:14">
      <c r="I665" s="582">
        <v>41157</v>
      </c>
      <c r="J665" s="580">
        <v>13884.75</v>
      </c>
      <c r="K665" s="476">
        <f t="shared" si="10"/>
        <v>-4.0186344239191325E-3</v>
      </c>
    </row>
    <row r="666" spans="9:14">
      <c r="I666" s="582">
        <v>41158</v>
      </c>
      <c r="J666" s="580">
        <v>14162.74</v>
      </c>
      <c r="K666" s="476">
        <f t="shared" si="10"/>
        <v>1.9823456815916969E-2</v>
      </c>
    </row>
    <row r="667" spans="9:14">
      <c r="I667" s="582">
        <v>41159</v>
      </c>
      <c r="J667" s="580">
        <v>14248.33</v>
      </c>
      <c r="K667" s="476">
        <f t="shared" si="10"/>
        <v>6.0251344933936694E-3</v>
      </c>
    </row>
    <row r="668" spans="9:14">
      <c r="I668" s="582">
        <v>41162</v>
      </c>
      <c r="J668" s="580">
        <v>14184.67</v>
      </c>
      <c r="K668" s="476">
        <f t="shared" si="10"/>
        <v>-4.4779028856454395E-3</v>
      </c>
    </row>
    <row r="669" spans="9:14">
      <c r="I669" s="582">
        <v>41163</v>
      </c>
      <c r="J669" s="580">
        <v>14179.02</v>
      </c>
      <c r="K669" s="476">
        <f t="shared" si="10"/>
        <v>-3.9839668778848261E-4</v>
      </c>
    </row>
    <row r="670" spans="9:14">
      <c r="I670" s="582">
        <v>41164</v>
      </c>
      <c r="J670" s="580">
        <v>14155.52</v>
      </c>
      <c r="K670" s="476">
        <f t="shared" si="10"/>
        <v>-1.6587532663865274E-3</v>
      </c>
    </row>
    <row r="671" spans="9:14">
      <c r="I671" s="582">
        <v>41165</v>
      </c>
      <c r="J671" s="580">
        <v>14335.83</v>
      </c>
      <c r="K671" s="476">
        <f t="shared" si="10"/>
        <v>1.2657343878587574E-2</v>
      </c>
    </row>
    <row r="672" spans="9:14">
      <c r="I672" s="582">
        <v>41166</v>
      </c>
      <c r="J672" s="580">
        <v>14495.57</v>
      </c>
      <c r="K672" s="476">
        <f t="shared" si="10"/>
        <v>1.1081087601912711E-2</v>
      </c>
    </row>
    <row r="673" spans="9:14">
      <c r="I673" s="582">
        <v>41169</v>
      </c>
      <c r="J673" s="580">
        <v>14186.6</v>
      </c>
      <c r="K673" s="476">
        <f t="shared" si="10"/>
        <v>-2.1545228399131651E-2</v>
      </c>
    </row>
    <row r="674" spans="9:14">
      <c r="I674" s="582">
        <v>41170</v>
      </c>
      <c r="J674" s="580">
        <v>14259.69</v>
      </c>
      <c r="K674" s="476">
        <f t="shared" si="10"/>
        <v>5.1388185132992719E-3</v>
      </c>
    </row>
    <row r="675" spans="9:14">
      <c r="I675" s="582">
        <v>41171</v>
      </c>
      <c r="J675" s="580">
        <v>14347.19</v>
      </c>
      <c r="K675" s="476">
        <f t="shared" si="10"/>
        <v>6.1174285958747699E-3</v>
      </c>
    </row>
    <row r="676" spans="9:14">
      <c r="I676" s="582">
        <v>41172</v>
      </c>
      <c r="J676" s="580">
        <v>14307.99</v>
      </c>
      <c r="K676" s="476">
        <f t="shared" si="10"/>
        <v>-2.7359817284654262E-3</v>
      </c>
    </row>
    <row r="677" spans="9:14">
      <c r="I677" s="582">
        <v>41173</v>
      </c>
      <c r="J677" s="580">
        <v>14320.19</v>
      </c>
      <c r="K677" s="476">
        <f t="shared" si="10"/>
        <v>8.5230711407679571E-4</v>
      </c>
    </row>
    <row r="678" spans="9:14">
      <c r="I678" s="582">
        <v>41176</v>
      </c>
      <c r="J678" s="580">
        <v>14159.37</v>
      </c>
      <c r="K678" s="476">
        <f t="shared" si="10"/>
        <v>-1.1293833850530243E-2</v>
      </c>
    </row>
    <row r="679" spans="9:14">
      <c r="I679" s="582">
        <v>41177</v>
      </c>
      <c r="J679" s="580">
        <v>13973.2</v>
      </c>
      <c r="K679" s="476">
        <f t="shared" si="10"/>
        <v>-1.3235386435953546E-2</v>
      </c>
    </row>
    <row r="680" spans="9:14">
      <c r="I680" s="582">
        <v>41178</v>
      </c>
      <c r="J680" s="580">
        <v>13868.84</v>
      </c>
      <c r="K680" s="476">
        <f t="shared" si="10"/>
        <v>-7.4966122270644087E-3</v>
      </c>
    </row>
    <row r="681" spans="9:14">
      <c r="I681" s="582">
        <v>41179</v>
      </c>
      <c r="J681" s="580">
        <v>14106.43</v>
      </c>
      <c r="K681" s="476">
        <f t="shared" si="10"/>
        <v>1.6986124716226961E-2</v>
      </c>
    </row>
    <row r="682" spans="9:14">
      <c r="I682" s="582">
        <v>41180</v>
      </c>
      <c r="J682" s="580">
        <v>14056.6</v>
      </c>
      <c r="K682" s="476">
        <f t="shared" si="10"/>
        <v>-3.5386854325559448E-3</v>
      </c>
    </row>
    <row r="683" spans="9:14">
      <c r="I683" s="582">
        <v>41183</v>
      </c>
      <c r="J683" s="580">
        <v>14101.17</v>
      </c>
      <c r="K683" s="476">
        <f t="shared" si="10"/>
        <v>3.1657362939570893E-3</v>
      </c>
      <c r="L683" s="153" t="s">
        <v>574</v>
      </c>
      <c r="M683" s="456">
        <f>AVERAGE(J683:J704)</f>
        <v>14581.905909090909</v>
      </c>
      <c r="N683" s="237">
        <f>AVERAGE(K683:K704)</f>
        <v>2.284853308553748E-3</v>
      </c>
    </row>
    <row r="684" spans="9:14">
      <c r="I684" s="582">
        <v>41184</v>
      </c>
      <c r="J684" s="580">
        <v>14211.93</v>
      </c>
      <c r="K684" s="476">
        <f t="shared" si="10"/>
        <v>7.8239800665256386E-3</v>
      </c>
    </row>
    <row r="685" spans="9:14">
      <c r="I685" s="582">
        <v>41185</v>
      </c>
      <c r="J685" s="580">
        <v>14112.7</v>
      </c>
      <c r="K685" s="476">
        <f t="shared" si="10"/>
        <v>-7.0066515226666947E-3</v>
      </c>
    </row>
    <row r="686" spans="9:14">
      <c r="I686" s="582">
        <v>41186</v>
      </c>
      <c r="J686" s="580">
        <v>14292.66</v>
      </c>
      <c r="K686" s="476">
        <f t="shared" si="10"/>
        <v>1.2671017567013235E-2</v>
      </c>
    </row>
    <row r="687" spans="9:14">
      <c r="I687" s="582">
        <v>41187</v>
      </c>
      <c r="J687" s="580">
        <v>14354.21</v>
      </c>
      <c r="K687" s="476">
        <f t="shared" si="10"/>
        <v>4.2971601932801284E-3</v>
      </c>
    </row>
    <row r="688" spans="9:14">
      <c r="I688" s="582">
        <v>41190</v>
      </c>
      <c r="J688" s="580">
        <v>14332.7</v>
      </c>
      <c r="K688" s="476">
        <f t="shared" si="10"/>
        <v>-1.4996389664262519E-3</v>
      </c>
    </row>
    <row r="689" spans="9:11">
      <c r="I689" s="582">
        <v>41191</v>
      </c>
      <c r="J689" s="580">
        <v>14228.54</v>
      </c>
      <c r="K689" s="476">
        <f t="shared" si="10"/>
        <v>-7.2938333052505536E-3</v>
      </c>
    </row>
    <row r="690" spans="9:11">
      <c r="I690" s="582">
        <v>41192</v>
      </c>
      <c r="J690" s="580">
        <v>14212.06</v>
      </c>
      <c r="K690" s="476">
        <f t="shared" si="10"/>
        <v>-1.1589067631820606E-3</v>
      </c>
    </row>
    <row r="691" spans="9:11">
      <c r="I691" s="582">
        <v>41193</v>
      </c>
      <c r="J691" s="580">
        <v>14223.87</v>
      </c>
      <c r="K691" s="476">
        <f t="shared" si="10"/>
        <v>8.3063931294245948E-4</v>
      </c>
    </row>
    <row r="692" spans="9:11">
      <c r="I692" s="582">
        <v>41194</v>
      </c>
      <c r="J692" s="580">
        <v>14273.5</v>
      </c>
      <c r="K692" s="476">
        <f t="shared" si="10"/>
        <v>3.4831319645833411E-3</v>
      </c>
    </row>
    <row r="693" spans="9:11">
      <c r="I693" s="582">
        <v>41198</v>
      </c>
      <c r="J693" s="580">
        <v>14440.99</v>
      </c>
      <c r="K693" s="476">
        <f t="shared" si="10"/>
        <v>1.1666019459565642E-2</v>
      </c>
    </row>
    <row r="694" spans="9:11">
      <c r="I694" s="582">
        <v>41199</v>
      </c>
      <c r="J694" s="580">
        <v>14653.26</v>
      </c>
      <c r="K694" s="476">
        <f t="shared" si="10"/>
        <v>1.4592145633829825E-2</v>
      </c>
    </row>
    <row r="695" spans="9:11">
      <c r="I695" s="582">
        <v>41200</v>
      </c>
      <c r="J695" s="580">
        <v>14833.66</v>
      </c>
      <c r="K695" s="476">
        <f t="shared" si="10"/>
        <v>1.2236086428306297E-2</v>
      </c>
    </row>
    <row r="696" spans="9:11">
      <c r="I696" s="582">
        <v>41201</v>
      </c>
      <c r="J696" s="580">
        <v>14849.38</v>
      </c>
      <c r="K696" s="476">
        <f t="shared" si="10"/>
        <v>1.0591908018632511E-3</v>
      </c>
    </row>
    <row r="697" spans="9:11">
      <c r="I697" s="582">
        <v>41204</v>
      </c>
      <c r="J697" s="580">
        <v>14928.39</v>
      </c>
      <c r="K697" s="476">
        <f t="shared" si="10"/>
        <v>5.3066556302876784E-3</v>
      </c>
    </row>
    <row r="698" spans="9:11">
      <c r="I698" s="582">
        <v>41205</v>
      </c>
      <c r="J698" s="580">
        <v>14884.72</v>
      </c>
      <c r="K698" s="476">
        <f t="shared" si="10"/>
        <v>-2.9295857582817713E-3</v>
      </c>
    </row>
    <row r="699" spans="9:11">
      <c r="I699" s="582">
        <v>41206</v>
      </c>
      <c r="J699" s="580">
        <v>14872.18</v>
      </c>
      <c r="K699" s="476">
        <f t="shared" si="10"/>
        <v>-8.4282978014021872E-4</v>
      </c>
    </row>
    <row r="700" spans="9:11">
      <c r="I700" s="582">
        <v>41207</v>
      </c>
      <c r="J700" s="580">
        <v>15095.91</v>
      </c>
      <c r="K700" s="476">
        <f t="shared" si="10"/>
        <v>1.4931492577047333E-2</v>
      </c>
    </row>
    <row r="701" spans="9:11">
      <c r="I701" s="582">
        <v>41208</v>
      </c>
      <c r="J701" s="580">
        <v>15142.48</v>
      </c>
      <c r="K701" s="476">
        <f t="shared" si="10"/>
        <v>3.080192881945346E-3</v>
      </c>
    </row>
    <row r="702" spans="9:11">
      <c r="I702" s="582">
        <v>41211</v>
      </c>
      <c r="J702" s="580">
        <v>15115.1</v>
      </c>
      <c r="K702" s="476">
        <f t="shared" si="10"/>
        <v>-1.8097949322631412E-3</v>
      </c>
    </row>
    <row r="703" spans="9:11">
      <c r="I703" s="582">
        <v>41212</v>
      </c>
      <c r="J703" s="580">
        <v>14861.28</v>
      </c>
      <c r="K703" s="476">
        <f t="shared" si="10"/>
        <v>-1.6935071292659542E-2</v>
      </c>
    </row>
    <row r="704" spans="9:11">
      <c r="I704" s="582">
        <v>41213</v>
      </c>
      <c r="J704" s="580">
        <v>14781.24</v>
      </c>
      <c r="K704" s="476">
        <f t="shared" si="10"/>
        <v>-5.4003637020945674E-3</v>
      </c>
    </row>
    <row r="705" spans="9:14">
      <c r="I705" s="582">
        <v>41214</v>
      </c>
      <c r="J705" s="580">
        <v>14529.17</v>
      </c>
      <c r="K705" s="476">
        <f t="shared" si="10"/>
        <v>-1.7200456402001154E-2</v>
      </c>
      <c r="L705" s="153" t="s">
        <v>572</v>
      </c>
      <c r="M705" s="456">
        <f>AVERAGE(J705:J725)</f>
        <v>14185.482857142861</v>
      </c>
      <c r="N705" s="237">
        <f>AVERAGE(K705:K725)</f>
        <v>-2.0277744736623363E-3</v>
      </c>
    </row>
    <row r="706" spans="9:14">
      <c r="I706" s="582">
        <v>41215</v>
      </c>
      <c r="J706" s="580">
        <v>14379.46</v>
      </c>
      <c r="K706" s="476">
        <f t="shared" si="10"/>
        <v>-1.0357553325177951E-2</v>
      </c>
    </row>
    <row r="707" spans="9:14">
      <c r="I707" s="582">
        <v>41219</v>
      </c>
      <c r="J707" s="580">
        <v>14329.87</v>
      </c>
      <c r="K707" s="476">
        <f t="shared" si="10"/>
        <v>-3.4546295102787349E-3</v>
      </c>
    </row>
    <row r="708" spans="9:14">
      <c r="I708" s="582">
        <v>41220</v>
      </c>
      <c r="J708" s="580">
        <v>13970.23</v>
      </c>
      <c r="K708" s="476">
        <f t="shared" si="10"/>
        <v>-2.5417532937297867E-2</v>
      </c>
    </row>
    <row r="709" spans="9:14">
      <c r="I709" s="582">
        <v>41221</v>
      </c>
      <c r="J709" s="580">
        <v>14311.99</v>
      </c>
      <c r="K709" s="476">
        <f t="shared" si="10"/>
        <v>2.4169010507356162E-2</v>
      </c>
    </row>
    <row r="710" spans="9:14">
      <c r="I710" s="582">
        <v>41222</v>
      </c>
      <c r="J710" s="580">
        <v>14304.94</v>
      </c>
      <c r="K710" s="476">
        <f t="shared" ref="K710:K744" si="11">LN(J710/J709)</f>
        <v>-4.9271533617512757E-4</v>
      </c>
    </row>
    <row r="711" spans="9:14">
      <c r="I711" s="582">
        <v>41226</v>
      </c>
      <c r="J711" s="580">
        <v>14164.77</v>
      </c>
      <c r="K711" s="476">
        <f t="shared" si="11"/>
        <v>-9.8470362093550923E-3</v>
      </c>
    </row>
    <row r="712" spans="9:14">
      <c r="I712" s="582">
        <v>41227</v>
      </c>
      <c r="J712" s="580">
        <v>14040.3</v>
      </c>
      <c r="K712" s="476">
        <f t="shared" si="11"/>
        <v>-8.8261300555278373E-3</v>
      </c>
    </row>
    <row r="713" spans="9:14">
      <c r="I713" s="582">
        <v>41228</v>
      </c>
      <c r="J713" s="580">
        <v>14193.78</v>
      </c>
      <c r="K713" s="476">
        <f t="shared" si="11"/>
        <v>1.0872074585088494E-2</v>
      </c>
    </row>
    <row r="714" spans="9:14">
      <c r="I714" s="582">
        <v>41229</v>
      </c>
      <c r="J714" s="580">
        <v>14093.91</v>
      </c>
      <c r="K714" s="476">
        <f t="shared" si="11"/>
        <v>-7.0610512874375716E-3</v>
      </c>
    </row>
    <row r="715" spans="9:14">
      <c r="I715" s="582">
        <v>41232</v>
      </c>
      <c r="J715" s="580">
        <v>14152.88</v>
      </c>
      <c r="K715" s="476">
        <f t="shared" si="11"/>
        <v>4.1753477596031922E-3</v>
      </c>
    </row>
    <row r="716" spans="9:14">
      <c r="I716" s="582">
        <v>41233</v>
      </c>
      <c r="J716" s="580">
        <v>14152.28</v>
      </c>
      <c r="K716" s="476">
        <f t="shared" si="11"/>
        <v>-4.2395096871922881E-5</v>
      </c>
    </row>
    <row r="717" spans="9:14">
      <c r="I717" s="582">
        <v>41234</v>
      </c>
      <c r="J717" s="580">
        <v>14192.94</v>
      </c>
      <c r="K717" s="476">
        <f t="shared" si="11"/>
        <v>2.8689160209926733E-3</v>
      </c>
    </row>
    <row r="718" spans="9:14">
      <c r="I718" s="582">
        <v>41235</v>
      </c>
      <c r="J718" s="580">
        <v>14190.01</v>
      </c>
      <c r="K718" s="476">
        <f t="shared" si="11"/>
        <v>-2.0646197878712604E-4</v>
      </c>
    </row>
    <row r="719" spans="9:14">
      <c r="I719" s="582">
        <v>41236</v>
      </c>
      <c r="J719" s="580">
        <v>14201.02</v>
      </c>
      <c r="K719" s="476">
        <f t="shared" si="11"/>
        <v>7.7559712007098185E-4</v>
      </c>
    </row>
    <row r="720" spans="9:14">
      <c r="I720" s="582">
        <v>41236</v>
      </c>
      <c r="J720" s="580">
        <v>14180.17</v>
      </c>
      <c r="K720" s="476">
        <f t="shared" si="11"/>
        <v>-1.4692832647893105E-3</v>
      </c>
    </row>
    <row r="721" spans="9:14">
      <c r="I721" s="582">
        <v>41239</v>
      </c>
      <c r="J721" s="580">
        <v>14102.1</v>
      </c>
      <c r="K721" s="476">
        <f t="shared" si="11"/>
        <v>-5.5207872841743361E-3</v>
      </c>
    </row>
    <row r="722" spans="9:14">
      <c r="I722" s="582">
        <v>41240</v>
      </c>
      <c r="J722" s="580">
        <v>14061.21</v>
      </c>
      <c r="K722" s="476">
        <f t="shared" si="11"/>
        <v>-2.9037800408991117E-3</v>
      </c>
    </row>
    <row r="723" spans="9:14">
      <c r="I723" s="582">
        <v>41241</v>
      </c>
      <c r="J723" s="580">
        <v>14035.09</v>
      </c>
      <c r="K723" s="476">
        <f t="shared" si="11"/>
        <v>-1.8593200901819938E-3</v>
      </c>
    </row>
    <row r="724" spans="9:14">
      <c r="I724" s="582">
        <v>41242</v>
      </c>
      <c r="J724" s="580">
        <v>14144</v>
      </c>
      <c r="K724" s="476">
        <f t="shared" si="11"/>
        <v>7.7298835619236091E-3</v>
      </c>
    </row>
    <row r="725" spans="9:14">
      <c r="I725" s="582">
        <v>41243</v>
      </c>
      <c r="J725" s="580">
        <v>14165.02</v>
      </c>
      <c r="K725" s="476">
        <f t="shared" si="11"/>
        <v>1.4850393170109701E-3</v>
      </c>
    </row>
    <row r="726" spans="9:14">
      <c r="I726" s="582">
        <v>41246</v>
      </c>
      <c r="J726" s="580">
        <v>14268.26</v>
      </c>
      <c r="K726" s="476">
        <f t="shared" si="11"/>
        <v>7.2619447143362562E-3</v>
      </c>
    </row>
    <row r="727" spans="9:14">
      <c r="I727" s="582">
        <v>41247</v>
      </c>
      <c r="J727" s="580">
        <v>14303.7</v>
      </c>
      <c r="K727" s="476">
        <f t="shared" si="11"/>
        <v>2.4807551302216853E-3</v>
      </c>
      <c r="L727" s="153" t="s">
        <v>573</v>
      </c>
      <c r="M727" s="456">
        <f>AVERAGE(J726:J744)</f>
        <v>14536.367894736841</v>
      </c>
      <c r="N727" s="237">
        <f>AVERAGE(K726:K744)</f>
        <v>2.0078378658640447E-3</v>
      </c>
    </row>
    <row r="728" spans="9:14">
      <c r="I728" s="582">
        <v>41248</v>
      </c>
      <c r="J728" s="580">
        <v>14395.64</v>
      </c>
      <c r="K728" s="476">
        <f t="shared" si="11"/>
        <v>6.4071379008749782E-3</v>
      </c>
    </row>
    <row r="729" spans="9:14">
      <c r="I729" s="582">
        <v>41249</v>
      </c>
      <c r="J729" s="580">
        <v>14414.84</v>
      </c>
      <c r="K729" s="476">
        <f t="shared" si="11"/>
        <v>1.3328485219528056E-3</v>
      </c>
    </row>
    <row r="730" spans="9:14">
      <c r="I730" s="582">
        <v>41250</v>
      </c>
      <c r="J730" s="580">
        <v>14426.74</v>
      </c>
      <c r="K730" s="476">
        <f t="shared" si="11"/>
        <v>8.2519755681034431E-4</v>
      </c>
    </row>
    <row r="731" spans="9:14">
      <c r="I731" s="582">
        <v>41253</v>
      </c>
      <c r="J731" s="580">
        <v>14500.3</v>
      </c>
      <c r="K731" s="476">
        <f t="shared" si="11"/>
        <v>5.0859098311785257E-3</v>
      </c>
    </row>
    <row r="732" spans="9:14">
      <c r="I732" s="582">
        <v>41254</v>
      </c>
      <c r="J732" s="580">
        <v>14591.84</v>
      </c>
      <c r="K732" s="476">
        <f t="shared" si="11"/>
        <v>6.293129491906661E-3</v>
      </c>
    </row>
    <row r="733" spans="9:14">
      <c r="I733" s="582">
        <v>41255</v>
      </c>
      <c r="J733" s="580">
        <v>14629.52</v>
      </c>
      <c r="K733" s="476">
        <f t="shared" si="11"/>
        <v>2.5789368382492964E-3</v>
      </c>
    </row>
    <row r="734" spans="9:14">
      <c r="I734" s="582">
        <v>41256</v>
      </c>
      <c r="J734" s="580">
        <v>14592.83</v>
      </c>
      <c r="K734" s="476">
        <f t="shared" si="11"/>
        <v>-2.5110930010306264E-3</v>
      </c>
    </row>
    <row r="735" spans="9:14">
      <c r="I735" s="582">
        <v>41257</v>
      </c>
      <c r="J735" s="580">
        <v>14534.65</v>
      </c>
      <c r="K735" s="476">
        <f t="shared" si="11"/>
        <v>-3.9948582832439131E-3</v>
      </c>
    </row>
    <row r="736" spans="9:14">
      <c r="I736" s="582">
        <v>41260</v>
      </c>
      <c r="J736" s="580">
        <v>14592.01</v>
      </c>
      <c r="K736" s="476">
        <f t="shared" si="11"/>
        <v>3.938664725203901E-3</v>
      </c>
    </row>
    <row r="737" spans="9:11">
      <c r="I737" s="582">
        <v>41261</v>
      </c>
      <c r="J737" s="580">
        <v>14578.61</v>
      </c>
      <c r="K737" s="476">
        <f t="shared" si="11"/>
        <v>-9.1873267983635476E-4</v>
      </c>
    </row>
    <row r="738" spans="9:11">
      <c r="I738" s="582">
        <v>41262</v>
      </c>
      <c r="J738" s="580">
        <v>14646.38</v>
      </c>
      <c r="K738" s="476">
        <f t="shared" si="11"/>
        <v>4.6378199940630815E-3</v>
      </c>
    </row>
    <row r="739" spans="9:11">
      <c r="I739" s="582">
        <v>41263</v>
      </c>
      <c r="J739" s="580">
        <v>14566.11</v>
      </c>
      <c r="K739" s="476">
        <f t="shared" si="11"/>
        <v>-5.495608352740663E-3</v>
      </c>
    </row>
    <row r="740" spans="9:11">
      <c r="I740" s="582">
        <v>41264</v>
      </c>
      <c r="J740" s="580">
        <v>14544.55</v>
      </c>
      <c r="K740" s="476">
        <f t="shared" si="11"/>
        <v>-1.4812445985107037E-3</v>
      </c>
    </row>
    <row r="741" spans="9:11">
      <c r="I741" s="582">
        <v>41267</v>
      </c>
      <c r="J741" s="580">
        <v>14591.26</v>
      </c>
      <c r="K741" s="476">
        <f t="shared" si="11"/>
        <v>3.2063663250103259E-3</v>
      </c>
    </row>
    <row r="742" spans="9:11">
      <c r="I742" s="582">
        <v>41269</v>
      </c>
      <c r="J742" s="580">
        <v>14588.61</v>
      </c>
      <c r="K742" s="476">
        <f t="shared" si="11"/>
        <v>-1.8163206397320663E-4</v>
      </c>
    </row>
    <row r="743" spans="9:11">
      <c r="I743" s="582">
        <v>41270</v>
      </c>
      <c r="J743" s="580">
        <v>14709.3</v>
      </c>
      <c r="K743" s="476">
        <f t="shared" si="11"/>
        <v>8.2388595425628257E-3</v>
      </c>
    </row>
    <row r="744" spans="9:11">
      <c r="I744" s="582">
        <v>41271</v>
      </c>
      <c r="J744" s="580">
        <v>14715.84</v>
      </c>
      <c r="K744" s="476">
        <f t="shared" si="11"/>
        <v>4.4451785838163537E-4</v>
      </c>
    </row>
  </sheetData>
  <sheetProtection sheet="1" objects="1" scenarios="1" formatCells="0" formatColumns="0" formatRows="0" insertColumns="0" insertRows="0" insertHyperlinks="0" deleteColumns="0" deleteRows="0" sort="0" autoFilter="0" pivotTables="0"/>
  <sortState ref="I3:J743">
    <sortCondition ref="I2"/>
  </sortState>
  <mergeCells count="7">
    <mergeCell ref="B2:E2"/>
    <mergeCell ref="I3:J3"/>
    <mergeCell ref="B19:C19"/>
    <mergeCell ref="B10:C10"/>
    <mergeCell ref="E10:F10"/>
    <mergeCell ref="B11:C11"/>
    <mergeCell ref="E11:F1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sheetPr>
    <tabColor rgb="FFFFFF00"/>
  </sheetPr>
  <dimension ref="B1:K58"/>
  <sheetViews>
    <sheetView showGridLines="0" zoomScale="80" zoomScaleNormal="80" workbookViewId="0">
      <selection activeCell="E29" sqref="E29"/>
    </sheetView>
  </sheetViews>
  <sheetFormatPr baseColWidth="10" defaultRowHeight="15" outlineLevelRow="1"/>
  <cols>
    <col min="1" max="1" width="2.5703125" style="20" customWidth="1"/>
    <col min="2" max="2" width="46.5703125" style="20" bestFit="1" customWidth="1"/>
    <col min="3" max="3" width="17" style="20" hidden="1" customWidth="1"/>
    <col min="4" max="4" width="16.85546875" style="20" bestFit="1" customWidth="1"/>
    <col min="5" max="7" width="18.28515625" style="20" bestFit="1" customWidth="1"/>
    <col min="8" max="8" width="19.85546875" style="20" bestFit="1" customWidth="1"/>
    <col min="9" max="16384" width="11.42578125" style="20"/>
  </cols>
  <sheetData>
    <row r="1" spans="2:9">
      <c r="B1" s="199"/>
      <c r="C1" s="199"/>
      <c r="D1" s="199"/>
      <c r="E1" s="199"/>
      <c r="F1" s="199"/>
      <c r="G1" s="199"/>
      <c r="H1" s="62"/>
    </row>
    <row r="2" spans="2:9">
      <c r="B2" s="594" t="s">
        <v>518</v>
      </c>
      <c r="C2" s="595"/>
      <c r="D2" s="594" t="s">
        <v>6</v>
      </c>
      <c r="E2" s="594" t="s">
        <v>12</v>
      </c>
      <c r="F2" s="594" t="s">
        <v>13</v>
      </c>
      <c r="G2" s="594" t="s">
        <v>14</v>
      </c>
      <c r="H2" s="594" t="s">
        <v>15</v>
      </c>
    </row>
    <row r="3" spans="2:9" s="151" customFormat="1">
      <c r="B3" s="583" t="s">
        <v>522</v>
      </c>
      <c r="C3" s="593"/>
      <c r="D3" s="586">
        <f>B.G!D15/B.G!D35</f>
        <v>4.0143872043978117</v>
      </c>
      <c r="E3" s="586">
        <f>B.G!E15/B.G!E35</f>
        <v>2.3138770450510497</v>
      </c>
      <c r="F3" s="586">
        <f>B.G!F15/B.G!F35</f>
        <v>2.8597705031418439</v>
      </c>
      <c r="G3" s="586">
        <f>B.G!G15/B.G!G35</f>
        <v>2.7090394110491056</v>
      </c>
      <c r="H3" s="586">
        <f>B.G!H15/B.G!H35</f>
        <v>2.5535176737164536</v>
      </c>
    </row>
    <row r="4" spans="2:9">
      <c r="B4" s="583" t="s">
        <v>523</v>
      </c>
      <c r="C4" s="585"/>
      <c r="D4" s="586">
        <f>(B.G!D15-B.G!D10)/B.G!D35</f>
        <v>3.5422593380745266</v>
      </c>
      <c r="E4" s="586">
        <f>(B.G!E15-B.G!E10)/B.G!E35</f>
        <v>2.1903435647469474</v>
      </c>
      <c r="F4" s="586">
        <f>(B.G!F15-B.G!F10)/B.G!F35</f>
        <v>2.7672094769764715</v>
      </c>
      <c r="G4" s="586">
        <f>(B.G!G15-B.G!G10)/B.G!G35</f>
        <v>2.6391579532049678</v>
      </c>
      <c r="H4" s="586">
        <f>(B.G!H15-B.G!H10)/B.G!H35</f>
        <v>2.4970675696889741</v>
      </c>
    </row>
    <row r="5" spans="2:9">
      <c r="B5" s="583" t="s">
        <v>524</v>
      </c>
      <c r="C5" s="584"/>
      <c r="D5" s="564">
        <f>B.G!D39/B.G!D26</f>
        <v>0.33839133501345742</v>
      </c>
      <c r="E5" s="587">
        <f>B.G!E39/B.G!E26</f>
        <v>0.34453620498424636</v>
      </c>
      <c r="F5" s="587">
        <f>B.G!F39/B.G!F26</f>
        <v>0.29594211543499627</v>
      </c>
      <c r="G5" s="587">
        <f>B.G!G39/B.G!G26</f>
        <v>0.26626903457787804</v>
      </c>
      <c r="H5" s="587">
        <f>B.G!H39/B.G!H26</f>
        <v>0.23687735416754843</v>
      </c>
    </row>
    <row r="6" spans="2:9">
      <c r="B6" s="583" t="s">
        <v>525</v>
      </c>
      <c r="C6" s="585"/>
      <c r="D6" s="588">
        <f>E.R!D40/E.R!D44</f>
        <v>1.7632062942350886</v>
      </c>
      <c r="E6" s="588">
        <f>E.R!E40/E.R!E44</f>
        <v>26.532464942664387</v>
      </c>
      <c r="F6" s="588">
        <f>E.R!F40/E.R!F44</f>
        <v>51.497459345407663</v>
      </c>
      <c r="G6" s="588">
        <f>E.R!G40/E.R!G44</f>
        <v>104.80744251048188</v>
      </c>
      <c r="H6" s="588">
        <f>E.R!H40/E.R!H44</f>
        <v>351.24019882371891</v>
      </c>
    </row>
    <row r="7" spans="2:9">
      <c r="B7" s="583" t="s">
        <v>526</v>
      </c>
      <c r="C7" s="584"/>
      <c r="D7" s="588">
        <f>E.R!D4/B.G!D10</f>
        <v>49.331948423822482</v>
      </c>
      <c r="E7" s="588">
        <f>E.R!E4/B.G!E10</f>
        <v>79.469077304348787</v>
      </c>
      <c r="F7" s="588">
        <f>E.R!F4/B.G!F10</f>
        <v>91.484772309211593</v>
      </c>
      <c r="G7" s="588">
        <f>E.R!G4/B.G!G10</f>
        <v>104.37464788943952</v>
      </c>
      <c r="H7" s="588">
        <f>E.R!H4/B.G!H10</f>
        <v>118.21437518554922</v>
      </c>
      <c r="I7" s="161"/>
    </row>
    <row r="8" spans="2:9">
      <c r="B8" s="583" t="s">
        <v>441</v>
      </c>
      <c r="C8" s="585"/>
      <c r="D8" s="589">
        <f>(B.G!D7)/(E.R!D4/360)</f>
        <v>27.488070830987731</v>
      </c>
      <c r="E8" s="589">
        <f>(B.G!E7)/(E.R!E4/360)</f>
        <v>25.613548939140387</v>
      </c>
      <c r="F8" s="589">
        <f>(B.G!F7)/(E.R!F4/360)</f>
        <v>22.131571469720111</v>
      </c>
      <c r="G8" s="589">
        <f>(B.G!G7)/(E.R!G4/360)</f>
        <v>23.857725001799221</v>
      </c>
      <c r="H8" s="589">
        <f>(B.G!H7)/(E.R!H4/360)</f>
        <v>22.863049113437182</v>
      </c>
    </row>
    <row r="9" spans="2:9">
      <c r="B9" s="583" t="s">
        <v>527</v>
      </c>
      <c r="C9" s="584"/>
      <c r="D9" s="586">
        <f>E.R!D4/B.G!D19</f>
        <v>8.6666929469337681</v>
      </c>
      <c r="E9" s="586">
        <f>E.R!E4/B.G!E19</f>
        <v>7.3209504145796913</v>
      </c>
      <c r="F9" s="586">
        <f>E.R!F4/B.G!F19</f>
        <v>8.4796580083149244</v>
      </c>
      <c r="G9" s="586">
        <f>E.R!G4/B.G!G19</f>
        <v>5.7499724029197443</v>
      </c>
      <c r="H9" s="586">
        <f>E.R!H4/B.G!H19</f>
        <v>4.0005447953669346</v>
      </c>
    </row>
    <row r="10" spans="2:9">
      <c r="B10" s="583" t="s">
        <v>528</v>
      </c>
      <c r="C10" s="585"/>
      <c r="D10" s="588">
        <f>E.R!D4/B.G!D26</f>
        <v>3.4753327662690254</v>
      </c>
      <c r="E10" s="588">
        <f>E.R!E4/B.G!E26</f>
        <v>2.6860555569694631</v>
      </c>
      <c r="F10" s="588">
        <f>E.R!F4/B.G!F26</f>
        <v>2.194680034343591</v>
      </c>
      <c r="G10" s="588">
        <f>E.R!G4/B.G!G26</f>
        <v>1.8337589640361545</v>
      </c>
      <c r="H10" s="588">
        <f>E.R!H4/B.G!H26</f>
        <v>1.5807332232351814</v>
      </c>
    </row>
    <row r="11" spans="2:9">
      <c r="B11" s="583" t="s">
        <v>442</v>
      </c>
      <c r="C11" s="584"/>
      <c r="D11" s="587">
        <f>E.R!D49/E.R!D4</f>
        <v>8.1517696718365097E-3</v>
      </c>
      <c r="E11" s="587">
        <f>E.R!E49/E.R!E4</f>
        <v>0.13702780766966766</v>
      </c>
      <c r="F11" s="587">
        <f>E.R!F49/E.R!F4</f>
        <v>0.18427368517544862</v>
      </c>
      <c r="G11" s="587">
        <f>E.R!G49/E.R!G4</f>
        <v>0.22090373743679653</v>
      </c>
      <c r="H11" s="587">
        <f>E.R!H49/E.R!H4</f>
        <v>0.25272104830872749</v>
      </c>
    </row>
    <row r="12" spans="2:9">
      <c r="B12" s="583" t="s">
        <v>529</v>
      </c>
      <c r="C12" s="585"/>
      <c r="D12" s="587">
        <f>E.R!D49/B.G!D26</f>
        <v>2.8330112243611521E-2</v>
      </c>
      <c r="E12" s="587">
        <f>E.R!E49/B.G!E26</f>
        <v>0.36806430425045356</v>
      </c>
      <c r="F12" s="587">
        <f>E.R!F49/B.G!F26</f>
        <v>0.40442177770947363</v>
      </c>
      <c r="G12" s="587">
        <f>E.R!G49/B.G!G26</f>
        <v>0.40508420871381462</v>
      </c>
      <c r="H12" s="587">
        <f>E.R!H49/B.G!H26</f>
        <v>0.39948455727242882</v>
      </c>
    </row>
    <row r="13" spans="2:9">
      <c r="B13" s="590" t="s">
        <v>454</v>
      </c>
      <c r="C13" s="591"/>
      <c r="D13" s="592">
        <f>E.R!D49/B.G!D45</f>
        <v>4.282004414828483E-2</v>
      </c>
      <c r="E13" s="592">
        <f>E.R!E49/B.G!E45</f>
        <v>0.56153262323452557</v>
      </c>
      <c r="F13" s="592">
        <f>E.R!F49/B.G!F45</f>
        <v>0.57441552260911333</v>
      </c>
      <c r="G13" s="592">
        <f>E.R!G49/B.G!G45</f>
        <v>0.55208820099444189</v>
      </c>
      <c r="H13" s="592">
        <f>E.R!H49/B.G!H45</f>
        <v>0.52348670224122551</v>
      </c>
    </row>
    <row r="14" spans="2:9">
      <c r="B14" s="200"/>
      <c r="C14" s="200"/>
      <c r="D14" s="203"/>
      <c r="E14" s="203"/>
      <c r="F14" s="203"/>
      <c r="G14" s="203"/>
      <c r="H14" s="203"/>
    </row>
    <row r="15" spans="2:9">
      <c r="B15" s="481" t="s">
        <v>519</v>
      </c>
      <c r="C15" s="605"/>
      <c r="D15" s="481" t="s">
        <v>6</v>
      </c>
      <c r="E15" s="481" t="s">
        <v>12</v>
      </c>
      <c r="F15" s="481" t="s">
        <v>13</v>
      </c>
      <c r="G15" s="481" t="s">
        <v>14</v>
      </c>
      <c r="H15" s="481" t="s">
        <v>15</v>
      </c>
    </row>
    <row r="16" spans="2:9">
      <c r="B16" s="596" t="s">
        <v>530</v>
      </c>
      <c r="C16" s="597"/>
      <c r="D16" s="598">
        <f>E.R!D40-(E.R!D40*DATOS!$B$26)</f>
        <v>21825236.831219703</v>
      </c>
      <c r="E16" s="598">
        <f>E.R!E40-(E.R!E40*DATOS!$B$26)</f>
        <v>286068137.22672737</v>
      </c>
      <c r="F16" s="598">
        <f>E.R!F40-(E.R!F40*DATOS!$B$26)</f>
        <v>447437636.26300287</v>
      </c>
      <c r="G16" s="598">
        <f>E.R!G40-(E.R!G40*DATOS!$B$26)</f>
        <v>622935989.92433</v>
      </c>
      <c r="H16" s="598">
        <f>E.R!H40-(E.R!H40*DATOS!$B$26)</f>
        <v>823383341.8390466</v>
      </c>
    </row>
    <row r="17" spans="2:11" hidden="1" outlineLevel="1">
      <c r="B17" s="597" t="s">
        <v>443</v>
      </c>
      <c r="C17" s="597"/>
      <c r="D17" s="599">
        <f>D16/(INVERSION!C17+INVERSION!C16)</f>
        <v>0.13159570996525244</v>
      </c>
      <c r="E17" s="599">
        <f>E16/(INVERSION!E17+K.W!E82)</f>
        <v>1.1375848492516143</v>
      </c>
      <c r="F17" s="599">
        <f>F16/(INVERSION!F17+K.W!F82)</f>
        <v>3.5708109294098622</v>
      </c>
      <c r="G17" s="599">
        <f>G16/(INVERSION!G17+K.W!G82)</f>
        <v>1.7751627256961546</v>
      </c>
      <c r="H17" s="599">
        <f>H16/(INVERSION!H17+K.W!H82)</f>
        <v>1.6721743992874307</v>
      </c>
    </row>
    <row r="18" spans="2:11" hidden="1" outlineLevel="1">
      <c r="B18" s="597" t="s">
        <v>531</v>
      </c>
      <c r="C18" s="597"/>
      <c r="D18" s="599">
        <f>D17-'COSTO CAPITAL'!$E$7</f>
        <v>-6.6356308967587208E-2</v>
      </c>
      <c r="E18" s="599">
        <f>E17-'COSTO CAPITAL'!$E$7</f>
        <v>0.93963283031877465</v>
      </c>
      <c r="F18" s="599">
        <f>F17-'COSTO CAPITAL'!$E$7</f>
        <v>3.3728589104770226</v>
      </c>
      <c r="G18" s="599">
        <f>G17-'COSTO CAPITAL'!$E$7</f>
        <v>1.577210706763315</v>
      </c>
      <c r="H18" s="599">
        <f>H17-'COSTO CAPITAL'!$E$7</f>
        <v>1.4742223803545911</v>
      </c>
    </row>
    <row r="19" spans="2:11" hidden="1" outlineLevel="1">
      <c r="B19" s="597" t="s">
        <v>532</v>
      </c>
      <c r="C19" s="597"/>
      <c r="D19" s="600">
        <f>D18*(INVERSION!C17+INVERSION!C16)</f>
        <v>-11005238.383877285</v>
      </c>
      <c r="E19" s="600">
        <f>E18*(INVERSION!E17+K.W!E82)</f>
        <v>236289199.54692164</v>
      </c>
      <c r="F19" s="600">
        <f>F18*(INVERSION!F17+K.W!F82)</f>
        <v>422633415.2623024</v>
      </c>
      <c r="G19" s="600">
        <f>G18*(INVERSION!G17+K.W!G82)</f>
        <v>553471126.17608404</v>
      </c>
      <c r="H19" s="600">
        <f>H18*(INVERSION!H17+K.W!H82)</f>
        <v>725911215.16244912</v>
      </c>
    </row>
    <row r="20" spans="2:11" collapsed="1">
      <c r="B20" s="596" t="s">
        <v>444</v>
      </c>
      <c r="C20" s="597"/>
      <c r="D20" s="601">
        <f>E.R!D40+E.R!D39</f>
        <v>41214980.345104039</v>
      </c>
      <c r="E20" s="601">
        <f>E.R!E40+E.R!E39</f>
        <v>438576360.99511552</v>
      </c>
      <c r="F20" s="601">
        <f>E.R!F40+E.R!F39</f>
        <v>679426359.55672073</v>
      </c>
      <c r="G20" s="601">
        <f>E.R!G40+E.R!G39</f>
        <v>942890559.62948346</v>
      </c>
      <c r="H20" s="601">
        <f>E.R!H40+E.R!H39</f>
        <v>1243633282.2154553</v>
      </c>
    </row>
    <row r="21" spans="2:11">
      <c r="B21" s="596" t="s">
        <v>445</v>
      </c>
      <c r="C21" s="597"/>
      <c r="D21" s="599">
        <f>D20/E.R!D4</f>
        <v>3.5563886564461154E-2</v>
      </c>
      <c r="E21" s="599">
        <f>E20/E.R!E4</f>
        <v>0.21830782157480558</v>
      </c>
      <c r="F21" s="599">
        <f>F20/E.R!F4</f>
        <v>0.28535762146927057</v>
      </c>
      <c r="G21" s="599">
        <f>G20/E.R!G4</f>
        <v>0.33758610314845211</v>
      </c>
      <c r="H21" s="599">
        <f>H20/E.R!H4</f>
        <v>0.38279820947641813</v>
      </c>
    </row>
    <row r="22" spans="2:11">
      <c r="B22" s="596" t="s">
        <v>446</v>
      </c>
      <c r="C22" s="597"/>
      <c r="D22" s="601">
        <f>(B.G!D7+B.G!D10)-B.G!D29</f>
        <v>66876143.066347495</v>
      </c>
      <c r="E22" s="601">
        <f>(B.G!E7+B.G!E10)-B.G!E29</f>
        <v>99164136.110022768</v>
      </c>
      <c r="F22" s="601">
        <f>(B.G!F7+B.G!F10)-B.G!F29</f>
        <v>107325166.0523762</v>
      </c>
      <c r="G22" s="601">
        <f>(B.G!G7+B.G!G10)-B.G!G29</f>
        <v>132819829.10363749</v>
      </c>
      <c r="H22" s="601">
        <f>(B.G!H7+B.G!H10)-B.G!H29</f>
        <v>151359421.06173861</v>
      </c>
    </row>
    <row r="23" spans="2:11">
      <c r="B23" s="596" t="s">
        <v>447</v>
      </c>
      <c r="C23" s="597"/>
      <c r="D23" s="599">
        <f>D22/E.R!D4</f>
        <v>5.7706580130949564E-2</v>
      </c>
      <c r="E23" s="599">
        <f>E22/E.R!E4</f>
        <v>4.9360404385241557E-2</v>
      </c>
      <c r="F23" s="599">
        <f>F22/E.R!F4</f>
        <v>4.5076340765586399E-2</v>
      </c>
      <c r="G23" s="599">
        <f>G22/E.R!G4</f>
        <v>4.7553905455962837E-2</v>
      </c>
      <c r="H23" s="599">
        <f>H22/E.R!H4</f>
        <v>4.6589389491574304E-2</v>
      </c>
    </row>
    <row r="24" spans="2:11">
      <c r="B24" s="596" t="s">
        <v>256</v>
      </c>
      <c r="C24" s="597"/>
      <c r="D24" s="601">
        <f>'RATIOS FINANCIEROS'!D16-((INVERSION!C17+INVERSION!C16)*'COSTO CAPITAL'!$E$7)</f>
        <v>-11005238.383877285</v>
      </c>
      <c r="E24" s="601">
        <f>'RATIOS FINANCIEROS'!E16-((INVERSION!E17+K.W!E82)*'COSTO CAPITAL'!$E$7)</f>
        <v>236289199.54692164</v>
      </c>
      <c r="F24" s="601">
        <f>'RATIOS FINANCIEROS'!F16-((INVERSION!F17+K.W!F82)*'COSTO CAPITAL'!$E$7)</f>
        <v>422633415.2623024</v>
      </c>
      <c r="G24" s="601">
        <f>'RATIOS FINANCIEROS'!G16-((INVERSION!G17+K.W!G82)*'COSTO CAPITAL'!$E$7)</f>
        <v>553471126.17608404</v>
      </c>
      <c r="H24" s="601">
        <f>'RATIOS FINANCIEROS'!H16-((INVERSION!H17+K.W!H82)*'COSTO CAPITAL'!$E$7)</f>
        <v>725911215.16244912</v>
      </c>
    </row>
    <row r="25" spans="2:11">
      <c r="B25" s="602" t="s">
        <v>533</v>
      </c>
      <c r="C25" s="603"/>
      <c r="D25" s="604">
        <f>D21/D23</f>
        <v>0.61628823755901807</v>
      </c>
      <c r="E25" s="604">
        <f t="shared" ref="E25:H25" si="0">E21/E23</f>
        <v>4.4227316265682424</v>
      </c>
      <c r="F25" s="604">
        <f t="shared" si="0"/>
        <v>6.3305409583540833</v>
      </c>
      <c r="G25" s="604">
        <f t="shared" si="0"/>
        <v>7.099019521352937</v>
      </c>
      <c r="H25" s="604">
        <f t="shared" si="0"/>
        <v>8.2164246763878985</v>
      </c>
    </row>
    <row r="26" spans="2:11">
      <c r="B26" s="200"/>
      <c r="C26" s="200"/>
      <c r="D26" s="202"/>
      <c r="E26" s="202"/>
      <c r="F26" s="202"/>
      <c r="G26" s="202"/>
      <c r="H26" s="208"/>
    </row>
    <row r="27" spans="2:11">
      <c r="B27" s="481" t="s">
        <v>520</v>
      </c>
      <c r="C27" s="597"/>
      <c r="D27" s="481" t="s">
        <v>6</v>
      </c>
      <c r="E27" s="481" t="s">
        <v>12</v>
      </c>
      <c r="F27" s="481" t="s">
        <v>13</v>
      </c>
      <c r="G27" s="481" t="s">
        <v>14</v>
      </c>
      <c r="H27" s="481" t="s">
        <v>15</v>
      </c>
    </row>
    <row r="28" spans="2:11">
      <c r="B28" s="596" t="s">
        <v>448</v>
      </c>
      <c r="C28" s="597"/>
      <c r="D28" s="607">
        <v>0</v>
      </c>
      <c r="E28" s="608">
        <f>IRR(F.C.L!C11:E11)</f>
        <v>-0.21229396783332247</v>
      </c>
      <c r="F28" s="608">
        <f>IRR(F.C.L!C11:F11)</f>
        <v>0.513002083629716</v>
      </c>
      <c r="G28" s="608">
        <f>IRR(F.C.L!C11:G11)</f>
        <v>0.70256088095426039</v>
      </c>
      <c r="H28" s="608">
        <f>IRR(F.C.L!C11:H11)</f>
        <v>0.79621904540462674</v>
      </c>
    </row>
    <row r="29" spans="2:11">
      <c r="B29" s="602" t="s">
        <v>449</v>
      </c>
      <c r="C29" s="603"/>
      <c r="D29" s="611">
        <f>NPV('COSTO CAPITAL'!$E$7,F.C.L!D11)-INVERSION!C21</f>
        <v>-292697844.6703198</v>
      </c>
      <c r="E29" s="611">
        <f>NPV('COSTO CAPITAL'!$E$7,F.C.L!D11:E11)-INVERSION!E21</f>
        <v>-165660488.95601642</v>
      </c>
      <c r="F29" s="611">
        <f>NPV('COSTO CAPITAL'!$E$7,F.C.L!D11:F11)-INVERSION!F21</f>
        <v>217806823.60082275</v>
      </c>
      <c r="G29" s="611">
        <f>NPV('COSTO CAPITAL'!$E$7,F.C.L!D11:G11)-INVERSION!G21</f>
        <v>205615698.31957167</v>
      </c>
      <c r="H29" s="611">
        <f>NPV('COSTO CAPITAL'!$E$7,F.C.L!D11:H11)-INVERSION!H21</f>
        <v>273989126.6386556</v>
      </c>
    </row>
    <row r="30" spans="2:11">
      <c r="B30" s="609"/>
      <c r="C30" s="609"/>
      <c r="D30" s="598"/>
      <c r="E30" s="610"/>
      <c r="F30" s="609"/>
      <c r="G30" s="608"/>
      <c r="H30" s="609"/>
    </row>
    <row r="31" spans="2:11">
      <c r="B31" s="481" t="s">
        <v>521</v>
      </c>
      <c r="C31" s="597"/>
      <c r="D31" s="481" t="s">
        <v>6</v>
      </c>
      <c r="E31" s="481" t="s">
        <v>12</v>
      </c>
      <c r="F31" s="481" t="s">
        <v>13</v>
      </c>
      <c r="G31" s="481" t="s">
        <v>14</v>
      </c>
      <c r="H31" s="481" t="s">
        <v>15</v>
      </c>
      <c r="J31" s="455"/>
      <c r="K31" s="455"/>
    </row>
    <row r="32" spans="2:11">
      <c r="B32" s="596" t="s">
        <v>448</v>
      </c>
      <c r="C32" s="597"/>
      <c r="D32" s="607">
        <v>0</v>
      </c>
      <c r="E32" s="608">
        <f>IRR(F.C.L!C25:E25)</f>
        <v>-0.34688652449615481</v>
      </c>
      <c r="F32" s="608">
        <f>IRR(F.C.L!C25:F25)</f>
        <v>0.4207501626551044</v>
      </c>
      <c r="G32" s="608">
        <f>IRR(F.C.L!C25:G25)</f>
        <v>0.61786323350282168</v>
      </c>
      <c r="H32" s="608">
        <f>IRR(F.C.L!C25:H25)</f>
        <v>0.71796535490489832</v>
      </c>
      <c r="J32" s="455"/>
      <c r="K32" s="455"/>
    </row>
    <row r="33" spans="2:11">
      <c r="B33" s="602" t="s">
        <v>449</v>
      </c>
      <c r="C33" s="603"/>
      <c r="D33" s="611">
        <f>NPV('COSTO CAPITAL'!$E$7,F.C.L!D25)</f>
        <v>-27506006.485972606</v>
      </c>
      <c r="E33" s="611">
        <f>NPV('COSTO CAPITAL'!$E$7,F.C.L!D25:E25)</f>
        <v>36786492.804294266</v>
      </c>
      <c r="F33" s="611">
        <f>NPV('COSTO CAPITAL'!$E$7,F.C.L!D25:F25)</f>
        <v>275889062.81318378</v>
      </c>
      <c r="G33" s="611">
        <f>NPV('COSTO CAPITAL'!$E$7,F.C.L!D25:G25)</f>
        <v>455195314.16186494</v>
      </c>
      <c r="H33" s="611">
        <f>NPV('COSTO CAPITAL'!$E$7,F.C.L!D25:H25)</f>
        <v>639021890.95137358</v>
      </c>
    </row>
    <row r="34" spans="2:11">
      <c r="E34" s="155"/>
      <c r="F34" s="156"/>
    </row>
    <row r="35" spans="2:11">
      <c r="E35" s="155"/>
      <c r="F35" s="156"/>
    </row>
    <row r="36" spans="2:11">
      <c r="E36" s="155"/>
      <c r="F36" s="156"/>
    </row>
    <row r="37" spans="2:11">
      <c r="E37" s="155"/>
      <c r="F37" s="156"/>
    </row>
    <row r="38" spans="2:11">
      <c r="E38" s="155"/>
      <c r="F38" s="156"/>
    </row>
    <row r="39" spans="2:11">
      <c r="D39" s="67"/>
      <c r="E39" s="155"/>
      <c r="F39" s="156"/>
      <c r="G39" s="156"/>
      <c r="H39" s="156"/>
      <c r="I39" s="156"/>
      <c r="J39" s="156"/>
      <c r="K39" s="156"/>
    </row>
    <row r="40" spans="2:11">
      <c r="E40" s="157"/>
    </row>
    <row r="43" spans="2:11">
      <c r="B43" s="158"/>
      <c r="C43" s="158"/>
      <c r="D43" s="158"/>
    </row>
    <row r="44" spans="2:11">
      <c r="B44" s="158"/>
      <c r="C44" s="158"/>
      <c r="D44" s="159"/>
    </row>
    <row r="45" spans="2:11">
      <c r="B45" s="158"/>
      <c r="C45" s="158"/>
      <c r="D45" s="159"/>
    </row>
    <row r="46" spans="2:11">
      <c r="B46" s="158"/>
      <c r="C46" s="158"/>
      <c r="D46" s="159"/>
    </row>
    <row r="47" spans="2:11">
      <c r="B47" s="158"/>
      <c r="C47" s="158"/>
      <c r="D47" s="159"/>
    </row>
    <row r="48" spans="2:11">
      <c r="B48" s="158"/>
      <c r="C48" s="158"/>
      <c r="D48" s="159"/>
    </row>
    <row r="49" spans="2:6">
      <c r="B49" s="158"/>
      <c r="C49" s="158"/>
      <c r="D49" s="159"/>
    </row>
    <row r="50" spans="2:6">
      <c r="B50" s="158"/>
      <c r="C50" s="158"/>
      <c r="D50" s="159"/>
    </row>
    <row r="51" spans="2:6">
      <c r="B51" s="158"/>
      <c r="C51" s="158"/>
      <c r="D51" s="159"/>
    </row>
    <row r="52" spans="2:6">
      <c r="B52" s="158"/>
      <c r="C52" s="158"/>
      <c r="D52" s="159"/>
    </row>
    <row r="53" spans="2:6">
      <c r="B53" s="158"/>
      <c r="C53" s="158"/>
      <c r="D53" s="159"/>
    </row>
    <row r="54" spans="2:6">
      <c r="B54" s="158"/>
      <c r="C54" s="158"/>
      <c r="D54" s="160"/>
    </row>
    <row r="57" spans="2:6">
      <c r="B57" s="151"/>
      <c r="C57" s="151"/>
    </row>
    <row r="58" spans="2:6">
      <c r="B58" s="33"/>
      <c r="C58" s="33"/>
      <c r="D58" s="33"/>
      <c r="E58" s="33"/>
      <c r="F58" s="33"/>
    </row>
  </sheetData>
  <sheetProtection sheet="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sheetPr>
    <tabColor rgb="FF00B0F0"/>
  </sheetPr>
  <dimension ref="B2:AA234"/>
  <sheetViews>
    <sheetView topLeftCell="A187" zoomScaleNormal="100" workbookViewId="0">
      <selection activeCell="Y199" sqref="Y199"/>
    </sheetView>
  </sheetViews>
  <sheetFormatPr baseColWidth="10" defaultRowHeight="15" outlineLevelCol="1"/>
  <cols>
    <col min="1" max="1" width="5" customWidth="1"/>
    <col min="2" max="2" width="93.140625" hidden="1" customWidth="1" outlineLevel="1"/>
    <col min="3" max="3" width="15.140625" hidden="1" customWidth="1" outlineLevel="1"/>
    <col min="4" max="4" width="14.140625" style="153" hidden="1" customWidth="1" outlineLevel="1"/>
    <col min="5" max="5" width="15" hidden="1" customWidth="1" outlineLevel="1"/>
    <col min="6" max="6" width="15" style="153" hidden="1" customWidth="1" outlineLevel="1"/>
    <col min="7" max="7" width="15" hidden="1" customWidth="1" outlineLevel="1"/>
    <col min="8" max="8" width="15" style="153" hidden="1" customWidth="1" outlineLevel="1"/>
    <col min="9" max="9" width="15" hidden="1" customWidth="1" outlineLevel="1"/>
    <col min="10" max="10" width="15" style="153" hidden="1" customWidth="1" outlineLevel="1"/>
    <col min="11" max="11" width="15" hidden="1" customWidth="1" outlineLevel="1"/>
    <col min="12" max="12" width="15" style="153" hidden="1" customWidth="1" outlineLevel="1"/>
    <col min="13" max="13" width="15" hidden="1" customWidth="1" outlineLevel="1"/>
    <col min="14" max="14" width="15" style="153" hidden="1" customWidth="1" outlineLevel="1"/>
    <col min="15" max="15" width="15" hidden="1" customWidth="1" outlineLevel="1"/>
    <col min="16" max="16" width="13.42578125" hidden="1" customWidth="1" outlineLevel="1"/>
    <col min="17" max="20" width="16.42578125" hidden="1" customWidth="1" outlineLevel="1"/>
    <col min="21" max="21" width="16" hidden="1" customWidth="1" outlineLevel="1"/>
    <col min="22" max="22" width="5" customWidth="1" collapsed="1"/>
    <col min="23" max="23" width="35.5703125" bestFit="1" customWidth="1"/>
    <col min="24" max="24" width="22.28515625" bestFit="1" customWidth="1"/>
    <col min="25" max="25" width="16.7109375" bestFit="1" customWidth="1"/>
    <col min="26" max="26" width="26.85546875" bestFit="1" customWidth="1"/>
    <col min="27" max="27" width="27.42578125" customWidth="1"/>
  </cols>
  <sheetData>
    <row r="2" spans="2:21">
      <c r="B2" s="114" t="str">
        <f>E.R!B2</f>
        <v>Estado De Resultados Anualizado</v>
      </c>
      <c r="C2" s="115" t="str">
        <f>E.R!C2</f>
        <v>AÑO 0</v>
      </c>
      <c r="D2" s="221" t="s">
        <v>469</v>
      </c>
      <c r="E2" s="115" t="str">
        <f>E.R!D2</f>
        <v>AÑO 1</v>
      </c>
      <c r="F2" s="221" t="s">
        <v>464</v>
      </c>
      <c r="G2" s="115" t="str">
        <f>E.R!E2</f>
        <v>AÑO 2</v>
      </c>
      <c r="H2" s="221" t="s">
        <v>465</v>
      </c>
      <c r="I2" s="115" t="str">
        <f>E.R!F2</f>
        <v>AÑO 3</v>
      </c>
      <c r="J2" s="221" t="s">
        <v>466</v>
      </c>
      <c r="K2" s="115" t="str">
        <f>E.R!G2</f>
        <v>AÑO 4</v>
      </c>
      <c r="L2" s="221" t="s">
        <v>467</v>
      </c>
      <c r="M2" s="115" t="str">
        <f>E.R!H2</f>
        <v>AÑO 5</v>
      </c>
      <c r="N2" s="221" t="s">
        <v>468</v>
      </c>
      <c r="P2" s="221" t="s">
        <v>464</v>
      </c>
      <c r="Q2" s="221" t="s">
        <v>465</v>
      </c>
      <c r="R2" s="221" t="s">
        <v>466</v>
      </c>
      <c r="S2" s="221" t="s">
        <v>467</v>
      </c>
      <c r="T2" s="221" t="s">
        <v>468</v>
      </c>
      <c r="U2" s="226" t="s">
        <v>57</v>
      </c>
    </row>
    <row r="3" spans="2:21">
      <c r="B3" s="76"/>
      <c r="C3" s="77"/>
      <c r="D3" s="77"/>
      <c r="E3" s="77"/>
      <c r="F3" s="77"/>
      <c r="G3" s="77"/>
      <c r="H3" s="77"/>
      <c r="I3" s="77"/>
      <c r="J3" s="77"/>
      <c r="K3" s="77"/>
      <c r="L3" s="77"/>
      <c r="M3" s="77"/>
      <c r="N3" s="77"/>
    </row>
    <row r="4" spans="2:21">
      <c r="B4" s="100" t="str">
        <f>E.R!B4</f>
        <v>VENTAS TOTALES</v>
      </c>
      <c r="C4" s="101">
        <f>E.R!C4</f>
        <v>0</v>
      </c>
      <c r="D4" s="101"/>
      <c r="E4" s="101">
        <f>E.R!D4</f>
        <v>1158899780.8324471</v>
      </c>
      <c r="F4" s="218"/>
      <c r="G4" s="101">
        <f>E.R!E4</f>
        <v>2008981436.5392883</v>
      </c>
      <c r="H4" s="218"/>
      <c r="I4" s="101">
        <f>E.R!F4</f>
        <v>2380964475.5883503</v>
      </c>
      <c r="J4" s="218"/>
      <c r="K4" s="101">
        <f>E.R!G4</f>
        <v>2793037245.4189892</v>
      </c>
      <c r="L4" s="218"/>
      <c r="M4" s="101">
        <f>E.R!H4</f>
        <v>3248795975.081665</v>
      </c>
      <c r="N4" s="218"/>
      <c r="P4" s="3"/>
      <c r="Q4" s="228">
        <f>(G4-E4)/E4</f>
        <v>0.73352473593205858</v>
      </c>
      <c r="R4" s="228">
        <f>(I4-G4)/G4</f>
        <v>0.18516001804867219</v>
      </c>
      <c r="S4" s="228">
        <f>(K4-I4)/I4</f>
        <v>0.1730696841786408</v>
      </c>
      <c r="T4" s="228">
        <f>(M4-K4)/K4</f>
        <v>0.16317674617844438</v>
      </c>
      <c r="U4" s="249">
        <f>AVERAGE(Q4:T4)</f>
        <v>0.31373279608445398</v>
      </c>
    </row>
    <row r="5" spans="2:21">
      <c r="B5" s="102" t="str">
        <f>E.R!B5</f>
        <v>Ventas (instalaciones nuevas)</v>
      </c>
      <c r="C5" s="103">
        <f>E.R!C5</f>
        <v>0</v>
      </c>
      <c r="D5" s="103"/>
      <c r="E5" s="103">
        <f>E.R!D5</f>
        <v>1161413723.0769229</v>
      </c>
      <c r="F5" s="219">
        <f>(E5-E11)/E4</f>
        <v>1</v>
      </c>
      <c r="G5" s="103">
        <f>E.R!E5</f>
        <v>1863478235.0439858</v>
      </c>
      <c r="H5" s="219">
        <f>(G5-G11)/G4</f>
        <v>0.92556586274007835</v>
      </c>
      <c r="I5" s="103">
        <f>E.R!F5</f>
        <v>1990388182.1399851</v>
      </c>
      <c r="J5" s="219">
        <f>(I5-I11)/I4</f>
        <v>0.83414931243896195</v>
      </c>
      <c r="K5" s="103">
        <f>E.R!G5</f>
        <v>2118628822.9973555</v>
      </c>
      <c r="L5" s="219">
        <f>(K5-K11)/K4</f>
        <v>0.75689751034960662</v>
      </c>
      <c r="M5" s="103">
        <f>E.R!H5</f>
        <v>2253662988.6790466</v>
      </c>
      <c r="N5" s="219">
        <f>(M5-M11)/M4</f>
        <v>0.69219022419785448</v>
      </c>
      <c r="O5" s="233">
        <f>AVERAGE(N5,L5,J5,H5,F5)</f>
        <v>0.84176058194530012</v>
      </c>
      <c r="P5" s="3"/>
      <c r="Q5" s="228">
        <f>(G5-E5)/E5</f>
        <v>0.60449131779422216</v>
      </c>
      <c r="R5" s="228">
        <f>(I5-G5)/G5</f>
        <v>6.8103798965488668E-2</v>
      </c>
      <c r="S5" s="228">
        <f>(K5-I5)/I5</f>
        <v>6.4429964972707587E-2</v>
      </c>
      <c r="T5" s="228">
        <f>(M5-K5)/K5</f>
        <v>6.3736584821238285E-2</v>
      </c>
      <c r="U5" s="66">
        <f>AVERAGE(Q5:T5)</f>
        <v>0.20019041663841419</v>
      </c>
    </row>
    <row r="6" spans="2:21">
      <c r="B6" s="104" t="str">
        <f>E.R!B6</f>
        <v>Ventas a crédito</v>
      </c>
      <c r="C6" s="105">
        <f>E.R!C6</f>
        <v>0</v>
      </c>
      <c r="D6" s="105"/>
      <c r="E6" s="105">
        <f>E.R!D6</f>
        <v>696848233.84615374</v>
      </c>
      <c r="F6" s="220"/>
      <c r="G6" s="105">
        <f>E.R!E6</f>
        <v>1118086941.0263915</v>
      </c>
      <c r="H6" s="220"/>
      <c r="I6" s="105">
        <f>E.R!F6</f>
        <v>1194232909.2839911</v>
      </c>
      <c r="J6" s="220"/>
      <c r="K6" s="105">
        <f>E.R!G6</f>
        <v>1271177293.7984133</v>
      </c>
      <c r="L6" s="220"/>
      <c r="M6" s="105">
        <f>E.R!H6</f>
        <v>1352197793.207428</v>
      </c>
      <c r="N6" s="220"/>
      <c r="Q6" s="229"/>
      <c r="R6" s="229"/>
      <c r="S6" s="229"/>
      <c r="T6" s="229"/>
      <c r="U6" s="229"/>
    </row>
    <row r="7" spans="2:21">
      <c r="B7" s="104" t="str">
        <f>E.R!B7</f>
        <v>Ventas de contado</v>
      </c>
      <c r="C7" s="105">
        <f>E.R!C7</f>
        <v>0</v>
      </c>
      <c r="D7" s="105"/>
      <c r="E7" s="105">
        <f>E.R!D7</f>
        <v>464565489.23076916</v>
      </c>
      <c r="F7" s="220"/>
      <c r="G7" s="105">
        <f>E.R!E7</f>
        <v>745391294.01759446</v>
      </c>
      <c r="H7" s="220"/>
      <c r="I7" s="105">
        <f>E.R!F7</f>
        <v>796155272.85599411</v>
      </c>
      <c r="J7" s="220"/>
      <c r="K7" s="105">
        <f>E.R!G7</f>
        <v>847451529.19894218</v>
      </c>
      <c r="L7" s="220"/>
      <c r="M7" s="105">
        <f>E.R!H7</f>
        <v>901465195.47161877</v>
      </c>
      <c r="N7" s="220"/>
      <c r="Q7" s="230"/>
      <c r="R7" s="229"/>
      <c r="S7" s="229"/>
      <c r="T7" s="229"/>
      <c r="U7" s="229"/>
    </row>
    <row r="8" spans="2:21">
      <c r="B8" s="102" t="str">
        <f>E.R!B8</f>
        <v>Ventas (mantenimientos y recargas)</v>
      </c>
      <c r="C8" s="103">
        <f>E.R!C8</f>
        <v>0</v>
      </c>
      <c r="D8" s="103"/>
      <c r="E8" s="103">
        <f>E.R!D8</f>
        <v>0</v>
      </c>
      <c r="F8" s="219">
        <f>E8/E4</f>
        <v>0</v>
      </c>
      <c r="G8" s="103">
        <f>E.R!E8</f>
        <v>149536800</v>
      </c>
      <c r="H8" s="219">
        <f>G8/G4</f>
        <v>7.4434137259921665E-2</v>
      </c>
      <c r="I8" s="103">
        <f>E.R!F8</f>
        <v>394884595.33473408</v>
      </c>
      <c r="J8" s="219">
        <f>I8/I4</f>
        <v>0.16585068756103796</v>
      </c>
      <c r="K8" s="103">
        <f>E.R!G8</f>
        <v>678994308.04763317</v>
      </c>
      <c r="L8" s="219">
        <f>K8/K4</f>
        <v>0.24310248965039341</v>
      </c>
      <c r="M8" s="103">
        <f>E.R!H8</f>
        <v>1000011160.7168003</v>
      </c>
      <c r="N8" s="219">
        <f>M8/M4</f>
        <v>0.30780977580214558</v>
      </c>
      <c r="O8" s="233">
        <f>AVERAGE(N8,L8,J8,H8,F8)</f>
        <v>0.15823941805469971</v>
      </c>
      <c r="Q8" s="228"/>
      <c r="R8" s="228">
        <f>(I8-G8)/G8</f>
        <v>1.6407185076498501</v>
      </c>
      <c r="S8" s="228">
        <f>(K8-I8)/I8</f>
        <v>0.71947530004827409</v>
      </c>
      <c r="T8" s="228">
        <f>(M8-K8)/K8</f>
        <v>0.47278283317604336</v>
      </c>
      <c r="U8" s="66">
        <f>AVERAGE(R8:T8)</f>
        <v>0.94432554695805582</v>
      </c>
    </row>
    <row r="9" spans="2:21">
      <c r="B9" s="104" t="str">
        <f>E.R!B9</f>
        <v>Ventas a crédito</v>
      </c>
      <c r="C9" s="105">
        <f>E.R!C9</f>
        <v>0</v>
      </c>
      <c r="D9" s="105"/>
      <c r="E9" s="105">
        <f>E.R!D9</f>
        <v>0</v>
      </c>
      <c r="F9" s="220"/>
      <c r="G9" s="105">
        <f>E.R!E9</f>
        <v>89722080</v>
      </c>
      <c r="H9" s="220"/>
      <c r="I9" s="105">
        <f>E.R!F9</f>
        <v>236930757.20084041</v>
      </c>
      <c r="J9" s="220"/>
      <c r="K9" s="105">
        <f>E.R!G9</f>
        <v>407396584.8285799</v>
      </c>
      <c r="L9" s="220"/>
      <c r="M9" s="105">
        <f>E.R!H9</f>
        <v>600006696.43008018</v>
      </c>
      <c r="N9" s="220"/>
      <c r="Q9" s="229"/>
      <c r="R9" s="229"/>
      <c r="S9" s="229"/>
      <c r="T9" s="229"/>
      <c r="U9" s="229"/>
    </row>
    <row r="10" spans="2:21">
      <c r="B10" s="104" t="str">
        <f>E.R!B10</f>
        <v>Ventas de contado</v>
      </c>
      <c r="C10" s="105">
        <f>E.R!C10</f>
        <v>0</v>
      </c>
      <c r="D10" s="105"/>
      <c r="E10" s="105">
        <f>E.R!D10</f>
        <v>0</v>
      </c>
      <c r="F10" s="220"/>
      <c r="G10" s="105">
        <f>E.R!E10</f>
        <v>59814720</v>
      </c>
      <c r="H10" s="220"/>
      <c r="I10" s="105">
        <f>E.R!F10</f>
        <v>157953838.13389367</v>
      </c>
      <c r="J10" s="220"/>
      <c r="K10" s="105">
        <f>E.R!G10</f>
        <v>271597723.21905333</v>
      </c>
      <c r="L10" s="220"/>
      <c r="M10" s="105">
        <f>E.R!H10</f>
        <v>400004464.28672016</v>
      </c>
      <c r="N10" s="220"/>
      <c r="Q10" s="229"/>
      <c r="R10" s="229"/>
      <c r="S10" s="229"/>
      <c r="T10" s="229"/>
      <c r="U10" s="229"/>
    </row>
    <row r="11" spans="2:21">
      <c r="B11" s="102" t="str">
        <f>E.R!B11</f>
        <v>Descuentos en ventas</v>
      </c>
      <c r="C11" s="103">
        <f>E.R!C11</f>
        <v>0</v>
      </c>
      <c r="D11" s="103"/>
      <c r="E11" s="103">
        <f>E.R!D11</f>
        <v>2513942.2444758019</v>
      </c>
      <c r="F11" s="220"/>
      <c r="G11" s="103">
        <f>E.R!E11</f>
        <v>4033598.5046975436</v>
      </c>
      <c r="H11" s="220"/>
      <c r="I11" s="103">
        <f>E.R!F11</f>
        <v>4308301.8863689611</v>
      </c>
      <c r="J11" s="220"/>
      <c r="K11" s="103">
        <f>E.R!G11</f>
        <v>4585885.6259995624</v>
      </c>
      <c r="L11" s="220"/>
      <c r="M11" s="103">
        <f>E.R!H11</f>
        <v>4878174.3141815811</v>
      </c>
      <c r="N11" s="220"/>
      <c r="Q11" s="229"/>
      <c r="R11" s="229"/>
      <c r="S11" s="229"/>
      <c r="T11" s="229"/>
      <c r="U11" s="229"/>
    </row>
    <row r="12" spans="2:21">
      <c r="B12" s="104" t="str">
        <f>E.R!B12</f>
        <v>Descuentos en ventas (instalaciones nuevas)</v>
      </c>
      <c r="C12" s="105">
        <f>E.R!C12</f>
        <v>0</v>
      </c>
      <c r="D12" s="105"/>
      <c r="E12" s="105">
        <f>E.R!D12</f>
        <v>2513942.2444758019</v>
      </c>
      <c r="F12" s="220"/>
      <c r="G12" s="105">
        <f>E.R!E12</f>
        <v>4033598.5046975436</v>
      </c>
      <c r="H12" s="220"/>
      <c r="I12" s="105">
        <f>E.R!F12</f>
        <v>4308301.8863689611</v>
      </c>
      <c r="J12" s="220"/>
      <c r="K12" s="105">
        <f>E.R!G12</f>
        <v>4585885.6259995624</v>
      </c>
      <c r="L12" s="220"/>
      <c r="M12" s="105">
        <f>E.R!H12</f>
        <v>4878174.3141815811</v>
      </c>
      <c r="N12" s="220"/>
      <c r="Q12" s="229"/>
      <c r="R12" s="229"/>
      <c r="S12" s="229"/>
      <c r="T12" s="229"/>
      <c r="U12" s="229"/>
    </row>
    <row r="13" spans="2:21">
      <c r="B13" s="100" t="str">
        <f>E.R!B13</f>
        <v>COSTOS DE VENTAS</v>
      </c>
      <c r="C13" s="101">
        <f>E.R!C13</f>
        <v>0</v>
      </c>
      <c r="D13" s="101"/>
      <c r="E13" s="101">
        <f>E.R!D13</f>
        <v>593947463.16593325</v>
      </c>
      <c r="F13" s="222">
        <f>E13/E4</f>
        <v>0.51250977262183617</v>
      </c>
      <c r="G13" s="101">
        <f>E.R!E13</f>
        <v>977248133.26680827</v>
      </c>
      <c r="H13" s="222">
        <f>G13/G4</f>
        <v>0.48643960341925085</v>
      </c>
      <c r="I13" s="101">
        <f>E.R!F13</f>
        <v>1087171388.7925251</v>
      </c>
      <c r="J13" s="222">
        <f>I13/I4</f>
        <v>0.45660966383124157</v>
      </c>
      <c r="K13" s="101">
        <f>E.R!G13</f>
        <v>1201787003.3234141</v>
      </c>
      <c r="L13" s="222">
        <f>K13/K4</f>
        <v>0.43027961954124661</v>
      </c>
      <c r="M13" s="101">
        <f>E.R!H13</f>
        <v>1322171302.4311557</v>
      </c>
      <c r="N13" s="222">
        <f>M13/M4</f>
        <v>0.40697271006620239</v>
      </c>
      <c r="O13" s="233">
        <f t="shared" ref="O13:O19" si="0">AVERAGE(N13,L13,J13,H13,F13)</f>
        <v>0.45856227389595555</v>
      </c>
      <c r="Q13" s="228">
        <f>(G13-E13)/E13</f>
        <v>0.64534440143536886</v>
      </c>
      <c r="R13" s="228">
        <f t="shared" ref="R13:R19" si="1">(I13-G13)/G13</f>
        <v>0.1124824410339452</v>
      </c>
      <c r="S13" s="228">
        <f t="shared" ref="S13:S19" si="2">(K13-I13)/I13</f>
        <v>0.1054255250942427</v>
      </c>
      <c r="T13" s="228">
        <f t="shared" ref="T13:T19" si="3">(M13-K13)/K13</f>
        <v>0.10017107754937574</v>
      </c>
      <c r="U13" s="249">
        <f>AVERAGE(Q13:T13)</f>
        <v>0.24085586127823314</v>
      </c>
    </row>
    <row r="14" spans="2:21">
      <c r="B14" s="102" t="str">
        <f>E.R!B14</f>
        <v>Costos de materiales directos (instalaciones nuevas)</v>
      </c>
      <c r="C14" s="103">
        <f>E.R!C14</f>
        <v>0</v>
      </c>
      <c r="D14" s="103"/>
      <c r="E14" s="103">
        <f>E.R!D14</f>
        <v>587841309.3197794</v>
      </c>
      <c r="F14" s="219">
        <f>E14/E$13</f>
        <v>0.98971937044127423</v>
      </c>
      <c r="G14" s="103">
        <f>E.R!E14</f>
        <v>941940987.51369143</v>
      </c>
      <c r="H14" s="219">
        <f>G14/G$13</f>
        <v>0.96387084860925765</v>
      </c>
      <c r="I14" s="103">
        <f>E.R!F14</f>
        <v>1006516890.689342</v>
      </c>
      <c r="J14" s="219">
        <f>I14/I$13</f>
        <v>0.9258125269533054</v>
      </c>
      <c r="K14" s="103">
        <f>E.R!G14</f>
        <v>1072724280.9416106</v>
      </c>
      <c r="L14" s="219">
        <f>K14/K$13</f>
        <v>0.89260765674375386</v>
      </c>
      <c r="M14" s="103">
        <f>E.R!H14</f>
        <v>1140530149.153883</v>
      </c>
      <c r="N14" s="219">
        <f>M14/M$13</f>
        <v>0.86261904721175064</v>
      </c>
      <c r="O14" s="232">
        <f t="shared" si="0"/>
        <v>0.92692588999186842</v>
      </c>
      <c r="P14" s="233">
        <f>O14+O15</f>
        <v>0.98034223290521949</v>
      </c>
      <c r="Q14" s="228">
        <f>(G14-E14)/E14</f>
        <v>0.60237290673508215</v>
      </c>
      <c r="R14" s="228">
        <f t="shared" si="1"/>
        <v>6.8556208968146182E-2</v>
      </c>
      <c r="S14" s="228">
        <f t="shared" si="2"/>
        <v>6.5778717540372844E-2</v>
      </c>
      <c r="T14" s="228">
        <f t="shared" si="3"/>
        <v>6.32090364848963E-2</v>
      </c>
      <c r="U14" s="66">
        <f>AVERAGE(Q14:T14)</f>
        <v>0.19997921743212438</v>
      </c>
    </row>
    <row r="15" spans="2:21">
      <c r="B15" s="102" t="str">
        <f>E.R!B15</f>
        <v>Costos de materiales directos (mantenimientos y recargas)</v>
      </c>
      <c r="C15" s="103">
        <f>E.R!C15</f>
        <v>0</v>
      </c>
      <c r="D15" s="103"/>
      <c r="E15" s="103">
        <f>E.R!D15</f>
        <v>0</v>
      </c>
      <c r="F15" s="219">
        <f t="shared" ref="F15:F19" si="4">E15/E$13</f>
        <v>0</v>
      </c>
      <c r="G15" s="103">
        <f>E.R!E15</f>
        <v>21594655.846396685</v>
      </c>
      <c r="H15" s="219">
        <f t="shared" ref="H15" si="5">G15/G$13</f>
        <v>2.2097413247757939E-2</v>
      </c>
      <c r="I15" s="103">
        <f>E.R!F15</f>
        <v>59135196.451890059</v>
      </c>
      <c r="J15" s="219">
        <f t="shared" ref="J15" si="6">I15/I$13</f>
        <v>5.439362832898776E-2</v>
      </c>
      <c r="K15" s="103">
        <f>E.R!G15</f>
        <v>99233003.950007156</v>
      </c>
      <c r="L15" s="219">
        <f t="shared" ref="L15" si="7">K15/K$13</f>
        <v>8.2571207439911434E-2</v>
      </c>
      <c r="M15" s="103">
        <f>E.R!H15</f>
        <v>142820237.45429054</v>
      </c>
      <c r="N15" s="219">
        <f t="shared" ref="N15" si="8">M15/M$13</f>
        <v>0.10801946555009809</v>
      </c>
      <c r="O15" s="232">
        <f t="shared" si="0"/>
        <v>5.3416342913351046E-2</v>
      </c>
      <c r="Q15" s="228"/>
      <c r="R15" s="228">
        <f t="shared" si="1"/>
        <v>1.7384181008727417</v>
      </c>
      <c r="S15" s="228">
        <f t="shared" si="2"/>
        <v>0.67807008184607975</v>
      </c>
      <c r="T15" s="228">
        <f t="shared" si="3"/>
        <v>0.43924129845189719</v>
      </c>
      <c r="U15" s="66">
        <f>AVERAGE(R15:T15)</f>
        <v>0.95190982705690619</v>
      </c>
    </row>
    <row r="16" spans="2:21">
      <c r="B16" s="102" t="str">
        <f>E.R!B16</f>
        <v>Costos de materiales de consumo (instalaciones nuevas)</v>
      </c>
      <c r="C16" s="103">
        <f>E.R!C16</f>
        <v>0</v>
      </c>
      <c r="D16" s="103"/>
      <c r="E16" s="103">
        <f>E.R!D16</f>
        <v>4153846.153846154</v>
      </c>
      <c r="F16" s="219">
        <f t="shared" si="4"/>
        <v>6.9936255501535476E-3</v>
      </c>
      <c r="G16" s="103">
        <f>E.R!E16</f>
        <v>6656010.5356688052</v>
      </c>
      <c r="H16" s="219">
        <f t="shared" ref="H16" si="9">G16/G$13</f>
        <v>6.8109728830268142E-3</v>
      </c>
      <c r="I16" s="103">
        <f>E.R!F16</f>
        <v>7112321.3848462971</v>
      </c>
      <c r="J16" s="219">
        <f t="shared" ref="J16" si="10">I16/I$13</f>
        <v>6.542042458223307E-3</v>
      </c>
      <c r="K16" s="103">
        <f>E.R!G16</f>
        <v>7580160.7642764524</v>
      </c>
      <c r="L16" s="219">
        <f t="shared" ref="L16" si="11">K16/K$13</f>
        <v>6.307407837923296E-3</v>
      </c>
      <c r="M16" s="103">
        <f>E.R!H16</f>
        <v>8059295.422586984</v>
      </c>
      <c r="N16" s="219">
        <f t="shared" ref="N16" si="12">M16/M$13</f>
        <v>6.0955001880375666E-3</v>
      </c>
      <c r="O16" s="229">
        <f t="shared" si="0"/>
        <v>6.5499097834729068E-3</v>
      </c>
      <c r="P16" s="233">
        <f>O16+O17+O18+O19</f>
        <v>1.9657767094780586E-2</v>
      </c>
      <c r="Q16" s="228">
        <f>(G16-E16)/E16</f>
        <v>0.6023729067350827</v>
      </c>
      <c r="R16" s="228">
        <f t="shared" si="1"/>
        <v>6.8556208968145974E-2</v>
      </c>
      <c r="S16" s="228">
        <f t="shared" si="2"/>
        <v>6.5778717540372456E-2</v>
      </c>
      <c r="T16" s="228">
        <f t="shared" si="3"/>
        <v>6.320903648489655E-2</v>
      </c>
      <c r="U16" s="66">
        <f t="shared" ref="U16:U19" si="13">AVERAGE(Q16:T16)</f>
        <v>0.19997921743212441</v>
      </c>
    </row>
    <row r="17" spans="2:21">
      <c r="B17" s="102" t="str">
        <f>E.R!B17</f>
        <v>Costos de materiales de consumo (mantenimientos y recargas)</v>
      </c>
      <c r="C17" s="103">
        <f>E.R!C17</f>
        <v>0</v>
      </c>
      <c r="D17" s="103"/>
      <c r="E17" s="103">
        <f>E.R!D17</f>
        <v>0</v>
      </c>
      <c r="F17" s="219">
        <f t="shared" si="4"/>
        <v>0</v>
      </c>
      <c r="G17" s="103">
        <f>E.R!E17</f>
        <v>4112271.4285714277</v>
      </c>
      <c r="H17" s="219">
        <f t="shared" ref="H17" si="14">G17/G$13</f>
        <v>4.2080115464888743E-3</v>
      </c>
      <c r="I17" s="103">
        <f>E.R!F17</f>
        <v>11261118.515701802</v>
      </c>
      <c r="J17" s="219">
        <f t="shared" ref="J17" si="15">I17/I$13</f>
        <v>1.0358181453072497E-2</v>
      </c>
      <c r="K17" s="103">
        <f>E.R!G17</f>
        <v>18896946.069322128</v>
      </c>
      <c r="L17" s="219">
        <f t="shared" ref="L17" si="16">K17/K$13</f>
        <v>1.5724039299031056E-2</v>
      </c>
      <c r="M17" s="103">
        <f>E.R!H17</f>
        <v>27197265.197586644</v>
      </c>
      <c r="N17" s="219">
        <f t="shared" ref="N17" si="17">M17/M$13</f>
        <v>2.0570152405802032E-2</v>
      </c>
      <c r="O17" s="229">
        <f t="shared" si="0"/>
        <v>1.0172076940878891E-2</v>
      </c>
      <c r="Q17" s="228"/>
      <c r="R17" s="228">
        <f t="shared" si="1"/>
        <v>1.7384181008727411</v>
      </c>
      <c r="S17" s="228">
        <f t="shared" si="2"/>
        <v>0.67807008184607975</v>
      </c>
      <c r="T17" s="228">
        <f t="shared" si="3"/>
        <v>0.43924129845189669</v>
      </c>
      <c r="U17" s="66">
        <f>AVERAGE(R17:T17)</f>
        <v>0.95190982705690574</v>
      </c>
    </row>
    <row r="18" spans="2:21">
      <c r="B18" s="102" t="str">
        <f>E.R!B18</f>
        <v>Costos de materiales de consumo (servicios post venta)</v>
      </c>
      <c r="C18" s="103">
        <f>E.R!C18</f>
        <v>0</v>
      </c>
      <c r="D18" s="103"/>
      <c r="E18" s="103">
        <f>E.R!D18</f>
        <v>1661538.4615384613</v>
      </c>
      <c r="F18" s="219">
        <f t="shared" si="4"/>
        <v>2.7974502200614187E-3</v>
      </c>
      <c r="G18" s="103">
        <f>E.R!E18</f>
        <v>2664441.5769048841</v>
      </c>
      <c r="H18" s="219">
        <f t="shared" ref="H18" si="18">G18/G$13</f>
        <v>2.7264739488404204E-3</v>
      </c>
      <c r="I18" s="103">
        <f>E.R!F18</f>
        <v>2846933.7110813763</v>
      </c>
      <c r="J18" s="219">
        <f t="shared" ref="J18" si="19">I18/I$13</f>
        <v>2.6186613632679795E-3</v>
      </c>
      <c r="K18" s="103">
        <f>E.R!G18</f>
        <v>3034037.6454277243</v>
      </c>
      <c r="L18" s="219">
        <f t="shared" ref="L18" si="20">K18/K$13</f>
        <v>2.5246051397106277E-3</v>
      </c>
      <c r="M18" s="103">
        <f>E.R!H18</f>
        <v>3225660.8170214421</v>
      </c>
      <c r="N18" s="219">
        <f t="shared" ref="N18" si="21">M18/M$13</f>
        <v>2.4396693613680967E-3</v>
      </c>
      <c r="O18" s="229">
        <f t="shared" si="0"/>
        <v>2.6213720066497084E-3</v>
      </c>
      <c r="Q18" s="228">
        <f>(G18-E18)/E18</f>
        <v>0.60359909721127303</v>
      </c>
      <c r="R18" s="228">
        <f t="shared" si="1"/>
        <v>6.8491700384169046E-2</v>
      </c>
      <c r="S18" s="228">
        <f t="shared" si="2"/>
        <v>6.5721212130112672E-2</v>
      </c>
      <c r="T18" s="228">
        <f t="shared" si="3"/>
        <v>6.3157809489441469E-2</v>
      </c>
      <c r="U18" s="66">
        <f t="shared" si="13"/>
        <v>0.20024245480374905</v>
      </c>
    </row>
    <row r="19" spans="2:21">
      <c r="B19" s="102" t="str">
        <f>E.R!B19</f>
        <v>Costos de materiales de consumo (garantías)</v>
      </c>
      <c r="C19" s="103">
        <f>E.R!C19</f>
        <v>0</v>
      </c>
      <c r="D19" s="103"/>
      <c r="E19" s="103">
        <f>E.R!D19</f>
        <v>290769.23076923081</v>
      </c>
      <c r="F19" s="219">
        <f t="shared" si="4"/>
        <v>4.8955378851074844E-4</v>
      </c>
      <c r="G19" s="103">
        <f>E.R!E19</f>
        <v>279766.36557501287</v>
      </c>
      <c r="H19" s="219">
        <f t="shared" ref="H19" si="22">G19/G$13</f>
        <v>2.862797646282442E-4</v>
      </c>
      <c r="I19" s="103">
        <f>E.R!F19</f>
        <v>298928.03966354451</v>
      </c>
      <c r="J19" s="219">
        <f t="shared" ref="J19" si="23">I19/I$13</f>
        <v>2.7495944314313787E-4</v>
      </c>
      <c r="K19" s="103">
        <f>E.R!G19</f>
        <v>318573.95276991115</v>
      </c>
      <c r="L19" s="219">
        <f t="shared" ref="L19" si="24">K19/K$13</f>
        <v>2.6508353966961596E-4</v>
      </c>
      <c r="M19" s="103">
        <f>E.R!H19</f>
        <v>338694.38578725135</v>
      </c>
      <c r="N19" s="219">
        <f t="shared" ref="N19" si="25">M19/M$13</f>
        <v>2.561652829436501E-4</v>
      </c>
      <c r="O19" s="229">
        <f t="shared" si="0"/>
        <v>3.144083637790793E-4</v>
      </c>
      <c r="Q19" s="228">
        <f>(G19-E19)/E19</f>
        <v>-3.7840541673236305E-2</v>
      </c>
      <c r="R19" s="228">
        <f t="shared" si="1"/>
        <v>6.849170038416888E-2</v>
      </c>
      <c r="S19" s="228">
        <f t="shared" si="2"/>
        <v>6.5721212130113005E-2</v>
      </c>
      <c r="T19" s="228">
        <f t="shared" si="3"/>
        <v>6.3157809489440914E-2</v>
      </c>
      <c r="U19" s="66">
        <f t="shared" si="13"/>
        <v>3.9882545082621623E-2</v>
      </c>
    </row>
    <row r="20" spans="2:21">
      <c r="B20" s="106" t="str">
        <f>E.R!B20</f>
        <v>Ajuste por movimiento del inventario (materiales directos) instalaciones nuevas</v>
      </c>
      <c r="C20" s="107">
        <f>E.R!C20</f>
        <v>0</v>
      </c>
      <c r="D20" s="107"/>
      <c r="E20" s="107">
        <f>E.R!D20</f>
        <v>0</v>
      </c>
      <c r="F20" s="107"/>
      <c r="G20" s="107">
        <f>E.R!E20</f>
        <v>-720805.41499924287</v>
      </c>
      <c r="H20" s="107"/>
      <c r="I20" s="107">
        <f>E.R!F20</f>
        <v>-709411.32422396913</v>
      </c>
      <c r="J20" s="107"/>
      <c r="K20" s="107">
        <f>E.R!G20</f>
        <v>-698154.52961822227</v>
      </c>
      <c r="L20" s="107"/>
      <c r="M20" s="107">
        <f>E.R!H20</f>
        <v>-687295.99852991849</v>
      </c>
      <c r="N20" s="107"/>
      <c r="Q20" s="229"/>
      <c r="R20" s="229"/>
      <c r="S20" s="229"/>
      <c r="T20" s="229"/>
      <c r="U20" s="229"/>
    </row>
    <row r="21" spans="2:21">
      <c r="B21" s="106" t="str">
        <f>E.R!B21</f>
        <v>Ajuste por movimiento del inventario (materiales directos) mantenimientos y recargas</v>
      </c>
      <c r="C21" s="107">
        <f>E.R!C21</f>
        <v>0</v>
      </c>
      <c r="D21" s="107"/>
      <c r="E21" s="107">
        <f>E.R!D21</f>
        <v>0</v>
      </c>
      <c r="F21" s="107"/>
      <c r="G21" s="107">
        <f>E.R!E21</f>
        <v>-892341.1506775493</v>
      </c>
      <c r="H21" s="107"/>
      <c r="I21" s="107">
        <f>E.R!F21</f>
        <v>-26324.063944987603</v>
      </c>
      <c r="J21" s="107"/>
      <c r="K21" s="107">
        <f>E.R!G21</f>
        <v>-25906.359052355983</v>
      </c>
      <c r="L21" s="107"/>
      <c r="M21" s="107">
        <f>E.R!H21</f>
        <v>-25503.432489222148</v>
      </c>
      <c r="N21" s="107"/>
      <c r="Q21" s="229"/>
      <c r="R21" s="229"/>
      <c r="S21" s="229"/>
      <c r="T21" s="229"/>
      <c r="U21" s="229"/>
    </row>
    <row r="22" spans="2:21">
      <c r="B22" s="106" t="str">
        <f>E.R!B22</f>
        <v>Ajuste por movimiento del inventario (materiales de consumo) instalaciones nuevas</v>
      </c>
      <c r="C22" s="107">
        <f>E.R!C22</f>
        <v>0</v>
      </c>
      <c r="D22" s="107"/>
      <c r="E22" s="107">
        <f>E.R!D22</f>
        <v>0</v>
      </c>
      <c r="F22" s="107"/>
      <c r="G22" s="107">
        <f>E.R!E22</f>
        <v>-5093.4065934064565</v>
      </c>
      <c r="H22" s="107"/>
      <c r="I22" s="107">
        <f>E.R!F22</f>
        <v>-5012.8928571429569</v>
      </c>
      <c r="J22" s="107"/>
      <c r="K22" s="107">
        <f>E.R!G22</f>
        <v>-4933.349292857165</v>
      </c>
      <c r="L22" s="107"/>
      <c r="M22" s="107">
        <f>E.R!H22</f>
        <v>-4856.6199666212779</v>
      </c>
      <c r="N22" s="107"/>
      <c r="Q22" s="229"/>
      <c r="R22" s="229"/>
      <c r="S22" s="229"/>
      <c r="T22" s="229"/>
      <c r="U22" s="229"/>
    </row>
    <row r="23" spans="2:21">
      <c r="B23" s="106" t="str">
        <f>E.R!B23</f>
        <v>Ajuste por movimiento del inventario (materiales de consumo) mantenimientos y recargas</v>
      </c>
      <c r="C23" s="107">
        <f>E.R!C23</f>
        <v>0</v>
      </c>
      <c r="D23" s="107"/>
      <c r="E23" s="107">
        <f>E.R!D23</f>
        <v>0</v>
      </c>
      <c r="F23" s="107"/>
      <c r="G23" s="107">
        <f>E.R!E23</f>
        <v>-169928.57142857133</v>
      </c>
      <c r="H23" s="107"/>
      <c r="I23" s="107">
        <f>E.R!F23</f>
        <v>-5012.8928571429569</v>
      </c>
      <c r="J23" s="107"/>
      <c r="K23" s="107">
        <f>E.R!G23</f>
        <v>-4933.349292857165</v>
      </c>
      <c r="L23" s="107"/>
      <c r="M23" s="107">
        <f>E.R!H23</f>
        <v>-4856.6199666215107</v>
      </c>
      <c r="N23" s="107"/>
      <c r="Q23" s="229"/>
      <c r="R23" s="229"/>
      <c r="S23" s="229"/>
      <c r="T23" s="229"/>
      <c r="U23" s="229"/>
    </row>
    <row r="24" spans="2:21">
      <c r="B24" s="100" t="str">
        <f>E.R!B24</f>
        <v>UTILIDAD BRUTA</v>
      </c>
      <c r="C24" s="101">
        <f>E.R!C24</f>
        <v>0</v>
      </c>
      <c r="D24" s="101"/>
      <c r="E24" s="101">
        <f>E.R!D24</f>
        <v>564952317.6665138</v>
      </c>
      <c r="F24" s="222"/>
      <c r="G24" s="101">
        <f>E.R!E24</f>
        <v>1031733303.27248</v>
      </c>
      <c r="H24" s="222"/>
      <c r="I24" s="101">
        <f>E.R!F24</f>
        <v>1293793086.7958252</v>
      </c>
      <c r="J24" s="222"/>
      <c r="K24" s="101">
        <f>E.R!G24</f>
        <v>1591250242.0955751</v>
      </c>
      <c r="L24" s="222"/>
      <c r="M24" s="101">
        <f>E.R!H24</f>
        <v>1926624672.6505094</v>
      </c>
      <c r="N24" s="222"/>
      <c r="Q24" s="229"/>
      <c r="R24" s="229"/>
      <c r="S24" s="229"/>
      <c r="T24" s="229"/>
      <c r="U24" s="229"/>
    </row>
    <row r="25" spans="2:21">
      <c r="B25" s="100" t="str">
        <f>E.R!B25</f>
        <v>COSTOS OPERACIONALES</v>
      </c>
      <c r="C25" s="101">
        <f>E.R!C25</f>
        <v>0</v>
      </c>
      <c r="D25" s="101"/>
      <c r="E25" s="101">
        <f>E.R!D25</f>
        <v>523737337.32140976</v>
      </c>
      <c r="F25" s="222">
        <f>E25/E4</f>
        <v>0.45192634081370264</v>
      </c>
      <c r="G25" s="101">
        <f>E.R!E25</f>
        <v>593156942.27736449</v>
      </c>
      <c r="H25" s="222">
        <f>G25/G4</f>
        <v>0.2952525750059436</v>
      </c>
      <c r="I25" s="101">
        <f>E.R!F25</f>
        <v>614366727.23910451</v>
      </c>
      <c r="J25" s="222">
        <f>I25/I4</f>
        <v>0.25803271469948785</v>
      </c>
      <c r="K25" s="101">
        <f>E.R!G25</f>
        <v>648359682.46609163</v>
      </c>
      <c r="L25" s="222">
        <f>K25/K4</f>
        <v>0.23213427731030128</v>
      </c>
      <c r="M25" s="101">
        <f>E.R!H25</f>
        <v>682991390.43505406</v>
      </c>
      <c r="N25" s="222">
        <f>M25/M4</f>
        <v>0.21022908045737951</v>
      </c>
      <c r="O25" s="233">
        <f>AVERAGE(N25,L25,J25,H25,F25)</f>
        <v>0.28951499765736299</v>
      </c>
      <c r="Q25" s="228">
        <f>(G25-E25)/E25</f>
        <v>0.13254660305677798</v>
      </c>
      <c r="R25" s="228">
        <f>(I25-G25)/G25</f>
        <v>3.5757458861237046E-2</v>
      </c>
      <c r="S25" s="228">
        <f>(K25-I25)/I25</f>
        <v>5.5330071958401249E-2</v>
      </c>
      <c r="T25" s="228">
        <f>(M25-K25)/K25</f>
        <v>5.341434531715137E-2</v>
      </c>
      <c r="U25" s="249">
        <f t="shared" ref="U25:U38" si="26">AVERAGE(Q25:T25)</f>
        <v>6.9262119798391919E-2</v>
      </c>
    </row>
    <row r="26" spans="2:21">
      <c r="B26" s="102" t="str">
        <f>E.R!B26</f>
        <v>Inversión en mercadeo</v>
      </c>
      <c r="C26" s="103">
        <f>E.R!C26</f>
        <v>0</v>
      </c>
      <c r="D26" s="103"/>
      <c r="E26" s="103">
        <f>E.R!D26</f>
        <v>71123764.065853238</v>
      </c>
      <c r="F26" s="219">
        <f>E26/E$25</f>
        <v>0.13580044613509318</v>
      </c>
      <c r="G26" s="103">
        <f>E.R!E26</f>
        <v>74664137.762835443</v>
      </c>
      <c r="H26" s="219">
        <f>G26/G$25</f>
        <v>0.12587585585051106</v>
      </c>
      <c r="I26" s="103">
        <f>E.R!F26</f>
        <v>77137241.726583794</v>
      </c>
      <c r="J26" s="219">
        <f>I26/I$25</f>
        <v>0.12555569549352052</v>
      </c>
      <c r="K26" s="103">
        <f>E.R!G26</f>
        <v>79586638.115790173</v>
      </c>
      <c r="L26" s="219">
        <f>K26/K$25</f>
        <v>0.12275075126984389</v>
      </c>
      <c r="M26" s="103">
        <f>E.R!H26</f>
        <v>82025170.212656245</v>
      </c>
      <c r="N26" s="219">
        <f>M26/M$25</f>
        <v>0.12009693147143127</v>
      </c>
      <c r="O26" s="232">
        <f t="shared" ref="O26:O38" si="27">AVERAGE(N26,L26,J26,H26,F26)</f>
        <v>0.12601593604407996</v>
      </c>
      <c r="Q26" s="228">
        <f>(G26-E26)/E26</f>
        <v>4.9777648068572211E-2</v>
      </c>
      <c r="R26" s="228">
        <f>(I26-G26)/G26</f>
        <v>3.3123049938699675E-2</v>
      </c>
      <c r="S26" s="228">
        <f>(K26-I26)/I26</f>
        <v>3.1753746107339026E-2</v>
      </c>
      <c r="T26" s="228">
        <f>(M26-K26)/K26</f>
        <v>3.063996865049462E-2</v>
      </c>
      <c r="U26" s="66">
        <f t="shared" si="26"/>
        <v>3.632360319127638E-2</v>
      </c>
    </row>
    <row r="27" spans="2:21">
      <c r="B27" s="102" t="str">
        <f>E.R!B27</f>
        <v>Inversión en I+D y calidad</v>
      </c>
      <c r="C27" s="103">
        <f>E.R!C27</f>
        <v>0</v>
      </c>
      <c r="D27" s="103"/>
      <c r="E27" s="103">
        <f>E.R!D27</f>
        <v>6504500</v>
      </c>
      <c r="F27" s="219">
        <f t="shared" ref="F27:F38" si="28">E27/E$25</f>
        <v>1.2419393341835176E-2</v>
      </c>
      <c r="G27" s="103">
        <f>E.R!E27</f>
        <v>6705489.0499999989</v>
      </c>
      <c r="H27" s="219">
        <f t="shared" ref="H27" si="29">G27/G$25</f>
        <v>1.1304746808247695E-2</v>
      </c>
      <c r="I27" s="103">
        <f>E.R!F27</f>
        <v>6903300.9769749995</v>
      </c>
      <c r="J27" s="219">
        <f t="shared" ref="J27" si="30">I27/I$25</f>
        <v>1.1236449942524823E-2</v>
      </c>
      <c r="K27" s="103">
        <f>E.R!G27</f>
        <v>7097974.0645256946</v>
      </c>
      <c r="L27" s="219">
        <f t="shared" ref="L27" si="31">K27/K$25</f>
        <v>1.0947587051569804E-2</v>
      </c>
      <c r="M27" s="103">
        <f>E.R!H27</f>
        <v>7289619.3642678875</v>
      </c>
      <c r="N27" s="219">
        <f t="shared" ref="N27" si="32">M27/M$25</f>
        <v>1.0673076507779289E-2</v>
      </c>
      <c r="O27" s="232">
        <f t="shared" si="27"/>
        <v>1.1316250730391358E-2</v>
      </c>
      <c r="Q27" s="228">
        <f>(G27-E27)/E27</f>
        <v>3.0899999999999827E-2</v>
      </c>
      <c r="R27" s="228">
        <f>(I27-G27)/G27</f>
        <v>2.9500000000000103E-2</v>
      </c>
      <c r="S27" s="228">
        <f>(K27-I27)/I27</f>
        <v>2.820000000000001E-2</v>
      </c>
      <c r="T27" s="228">
        <f>(M27-K27)/K27</f>
        <v>2.6999999999999889E-2</v>
      </c>
      <c r="U27" s="66">
        <f t="shared" si="26"/>
        <v>2.8899999999999954E-2</v>
      </c>
    </row>
    <row r="28" spans="2:21">
      <c r="B28" s="102" t="str">
        <f>E.R!B28</f>
        <v>Gastos de puesta en marcha</v>
      </c>
      <c r="C28" s="103">
        <f>E.R!C28</f>
        <v>0</v>
      </c>
      <c r="D28" s="103"/>
      <c r="E28" s="103">
        <f>E.R!D28</f>
        <v>3796734.8693146855</v>
      </c>
      <c r="F28" s="219">
        <f t="shared" si="28"/>
        <v>7.2493110549127918E-3</v>
      </c>
      <c r="G28" s="103">
        <f>E.R!E28</f>
        <v>0</v>
      </c>
      <c r="H28" s="219">
        <f t="shared" ref="H28" si="33">G28/G$25</f>
        <v>0</v>
      </c>
      <c r="I28" s="103">
        <f>E.R!F28</f>
        <v>0</v>
      </c>
      <c r="J28" s="219">
        <f t="shared" ref="J28" si="34">I28/I$25</f>
        <v>0</v>
      </c>
      <c r="K28" s="103">
        <f>E.R!G28</f>
        <v>0</v>
      </c>
      <c r="L28" s="219">
        <f t="shared" ref="L28" si="35">K28/K$25</f>
        <v>0</v>
      </c>
      <c r="M28" s="103">
        <f>E.R!H28</f>
        <v>0</v>
      </c>
      <c r="N28" s="219">
        <f t="shared" ref="N28" si="36">M28/M$25</f>
        <v>0</v>
      </c>
      <c r="O28" s="232">
        <f t="shared" si="27"/>
        <v>1.4498622109825584E-3</v>
      </c>
      <c r="Q28" s="228"/>
      <c r="R28" s="228"/>
      <c r="S28" s="228"/>
      <c r="T28" s="228"/>
      <c r="U28" s="66"/>
    </row>
    <row r="29" spans="2:21">
      <c r="B29" s="109" t="str">
        <f>E.R!B29</f>
        <v>Costos de mantenimiento para maquinaria y equipo, herramienta menor y dotación</v>
      </c>
      <c r="C29" s="103">
        <f>E.R!C29</f>
        <v>0</v>
      </c>
      <c r="D29" s="103"/>
      <c r="E29" s="103">
        <f>E.R!D29</f>
        <v>3140000</v>
      </c>
      <c r="F29" s="219">
        <f t="shared" si="28"/>
        <v>5.9953716801233684E-3</v>
      </c>
      <c r="G29" s="103">
        <f>E.R!E29</f>
        <v>3237025.9999999986</v>
      </c>
      <c r="H29" s="219">
        <f t="shared" ref="H29" si="37">G29/G$25</f>
        <v>5.4572841844719435E-3</v>
      </c>
      <c r="I29" s="103">
        <f>E.R!F29</f>
        <v>3332518.2670000005</v>
      </c>
      <c r="J29" s="219">
        <f t="shared" ref="J29" si="38">I29/I$25</f>
        <v>5.4243143699789298E-3</v>
      </c>
      <c r="K29" s="103">
        <f>E.R!G29</f>
        <v>3426495.2821293999</v>
      </c>
      <c r="L29" s="219">
        <f t="shared" ref="L29" si="39">K29/K$25</f>
        <v>5.2848679132799121E-3</v>
      </c>
      <c r="M29" s="103">
        <f>E.R!H29</f>
        <v>3519010.6547468924</v>
      </c>
      <c r="N29" s="219">
        <f t="shared" ref="N29" si="40">M29/M$25</f>
        <v>5.1523499476403964E-3</v>
      </c>
      <c r="O29" s="232">
        <f t="shared" si="27"/>
        <v>5.4628376190989109E-3</v>
      </c>
      <c r="Q29" s="228">
        <f>(G29-E29)/E29</f>
        <v>3.0899999999999556E-2</v>
      </c>
      <c r="R29" s="228">
        <f t="shared" ref="R29:R38" si="41">(I29-G29)/G29</f>
        <v>2.9500000000000585E-2</v>
      </c>
      <c r="S29" s="228">
        <f t="shared" ref="S29:S38" si="42">(K29-I29)/I29</f>
        <v>2.8199999999999843E-2</v>
      </c>
      <c r="T29" s="228">
        <f t="shared" ref="T29:T38" si="43">(M29-K29)/K29</f>
        <v>2.6999999999999608E-2</v>
      </c>
      <c r="U29" s="66">
        <f t="shared" si="26"/>
        <v>2.8899999999999898E-2</v>
      </c>
    </row>
    <row r="30" spans="2:21">
      <c r="B30" s="102" t="str">
        <f>E.R!B30</f>
        <v>Costos de mano de obra directa  (instalaciones nuevas)</v>
      </c>
      <c r="C30" s="103">
        <f>E.R!C30</f>
        <v>0</v>
      </c>
      <c r="D30" s="103"/>
      <c r="E30" s="103">
        <f>E.R!D30</f>
        <v>59785763.520000011</v>
      </c>
      <c r="F30" s="219">
        <f t="shared" si="28"/>
        <v>0.1141521890071213</v>
      </c>
      <c r="G30" s="103">
        <f>E.R!E30</f>
        <v>61633143.612767994</v>
      </c>
      <c r="H30" s="219">
        <f t="shared" ref="H30" si="44">G30/G$25</f>
        <v>0.10390697506824069</v>
      </c>
      <c r="I30" s="103">
        <f>E.R!F30</f>
        <v>63451321.349344663</v>
      </c>
      <c r="J30" s="219">
        <f t="shared" ref="J30" si="45">I30/I$25</f>
        <v>0.10327922808334335</v>
      </c>
      <c r="K30" s="103">
        <f>E.R!G30</f>
        <v>65240648.611396194</v>
      </c>
      <c r="L30" s="219">
        <f t="shared" ref="L30" si="46">K30/K$25</f>
        <v>0.10062416028591999</v>
      </c>
      <c r="M30" s="103">
        <f>E.R!H30</f>
        <v>67002146.123903871</v>
      </c>
      <c r="N30" s="219">
        <f t="shared" ref="N30" si="47">M30/M$25</f>
        <v>9.8101011319080653E-2</v>
      </c>
      <c r="O30" s="232">
        <f t="shared" si="27"/>
        <v>0.1040127127527412</v>
      </c>
      <c r="Q30" s="228">
        <f>(G30-E30)/E30</f>
        <v>3.0899999999999723E-2</v>
      </c>
      <c r="R30" s="228">
        <f t="shared" si="41"/>
        <v>2.9500000000000214E-2</v>
      </c>
      <c r="S30" s="228">
        <f t="shared" si="42"/>
        <v>2.8200000000000169E-2</v>
      </c>
      <c r="T30" s="228">
        <f t="shared" si="43"/>
        <v>2.6999999999999691E-2</v>
      </c>
      <c r="U30" s="66">
        <f t="shared" si="26"/>
        <v>2.889999999999995E-2</v>
      </c>
    </row>
    <row r="31" spans="2:21">
      <c r="B31" s="102" t="str">
        <f>E.R!B31</f>
        <v>Costos de mano de obra directa (mantenimientos y recargas)</v>
      </c>
      <c r="C31" s="103">
        <f>E.R!C31</f>
        <v>0</v>
      </c>
      <c r="D31" s="103"/>
      <c r="E31" s="103">
        <f>E.R!D31</f>
        <v>0</v>
      </c>
      <c r="F31" s="219">
        <f t="shared" si="28"/>
        <v>0</v>
      </c>
      <c r="G31" s="103">
        <f>E.R!E31</f>
        <v>24289335.427967999</v>
      </c>
      <c r="H31" s="219">
        <f t="shared" ref="H31" si="48">G31/G$25</f>
        <v>4.0949255916506042E-2</v>
      </c>
      <c r="I31" s="103">
        <f>E.R!F31</f>
        <v>25005870.823093057</v>
      </c>
      <c r="J31" s="219">
        <f t="shared" ref="J31" si="49">I31/I$25</f>
        <v>4.0701863747515506E-2</v>
      </c>
      <c r="K31" s="103">
        <f>E.R!G31</f>
        <v>38566554.570456423</v>
      </c>
      <c r="L31" s="219">
        <f t="shared" ref="L31" si="50">K31/K$25</f>
        <v>5.9483270803892721E-2</v>
      </c>
      <c r="M31" s="103">
        <f>E.R!H31</f>
        <v>52810468.72514499</v>
      </c>
      <c r="N31" s="219">
        <f t="shared" ref="N31" si="51">M31/M$25</f>
        <v>7.7322305177969536E-2</v>
      </c>
      <c r="O31" s="232">
        <f t="shared" si="27"/>
        <v>4.3691339129176762E-2</v>
      </c>
      <c r="Q31" s="228"/>
      <c r="R31" s="228">
        <f t="shared" si="41"/>
        <v>2.9500000000000064E-2</v>
      </c>
      <c r="S31" s="228">
        <f t="shared" si="42"/>
        <v>0.54230000000000012</v>
      </c>
      <c r="T31" s="228">
        <f t="shared" si="43"/>
        <v>0.36933333333333318</v>
      </c>
      <c r="U31" s="66">
        <f>AVERAGE(R31:T31)</f>
        <v>0.31371111111111111</v>
      </c>
    </row>
    <row r="32" spans="2:21">
      <c r="B32" s="102" t="str">
        <f>E.R!B32</f>
        <v>Costos de mano de obra indirecta</v>
      </c>
      <c r="C32" s="103">
        <f>E.R!C32</f>
        <v>0</v>
      </c>
      <c r="D32" s="103"/>
      <c r="E32" s="103">
        <f>E.R!D32</f>
        <v>0</v>
      </c>
      <c r="F32" s="219">
        <f t="shared" si="28"/>
        <v>0</v>
      </c>
      <c r="G32" s="103">
        <f>E.R!E32</f>
        <v>0</v>
      </c>
      <c r="H32" s="219">
        <f t="shared" ref="H32" si="52">G32/G$25</f>
        <v>0</v>
      </c>
      <c r="I32" s="103">
        <f>E.R!F32</f>
        <v>0</v>
      </c>
      <c r="J32" s="219">
        <f t="shared" ref="J32" si="53">I32/I$25</f>
        <v>0</v>
      </c>
      <c r="K32" s="103">
        <f>E.R!G32</f>
        <v>0</v>
      </c>
      <c r="L32" s="219">
        <f t="shared" ref="L32" si="54">K32/K$25</f>
        <v>0</v>
      </c>
      <c r="M32" s="103">
        <f>E.R!H32</f>
        <v>0</v>
      </c>
      <c r="N32" s="219">
        <f t="shared" ref="N32" si="55">M32/M$25</f>
        <v>0</v>
      </c>
      <c r="O32" s="232">
        <f t="shared" si="27"/>
        <v>0</v>
      </c>
      <c r="Q32" s="228" t="e">
        <f t="shared" ref="Q32:Q38" si="56">(G32-E32)/E32</f>
        <v>#DIV/0!</v>
      </c>
      <c r="R32" s="228" t="e">
        <f t="shared" si="41"/>
        <v>#DIV/0!</v>
      </c>
      <c r="S32" s="228" t="e">
        <f t="shared" si="42"/>
        <v>#DIV/0!</v>
      </c>
      <c r="T32" s="228" t="e">
        <f t="shared" si="43"/>
        <v>#DIV/0!</v>
      </c>
      <c r="U32" s="66" t="e">
        <f t="shared" si="26"/>
        <v>#DIV/0!</v>
      </c>
    </row>
    <row r="33" spans="2:21">
      <c r="B33" s="102" t="str">
        <f>E.R!B33</f>
        <v>Costos de servicios públicos (luz y agua) área operativa</v>
      </c>
      <c r="C33" s="103">
        <f>E.R!C33</f>
        <v>0</v>
      </c>
      <c r="D33" s="103"/>
      <c r="E33" s="103">
        <f>E.R!D33</f>
        <v>5100000</v>
      </c>
      <c r="F33" s="219">
        <f t="shared" si="28"/>
        <v>9.7377055951048345E-3</v>
      </c>
      <c r="G33" s="103">
        <f>E.R!E33</f>
        <v>5257589.9999999991</v>
      </c>
      <c r="H33" s="219">
        <f t="shared" ref="H33" si="57">G33/G$25</f>
        <v>8.8637418282824579E-3</v>
      </c>
      <c r="I33" s="103">
        <f>E.R!F33</f>
        <v>5412688.9050000012</v>
      </c>
      <c r="J33" s="219">
        <f t="shared" ref="J33" si="58">I33/I$25</f>
        <v>8.8101921295836143E-3</v>
      </c>
      <c r="K33" s="103">
        <f>E.R!G33</f>
        <v>5565326.732121001</v>
      </c>
      <c r="L33" s="219">
        <f t="shared" ref="L33" si="59">K33/K$25</f>
        <v>8.5837026616966735E-3</v>
      </c>
      <c r="M33" s="103">
        <f>E.R!H33</f>
        <v>5715590.5538882678</v>
      </c>
      <c r="N33" s="219">
        <f t="shared" ref="N33" si="60">M33/M$25</f>
        <v>8.3684664754668913E-3</v>
      </c>
      <c r="O33" s="232">
        <f t="shared" si="27"/>
        <v>8.8727617380268929E-3</v>
      </c>
      <c r="Q33" s="228">
        <f t="shared" si="56"/>
        <v>3.0899999999999817E-2</v>
      </c>
      <c r="R33" s="228">
        <f t="shared" si="41"/>
        <v>2.9500000000000408E-2</v>
      </c>
      <c r="S33" s="228">
        <f t="shared" si="42"/>
        <v>2.8199999999999958E-2</v>
      </c>
      <c r="T33" s="228">
        <f t="shared" si="43"/>
        <v>2.6999999999999965E-2</v>
      </c>
      <c r="U33" s="66">
        <f t="shared" si="26"/>
        <v>2.8900000000000037E-2</v>
      </c>
    </row>
    <row r="34" spans="2:21">
      <c r="B34" s="102" t="str">
        <f>E.R!B34</f>
        <v>Costos de servicios públicos (luz y agua) área administrativa</v>
      </c>
      <c r="C34" s="103">
        <f>E.R!C34</f>
        <v>0</v>
      </c>
      <c r="D34" s="103"/>
      <c r="E34" s="103">
        <f>E.R!D34</f>
        <v>900000</v>
      </c>
      <c r="F34" s="219">
        <f t="shared" si="28"/>
        <v>1.718418634430265E-3</v>
      </c>
      <c r="G34" s="103">
        <f>E.R!E34</f>
        <v>927809.99999999988</v>
      </c>
      <c r="H34" s="219">
        <f t="shared" ref="H34" si="61">G34/G$25</f>
        <v>1.5641897344027867E-3</v>
      </c>
      <c r="I34" s="103">
        <f>E.R!F34</f>
        <v>955180.3949999999</v>
      </c>
      <c r="J34" s="219">
        <f t="shared" ref="J34" si="62">I34/I$25</f>
        <v>1.5547397875735783E-3</v>
      </c>
      <c r="K34" s="103">
        <f>E.R!G34</f>
        <v>982116.4821390002</v>
      </c>
      <c r="L34" s="219">
        <f t="shared" ref="L34" si="63">K34/K$25</f>
        <v>1.5147710579464719E-3</v>
      </c>
      <c r="M34" s="103">
        <f>E.R!H34</f>
        <v>1008633.6271567526</v>
      </c>
      <c r="N34" s="219">
        <f t="shared" ref="N34" si="64">M34/M$25</f>
        <v>1.47678820155298E-3</v>
      </c>
      <c r="O34" s="232">
        <f t="shared" si="27"/>
        <v>1.5657814831812164E-3</v>
      </c>
      <c r="Q34" s="228">
        <f t="shared" si="56"/>
        <v>3.0899999999999872E-2</v>
      </c>
      <c r="R34" s="228">
        <f t="shared" si="41"/>
        <v>2.9500000000000023E-2</v>
      </c>
      <c r="S34" s="228">
        <f t="shared" si="42"/>
        <v>2.8200000000000319E-2</v>
      </c>
      <c r="T34" s="228">
        <f t="shared" si="43"/>
        <v>2.6999999999999406E-2</v>
      </c>
      <c r="U34" s="66">
        <f t="shared" si="26"/>
        <v>2.8899999999999905E-2</v>
      </c>
    </row>
    <row r="35" spans="2:21">
      <c r="B35" s="102" t="str">
        <f>E.R!B35</f>
        <v>Costos de arrendamiento área operativa</v>
      </c>
      <c r="C35" s="103">
        <f>E.R!C35</f>
        <v>0</v>
      </c>
      <c r="D35" s="103"/>
      <c r="E35" s="103">
        <f>E.R!D35</f>
        <v>85517750.309213102</v>
      </c>
      <c r="F35" s="219">
        <f t="shared" si="28"/>
        <v>0.16328366189545149</v>
      </c>
      <c r="G35" s="103">
        <f>E.R!E35</f>
        <v>88160248.79376781</v>
      </c>
      <c r="H35" s="219">
        <f t="shared" ref="H35" si="65">G35/G$25</f>
        <v>0.14862887460321325</v>
      </c>
      <c r="I35" s="103">
        <f>E.R!F35</f>
        <v>90760976.133183911</v>
      </c>
      <c r="J35" s="219">
        <f t="shared" ref="J35" si="66">I35/I$25</f>
        <v>0.14773094327724029</v>
      </c>
      <c r="K35" s="103">
        <f>E.R!G35</f>
        <v>93320435.66013974</v>
      </c>
      <c r="L35" s="219">
        <f t="shared" ref="L35" si="67">K35/K$25</f>
        <v>0.1439331256767655</v>
      </c>
      <c r="M35" s="103">
        <f>E.R!H35</f>
        <v>95840087.4229635</v>
      </c>
      <c r="N35" s="219">
        <f t="shared" ref="N35" si="68">M35/M$25</f>
        <v>0.14032400519999963</v>
      </c>
      <c r="O35" s="232">
        <f t="shared" si="27"/>
        <v>0.14878012213053404</v>
      </c>
      <c r="P35" s="233">
        <f>O35+O36</f>
        <v>0.17503543780062827</v>
      </c>
      <c r="Q35" s="228">
        <f t="shared" si="56"/>
        <v>3.0900000000000271E-2</v>
      </c>
      <c r="R35" s="228">
        <f t="shared" si="41"/>
        <v>2.9499999999999447E-2</v>
      </c>
      <c r="S35" s="228">
        <f t="shared" si="42"/>
        <v>2.8200000000000461E-2</v>
      </c>
      <c r="T35" s="228">
        <f t="shared" si="43"/>
        <v>2.6999999999999868E-2</v>
      </c>
      <c r="U35" s="66">
        <f t="shared" si="26"/>
        <v>2.8900000000000012E-2</v>
      </c>
    </row>
    <row r="36" spans="2:21">
      <c r="B36" s="102" t="str">
        <f>E.R!B36</f>
        <v>Costos de arrendamiento área administrativa</v>
      </c>
      <c r="C36" s="103">
        <f>E.R!C36</f>
        <v>0</v>
      </c>
      <c r="D36" s="103"/>
      <c r="E36" s="103">
        <f>E.R!D36</f>
        <v>15091367.701625841</v>
      </c>
      <c r="F36" s="219">
        <f t="shared" si="28"/>
        <v>2.8814763863903203E-2</v>
      </c>
      <c r="G36" s="103">
        <f>E.R!E36</f>
        <v>15557690.963606084</v>
      </c>
      <c r="H36" s="219">
        <f t="shared" ref="H36" si="69">G36/G$25</f>
        <v>2.6228624929978808E-2</v>
      </c>
      <c r="I36" s="103">
        <f>E.R!F36</f>
        <v>16016642.847032459</v>
      </c>
      <c r="J36" s="219">
        <f t="shared" ref="J36" si="70">I36/I$25</f>
        <v>2.6070166460689471E-2</v>
      </c>
      <c r="K36" s="103">
        <f>E.R!G36</f>
        <v>16468312.175318776</v>
      </c>
      <c r="L36" s="219">
        <f t="shared" ref="L36" si="71">K36/K$25</f>
        <v>2.5399963354723321E-2</v>
      </c>
      <c r="M36" s="103">
        <f>E.R!H36</f>
        <v>16912956.604052383</v>
      </c>
      <c r="N36" s="219">
        <f t="shared" ref="N36" si="72">M36/M$25</f>
        <v>2.4763059741176405E-2</v>
      </c>
      <c r="O36" s="232">
        <f t="shared" si="27"/>
        <v>2.6255315670094242E-2</v>
      </c>
      <c r="Q36" s="228">
        <f t="shared" si="56"/>
        <v>3.0900000000000302E-2</v>
      </c>
      <c r="R36" s="228">
        <f t="shared" si="41"/>
        <v>2.9499999999999756E-2</v>
      </c>
      <c r="S36" s="228">
        <f t="shared" si="42"/>
        <v>2.8200000000000055E-2</v>
      </c>
      <c r="T36" s="228">
        <f t="shared" si="43"/>
        <v>2.7000000000000048E-2</v>
      </c>
      <c r="U36" s="66">
        <f t="shared" si="26"/>
        <v>2.890000000000004E-2</v>
      </c>
    </row>
    <row r="37" spans="2:21">
      <c r="B37" s="102" t="str">
        <f>E.R!B37</f>
        <v>Costos de personal administrativo y de ventas</v>
      </c>
      <c r="C37" s="103">
        <f>E.R!C37</f>
        <v>0</v>
      </c>
      <c r="D37" s="103"/>
      <c r="E37" s="103">
        <f>E.R!D37</f>
        <v>184737988.41000006</v>
      </c>
      <c r="F37" s="219">
        <f t="shared" si="28"/>
        <v>0.35273022418989602</v>
      </c>
      <c r="G37" s="103">
        <f>E.R!E37</f>
        <v>190446392.25186899</v>
      </c>
      <c r="H37" s="219">
        <f t="shared" ref="H37" si="73">G37/G$25</f>
        <v>0.32107251669460335</v>
      </c>
      <c r="I37" s="103">
        <f>E.R!F37</f>
        <v>196064560.82329914</v>
      </c>
      <c r="J37" s="219">
        <f t="shared" ref="J37" si="74">I37/I$25</f>
        <v>0.31913277873037066</v>
      </c>
      <c r="K37" s="103">
        <f>E.R!G37</f>
        <v>201593581.43851623</v>
      </c>
      <c r="L37" s="219">
        <f t="shared" ref="L37" si="75">K37/K$25</f>
        <v>0.31092862016302086</v>
      </c>
      <c r="M37" s="103">
        <f>E.R!H37</f>
        <v>207036608.13735613</v>
      </c>
      <c r="N37" s="219">
        <f t="shared" ref="N37" si="76">M37/M$25</f>
        <v>0.30313209073613251</v>
      </c>
      <c r="O37" s="233">
        <f t="shared" si="27"/>
        <v>0.32139924610280468</v>
      </c>
      <c r="Q37" s="228">
        <f t="shared" si="56"/>
        <v>3.089999999999965E-2</v>
      </c>
      <c r="R37" s="228">
        <f t="shared" si="41"/>
        <v>2.9500000000000061E-2</v>
      </c>
      <c r="S37" s="228">
        <f t="shared" si="42"/>
        <v>2.8200000000000273E-2</v>
      </c>
      <c r="T37" s="228">
        <f t="shared" si="43"/>
        <v>2.6999999999999826E-2</v>
      </c>
      <c r="U37" s="66">
        <f t="shared" si="26"/>
        <v>2.8899999999999954E-2</v>
      </c>
    </row>
    <row r="38" spans="2:21">
      <c r="B38" s="102" t="str">
        <f>E.R!B38</f>
        <v>Costos y gastos administrativos y de ventas</v>
      </c>
      <c r="C38" s="103">
        <f>E.R!C38</f>
        <v>0</v>
      </c>
      <c r="D38" s="103"/>
      <c r="E38" s="103">
        <f>E.R!D38</f>
        <v>88039468.445402801</v>
      </c>
      <c r="F38" s="219">
        <f t="shared" si="28"/>
        <v>0.16809851460212832</v>
      </c>
      <c r="G38" s="103">
        <f>E.R!E38</f>
        <v>122278078.41455022</v>
      </c>
      <c r="H38" s="219">
        <f t="shared" ref="H38" si="77">G38/G$25</f>
        <v>0.20614793438154197</v>
      </c>
      <c r="I38" s="103">
        <f>E.R!F38</f>
        <v>129326424.99259251</v>
      </c>
      <c r="J38" s="219">
        <f t="shared" ref="J38" si="78">I38/I$25</f>
        <v>0.21050362797765926</v>
      </c>
      <c r="K38" s="103">
        <f>E.R!G38</f>
        <v>136511599.3335591</v>
      </c>
      <c r="L38" s="219">
        <f t="shared" ref="L38" si="79">K38/K$25</f>
        <v>0.21054917976134099</v>
      </c>
      <c r="M38" s="103">
        <f>E.R!H38</f>
        <v>143831099.00891715</v>
      </c>
      <c r="N38" s="219">
        <f t="shared" ref="N38" si="80">M38/M$25</f>
        <v>0.21058991522177045</v>
      </c>
      <c r="O38" s="233">
        <f t="shared" si="27"/>
        <v>0.2011778343888882</v>
      </c>
      <c r="Q38" s="228">
        <f t="shared" si="56"/>
        <v>0.38890068935820871</v>
      </c>
      <c r="R38" s="228">
        <f t="shared" si="41"/>
        <v>5.7641947513656672E-2</v>
      </c>
      <c r="S38" s="228">
        <f t="shared" si="42"/>
        <v>5.5558439362861305E-2</v>
      </c>
      <c r="T38" s="228">
        <f t="shared" si="43"/>
        <v>5.361815194526609E-2</v>
      </c>
      <c r="U38" s="66">
        <f t="shared" si="26"/>
        <v>0.13892980704499819</v>
      </c>
    </row>
    <row r="39" spans="2:21">
      <c r="B39" s="100" t="str">
        <f>E.R!B39</f>
        <v>DEPRECIACIÓN DE ACTIVOS</v>
      </c>
      <c r="C39" s="101">
        <f>E.R!C39</f>
        <v>0</v>
      </c>
      <c r="D39" s="101"/>
      <c r="E39" s="101">
        <f>E.R!D39</f>
        <v>8640000</v>
      </c>
      <c r="F39" s="101"/>
      <c r="G39" s="101">
        <f>E.R!E39</f>
        <v>11608992</v>
      </c>
      <c r="H39" s="101"/>
      <c r="I39" s="101">
        <f>E.R!F39</f>
        <v>11608992</v>
      </c>
      <c r="J39" s="101"/>
      <c r="K39" s="101">
        <f>E.R!G39</f>
        <v>13135350.7872</v>
      </c>
      <c r="L39" s="101"/>
      <c r="M39" s="101">
        <f>E.R!H39</f>
        <v>14702921.261654399</v>
      </c>
      <c r="N39" s="101"/>
      <c r="Q39" s="229"/>
      <c r="R39" s="229"/>
      <c r="S39" s="229"/>
      <c r="T39" s="229"/>
      <c r="U39" s="229"/>
    </row>
    <row r="40" spans="2:21">
      <c r="B40" s="100" t="str">
        <f>E.R!B40</f>
        <v>UTILIDAD OPERACIONAL</v>
      </c>
      <c r="C40" s="101">
        <f>E.R!C40</f>
        <v>0</v>
      </c>
      <c r="D40" s="101"/>
      <c r="E40" s="101">
        <f>E.R!D40</f>
        <v>32574980.345104039</v>
      </c>
      <c r="F40" s="101"/>
      <c r="G40" s="101">
        <f>E.R!E40</f>
        <v>426967368.99511552</v>
      </c>
      <c r="H40" s="101"/>
      <c r="I40" s="101">
        <f>E.R!F40</f>
        <v>667817367.55672073</v>
      </c>
      <c r="J40" s="101"/>
      <c r="K40" s="101">
        <f>E.R!G40</f>
        <v>929755208.84228349</v>
      </c>
      <c r="L40" s="101"/>
      <c r="M40" s="101">
        <f>E.R!H40</f>
        <v>1228930360.9538009</v>
      </c>
      <c r="N40" s="101"/>
      <c r="Q40" s="229"/>
      <c r="R40" s="229"/>
      <c r="S40" s="229"/>
      <c r="T40" s="229"/>
      <c r="U40" s="229"/>
    </row>
    <row r="41" spans="2:21">
      <c r="B41" s="100" t="str">
        <f>E.R!B41</f>
        <v>RESULTADO NO OPERACIONAL</v>
      </c>
      <c r="C41" s="101">
        <f>E.R!C41</f>
        <v>0</v>
      </c>
      <c r="D41" s="101"/>
      <c r="E41" s="101">
        <f>E.R!D41</f>
        <v>-18474854.843480278</v>
      </c>
      <c r="F41" s="101"/>
      <c r="G41" s="101">
        <f>E.R!E41</f>
        <v>-16092261.68461073</v>
      </c>
      <c r="H41" s="101"/>
      <c r="I41" s="101">
        <f>E.R!F41</f>
        <v>-12967967.275385091</v>
      </c>
      <c r="J41" s="101"/>
      <c r="K41" s="101">
        <f>E.R!G41</f>
        <v>-8871080.0165675059</v>
      </c>
      <c r="L41" s="101"/>
      <c r="M41" s="101">
        <f>E.R!H41</f>
        <v>-3498831.7540800017</v>
      </c>
      <c r="N41" s="101"/>
      <c r="Q41" s="229"/>
      <c r="R41" s="229"/>
      <c r="S41" s="229"/>
      <c r="T41" s="229"/>
      <c r="U41" s="229"/>
    </row>
    <row r="42" spans="2:21">
      <c r="B42" s="102" t="str">
        <f>E.R!B42</f>
        <v>Ingresos financieros</v>
      </c>
      <c r="C42" s="103">
        <f>E.R!C42</f>
        <v>0</v>
      </c>
      <c r="D42" s="103"/>
      <c r="E42" s="103">
        <f>E.R!D42</f>
        <v>0</v>
      </c>
      <c r="F42" s="103"/>
      <c r="G42" s="103">
        <f>E.R!E42</f>
        <v>0</v>
      </c>
      <c r="H42" s="103"/>
      <c r="I42" s="103">
        <f>E.R!F42</f>
        <v>0</v>
      </c>
      <c r="J42" s="103"/>
      <c r="K42" s="103">
        <f>E.R!G42</f>
        <v>0</v>
      </c>
      <c r="L42" s="103"/>
      <c r="M42" s="103">
        <f>E.R!H42</f>
        <v>0</v>
      </c>
      <c r="N42" s="103"/>
      <c r="Q42" s="229"/>
      <c r="R42" s="229"/>
      <c r="S42" s="229"/>
      <c r="T42" s="229"/>
      <c r="U42" s="229"/>
    </row>
    <row r="43" spans="2:21">
      <c r="B43" s="102" t="str">
        <f>E.R!B43</f>
        <v>Gastos financieros</v>
      </c>
      <c r="C43" s="103">
        <f>E.R!C43</f>
        <v>0</v>
      </c>
      <c r="D43" s="103"/>
      <c r="E43" s="103">
        <f>E.R!D43</f>
        <v>18474854.843480278</v>
      </c>
      <c r="F43" s="103"/>
      <c r="G43" s="103">
        <f>E.R!E43</f>
        <v>16092261.68461073</v>
      </c>
      <c r="H43" s="103"/>
      <c r="I43" s="103">
        <f>E.R!F43</f>
        <v>12967967.275385091</v>
      </c>
      <c r="J43" s="103"/>
      <c r="K43" s="103">
        <f>E.R!G43</f>
        <v>8871080.0165675059</v>
      </c>
      <c r="L43" s="103"/>
      <c r="M43" s="103">
        <f>E.R!H43</f>
        <v>3498831.7540800017</v>
      </c>
      <c r="N43" s="103"/>
      <c r="Q43" s="229"/>
      <c r="R43" s="229"/>
      <c r="S43" s="229"/>
      <c r="T43" s="229"/>
      <c r="U43" s="229"/>
    </row>
    <row r="44" spans="2:21">
      <c r="B44" s="110" t="str">
        <f>E.R!B44</f>
        <v>Gastos por intereses</v>
      </c>
      <c r="C44" s="111">
        <f>E.R!C44</f>
        <v>0</v>
      </c>
      <c r="D44" s="111"/>
      <c r="E44" s="111">
        <f>E.R!D44</f>
        <v>18474854.843480278</v>
      </c>
      <c r="F44" s="111"/>
      <c r="G44" s="111">
        <f>E.R!E44</f>
        <v>16092261.68461073</v>
      </c>
      <c r="H44" s="111"/>
      <c r="I44" s="108">
        <f>E.R!F44</f>
        <v>12967967.275385091</v>
      </c>
      <c r="J44" s="111"/>
      <c r="K44" s="108">
        <f>E.R!G44</f>
        <v>8871080.0165675059</v>
      </c>
      <c r="L44" s="111"/>
      <c r="M44" s="108">
        <f>E.R!H44</f>
        <v>3498831.7540800017</v>
      </c>
      <c r="N44" s="111"/>
      <c r="Q44" s="228">
        <f>(G44-E44)/E44</f>
        <v>-0.12896410710963491</v>
      </c>
      <c r="R44" s="228">
        <f>(I44-G44)/G44</f>
        <v>-0.19414886921789548</v>
      </c>
      <c r="S44" s="228">
        <f>(K44-I44)/I44</f>
        <v>-0.31592362718203465</v>
      </c>
      <c r="T44" s="228">
        <f>(M44-K44)/K44</f>
        <v>-0.60559123043128549</v>
      </c>
      <c r="U44" s="66">
        <f t="shared" ref="U44" si="81">AVERAGE(Q44:T44)</f>
        <v>-0.31115695848521263</v>
      </c>
    </row>
    <row r="45" spans="2:21">
      <c r="B45" s="100" t="str">
        <f>E.R!B45</f>
        <v>UTILIDAD ANTES DE IMPUESTOS</v>
      </c>
      <c r="C45" s="101">
        <f>E.R!C45</f>
        <v>0</v>
      </c>
      <c r="D45" s="101"/>
      <c r="E45" s="101">
        <f>E.R!D45</f>
        <v>14100125.501623761</v>
      </c>
      <c r="F45" s="101"/>
      <c r="G45" s="101">
        <f>E.R!E45</f>
        <v>410875107.31050479</v>
      </c>
      <c r="H45" s="101"/>
      <c r="I45" s="101">
        <f>E.R!F45</f>
        <v>654849400.28133559</v>
      </c>
      <c r="J45" s="101"/>
      <c r="K45" s="101">
        <f>E.R!G45</f>
        <v>920884128.82571602</v>
      </c>
      <c r="L45" s="101"/>
      <c r="M45" s="101">
        <f>E.R!H45</f>
        <v>1225431529.1997209</v>
      </c>
      <c r="N45" s="101"/>
      <c r="Q45" s="229"/>
      <c r="R45" s="229"/>
      <c r="S45" s="229"/>
      <c r="T45" s="229"/>
      <c r="U45" s="229"/>
    </row>
    <row r="46" spans="2:21">
      <c r="B46" s="102" t="str">
        <f>E.R!B46</f>
        <v>Impuesto</v>
      </c>
      <c r="C46" s="103">
        <f>E.R!C46</f>
        <v>0</v>
      </c>
      <c r="D46" s="103"/>
      <c r="E46" s="103">
        <f>E.R!D46</f>
        <v>4653041.4155358411</v>
      </c>
      <c r="F46" s="103"/>
      <c r="G46" s="103">
        <f>E.R!E46</f>
        <v>135588785.41246659</v>
      </c>
      <c r="H46" s="103"/>
      <c r="I46" s="103">
        <f>E.R!F46</f>
        <v>216100302.09284076</v>
      </c>
      <c r="J46" s="103"/>
      <c r="K46" s="103">
        <f>E.R!G46</f>
        <v>303891762.51248628</v>
      </c>
      <c r="L46" s="103"/>
      <c r="M46" s="103">
        <f>E.R!H46</f>
        <v>404392404.63590789</v>
      </c>
      <c r="N46" s="103"/>
      <c r="Q46" s="228">
        <f>(G46-E46)/E46</f>
        <v>28.139819164247065</v>
      </c>
      <c r="R46" s="228">
        <f>(I46-G46)/G46</f>
        <v>0.59379185701424253</v>
      </c>
      <c r="S46" s="228">
        <f>(K46-I46)/I46</f>
        <v>0.40625329797979021</v>
      </c>
      <c r="T46" s="228">
        <f>(M46-K46)/K46</f>
        <v>0.33071196564366317</v>
      </c>
      <c r="U46" s="66">
        <f t="shared" ref="U46:U47" si="82">AVERAGE(Q46:T46)</f>
        <v>7.3676440712211901</v>
      </c>
    </row>
    <row r="47" spans="2:21">
      <c r="B47" s="112" t="str">
        <f>E.R!B49</f>
        <v>UTILIDAD NETA</v>
      </c>
      <c r="C47" s="113">
        <f>E.R!C49</f>
        <v>0</v>
      </c>
      <c r="D47" s="113"/>
      <c r="E47" s="113">
        <f>E.R!D49</f>
        <v>9447084.0860879198</v>
      </c>
      <c r="F47" s="113"/>
      <c r="G47" s="113">
        <f>E.R!E49</f>
        <v>275286321.89803821</v>
      </c>
      <c r="H47" s="113"/>
      <c r="I47" s="113">
        <f>E.R!F49</f>
        <v>438749098.1884948</v>
      </c>
      <c r="J47" s="113"/>
      <c r="K47" s="113">
        <f>E.R!G49</f>
        <v>616992366.3132298</v>
      </c>
      <c r="L47" s="113"/>
      <c r="M47" s="113">
        <f>E.R!H49</f>
        <v>821039124.56381297</v>
      </c>
      <c r="N47" s="113"/>
      <c r="O47" s="6">
        <f>AVERAGE(E47,G47,I47,K47,M47)</f>
        <v>432302799.0099327</v>
      </c>
      <c r="Q47" s="228">
        <f>(G47-E47)/E47</f>
        <v>28.139819164247061</v>
      </c>
      <c r="R47" s="228">
        <f>(I47-G47)/G47</f>
        <v>0.59379185701424231</v>
      </c>
      <c r="S47" s="228">
        <f>(K47-I47)/I47</f>
        <v>0.40625329797979065</v>
      </c>
      <c r="T47" s="228">
        <f>(M47-K47)/K47</f>
        <v>0.33071196564366295</v>
      </c>
      <c r="U47" s="66">
        <f t="shared" si="82"/>
        <v>7.3676440712211893</v>
      </c>
    </row>
    <row r="50" spans="2:14">
      <c r="B50" s="98" t="str">
        <f>F.E!B2</f>
        <v>Flujo de efectivo Anualizado</v>
      </c>
      <c r="C50" s="99" t="str">
        <f>F.E!C2</f>
        <v>AÑO 0</v>
      </c>
      <c r="D50" s="99"/>
      <c r="E50" s="99" t="str">
        <f>F.E!D2</f>
        <v>AÑO 1</v>
      </c>
      <c r="F50" s="99"/>
      <c r="G50" s="99" t="str">
        <f>F.E!E2</f>
        <v>AÑO 2</v>
      </c>
      <c r="H50" s="99"/>
      <c r="I50" s="99" t="str">
        <f>F.E!F2</f>
        <v>AÑO 3</v>
      </c>
      <c r="J50" s="99"/>
      <c r="K50" s="99" t="str">
        <f>F.E!G2</f>
        <v>AÑO 4</v>
      </c>
      <c r="L50" s="99"/>
      <c r="M50" s="99" t="str">
        <f>F.E!H2</f>
        <v>AÑO 5</v>
      </c>
      <c r="N50" s="99"/>
    </row>
    <row r="51" spans="2:14">
      <c r="B51" s="62"/>
      <c r="C51" s="82"/>
      <c r="D51" s="82"/>
      <c r="E51" s="82"/>
      <c r="F51" s="82"/>
      <c r="G51" s="82"/>
      <c r="H51" s="82"/>
      <c r="I51" s="82"/>
      <c r="J51" s="82"/>
      <c r="K51" s="82"/>
      <c r="L51" s="82"/>
      <c r="M51" s="82"/>
      <c r="N51" s="82"/>
    </row>
    <row r="52" spans="2:14">
      <c r="B52" s="83" t="str">
        <f>F.E!B4</f>
        <v>ACTIVIDADES DE OPERACIÓN</v>
      </c>
      <c r="C52" s="83"/>
      <c r="D52" s="83"/>
      <c r="E52" s="84"/>
      <c r="F52" s="84"/>
      <c r="G52" s="85"/>
      <c r="H52" s="84"/>
      <c r="I52" s="85"/>
      <c r="J52" s="84"/>
      <c r="K52" s="85"/>
      <c r="L52" s="84"/>
      <c r="M52" s="85"/>
      <c r="N52" s="84"/>
    </row>
    <row r="53" spans="2:14">
      <c r="B53" s="86" t="str">
        <f>F.E!B5</f>
        <v>Ingresos de efectivo</v>
      </c>
      <c r="C53" s="87">
        <f>F.E!C5</f>
        <v>0</v>
      </c>
      <c r="D53" s="87"/>
      <c r="E53" s="87">
        <f>F.E!D5</f>
        <v>1072925058.4615383</v>
      </c>
      <c r="F53" s="87"/>
      <c r="G53" s="87">
        <f>F.E!E5</f>
        <v>1958567187.5965271</v>
      </c>
      <c r="H53" s="87"/>
      <c r="I53" s="87">
        <f>F.E!F5</f>
        <v>2381835718.8199282</v>
      </c>
      <c r="J53" s="87"/>
      <c r="K53" s="87">
        <f>F.E!G5</f>
        <v>2758898050.3154306</v>
      </c>
      <c r="L53" s="87"/>
      <c r="M53" s="87">
        <f>F.E!H5</f>
        <v>3232446739.9046245</v>
      </c>
      <c r="N53" s="87"/>
    </row>
    <row r="54" spans="2:14">
      <c r="B54" s="88" t="str">
        <f>F.E!B6</f>
        <v>Ventas a contado (instalaciones nuevas)</v>
      </c>
      <c r="C54" s="84">
        <f>F.E!C6</f>
        <v>0</v>
      </c>
      <c r="D54" s="84"/>
      <c r="E54" s="84">
        <f>F.E!D6</f>
        <v>464565489.23076916</v>
      </c>
      <c r="F54" s="223"/>
      <c r="G54" s="84">
        <f>F.E!E6</f>
        <v>745391294.01759446</v>
      </c>
      <c r="H54" s="223"/>
      <c r="I54" s="84">
        <f>F.E!F6</f>
        <v>796155272.85599411</v>
      </c>
      <c r="J54" s="223"/>
      <c r="K54" s="84">
        <f>F.E!G6</f>
        <v>847451529.19894218</v>
      </c>
      <c r="L54" s="223"/>
      <c r="M54" s="84">
        <f>F.E!H6</f>
        <v>901465195.47161877</v>
      </c>
      <c r="N54" s="223"/>
    </row>
    <row r="55" spans="2:14">
      <c r="B55" s="88" t="str">
        <f>F.E!B7</f>
        <v>Recuperación de cxc 30 días (instalaciones nuevas)</v>
      </c>
      <c r="C55" s="84">
        <f>F.E!C7</f>
        <v>0</v>
      </c>
      <c r="D55" s="84"/>
      <c r="E55" s="84">
        <f>F.E!D7</f>
        <v>608359569.23076916</v>
      </c>
      <c r="F55" s="84"/>
      <c r="G55" s="84">
        <f>F.E!E7</f>
        <v>1075032373.5789328</v>
      </c>
      <c r="H55" s="84"/>
      <c r="I55" s="84">
        <f>F.E!F7</f>
        <v>1208142906.8626955</v>
      </c>
      <c r="J55" s="84"/>
      <c r="K55" s="84">
        <f>F.E!G7</f>
        <v>1249533736.3862157</v>
      </c>
      <c r="L55" s="84"/>
      <c r="M55" s="84">
        <f>F.E!H7</f>
        <v>1352134227.5156817</v>
      </c>
      <c r="N55" s="84"/>
    </row>
    <row r="56" spans="2:14">
      <c r="B56" s="88" t="str">
        <f>F.E!B8</f>
        <v>Ventas a contado (mantenimientos y recargas)</v>
      </c>
      <c r="C56" s="84">
        <f>F.E!C8</f>
        <v>0</v>
      </c>
      <c r="D56" s="84"/>
      <c r="E56" s="84">
        <f>F.E!D8</f>
        <v>0</v>
      </c>
      <c r="F56" s="84"/>
      <c r="G56" s="84">
        <f>F.E!E8</f>
        <v>59814720</v>
      </c>
      <c r="H56" s="84"/>
      <c r="I56" s="84">
        <f>F.E!F8</f>
        <v>157953838.13389367</v>
      </c>
      <c r="J56" s="84"/>
      <c r="K56" s="84">
        <f>F.E!G8</f>
        <v>271597723.21905333</v>
      </c>
      <c r="L56" s="84"/>
      <c r="M56" s="84">
        <f>F.E!H8</f>
        <v>400004464.28672016</v>
      </c>
      <c r="N56" s="84"/>
    </row>
    <row r="57" spans="2:14">
      <c r="B57" s="88" t="str">
        <f>F.E!B9</f>
        <v>Recuperación de cxc 30 días (mantenimientos y recargas)</v>
      </c>
      <c r="C57" s="84">
        <f>F.E!C9</f>
        <v>0</v>
      </c>
      <c r="D57" s="84"/>
      <c r="E57" s="84">
        <f>F.E!D9</f>
        <v>0</v>
      </c>
      <c r="F57" s="84"/>
      <c r="G57" s="84">
        <f>F.E!E9</f>
        <v>78328800</v>
      </c>
      <c r="H57" s="84"/>
      <c r="I57" s="84">
        <f>F.E!F9</f>
        <v>219583700.96734536</v>
      </c>
      <c r="J57" s="84"/>
      <c r="K57" s="84">
        <f>F.E!G9</f>
        <v>390315061.51121962</v>
      </c>
      <c r="L57" s="84"/>
      <c r="M57" s="84">
        <f>F.E!H9</f>
        <v>578842852.63060391</v>
      </c>
      <c r="N57" s="84"/>
    </row>
    <row r="58" spans="2:14">
      <c r="B58" s="86" t="str">
        <f>F.E!B10</f>
        <v>Egresos de efectivo</v>
      </c>
      <c r="C58" s="89">
        <f>F.E!C10</f>
        <v>0</v>
      </c>
      <c r="D58" s="89"/>
      <c r="E58" s="89">
        <f>F.E!D10</f>
        <v>993669350.99866033</v>
      </c>
      <c r="F58" s="89"/>
      <c r="G58" s="89">
        <f>F.E!E10</f>
        <v>1475562234.2477875</v>
      </c>
      <c r="H58" s="89"/>
      <c r="I58" s="89">
        <f>F.E!F10</f>
        <v>1762118631.914469</v>
      </c>
      <c r="J58" s="89"/>
      <c r="K58" s="89">
        <f>F.E!G10</f>
        <v>1970917843.6497333</v>
      </c>
      <c r="L58" s="89"/>
      <c r="M58" s="89">
        <f>F.E!H10</f>
        <v>2221930022.5828323</v>
      </c>
      <c r="N58" s="89"/>
    </row>
    <row r="59" spans="2:14">
      <c r="B59" s="90" t="str">
        <f>F.E!B11</f>
        <v>Descuentos en ventas (instalaciones nuevas)</v>
      </c>
      <c r="C59" s="137">
        <f>F.E!C11</f>
        <v>0</v>
      </c>
      <c r="D59" s="137"/>
      <c r="E59" s="137">
        <f>F.E!D11</f>
        <v>2513942.2444758019</v>
      </c>
      <c r="F59" s="137"/>
      <c r="G59" s="137">
        <f>F.E!E11</f>
        <v>4033598.5046975436</v>
      </c>
      <c r="H59" s="137"/>
      <c r="I59" s="137">
        <f>F.E!F11</f>
        <v>4308301.8863689611</v>
      </c>
      <c r="J59" s="137"/>
      <c r="K59" s="137">
        <f>F.E!G11</f>
        <v>4585885.6259995624</v>
      </c>
      <c r="L59" s="137"/>
      <c r="M59" s="137">
        <f>F.E!H11</f>
        <v>4878174.3141815811</v>
      </c>
      <c r="N59" s="137"/>
    </row>
    <row r="60" spans="2:14" ht="30">
      <c r="B60" s="138" t="str">
        <f>F.E!B12</f>
        <v>Pago de cuentas por pagar de materiales directos  y de consumo (instalaciones nuevas y mantenimientos y recargas)</v>
      </c>
      <c r="C60" s="137">
        <f>F.E!C12</f>
        <v>0</v>
      </c>
      <c r="D60" s="137"/>
      <c r="E60" s="137">
        <f>F.E!D12</f>
        <v>0</v>
      </c>
      <c r="F60" s="137"/>
      <c r="G60" s="137">
        <f>F.E!E12</f>
        <v>45104392.797990516</v>
      </c>
      <c r="H60" s="137"/>
      <c r="I60" s="137">
        <f>F.E!F12</f>
        <v>69052415.745472774</v>
      </c>
      <c r="J60" s="137"/>
      <c r="K60" s="137">
        <f>F.E!G12</f>
        <v>65074205.631793216</v>
      </c>
      <c r="L60" s="137"/>
      <c r="M60" s="137">
        <f>F.E!H12</f>
        <v>79038550.89734602</v>
      </c>
      <c r="N60" s="137"/>
    </row>
    <row r="61" spans="2:14">
      <c r="B61" s="139" t="str">
        <f>F.E!B13</f>
        <v>Pago de cuentas por pagar de materiales directos (instalaciones nuevas)</v>
      </c>
      <c r="C61" s="215">
        <f>F.E!C13</f>
        <v>0</v>
      </c>
      <c r="D61" s="215"/>
      <c r="E61" s="141">
        <f>F.E!D13</f>
        <v>0</v>
      </c>
      <c r="F61" s="141"/>
      <c r="G61" s="141">
        <f>F.E!E13</f>
        <v>44787909.281507</v>
      </c>
      <c r="H61" s="141"/>
      <c r="I61" s="141">
        <f>F.E!F13</f>
        <v>66542649.467042387</v>
      </c>
      <c r="J61" s="141"/>
      <c r="K61" s="141">
        <f>F.E!G13</f>
        <v>59527728.724738248</v>
      </c>
      <c r="L61" s="141"/>
      <c r="M61" s="141">
        <f>F.E!H13</f>
        <v>70565845.012187704</v>
      </c>
      <c r="N61" s="141"/>
    </row>
    <row r="62" spans="2:14">
      <c r="B62" s="139" t="str">
        <f>F.E!B14</f>
        <v>Pago de cuentas por pagar de materiales directos (mantenimientos y recargas)</v>
      </c>
      <c r="C62" s="215">
        <f>F.E!C14</f>
        <v>0</v>
      </c>
      <c r="D62" s="215"/>
      <c r="E62" s="141">
        <f>F.E!D14</f>
        <v>0</v>
      </c>
      <c r="F62" s="141"/>
      <c r="G62" s="141">
        <f>F.E!E14</f>
        <v>0</v>
      </c>
      <c r="H62" s="141"/>
      <c r="I62" s="141">
        <f>F.E!F14</f>
        <v>1713295.0093008943</v>
      </c>
      <c r="J62" s="141"/>
      <c r="K62" s="141">
        <f>F.E!G14</f>
        <v>4305870.6563840322</v>
      </c>
      <c r="L62" s="141"/>
      <c r="M62" s="141">
        <f>F.E!H14</f>
        <v>6698477.1351479413</v>
      </c>
      <c r="N62" s="141"/>
    </row>
    <row r="63" spans="2:14">
      <c r="B63" s="139" t="str">
        <f>F.E!B15</f>
        <v>Pago de cuentas por pagar de materiales de consumo (instalaciones nuevas)</v>
      </c>
      <c r="C63" s="215">
        <f>F.E!C15</f>
        <v>0</v>
      </c>
      <c r="D63" s="215"/>
      <c r="E63" s="141">
        <f>F.E!D15</f>
        <v>0</v>
      </c>
      <c r="F63" s="141"/>
      <c r="G63" s="141">
        <f>F.E!E15</f>
        <v>316483.51648351649</v>
      </c>
      <c r="H63" s="141"/>
      <c r="I63" s="141">
        <f>F.E!F15</f>
        <v>470208.41198665061</v>
      </c>
      <c r="J63" s="141"/>
      <c r="K63" s="141">
        <f>F.E!G15</f>
        <v>420639.07910211117</v>
      </c>
      <c r="L63" s="141"/>
      <c r="M63" s="141">
        <f>F.E!H15</f>
        <v>498637.40307050408</v>
      </c>
      <c r="N63" s="141"/>
    </row>
    <row r="64" spans="2:14">
      <c r="B64" s="139" t="str">
        <f>F.E!B16</f>
        <v>Pago de cuentas por pagar de materiales de consumo (mantenimientos y recargas)</v>
      </c>
      <c r="C64" s="215">
        <f>F.E!C16</f>
        <v>0</v>
      </c>
      <c r="D64" s="215"/>
      <c r="E64" s="141">
        <f>F.E!D16</f>
        <v>0</v>
      </c>
      <c r="F64" s="141"/>
      <c r="G64" s="141">
        <f>F.E!E16</f>
        <v>0</v>
      </c>
      <c r="H64" s="141"/>
      <c r="I64" s="141">
        <f>F.E!F16</f>
        <v>326262.8571428571</v>
      </c>
      <c r="J64" s="141"/>
      <c r="K64" s="141">
        <f>F.E!G16</f>
        <v>819967.17156882829</v>
      </c>
      <c r="L64" s="141"/>
      <c r="M64" s="141">
        <f>F.E!H16</f>
        <v>1275591.3469398597</v>
      </c>
      <c r="N64" s="141"/>
    </row>
    <row r="65" spans="2:14" ht="30">
      <c r="B65" s="142" t="str">
        <f>F.E!B17</f>
        <v>Compras de materiales directos y de consumo de contado (instalaciones nuevas y mantenimientos y recargas)</v>
      </c>
      <c r="C65" s="137">
        <f>F.E!C17</f>
        <v>0</v>
      </c>
      <c r="D65" s="137"/>
      <c r="E65" s="143">
        <f>F.E!D17</f>
        <v>236798062.18945023</v>
      </c>
      <c r="F65" s="143"/>
      <c r="G65" s="143">
        <f>F.E!E17</f>
        <v>390436837.54721087</v>
      </c>
      <c r="H65" s="143"/>
      <c r="I65" s="143">
        <f>F.E!F17</f>
        <v>433908515.28626537</v>
      </c>
      <c r="J65" s="143"/>
      <c r="K65" s="143">
        <f>F.E!G17</f>
        <v>479667327.72498906</v>
      </c>
      <c r="L65" s="143"/>
      <c r="M65" s="143">
        <f>F.E!H17</f>
        <v>527731783.95971978</v>
      </c>
      <c r="N65" s="143"/>
    </row>
    <row r="66" spans="2:14">
      <c r="B66" s="144" t="str">
        <f>F.E!B18</f>
        <v>Compras de materiales directos de contado (instalaciones nuevas)</v>
      </c>
      <c r="C66" s="141">
        <f>F.E!C18</f>
        <v>0</v>
      </c>
      <c r="D66" s="141"/>
      <c r="E66" s="141">
        <f>F.E!D18</f>
        <v>235136523.72791177</v>
      </c>
      <c r="F66" s="141"/>
      <c r="G66" s="141">
        <f>F.E!E18</f>
        <v>377064717.1714763</v>
      </c>
      <c r="H66" s="141"/>
      <c r="I66" s="141">
        <f>F.E!F18</f>
        <v>402890520.80542642</v>
      </c>
      <c r="J66" s="141"/>
      <c r="K66" s="141">
        <f>F.E!G18</f>
        <v>429368974.18849158</v>
      </c>
      <c r="L66" s="141"/>
      <c r="M66" s="141">
        <f>F.E!H18</f>
        <v>456486978.06096518</v>
      </c>
      <c r="N66" s="141"/>
    </row>
    <row r="67" spans="2:14">
      <c r="B67" s="144" t="str">
        <f>F.E!B19</f>
        <v>Compras de materiales directos de contado (mantenimientos y recargas)</v>
      </c>
      <c r="C67" s="141">
        <f>F.E!C19</f>
        <v>0</v>
      </c>
      <c r="D67" s="141"/>
      <c r="E67" s="141">
        <f>F.E!D19</f>
        <v>0</v>
      </c>
      <c r="F67" s="141"/>
      <c r="G67" s="141">
        <f>F.E!E19</f>
        <v>8994798.7988296952</v>
      </c>
      <c r="H67" s="141"/>
      <c r="I67" s="141">
        <f>F.E!F19</f>
        <v>23664608.206334021</v>
      </c>
      <c r="J67" s="141"/>
      <c r="K67" s="141">
        <f>F.E!G19</f>
        <v>39703564.123623811</v>
      </c>
      <c r="L67" s="141"/>
      <c r="M67" s="141">
        <f>F.E!H19</f>
        <v>57138296.354711905</v>
      </c>
      <c r="N67" s="141"/>
    </row>
    <row r="68" spans="2:14">
      <c r="B68" s="144" t="str">
        <f>F.E!B20</f>
        <v>Compras de materiales de consumo de contado (instalaciones nuevas)</v>
      </c>
      <c r="C68" s="141">
        <f>F.E!C20</f>
        <v>0</v>
      </c>
      <c r="D68" s="141"/>
      <c r="E68" s="141">
        <f>F.E!D20</f>
        <v>1661538.4615384617</v>
      </c>
      <c r="F68" s="141"/>
      <c r="G68" s="141">
        <f>F.E!E20</f>
        <v>2664441.576904885</v>
      </c>
      <c r="H68" s="141"/>
      <c r="I68" s="141">
        <f>F.E!F20</f>
        <v>2846933.7110813763</v>
      </c>
      <c r="J68" s="141"/>
      <c r="K68" s="141">
        <f>F.E!G20</f>
        <v>3034037.6454277243</v>
      </c>
      <c r="L68" s="141"/>
      <c r="M68" s="141">
        <f>F.E!H20</f>
        <v>3225660.8170214426</v>
      </c>
      <c r="N68" s="141"/>
    </row>
    <row r="69" spans="2:14">
      <c r="B69" s="144" t="str">
        <f>F.E!B21</f>
        <v>Compras de materiales de consumo de contado (mantenimientos y recargas)</v>
      </c>
      <c r="C69" s="141">
        <f>F.E!C21</f>
        <v>0</v>
      </c>
      <c r="D69" s="141"/>
      <c r="E69" s="141">
        <f>F.E!D21</f>
        <v>0</v>
      </c>
      <c r="F69" s="141"/>
      <c r="G69" s="141">
        <f>F.E!E21</f>
        <v>1712879.9999999998</v>
      </c>
      <c r="H69" s="141"/>
      <c r="I69" s="141">
        <f>F.E!F21</f>
        <v>4506452.5634235786</v>
      </c>
      <c r="J69" s="141"/>
      <c r="K69" s="141">
        <f>F.E!G21</f>
        <v>7560751.7674459936</v>
      </c>
      <c r="L69" s="141"/>
      <c r="M69" s="141">
        <f>F.E!H21</f>
        <v>10880848.727021307</v>
      </c>
      <c r="N69" s="141"/>
    </row>
    <row r="70" spans="2:14" ht="30">
      <c r="B70" s="142" t="str">
        <f>F.E!B22</f>
        <v>Compras de materiales directos y de consumo a crédito (instalaciones nuevas y mantenimientos y recargas)</v>
      </c>
      <c r="C70" s="84">
        <f>F.E!C22</f>
        <v>0</v>
      </c>
      <c r="D70" s="84"/>
      <c r="E70" s="84">
        <f>F.E!D22</f>
        <v>310092700.48618478</v>
      </c>
      <c r="F70" s="84"/>
      <c r="G70" s="84">
        <f>F.E!E22</f>
        <v>516602840.57534349</v>
      </c>
      <c r="H70" s="84"/>
      <c r="I70" s="84">
        <f>F.E!F22</f>
        <v>585788567.2976048</v>
      </c>
      <c r="J70" s="84"/>
      <c r="K70" s="84">
        <f>F.E!G22</f>
        <v>640462440.69013751</v>
      </c>
      <c r="L70" s="84"/>
      <c r="M70" s="84">
        <f>F.E!H22</f>
        <v>709148794.83815992</v>
      </c>
      <c r="N70" s="84"/>
    </row>
    <row r="71" spans="2:14">
      <c r="B71" s="144" t="str">
        <f>F.E!B23</f>
        <v>Compras de materiales directos a crédito (instalaciones nuevas)</v>
      </c>
      <c r="C71" s="141">
        <f>F.E!C23</f>
        <v>0</v>
      </c>
      <c r="D71" s="141"/>
      <c r="E71" s="141">
        <f>F.E!D23</f>
        <v>307916876.31036061</v>
      </c>
      <c r="F71" s="141"/>
      <c r="G71" s="141">
        <f>F.E!E23</f>
        <v>499054426.29017204</v>
      </c>
      <c r="H71" s="141"/>
      <c r="I71" s="141">
        <f>F.E!F23</f>
        <v>544808052.4834013</v>
      </c>
      <c r="J71" s="141"/>
      <c r="K71" s="141">
        <f>F.E!G23</f>
        <v>573487616.27054954</v>
      </c>
      <c r="L71" s="141"/>
      <c r="M71" s="141">
        <f>F.E!H23</f>
        <v>614170828.09835172</v>
      </c>
      <c r="N71" s="141"/>
    </row>
    <row r="72" spans="2:14">
      <c r="B72" s="144" t="str">
        <f>F.E!B24</f>
        <v>Compras de materiales directos a crédito (mantenimientos y recargas)</v>
      </c>
      <c r="C72" s="141">
        <f>F.E!C24</f>
        <v>0</v>
      </c>
      <c r="D72" s="141"/>
      <c r="E72" s="141">
        <f>F.E!D24</f>
        <v>0</v>
      </c>
      <c r="F72" s="141"/>
      <c r="G72" s="141">
        <f>F.E!E24</f>
        <v>11778903.188943645</v>
      </c>
      <c r="H72" s="141"/>
      <c r="I72" s="141">
        <f>F.E!F24</f>
        <v>31191041.653116997</v>
      </c>
      <c r="J72" s="141"/>
      <c r="K72" s="141">
        <f>F.E!G24</f>
        <v>52856869.050287761</v>
      </c>
      <c r="L72" s="141"/>
      <c r="M72" s="141">
        <f>F.E!H24</f>
        <v>76138928.899660856</v>
      </c>
      <c r="N72" s="141"/>
    </row>
    <row r="73" spans="2:14">
      <c r="B73" s="144" t="str">
        <f>F.E!B25</f>
        <v>Compras de materiales de consumo a crédito (instalaciones nuevas)</v>
      </c>
      <c r="C73" s="141">
        <f>F.E!C25</f>
        <v>0</v>
      </c>
      <c r="D73" s="141"/>
      <c r="E73" s="141">
        <f>F.E!D25</f>
        <v>2175824.1758241761</v>
      </c>
      <c r="F73" s="141"/>
      <c r="G73" s="141">
        <f>F.E!E25</f>
        <v>3526453.9533706764</v>
      </c>
      <c r="H73" s="141"/>
      <c r="I73" s="141">
        <f>F.E!F25</f>
        <v>3849761.4875199525</v>
      </c>
      <c r="J73" s="141"/>
      <c r="K73" s="141">
        <f>F.E!G25</f>
        <v>4052419.0650710817</v>
      </c>
      <c r="L73" s="141"/>
      <c r="M73" s="141">
        <f>F.E!H25</f>
        <v>4339897.6758760512</v>
      </c>
      <c r="N73" s="141"/>
    </row>
    <row r="74" spans="2:14">
      <c r="B74" s="144" t="str">
        <f>F.E!B26</f>
        <v>Compras de materiales de consumo a crédito (mantenimientos y recargas)</v>
      </c>
      <c r="C74" s="141">
        <f>F.E!C26</f>
        <v>0</v>
      </c>
      <c r="D74" s="141"/>
      <c r="E74" s="141">
        <f>F.E!D26</f>
        <v>0</v>
      </c>
      <c r="F74" s="141"/>
      <c r="G74" s="141">
        <f>F.E!E26</f>
        <v>2243057.1428571423</v>
      </c>
      <c r="H74" s="141"/>
      <c r="I74" s="141">
        <f>F.E!F26</f>
        <v>5939711.6735665388</v>
      </c>
      <c r="J74" s="141"/>
      <c r="K74" s="141">
        <f>F.E!G26</f>
        <v>10065536.304229129</v>
      </c>
      <c r="L74" s="141"/>
      <c r="M74" s="141">
        <f>F.E!H26</f>
        <v>14499140.164271317</v>
      </c>
      <c r="N74" s="141"/>
    </row>
    <row r="75" spans="2:14">
      <c r="B75" s="88" t="str">
        <f>F.E!B27</f>
        <v>Compras de materiales de consumo de contado (servicio post venta)</v>
      </c>
      <c r="C75" s="84">
        <f>F.E!C27</f>
        <v>0</v>
      </c>
      <c r="D75" s="84"/>
      <c r="E75" s="84">
        <f>F.E!D27</f>
        <v>1661538.4615384613</v>
      </c>
      <c r="F75" s="84"/>
      <c r="G75" s="84">
        <f>F.E!E27</f>
        <v>2664441.5769048841</v>
      </c>
      <c r="H75" s="84"/>
      <c r="I75" s="84">
        <f>F.E!F27</f>
        <v>2846933.7110813763</v>
      </c>
      <c r="J75" s="84"/>
      <c r="K75" s="84">
        <f>F.E!G27</f>
        <v>3034037.6454277243</v>
      </c>
      <c r="L75" s="84"/>
      <c r="M75" s="84">
        <f>F.E!H27</f>
        <v>3225660.8170214421</v>
      </c>
      <c r="N75" s="84"/>
    </row>
    <row r="76" spans="2:14">
      <c r="B76" s="88" t="str">
        <f>F.E!B28</f>
        <v>Compras de materiales de consumo de contado (garantías)</v>
      </c>
      <c r="C76" s="84">
        <f>F.E!C28</f>
        <v>0</v>
      </c>
      <c r="D76" s="84"/>
      <c r="E76" s="84">
        <f>F.E!D28</f>
        <v>290769.23076923081</v>
      </c>
      <c r="F76" s="84"/>
      <c r="G76" s="84">
        <f>F.E!E28</f>
        <v>279766.36557501287</v>
      </c>
      <c r="H76" s="84"/>
      <c r="I76" s="84">
        <f>F.E!F28</f>
        <v>298928.03966354451</v>
      </c>
      <c r="J76" s="84"/>
      <c r="K76" s="84">
        <f>F.E!G28</f>
        <v>318573.95276991115</v>
      </c>
      <c r="L76" s="84"/>
      <c r="M76" s="84">
        <f>F.E!H28</f>
        <v>338694.38578725135</v>
      </c>
      <c r="N76" s="84"/>
    </row>
    <row r="77" spans="2:14">
      <c r="B77" s="88" t="str">
        <f>F.E!B29</f>
        <v>Pago de impuestos (impuesto de renta y impuesto sobre la renta para la equidad)</v>
      </c>
      <c r="C77" s="84">
        <f>F.E!C29</f>
        <v>0</v>
      </c>
      <c r="D77" s="84"/>
      <c r="E77" s="84">
        <f>F.E!D29</f>
        <v>0</v>
      </c>
      <c r="F77" s="84"/>
      <c r="G77" s="84">
        <f>F.E!E29</f>
        <v>4653041.4155358411</v>
      </c>
      <c r="H77" s="84"/>
      <c r="I77" s="84">
        <f>F.E!F29</f>
        <v>135588785.41246659</v>
      </c>
      <c r="J77" s="84"/>
      <c r="K77" s="84">
        <f>F.E!G29</f>
        <v>216100302.09284076</v>
      </c>
      <c r="L77" s="84"/>
      <c r="M77" s="84">
        <f>F.E!H29</f>
        <v>303891762.51248628</v>
      </c>
      <c r="N77" s="84"/>
    </row>
    <row r="78" spans="2:14">
      <c r="B78" s="88" t="str">
        <f>F.E!B30</f>
        <v>Costos de mantenimiento de maquinaria y equipo, herramienta menor y dotación</v>
      </c>
      <c r="C78" s="84">
        <f>F.E!C30</f>
        <v>0</v>
      </c>
      <c r="D78" s="84"/>
      <c r="E78" s="84">
        <f>F.E!D30</f>
        <v>3140000</v>
      </c>
      <c r="F78" s="84"/>
      <c r="G78" s="84">
        <f>F.E!E30</f>
        <v>3237025.9999999986</v>
      </c>
      <c r="H78" s="84"/>
      <c r="I78" s="84">
        <f>F.E!F30</f>
        <v>3332518.2670000005</v>
      </c>
      <c r="J78" s="84"/>
      <c r="K78" s="84">
        <f>F.E!G30</f>
        <v>3426495.2821293999</v>
      </c>
      <c r="L78" s="84"/>
      <c r="M78" s="84">
        <f>F.E!H30</f>
        <v>3519010.6547468924</v>
      </c>
      <c r="N78" s="84"/>
    </row>
    <row r="79" spans="2:14">
      <c r="B79" s="88" t="str">
        <f>F.E!B31</f>
        <v>Costos de mano de obra directa (instalaciones nuevas)</v>
      </c>
      <c r="C79" s="84">
        <f>F.E!C31</f>
        <v>0</v>
      </c>
      <c r="D79" s="84"/>
      <c r="E79" s="84">
        <f>F.E!D31</f>
        <v>59785763.520000011</v>
      </c>
      <c r="F79" s="84"/>
      <c r="G79" s="84">
        <f>F.E!E31</f>
        <v>61633143.612767994</v>
      </c>
      <c r="H79" s="84"/>
      <c r="I79" s="84">
        <f>F.E!F31</f>
        <v>63451321.349344663</v>
      </c>
      <c r="J79" s="84"/>
      <c r="K79" s="84">
        <f>F.E!G31</f>
        <v>65240648.611396194</v>
      </c>
      <c r="L79" s="84"/>
      <c r="M79" s="84">
        <f>F.E!H31</f>
        <v>67002146.123903871</v>
      </c>
      <c r="N79" s="84"/>
    </row>
    <row r="80" spans="2:14">
      <c r="B80" s="88" t="str">
        <f>F.E!B32</f>
        <v>Costos de mano de obra directa (mantenimientos y recargas)</v>
      </c>
      <c r="C80" s="84">
        <f>F.E!C32</f>
        <v>0</v>
      </c>
      <c r="D80" s="84"/>
      <c r="E80" s="84">
        <f>F.E!D32</f>
        <v>0</v>
      </c>
      <c r="F80" s="84"/>
      <c r="G80" s="84">
        <f>F.E!E32</f>
        <v>24289335.427967999</v>
      </c>
      <c r="H80" s="84"/>
      <c r="I80" s="84">
        <f>F.E!F32</f>
        <v>25005870.823093057</v>
      </c>
      <c r="J80" s="84"/>
      <c r="K80" s="84">
        <f>F.E!G32</f>
        <v>38566554.570456423</v>
      </c>
      <c r="L80" s="84"/>
      <c r="M80" s="84">
        <f>F.E!H32</f>
        <v>52810468.72514499</v>
      </c>
      <c r="N80" s="84"/>
    </row>
    <row r="81" spans="2:14">
      <c r="B81" s="90" t="str">
        <f>F.E!B33</f>
        <v>Costos de mano de obra indirecta</v>
      </c>
      <c r="C81" s="84">
        <f>F.E!C33</f>
        <v>0</v>
      </c>
      <c r="D81" s="84"/>
      <c r="E81" s="84">
        <f>F.E!D33</f>
        <v>0</v>
      </c>
      <c r="F81" s="84"/>
      <c r="G81" s="84">
        <f>F.E!E33</f>
        <v>0</v>
      </c>
      <c r="H81" s="84"/>
      <c r="I81" s="84">
        <f>F.E!F33</f>
        <v>0</v>
      </c>
      <c r="J81" s="84"/>
      <c r="K81" s="84">
        <f>F.E!G33</f>
        <v>0</v>
      </c>
      <c r="L81" s="84"/>
      <c r="M81" s="84">
        <f>F.E!H33</f>
        <v>0</v>
      </c>
      <c r="N81" s="84"/>
    </row>
    <row r="82" spans="2:14">
      <c r="B82" s="92" t="str">
        <f>F.E!B34</f>
        <v>Costos de servicios públicos (luz y agua) área operativa</v>
      </c>
      <c r="C82" s="84">
        <f>F.E!C34</f>
        <v>0</v>
      </c>
      <c r="D82" s="84"/>
      <c r="E82" s="84">
        <f>F.E!D34</f>
        <v>5100000</v>
      </c>
      <c r="F82" s="84"/>
      <c r="G82" s="84">
        <f>F.E!E34</f>
        <v>5257589.9999999991</v>
      </c>
      <c r="H82" s="84"/>
      <c r="I82" s="84">
        <f>F.E!F34</f>
        <v>5412688.9050000012</v>
      </c>
      <c r="J82" s="84"/>
      <c r="K82" s="84">
        <f>F.E!G34</f>
        <v>5565326.732121001</v>
      </c>
      <c r="L82" s="84"/>
      <c r="M82" s="84">
        <f>F.E!H34</f>
        <v>5715590.5538882678</v>
      </c>
      <c r="N82" s="84"/>
    </row>
    <row r="83" spans="2:14">
      <c r="B83" s="92" t="str">
        <f>F.E!B35</f>
        <v>Costos de servicios públicos (luz y agua) área administrativa</v>
      </c>
      <c r="C83" s="84">
        <f>F.E!C35</f>
        <v>0</v>
      </c>
      <c r="D83" s="84"/>
      <c r="E83" s="84">
        <f>F.E!D35</f>
        <v>900000</v>
      </c>
      <c r="F83" s="84"/>
      <c r="G83" s="84">
        <f>F.E!E35</f>
        <v>927809.99999999988</v>
      </c>
      <c r="H83" s="84"/>
      <c r="I83" s="84">
        <f>F.E!F35</f>
        <v>955180.3949999999</v>
      </c>
      <c r="J83" s="84"/>
      <c r="K83" s="84">
        <f>F.E!G35</f>
        <v>982116.4821390002</v>
      </c>
      <c r="L83" s="84"/>
      <c r="M83" s="84">
        <f>F.E!H35</f>
        <v>1008633.6271567526</v>
      </c>
      <c r="N83" s="84"/>
    </row>
    <row r="84" spans="2:14">
      <c r="B84" s="92" t="str">
        <f>F.E!B36</f>
        <v>Costos de arrendamiento área operativa</v>
      </c>
      <c r="C84" s="84">
        <f>F.E!C36</f>
        <v>0</v>
      </c>
      <c r="D84" s="84"/>
      <c r="E84" s="84">
        <f>F.E!D36</f>
        <v>85517750.309213102</v>
      </c>
      <c r="F84" s="84"/>
      <c r="G84" s="84">
        <f>F.E!E36</f>
        <v>88160248.79376781</v>
      </c>
      <c r="H84" s="84"/>
      <c r="I84" s="84">
        <f>F.E!F36</f>
        <v>90760976.133183911</v>
      </c>
      <c r="J84" s="84"/>
      <c r="K84" s="84">
        <f>F.E!G36</f>
        <v>93320435.66013974</v>
      </c>
      <c r="L84" s="84"/>
      <c r="M84" s="84">
        <f>F.E!H36</f>
        <v>95840087.4229635</v>
      </c>
      <c r="N84" s="84"/>
    </row>
    <row r="85" spans="2:14">
      <c r="B85" s="92" t="str">
        <f>F.E!B37</f>
        <v>Costos de arrendamiento área administrativa</v>
      </c>
      <c r="C85" s="84">
        <f>F.E!C37</f>
        <v>0</v>
      </c>
      <c r="D85" s="84"/>
      <c r="E85" s="84">
        <f>F.E!D37</f>
        <v>15091367.701625841</v>
      </c>
      <c r="F85" s="84"/>
      <c r="G85" s="84">
        <f>F.E!E37</f>
        <v>15557690.963606084</v>
      </c>
      <c r="H85" s="84"/>
      <c r="I85" s="84">
        <f>F.E!F37</f>
        <v>16016642.847032459</v>
      </c>
      <c r="J85" s="84"/>
      <c r="K85" s="84">
        <f>F.E!G37</f>
        <v>16468312.175318776</v>
      </c>
      <c r="L85" s="84"/>
      <c r="M85" s="84">
        <f>F.E!H37</f>
        <v>16912956.604052383</v>
      </c>
      <c r="N85" s="84"/>
    </row>
    <row r="86" spans="2:14">
      <c r="B86" s="88" t="str">
        <f>F.E!B38</f>
        <v>Gastos de personal administrativo y de ventas</v>
      </c>
      <c r="C86" s="84">
        <f>F.E!C38</f>
        <v>0</v>
      </c>
      <c r="D86" s="84"/>
      <c r="E86" s="84">
        <f>F.E!D38</f>
        <v>184737988.41000006</v>
      </c>
      <c r="F86" s="84"/>
      <c r="G86" s="84">
        <f>F.E!E38</f>
        <v>190446392.25186899</v>
      </c>
      <c r="H86" s="84"/>
      <c r="I86" s="84">
        <f>F.E!F38</f>
        <v>196064560.82329914</v>
      </c>
      <c r="J86" s="84"/>
      <c r="K86" s="84">
        <f>F.E!G38</f>
        <v>201593581.43851623</v>
      </c>
      <c r="L86" s="84"/>
      <c r="M86" s="84">
        <f>F.E!H38</f>
        <v>207036608.13735613</v>
      </c>
      <c r="N86" s="84"/>
    </row>
    <row r="87" spans="2:14">
      <c r="B87" s="88" t="str">
        <f>F.E!B39</f>
        <v>Costos y gastos administrativos y de ventas</v>
      </c>
      <c r="C87" s="84">
        <f>F.E!C39</f>
        <v>0</v>
      </c>
      <c r="D87" s="84"/>
      <c r="E87" s="84">
        <f>F.E!D39</f>
        <v>88039468.445402801</v>
      </c>
      <c r="F87" s="84"/>
      <c r="G87" s="84">
        <f>F.E!E39</f>
        <v>122278078.41455022</v>
      </c>
      <c r="H87" s="84"/>
      <c r="I87" s="84">
        <f>F.E!F39</f>
        <v>129326424.99259251</v>
      </c>
      <c r="J87" s="84"/>
      <c r="K87" s="84">
        <f>F.E!G39</f>
        <v>136511599.3335591</v>
      </c>
      <c r="L87" s="84"/>
      <c r="M87" s="84">
        <f>F.E!H39</f>
        <v>143831099.00891715</v>
      </c>
      <c r="N87" s="84"/>
    </row>
    <row r="88" spans="2:14">
      <c r="B88" s="93" t="str">
        <f>F.E!B40</f>
        <v>SALDO DE OPERACIÓN</v>
      </c>
      <c r="C88" s="94">
        <f>F.E!C40</f>
        <v>0</v>
      </c>
      <c r="D88" s="94"/>
      <c r="E88" s="94">
        <f>F.E!D40</f>
        <v>79255707.462877989</v>
      </c>
      <c r="F88" s="94"/>
      <c r="G88" s="94">
        <f>F.E!E40</f>
        <v>483004953.34873962</v>
      </c>
      <c r="H88" s="94"/>
      <c r="I88" s="94">
        <f>F.E!F40</f>
        <v>619717086.90545917</v>
      </c>
      <c r="J88" s="94"/>
      <c r="K88" s="94">
        <f>F.E!G40</f>
        <v>787980206.66569734</v>
      </c>
      <c r="L88" s="94"/>
      <c r="M88" s="94">
        <f>F.E!H40</f>
        <v>1010516717.3217921</v>
      </c>
      <c r="N88" s="94"/>
    </row>
    <row r="89" spans="2:14">
      <c r="B89" s="83" t="str">
        <f>F.E!B41</f>
        <v>ACTIVIDAD DE FINANCIACIÓN</v>
      </c>
      <c r="C89" s="83">
        <f>F.E!C41</f>
        <v>0</v>
      </c>
      <c r="D89" s="83"/>
      <c r="E89" s="84">
        <f>F.E!D41</f>
        <v>0</v>
      </c>
      <c r="F89" s="84"/>
      <c r="G89" s="91">
        <f>F.E!E41</f>
        <v>0</v>
      </c>
      <c r="H89" s="84"/>
      <c r="I89" s="91">
        <f>F.E!F41</f>
        <v>0</v>
      </c>
      <c r="J89" s="84"/>
      <c r="K89" s="91">
        <f>F.E!G41</f>
        <v>0</v>
      </c>
      <c r="L89" s="84"/>
      <c r="M89" s="91">
        <f>F.E!H41</f>
        <v>0</v>
      </c>
      <c r="N89" s="84"/>
    </row>
    <row r="90" spans="2:14">
      <c r="B90" s="86" t="str">
        <f>F.E!B42</f>
        <v>Ingresos de efectivo</v>
      </c>
      <c r="C90" s="87">
        <f>F.E!C42</f>
        <v>281913577.20217615</v>
      </c>
      <c r="D90" s="87"/>
      <c r="E90" s="87">
        <f>F.E!D42</f>
        <v>0</v>
      </c>
      <c r="F90" s="87"/>
      <c r="G90" s="87">
        <f>F.E!E42</f>
        <v>0</v>
      </c>
      <c r="H90" s="87"/>
      <c r="I90" s="87">
        <f>F.E!F42</f>
        <v>0</v>
      </c>
      <c r="J90" s="87"/>
      <c r="K90" s="87">
        <f>F.E!G42</f>
        <v>0</v>
      </c>
      <c r="L90" s="87"/>
      <c r="M90" s="87">
        <f>F.E!H42</f>
        <v>0</v>
      </c>
      <c r="N90" s="87"/>
    </row>
    <row r="91" spans="2:14">
      <c r="B91" s="90" t="str">
        <f>F.E!B43</f>
        <v>Prestamos</v>
      </c>
      <c r="C91" s="84">
        <f>F.E!C43</f>
        <v>70737720</v>
      </c>
      <c r="D91" s="84"/>
      <c r="E91" s="84">
        <f>F.E!D43</f>
        <v>0</v>
      </c>
      <c r="F91" s="84"/>
      <c r="G91" s="84">
        <f>F.E!E43</f>
        <v>0</v>
      </c>
      <c r="H91" s="84"/>
      <c r="I91" s="84">
        <f>F.E!F43</f>
        <v>0</v>
      </c>
      <c r="J91" s="84"/>
      <c r="K91" s="84">
        <f>F.E!G43</f>
        <v>0</v>
      </c>
      <c r="L91" s="84"/>
      <c r="M91" s="84">
        <f>F.E!H43</f>
        <v>0</v>
      </c>
      <c r="N91" s="84"/>
    </row>
    <row r="92" spans="2:14">
      <c r="B92" s="88" t="str">
        <f>F.E!B44</f>
        <v>Aportes sociales</v>
      </c>
      <c r="C92" s="84">
        <f>F.E!C44</f>
        <v>211175857.20217615</v>
      </c>
      <c r="D92" s="84"/>
      <c r="E92" s="84">
        <f>F.E!D44</f>
        <v>0</v>
      </c>
      <c r="F92" s="84"/>
      <c r="G92" s="84">
        <f>F.E!E44</f>
        <v>0</v>
      </c>
      <c r="H92" s="84"/>
      <c r="I92" s="84">
        <f>F.E!F44</f>
        <v>0</v>
      </c>
      <c r="J92" s="84"/>
      <c r="K92" s="84">
        <f>F.E!G44</f>
        <v>0</v>
      </c>
      <c r="L92" s="84"/>
      <c r="M92" s="84">
        <f>F.E!H44</f>
        <v>0</v>
      </c>
      <c r="N92" s="84"/>
    </row>
    <row r="93" spans="2:14">
      <c r="B93" s="86" t="str">
        <f>F.E!B45</f>
        <v>Egresos de efectivo</v>
      </c>
      <c r="C93" s="87">
        <f>F.E!C45</f>
        <v>0</v>
      </c>
      <c r="D93" s="87"/>
      <c r="E93" s="87">
        <f>F.E!D45</f>
        <v>26128543.114824764</v>
      </c>
      <c r="F93" s="87"/>
      <c r="G93" s="87">
        <f>F.E!E45</f>
        <v>31796793.566477515</v>
      </c>
      <c r="H93" s="87"/>
      <c r="I93" s="87">
        <f>F.E!F45</f>
        <v>191300336.25364769</v>
      </c>
      <c r="J93" s="87"/>
      <c r="K93" s="87">
        <f>F.E!G45</f>
        <v>289378002.02792162</v>
      </c>
      <c r="L93" s="87"/>
      <c r="M93" s="87">
        <f>F.E!H45</f>
        <v>396323962.90276265</v>
      </c>
      <c r="N93" s="87"/>
    </row>
    <row r="94" spans="2:14">
      <c r="B94" s="88" t="str">
        <f>F.E!B46</f>
        <v xml:space="preserve">Pago de intereses </v>
      </c>
      <c r="C94" s="84">
        <f>F.E!C46</f>
        <v>0</v>
      </c>
      <c r="D94" s="84"/>
      <c r="E94" s="84">
        <f>F.E!D46</f>
        <v>18474854.843480278</v>
      </c>
      <c r="F94" s="84"/>
      <c r="G94" s="84">
        <f>F.E!E46</f>
        <v>16092261.68461073</v>
      </c>
      <c r="H94" s="84"/>
      <c r="I94" s="84">
        <f>F.E!F46</f>
        <v>12967967.275385091</v>
      </c>
      <c r="J94" s="84"/>
      <c r="K94" s="84">
        <f>F.E!G46</f>
        <v>8871080.0165675059</v>
      </c>
      <c r="L94" s="84"/>
      <c r="M94" s="84">
        <f>F.E!H46</f>
        <v>3498831.7540800017</v>
      </c>
      <c r="N94" s="84"/>
    </row>
    <row r="95" spans="2:14">
      <c r="B95" s="88" t="str">
        <f>F.E!B47</f>
        <v>Abonos a capital</v>
      </c>
      <c r="C95" s="84">
        <f>F.E!C47</f>
        <v>0</v>
      </c>
      <c r="D95" s="84"/>
      <c r="E95" s="84">
        <f>F.E!D47</f>
        <v>7653688.2713444866</v>
      </c>
      <c r="F95" s="84"/>
      <c r="G95" s="84">
        <f>F.E!E47</f>
        <v>10036281.430214036</v>
      </c>
      <c r="H95" s="84"/>
      <c r="I95" s="84">
        <f>F.E!F47</f>
        <v>13160575.839439675</v>
      </c>
      <c r="J95" s="84"/>
      <c r="K95" s="84">
        <f>F.E!G47</f>
        <v>17257463.098257262</v>
      </c>
      <c r="L95" s="84"/>
      <c r="M95" s="84">
        <f>F.E!H47</f>
        <v>22629711.360744763</v>
      </c>
      <c r="N95" s="84"/>
    </row>
    <row r="96" spans="2:14">
      <c r="B96" s="88" t="str">
        <f>F.E!B48</f>
        <v>Pago de dividendos</v>
      </c>
      <c r="C96" s="84">
        <f>F.E!C48</f>
        <v>0</v>
      </c>
      <c r="D96" s="84"/>
      <c r="E96" s="84">
        <f>F.E!D48</f>
        <v>0</v>
      </c>
      <c r="F96" s="84"/>
      <c r="G96" s="84">
        <f>F.E!E48</f>
        <v>5668250.4516527513</v>
      </c>
      <c r="H96" s="84"/>
      <c r="I96" s="84">
        <f>F.E!F48</f>
        <v>165171793.13882291</v>
      </c>
      <c r="J96" s="84"/>
      <c r="K96" s="84">
        <f>F.E!G48</f>
        <v>263249458.91309687</v>
      </c>
      <c r="L96" s="84"/>
      <c r="M96" s="84">
        <f>F.E!H48</f>
        <v>370195419.78793788</v>
      </c>
      <c r="N96" s="84"/>
    </row>
    <row r="97" spans="2:14">
      <c r="B97" s="93" t="str">
        <f>F.E!B49</f>
        <v>SALDO DE FINANCIACIÓN</v>
      </c>
      <c r="C97" s="95">
        <f>F.E!C49</f>
        <v>281913577.20217615</v>
      </c>
      <c r="D97" s="95"/>
      <c r="E97" s="95">
        <f>F.E!D49</f>
        <v>-26128543.114824764</v>
      </c>
      <c r="F97" s="95"/>
      <c r="G97" s="95">
        <f>F.E!E49</f>
        <v>-31796793.566477515</v>
      </c>
      <c r="H97" s="95"/>
      <c r="I97" s="95">
        <f>F.E!F49</f>
        <v>-191300336.25364769</v>
      </c>
      <c r="J97" s="95"/>
      <c r="K97" s="95">
        <f>F.E!G49</f>
        <v>-289378002.02792162</v>
      </c>
      <c r="L97" s="95"/>
      <c r="M97" s="95">
        <f>F.E!H49</f>
        <v>-396323962.90276265</v>
      </c>
      <c r="N97" s="95"/>
    </row>
    <row r="98" spans="2:14">
      <c r="B98" s="83" t="str">
        <f>F.E!B50</f>
        <v>ACTIVIDADES DE INVERSIÓN</v>
      </c>
      <c r="C98" s="83">
        <f>F.E!C50</f>
        <v>0</v>
      </c>
      <c r="D98" s="83"/>
      <c r="E98" s="84">
        <f>F.E!D50</f>
        <v>0</v>
      </c>
      <c r="F98" s="84"/>
      <c r="G98" s="91">
        <f>F.E!E50</f>
        <v>0</v>
      </c>
      <c r="H98" s="84"/>
      <c r="I98" s="91">
        <f>F.E!F50</f>
        <v>0</v>
      </c>
      <c r="J98" s="84"/>
      <c r="K98" s="91">
        <f>F.E!G50</f>
        <v>0</v>
      </c>
      <c r="L98" s="84"/>
      <c r="M98" s="91">
        <f>F.E!H50</f>
        <v>0</v>
      </c>
      <c r="N98" s="84"/>
    </row>
    <row r="99" spans="2:14">
      <c r="B99" s="86" t="str">
        <f>F.E!B51</f>
        <v>Ingresos de efectivo</v>
      </c>
      <c r="C99" s="96">
        <f>F.E!C51</f>
        <v>0</v>
      </c>
      <c r="D99" s="96"/>
      <c r="E99" s="96">
        <f>F.E!D51</f>
        <v>0</v>
      </c>
      <c r="F99" s="96"/>
      <c r="G99" s="96">
        <f>F.E!E51</f>
        <v>0</v>
      </c>
      <c r="H99" s="96"/>
      <c r="I99" s="96">
        <f>F.E!F51</f>
        <v>0</v>
      </c>
      <c r="J99" s="96"/>
      <c r="K99" s="96">
        <f>F.E!G51</f>
        <v>0</v>
      </c>
      <c r="L99" s="96"/>
      <c r="M99" s="96">
        <f>F.E!H51</f>
        <v>0</v>
      </c>
      <c r="N99" s="96"/>
    </row>
    <row r="100" spans="2:14">
      <c r="B100" s="88" t="str">
        <f>F.E!B52</f>
        <v>Rendimientos financieros</v>
      </c>
      <c r="C100" s="97">
        <f>F.E!C52</f>
        <v>0</v>
      </c>
      <c r="D100" s="97"/>
      <c r="E100" s="97">
        <f>F.E!D52</f>
        <v>0</v>
      </c>
      <c r="F100" s="97"/>
      <c r="G100" s="97">
        <f>F.E!E52</f>
        <v>0</v>
      </c>
      <c r="H100" s="97"/>
      <c r="I100" s="97">
        <f>F.E!F52</f>
        <v>0</v>
      </c>
      <c r="J100" s="97"/>
      <c r="K100" s="97">
        <f>F.E!G52</f>
        <v>0</v>
      </c>
      <c r="L100" s="97"/>
      <c r="M100" s="97">
        <f>F.E!H52</f>
        <v>0</v>
      </c>
      <c r="N100" s="97"/>
    </row>
    <row r="101" spans="2:14">
      <c r="B101" s="88" t="str">
        <f>F.E!B53</f>
        <v>Retorno de inversión inicial</v>
      </c>
      <c r="C101" s="97">
        <f>F.E!C53</f>
        <v>0</v>
      </c>
      <c r="D101" s="97"/>
      <c r="E101" s="97">
        <f>F.E!D53</f>
        <v>0</v>
      </c>
      <c r="F101" s="97"/>
      <c r="G101" s="97">
        <f>F.E!E53</f>
        <v>0</v>
      </c>
      <c r="H101" s="97"/>
      <c r="I101" s="97">
        <f>F.E!F53</f>
        <v>0</v>
      </c>
      <c r="J101" s="97"/>
      <c r="K101" s="97">
        <f>F.E!G53</f>
        <v>0</v>
      </c>
      <c r="L101" s="97"/>
      <c r="M101" s="97">
        <f>F.E!H53</f>
        <v>0</v>
      </c>
      <c r="N101" s="97"/>
    </row>
    <row r="102" spans="2:14">
      <c r="B102" s="86" t="str">
        <f>F.E!B54</f>
        <v>Egresos de efectivo</v>
      </c>
      <c r="C102" s="87">
        <f>F.E!C54</f>
        <v>247275670.18412131</v>
      </c>
      <c r="D102" s="87"/>
      <c r="E102" s="87">
        <f>F.E!D54</f>
        <v>0</v>
      </c>
      <c r="F102" s="87"/>
      <c r="G102" s="87">
        <f>F.E!E54</f>
        <v>233675205.17283547</v>
      </c>
      <c r="H102" s="87"/>
      <c r="I102" s="87">
        <f>F.E!F54</f>
        <v>102019584.88517879</v>
      </c>
      <c r="J102" s="87"/>
      <c r="K102" s="87">
        <f>F.E!G54</f>
        <v>304782465.66830504</v>
      </c>
      <c r="L102" s="87"/>
      <c r="M102" s="87">
        <f>F.E!H54</f>
        <v>430358159.86871761</v>
      </c>
      <c r="N102" s="87"/>
    </row>
    <row r="103" spans="2:14">
      <c r="B103" s="88" t="str">
        <f>F.E!B55</f>
        <v>Inventario inicial de materiales directos</v>
      </c>
      <c r="C103" s="84">
        <f>F.E!C55</f>
        <v>23327036.084118228</v>
      </c>
      <c r="D103" s="84"/>
      <c r="E103" s="84">
        <f>F.E!D55</f>
        <v>0</v>
      </c>
      <c r="F103" s="84"/>
      <c r="G103" s="84">
        <f>F.E!E55</f>
        <v>0</v>
      </c>
      <c r="H103" s="84"/>
      <c r="I103" s="84">
        <f>F.E!F55</f>
        <v>0</v>
      </c>
      <c r="J103" s="84"/>
      <c r="K103" s="84">
        <f>F.E!G55</f>
        <v>0</v>
      </c>
      <c r="L103" s="84"/>
      <c r="M103" s="84">
        <f>F.E!H55</f>
        <v>0</v>
      </c>
      <c r="N103" s="84"/>
    </row>
    <row r="104" spans="2:14">
      <c r="B104" s="88" t="str">
        <f>F.E!B56</f>
        <v>Inventario inicial de materiales de consumo</v>
      </c>
      <c r="C104" s="84">
        <f>F.E!C56</f>
        <v>164835.16483516488</v>
      </c>
      <c r="D104" s="84"/>
      <c r="E104" s="84">
        <f>F.E!D56</f>
        <v>0</v>
      </c>
      <c r="F104" s="84"/>
      <c r="G104" s="84">
        <f>F.E!E56</f>
        <v>0</v>
      </c>
      <c r="H104" s="84"/>
      <c r="I104" s="84">
        <f>F.E!F56</f>
        <v>0</v>
      </c>
      <c r="J104" s="84"/>
      <c r="K104" s="84">
        <f>F.E!G56</f>
        <v>0</v>
      </c>
      <c r="L104" s="84"/>
      <c r="M104" s="84">
        <f>F.E!H56</f>
        <v>0</v>
      </c>
      <c r="N104" s="84"/>
    </row>
    <row r="105" spans="2:14">
      <c r="B105" s="88" t="str">
        <f>F.E!B57</f>
        <v>Propiedad planta y equipo</v>
      </c>
      <c r="C105" s="84">
        <f>F.E!C57</f>
        <v>142358800</v>
      </c>
      <c r="D105" s="84"/>
      <c r="E105" s="84">
        <f>F.E!D57</f>
        <v>0</v>
      </c>
      <c r="F105" s="84"/>
      <c r="G105" s="84">
        <f>F.E!E57</f>
        <v>152305578.36000001</v>
      </c>
      <c r="H105" s="84"/>
      <c r="I105" s="84">
        <f>F.E!F57</f>
        <v>17979042.181620002</v>
      </c>
      <c r="J105" s="84"/>
      <c r="K105" s="84">
        <f>F.E!G57</f>
        <v>218097853.48798913</v>
      </c>
      <c r="L105" s="84"/>
      <c r="M105" s="84">
        <f>F.E!H57</f>
        <v>341043370.29179347</v>
      </c>
      <c r="N105" s="84"/>
    </row>
    <row r="106" spans="2:14">
      <c r="B106" s="88" t="str">
        <f>F.E!B58</f>
        <v>Inversión en mercadeo</v>
      </c>
      <c r="C106" s="84">
        <f>F.E!C58</f>
        <v>71123764.065853238</v>
      </c>
      <c r="D106" s="84"/>
      <c r="E106" s="84">
        <f>F.E!D58</f>
        <v>0</v>
      </c>
      <c r="F106" s="84"/>
      <c r="G106" s="84">
        <f>F.E!E58</f>
        <v>74664137.762835443</v>
      </c>
      <c r="H106" s="84"/>
      <c r="I106" s="84">
        <f>F.E!F58</f>
        <v>77137241.726583794</v>
      </c>
      <c r="J106" s="84"/>
      <c r="K106" s="84">
        <f>F.E!G58</f>
        <v>79586638.115790173</v>
      </c>
      <c r="L106" s="84"/>
      <c r="M106" s="84">
        <f>F.E!H58</f>
        <v>82025170.212656245</v>
      </c>
      <c r="N106" s="84"/>
    </row>
    <row r="107" spans="2:14">
      <c r="B107" s="88" t="str">
        <f>F.E!B59</f>
        <v>Inversión en I+D y calidad</v>
      </c>
      <c r="C107" s="84">
        <f>F.E!C59</f>
        <v>6504500</v>
      </c>
      <c r="D107" s="84"/>
      <c r="E107" s="84">
        <f>F.E!D59</f>
        <v>0</v>
      </c>
      <c r="F107" s="84"/>
      <c r="G107" s="84">
        <f>F.E!E59</f>
        <v>6705489.0499999989</v>
      </c>
      <c r="H107" s="84"/>
      <c r="I107" s="84">
        <f>F.E!F59</f>
        <v>6903300.9769749995</v>
      </c>
      <c r="J107" s="84"/>
      <c r="K107" s="84">
        <f>F.E!G59</f>
        <v>7097974.0645256946</v>
      </c>
      <c r="L107" s="84"/>
      <c r="M107" s="84">
        <f>F.E!H59</f>
        <v>7289619.3642678875</v>
      </c>
      <c r="N107" s="84"/>
    </row>
    <row r="108" spans="2:14">
      <c r="B108" s="88" t="str">
        <f>F.E!B60</f>
        <v>Inversión en gastos de puesta en marcha</v>
      </c>
      <c r="C108" s="84">
        <f>F.E!C60</f>
        <v>3796734.8693146855</v>
      </c>
      <c r="D108" s="84"/>
      <c r="E108" s="84">
        <f>F.E!D60</f>
        <v>0</v>
      </c>
      <c r="F108" s="84"/>
      <c r="G108" s="84">
        <f>F.E!E60</f>
        <v>0</v>
      </c>
      <c r="H108" s="84"/>
      <c r="I108" s="84">
        <f>F.E!F60</f>
        <v>0</v>
      </c>
      <c r="J108" s="84"/>
      <c r="K108" s="84">
        <f>F.E!G60</f>
        <v>0</v>
      </c>
      <c r="L108" s="84"/>
      <c r="M108" s="84">
        <f>F.E!H60</f>
        <v>0</v>
      </c>
      <c r="N108" s="84"/>
    </row>
    <row r="109" spans="2:14">
      <c r="B109" s="93" t="str">
        <f>F.E!B61</f>
        <v>SALDO DE INVERSIÓN</v>
      </c>
      <c r="C109" s="94">
        <f>F.E!C61</f>
        <v>-247275670.18412131</v>
      </c>
      <c r="D109" s="94"/>
      <c r="E109" s="94">
        <f>F.E!D61</f>
        <v>0</v>
      </c>
      <c r="F109" s="94"/>
      <c r="G109" s="94">
        <f>F.E!E61</f>
        <v>-233675205.17283547</v>
      </c>
      <c r="H109" s="94"/>
      <c r="I109" s="94">
        <f>F.E!F61</f>
        <v>-102019584.88517879</v>
      </c>
      <c r="J109" s="94"/>
      <c r="K109" s="94">
        <f>F.E!G61</f>
        <v>-304782465.66830504</v>
      </c>
      <c r="L109" s="94"/>
      <c r="M109" s="94">
        <f>F.E!H61</f>
        <v>-430358159.86871761</v>
      </c>
      <c r="N109" s="94"/>
    </row>
    <row r="110" spans="2:14">
      <c r="B110" s="93" t="str">
        <f>F.E!B62</f>
        <v>SALDO NETO EN CAJA</v>
      </c>
      <c r="C110" s="94">
        <f>F.E!C62</f>
        <v>34637907.018054843</v>
      </c>
      <c r="D110" s="94"/>
      <c r="E110" s="94">
        <f>F.E!D62</f>
        <v>53127164.348053224</v>
      </c>
      <c r="F110" s="94"/>
      <c r="G110" s="94">
        <f>F.E!E62</f>
        <v>217532954.60942662</v>
      </c>
      <c r="H110" s="94"/>
      <c r="I110" s="94">
        <f>F.E!F62</f>
        <v>326397165.76663268</v>
      </c>
      <c r="J110" s="94"/>
      <c r="K110" s="94">
        <f>F.E!G62</f>
        <v>193819738.96947068</v>
      </c>
      <c r="L110" s="94"/>
      <c r="M110" s="94">
        <f>F.E!H62</f>
        <v>183834594.55031186</v>
      </c>
      <c r="N110" s="94"/>
    </row>
    <row r="111" spans="2:14">
      <c r="B111" s="93" t="str">
        <f>F.E!B63</f>
        <v>SALDO INICIAL DE CAJA</v>
      </c>
      <c r="C111" s="94">
        <f>F.E!C63</f>
        <v>0</v>
      </c>
      <c r="D111" s="94"/>
      <c r="E111" s="94">
        <f>F.E!D63</f>
        <v>34637907.018054843</v>
      </c>
      <c r="F111" s="94"/>
      <c r="G111" s="94">
        <f>F.E!E63</f>
        <v>87765071.36610806</v>
      </c>
      <c r="H111" s="94"/>
      <c r="I111" s="94">
        <f>F.E!F63</f>
        <v>305298025.97553468</v>
      </c>
      <c r="J111" s="94"/>
      <c r="K111" s="94">
        <f>F.E!G63</f>
        <v>631695191.74216735</v>
      </c>
      <c r="L111" s="94"/>
      <c r="M111" s="94">
        <f>F.E!H63</f>
        <v>825514930.71163797</v>
      </c>
      <c r="N111" s="94"/>
    </row>
    <row r="112" spans="2:14">
      <c r="B112" s="116" t="str">
        <f>F.E!B64</f>
        <v>SALDO FINAL DE CAJA</v>
      </c>
      <c r="C112" s="117">
        <f>F.E!C64</f>
        <v>34637907.018054843</v>
      </c>
      <c r="D112" s="117"/>
      <c r="E112" s="117">
        <f>F.E!D64</f>
        <v>87765071.36610806</v>
      </c>
      <c r="F112" s="117"/>
      <c r="G112" s="117">
        <f>F.E!E64</f>
        <v>305298025.97553468</v>
      </c>
      <c r="H112" s="117"/>
      <c r="I112" s="117">
        <f>F.E!F64</f>
        <v>631695191.74216735</v>
      </c>
      <c r="J112" s="117"/>
      <c r="K112" s="117">
        <f>F.E!G64</f>
        <v>825514930.71163797</v>
      </c>
      <c r="L112" s="117"/>
      <c r="M112" s="117">
        <f>F.E!H64</f>
        <v>1009349525.2619498</v>
      </c>
      <c r="N112" s="117"/>
    </row>
    <row r="115" spans="2:21">
      <c r="B115" s="136" t="str">
        <f>B.G!B2</f>
        <v>Balance General Anualizado</v>
      </c>
      <c r="C115" s="135" t="str">
        <f>B.G!C2</f>
        <v>AÑO 0</v>
      </c>
      <c r="D115" s="135"/>
      <c r="E115" s="135" t="str">
        <f>B.G!D2</f>
        <v>AÑO 1</v>
      </c>
      <c r="F115" s="135"/>
      <c r="G115" s="135" t="str">
        <f>B.G!E2</f>
        <v>AÑO 2</v>
      </c>
      <c r="H115" s="135"/>
      <c r="I115" s="135" t="str">
        <f>B.G!F2</f>
        <v>AÑO 3</v>
      </c>
      <c r="J115" s="135"/>
      <c r="K115" s="135" t="str">
        <f>B.G!G2</f>
        <v>AÑO 4</v>
      </c>
      <c r="L115" s="135"/>
      <c r="M115" s="135" t="str">
        <f>B.G!H2</f>
        <v>AÑO 5</v>
      </c>
      <c r="N115" s="135"/>
    </row>
    <row r="116" spans="2:21">
      <c r="B116" s="134"/>
      <c r="C116" s="82"/>
      <c r="D116" s="82"/>
      <c r="E116" s="82"/>
      <c r="F116" s="82"/>
      <c r="G116" s="82"/>
      <c r="H116" s="82"/>
      <c r="I116" s="82"/>
      <c r="J116" s="82"/>
      <c r="K116" s="82"/>
      <c r="L116" s="82"/>
      <c r="M116" s="82"/>
      <c r="N116" s="82"/>
    </row>
    <row r="117" spans="2:21">
      <c r="B117" s="118" t="str">
        <f>B.G!B4</f>
        <v>ACTIVO</v>
      </c>
      <c r="C117" s="119">
        <f>B.G!C4</f>
        <v>0</v>
      </c>
      <c r="D117" s="119"/>
      <c r="E117" s="119">
        <f>B.G!D4</f>
        <v>0</v>
      </c>
      <c r="F117" s="119"/>
      <c r="G117" s="119">
        <f>B.G!E4</f>
        <v>0</v>
      </c>
      <c r="H117" s="119"/>
      <c r="I117" s="119">
        <f>B.G!F4</f>
        <v>0</v>
      </c>
      <c r="J117" s="119"/>
      <c r="K117" s="119">
        <f>B.G!G4</f>
        <v>0</v>
      </c>
      <c r="L117" s="119"/>
      <c r="M117" s="119">
        <f>B.G!H4</f>
        <v>0</v>
      </c>
      <c r="N117" s="119"/>
    </row>
    <row r="118" spans="2:21">
      <c r="B118" s="120" t="str">
        <f>B.G!B5</f>
        <v>DISPONIBLE</v>
      </c>
      <c r="C118" s="121">
        <f>B.G!C5</f>
        <v>0</v>
      </c>
      <c r="D118" s="121"/>
      <c r="E118" s="121">
        <f>B.G!D5</f>
        <v>0</v>
      </c>
      <c r="F118" s="121"/>
      <c r="G118" s="121">
        <f>B.G!E5</f>
        <v>0</v>
      </c>
      <c r="H118" s="121"/>
      <c r="I118" s="118">
        <f>B.G!F5</f>
        <v>0</v>
      </c>
      <c r="J118" s="121"/>
      <c r="K118" s="118">
        <f>B.G!G5</f>
        <v>0</v>
      </c>
      <c r="L118" s="121"/>
      <c r="M118" s="118">
        <f>B.G!H5</f>
        <v>0</v>
      </c>
      <c r="N118" s="121"/>
    </row>
    <row r="119" spans="2:21">
      <c r="B119" s="122" t="str">
        <f>B.G!B6</f>
        <v>Caja</v>
      </c>
      <c r="C119" s="123">
        <f>B.G!C6</f>
        <v>34637907.018054843</v>
      </c>
      <c r="D119" s="123"/>
      <c r="E119" s="123">
        <f>B.G!D6</f>
        <v>87765071.36610806</v>
      </c>
      <c r="F119" s="224">
        <f>E119/E$128</f>
        <v>0.43938423769616963</v>
      </c>
      <c r="G119" s="123">
        <f>B.G!E6</f>
        <v>305298025.97553468</v>
      </c>
      <c r="H119" s="224">
        <f>G119/G$128</f>
        <v>0.64474894811892725</v>
      </c>
      <c r="I119" s="124">
        <f>B.G!F6</f>
        <v>631695191.74216735</v>
      </c>
      <c r="J119" s="224">
        <f>I119/I$128</f>
        <v>0.78559813792353428</v>
      </c>
      <c r="K119" s="124">
        <f>B.G!G6</f>
        <v>825514930.71163797</v>
      </c>
      <c r="L119" s="224">
        <f>K119/K$128</f>
        <v>0.79577421376356039</v>
      </c>
      <c r="M119" s="124">
        <f>B.G!H6</f>
        <v>1009349525.2619498</v>
      </c>
      <c r="N119" s="224">
        <f>M119/M$128</f>
        <v>0.81192387884695694</v>
      </c>
      <c r="O119" s="233">
        <f t="shared" ref="O119:O120" si="83">AVERAGE(N119,L119,J119,H119,F119)</f>
        <v>0.69548588326982974</v>
      </c>
      <c r="P119" s="19"/>
      <c r="Q119" s="228">
        <f>(G119-E119)/E119</f>
        <v>2.4785823246470984</v>
      </c>
      <c r="R119" s="228">
        <f>(I119-G119)/G119</f>
        <v>1.0691099777788566</v>
      </c>
      <c r="S119" s="228">
        <f>(K119-I119)/I119</f>
        <v>0.30682478116531248</v>
      </c>
      <c r="T119" s="228">
        <f>(M119-K119)/K119</f>
        <v>0.22269081722342268</v>
      </c>
      <c r="U119" s="249">
        <f>AVERAGE(Q119:T119)</f>
        <v>1.0193019752036725</v>
      </c>
    </row>
    <row r="120" spans="2:21">
      <c r="B120" s="122" t="str">
        <f>B.G!B7</f>
        <v>Cuentas por Cobrar</v>
      </c>
      <c r="C120" s="123">
        <f>B.G!C7</f>
        <v>0</v>
      </c>
      <c r="D120" s="123"/>
      <c r="E120" s="123">
        <f>B.G!D7</f>
        <v>88488664.615384609</v>
      </c>
      <c r="F120" s="224">
        <f t="shared" ref="F120:H123" si="84">E120/E$128</f>
        <v>0.4430068117257539</v>
      </c>
      <c r="G120" s="123">
        <f>B.G!E7</f>
        <v>142936512.06284338</v>
      </c>
      <c r="H120" s="224">
        <f t="shared" si="84"/>
        <v>0.30186295999074625</v>
      </c>
      <c r="I120" s="123">
        <f>B.G!F7</f>
        <v>146373570.71763399</v>
      </c>
      <c r="J120" s="224">
        <f t="shared" ref="J120" si="85">I120/I$128</f>
        <v>0.18203526970002118</v>
      </c>
      <c r="K120" s="123">
        <f>B.G!G7</f>
        <v>185098651.4471918</v>
      </c>
      <c r="L120" s="224">
        <f t="shared" ref="L120" si="86">K120/K$128</f>
        <v>0.17843012687499996</v>
      </c>
      <c r="M120" s="123">
        <f>B.G!H7</f>
        <v>206326060.93841428</v>
      </c>
      <c r="N120" s="224">
        <f t="shared" ref="N120" si="87">M120/M$128</f>
        <v>0.1659693213417377</v>
      </c>
      <c r="O120" s="233">
        <f t="shared" si="83"/>
        <v>0.2542608979266518</v>
      </c>
      <c r="P120" s="19"/>
      <c r="Q120" s="228">
        <f>(G120-E120)/E120</f>
        <v>0.61530872551999716</v>
      </c>
      <c r="R120" s="228">
        <f>(I120-G120)/G120</f>
        <v>2.4046050971773224E-2</v>
      </c>
      <c r="S120" s="228">
        <f>(K120-I120)/I120</f>
        <v>0.26456333981399899</v>
      </c>
      <c r="T120" s="228">
        <f>(M120-K120)/K120</f>
        <v>0.11468159992121066</v>
      </c>
      <c r="U120" s="249">
        <f>AVERAGE(Q120:T120)</f>
        <v>0.25464992905674505</v>
      </c>
    </row>
    <row r="121" spans="2:21">
      <c r="B121" s="150" t="str">
        <f>B.G!B8</f>
        <v>Cuentas por cobrar (instalaciones nuevas)</v>
      </c>
      <c r="C121" s="148">
        <f>B.G!C8</f>
        <v>0</v>
      </c>
      <c r="D121" s="148"/>
      <c r="E121" s="148">
        <f>B.G!D8</f>
        <v>88488664.615384609</v>
      </c>
      <c r="F121" s="224">
        <f t="shared" si="84"/>
        <v>0.4430068117257539</v>
      </c>
      <c r="G121" s="148">
        <f>B.G!E8</f>
        <v>131543232.0628434</v>
      </c>
      <c r="H121" s="224">
        <f t="shared" si="84"/>
        <v>0.27780186338800217</v>
      </c>
      <c r="I121" s="148">
        <f>B.G!F8</f>
        <v>117633234.48413895</v>
      </c>
      <c r="J121" s="224">
        <f t="shared" ref="J121" si="88">I121/I$128</f>
        <v>0.14629278673753321</v>
      </c>
      <c r="K121" s="148">
        <f>B.G!G8</f>
        <v>139276791.8963365</v>
      </c>
      <c r="L121" s="224">
        <f t="shared" ref="L121" si="89">K121/K$128</f>
        <v>0.13425908538234957</v>
      </c>
      <c r="M121" s="148">
        <f>B.G!H8</f>
        <v>139340357.5880827</v>
      </c>
      <c r="N121" s="224">
        <f t="shared" ref="N121" si="90">M121/M$128</f>
        <v>0.11208581445904704</v>
      </c>
      <c r="Q121" s="229"/>
      <c r="R121" s="229"/>
      <c r="S121" s="229"/>
      <c r="T121" s="229"/>
      <c r="U121" s="229"/>
    </row>
    <row r="122" spans="2:21">
      <c r="B122" s="150" t="str">
        <f>B.G!B9</f>
        <v>Cuentas por cobrar (mantenimientos y recargas)</v>
      </c>
      <c r="C122" s="148">
        <f>B.G!C9</f>
        <v>0</v>
      </c>
      <c r="D122" s="148"/>
      <c r="E122" s="148">
        <f>B.G!D9</f>
        <v>0</v>
      </c>
      <c r="F122" s="224">
        <f t="shared" si="84"/>
        <v>0</v>
      </c>
      <c r="G122" s="148">
        <f>B.G!E9</f>
        <v>11393280</v>
      </c>
      <c r="H122" s="224">
        <f t="shared" si="84"/>
        <v>2.4061096602744081E-2</v>
      </c>
      <c r="I122" s="148">
        <f>B.G!F9</f>
        <v>28740336.233495042</v>
      </c>
      <c r="J122" s="224">
        <f t="shared" ref="J122" si="91">I122/I$128</f>
        <v>3.574248296248797E-2</v>
      </c>
      <c r="K122" s="148">
        <f>B.G!G9</f>
        <v>45821859.550855316</v>
      </c>
      <c r="L122" s="224">
        <f t="shared" ref="L122" si="92">K122/K$128</f>
        <v>4.4171041492650401E-2</v>
      </c>
      <c r="M122" s="148">
        <f>B.G!H9</f>
        <v>66985703.35033159</v>
      </c>
      <c r="N122" s="224">
        <f t="shared" ref="N122" si="93">M122/M$128</f>
        <v>5.3883506882690661E-2</v>
      </c>
      <c r="Q122" s="229"/>
      <c r="R122" s="229"/>
      <c r="S122" s="229"/>
      <c r="T122" s="229"/>
      <c r="U122" s="229"/>
    </row>
    <row r="123" spans="2:21">
      <c r="B123" s="122" t="str">
        <f>B.G!B10</f>
        <v>Inventarios</v>
      </c>
      <c r="C123" s="123">
        <f>B.G!C10</f>
        <v>23491871.248953395</v>
      </c>
      <c r="D123" s="123"/>
      <c r="E123" s="123">
        <f>B.G!D10</f>
        <v>23491871.248953395</v>
      </c>
      <c r="F123" s="224">
        <f t="shared" si="84"/>
        <v>0.11760895057807641</v>
      </c>
      <c r="G123" s="123">
        <f>B.G!E10</f>
        <v>25280039.792652164</v>
      </c>
      <c r="H123" s="224">
        <f t="shared" si="84"/>
        <v>5.3388091890326415E-2</v>
      </c>
      <c r="I123" s="123">
        <f>B.G!F10</f>
        <v>26025800.966535404</v>
      </c>
      <c r="J123" s="224">
        <f t="shared" ref="J123" si="94">I123/I$128</f>
        <v>3.2366592376444583E-2</v>
      </c>
      <c r="K123" s="123">
        <f>B.G!G10</f>
        <v>26759728.553791698</v>
      </c>
      <c r="L123" s="224">
        <f t="shared" ref="L123" si="95">K123/K$128</f>
        <v>2.5795659361439672E-2</v>
      </c>
      <c r="M123" s="123">
        <f>B.G!H10</f>
        <v>27482241.224744085</v>
      </c>
      <c r="N123" s="224">
        <f t="shared" ref="N123" si="96">M123/M$128</f>
        <v>2.2106799811305297E-2</v>
      </c>
      <c r="O123" s="233">
        <f t="shared" ref="O123" si="97">AVERAGE(N123,L123,J123,H123,F123)</f>
        <v>5.0253218803518476E-2</v>
      </c>
      <c r="P123" s="19"/>
      <c r="Q123" s="228">
        <f>(G123-E123)/E123</f>
        <v>7.611860820914533E-2</v>
      </c>
      <c r="R123" s="228">
        <f>(I123-G123)/G123</f>
        <v>2.9500000000000071E-2</v>
      </c>
      <c r="S123" s="228">
        <f>(K123-I123)/I123</f>
        <v>2.8199999999999822E-2</v>
      </c>
      <c r="T123" s="228">
        <f>(M123-K123)/K123</f>
        <v>2.7000000000000423E-2</v>
      </c>
      <c r="U123" s="249">
        <f>AVERAGE(Q123:T123)</f>
        <v>4.0204652052286405E-2</v>
      </c>
    </row>
    <row r="124" spans="2:21">
      <c r="B124" s="150" t="str">
        <f>B.G!B11</f>
        <v>Inventario de materiales directos (instalaciones nuevas)</v>
      </c>
      <c r="C124" s="148">
        <f>B.G!C11</f>
        <v>23327036.084118228</v>
      </c>
      <c r="D124" s="148"/>
      <c r="E124" s="148">
        <f>B.G!D11</f>
        <v>23327036.084118228</v>
      </c>
      <c r="F124" s="148"/>
      <c r="G124" s="148">
        <f>B.G!E11</f>
        <v>24047841.499117471</v>
      </c>
      <c r="H124" s="148"/>
      <c r="I124" s="148">
        <f>B.G!F11</f>
        <v>24757252.82334144</v>
      </c>
      <c r="J124" s="148"/>
      <c r="K124" s="148">
        <f>B.G!G11</f>
        <v>25455407.352959663</v>
      </c>
      <c r="L124" s="148"/>
      <c r="M124" s="148">
        <f>B.G!H11</f>
        <v>26142703.351489581</v>
      </c>
      <c r="N124" s="148"/>
      <c r="Q124" s="229"/>
      <c r="R124" s="229"/>
      <c r="S124" s="229"/>
      <c r="T124" s="229"/>
      <c r="U124" s="229"/>
    </row>
    <row r="125" spans="2:21">
      <c r="B125" s="150" t="str">
        <f>B.G!B12</f>
        <v>Inventario de materiales directos (mantenimientos y recargas)</v>
      </c>
      <c r="C125" s="148">
        <f>B.G!C12</f>
        <v>0</v>
      </c>
      <c r="D125" s="148"/>
      <c r="E125" s="148">
        <f>B.G!D12</f>
        <v>0</v>
      </c>
      <c r="F125" s="148"/>
      <c r="G125" s="148">
        <f>B.G!E12</f>
        <v>892341.1506775493</v>
      </c>
      <c r="H125" s="148"/>
      <c r="I125" s="148">
        <f>B.G!F12</f>
        <v>918665.21462253691</v>
      </c>
      <c r="J125" s="148"/>
      <c r="K125" s="148">
        <f>B.G!G12</f>
        <v>944571.57367489289</v>
      </c>
      <c r="L125" s="148"/>
      <c r="M125" s="148">
        <f>B.G!H12</f>
        <v>970075.00616411504</v>
      </c>
      <c r="N125" s="148"/>
      <c r="Q125" s="229"/>
      <c r="R125" s="229"/>
      <c r="S125" s="229"/>
      <c r="T125" s="229"/>
      <c r="U125" s="229"/>
    </row>
    <row r="126" spans="2:21">
      <c r="B126" s="150" t="str">
        <f>B.G!B13</f>
        <v>Inventario de materiales de consumo (instalaciones nuevas)</v>
      </c>
      <c r="C126" s="148">
        <f>B.G!C13</f>
        <v>164835.16483516488</v>
      </c>
      <c r="D126" s="148"/>
      <c r="E126" s="148">
        <f>B.G!D13</f>
        <v>164835.16483516488</v>
      </c>
      <c r="F126" s="148"/>
      <c r="G126" s="148">
        <f>B.G!E13</f>
        <v>169928.57142857133</v>
      </c>
      <c r="H126" s="148"/>
      <c r="I126" s="148">
        <f>B.G!F13</f>
        <v>174941.46428571429</v>
      </c>
      <c r="J126" s="148"/>
      <c r="K126" s="148">
        <f>B.G!G13</f>
        <v>179874.81357857145</v>
      </c>
      <c r="L126" s="148"/>
      <c r="M126" s="148">
        <f>B.G!H13</f>
        <v>184731.43354519273</v>
      </c>
      <c r="N126" s="148"/>
      <c r="Q126" s="229"/>
      <c r="R126" s="229"/>
      <c r="S126" s="229"/>
      <c r="T126" s="229"/>
      <c r="U126" s="229"/>
    </row>
    <row r="127" spans="2:21">
      <c r="B127" s="150" t="str">
        <f>B.G!B14</f>
        <v>Inventario de materiales de consumo (mantenimientos y recargas)</v>
      </c>
      <c r="C127" s="148">
        <f>B.G!C14</f>
        <v>0</v>
      </c>
      <c r="D127" s="148"/>
      <c r="E127" s="148">
        <f>B.G!D14</f>
        <v>0</v>
      </c>
      <c r="F127" s="148"/>
      <c r="G127" s="148">
        <f>B.G!E14</f>
        <v>169928.57142857133</v>
      </c>
      <c r="H127" s="148"/>
      <c r="I127" s="148">
        <f>B.G!F14</f>
        <v>174941.46428571429</v>
      </c>
      <c r="J127" s="148"/>
      <c r="K127" s="148">
        <f>B.G!G14</f>
        <v>179874.81357857145</v>
      </c>
      <c r="L127" s="148"/>
      <c r="M127" s="148">
        <f>B.G!H14</f>
        <v>184731.43354519297</v>
      </c>
      <c r="N127" s="148"/>
      <c r="Q127" s="229"/>
      <c r="R127" s="229"/>
      <c r="S127" s="229"/>
      <c r="T127" s="229"/>
      <c r="U127" s="229"/>
    </row>
    <row r="128" spans="2:21">
      <c r="B128" s="127" t="str">
        <f>B.G!B15</f>
        <v>TOTAL DISPONIBLE</v>
      </c>
      <c r="C128" s="128">
        <f>B.G!C15</f>
        <v>58129778.267008238</v>
      </c>
      <c r="D128" s="128"/>
      <c r="E128" s="128">
        <f>B.G!D15</f>
        <v>199745607.23044607</v>
      </c>
      <c r="F128" s="225">
        <f>E128/E$139</f>
        <v>0.59900128139435449</v>
      </c>
      <c r="G128" s="128">
        <f>B.G!E15</f>
        <v>473514577.83103025</v>
      </c>
      <c r="H128" s="225">
        <f>G128/G$139</f>
        <v>0.63310015710252909</v>
      </c>
      <c r="I128" s="128">
        <f>B.G!F15</f>
        <v>804094563.42633677</v>
      </c>
      <c r="J128" s="225">
        <f>I128/I$139</f>
        <v>0.74118295428995529</v>
      </c>
      <c r="K128" s="128">
        <f>B.G!G15</f>
        <v>1037373310.7126215</v>
      </c>
      <c r="L128" s="225">
        <f>K128/K$139</f>
        <v>0.6810838669234307</v>
      </c>
      <c r="M128" s="128">
        <f>B.G!H15</f>
        <v>1243157827.4251082</v>
      </c>
      <c r="N128" s="225">
        <f>M128/M$139</f>
        <v>0.60487051037002704</v>
      </c>
      <c r="O128" s="233">
        <f t="shared" ref="O128" si="98">AVERAGE(N128,L128,J128,H128,F128)</f>
        <v>0.65184775401605921</v>
      </c>
      <c r="P128" s="19"/>
      <c r="Q128" s="228">
        <f>(G128-E128)/E128</f>
        <v>1.3705881916328577</v>
      </c>
      <c r="R128" s="228">
        <f>(I128-G128)/G128</f>
        <v>0.69814109442955996</v>
      </c>
      <c r="S128" s="228">
        <f>(K128-I128)/I128</f>
        <v>0.29011357357306072</v>
      </c>
      <c r="T128" s="228">
        <f>(M128-K128)/K128</f>
        <v>0.19837074521526246</v>
      </c>
      <c r="U128" s="249">
        <f>AVERAGE(Q128:T128)</f>
        <v>0.63930340121268525</v>
      </c>
    </row>
    <row r="129" spans="2:21">
      <c r="B129" s="120" t="str">
        <f>B.G!B16</f>
        <v>ACTIVOS FIJOS</v>
      </c>
      <c r="C129" s="123">
        <f>B.G!C16</f>
        <v>0</v>
      </c>
      <c r="D129" s="123"/>
      <c r="E129" s="123">
        <f>B.G!D16</f>
        <v>0</v>
      </c>
      <c r="F129" s="123"/>
      <c r="G129" s="123">
        <f>B.G!E16</f>
        <v>0</v>
      </c>
      <c r="H129" s="123"/>
      <c r="I129" s="124">
        <f>B.G!F16</f>
        <v>0</v>
      </c>
      <c r="J129" s="123"/>
      <c r="K129" s="123">
        <f>B.G!G16</f>
        <v>0</v>
      </c>
      <c r="L129" s="123"/>
      <c r="M129" s="123">
        <f>B.G!H16</f>
        <v>0</v>
      </c>
      <c r="N129" s="123"/>
      <c r="Q129" s="229"/>
      <c r="R129" s="229"/>
      <c r="S129" s="229"/>
      <c r="T129" s="229"/>
      <c r="U129" s="229"/>
    </row>
    <row r="130" spans="2:21">
      <c r="B130" s="122" t="str">
        <f>B.G!B17</f>
        <v>Propiedad planta y equipo</v>
      </c>
      <c r="C130" s="123">
        <f>B.G!C17</f>
        <v>142358800</v>
      </c>
      <c r="D130" s="123"/>
      <c r="E130" s="123">
        <f>B.G!D17</f>
        <v>142358800</v>
      </c>
      <c r="F130" s="123"/>
      <c r="G130" s="123">
        <f>B.G!E17</f>
        <v>294664378.36000001</v>
      </c>
      <c r="H130" s="123"/>
      <c r="I130" s="123">
        <f>B.G!F17</f>
        <v>312643420.54162002</v>
      </c>
      <c r="J130" s="123"/>
      <c r="K130" s="123">
        <f>B.G!G17</f>
        <v>530741274.02960914</v>
      </c>
      <c r="L130" s="123"/>
      <c r="M130" s="123">
        <f>B.G!H17</f>
        <v>871784644.32140255</v>
      </c>
      <c r="N130" s="123"/>
      <c r="P130" s="19"/>
      <c r="Q130" s="228">
        <f>(G130-E130)/E130</f>
        <v>1.0698711871693216</v>
      </c>
      <c r="R130" s="228">
        <f>(I130-G130)/G130</f>
        <v>6.1015322862183516E-2</v>
      </c>
      <c r="S130" s="228">
        <f>(K130-I130)/I130</f>
        <v>0.6975929738427209</v>
      </c>
      <c r="T130" s="228">
        <f>(M130-K130)/K130</f>
        <v>0.64257932627408054</v>
      </c>
      <c r="U130" s="66">
        <f>AVERAGE(Q130:T130)</f>
        <v>0.6177647025370766</v>
      </c>
    </row>
    <row r="131" spans="2:21">
      <c r="B131" s="122" t="str">
        <f>B.G!B18</f>
        <v>Depreciación acumulada</v>
      </c>
      <c r="C131" s="123">
        <f>B.G!C18</f>
        <v>0</v>
      </c>
      <c r="D131" s="123"/>
      <c r="E131" s="123">
        <f>B.G!D18</f>
        <v>-8640000</v>
      </c>
      <c r="F131" s="123"/>
      <c r="G131" s="123">
        <f>B.G!E18</f>
        <v>-20248992</v>
      </c>
      <c r="H131" s="123"/>
      <c r="I131" s="124">
        <f>B.G!F18</f>
        <v>-31857984</v>
      </c>
      <c r="J131" s="123"/>
      <c r="K131" s="124">
        <f>B.G!G18</f>
        <v>-44993334.787200004</v>
      </c>
      <c r="L131" s="123"/>
      <c r="M131" s="124">
        <f>B.G!H18</f>
        <v>-59696256.048854403</v>
      </c>
      <c r="N131" s="123"/>
      <c r="Q131" s="229"/>
      <c r="R131" s="229"/>
      <c r="S131" s="229"/>
      <c r="T131" s="229"/>
      <c r="U131" s="229"/>
    </row>
    <row r="132" spans="2:21">
      <c r="B132" s="127" t="str">
        <f>B.G!B19</f>
        <v>TOTAL ACTIVOS FIJOS</v>
      </c>
      <c r="C132" s="128">
        <f>B.G!C19</f>
        <v>142358800</v>
      </c>
      <c r="D132" s="128"/>
      <c r="E132" s="128">
        <f>B.G!D19</f>
        <v>133718800</v>
      </c>
      <c r="F132" s="225">
        <f>E132/E$139</f>
        <v>0.4009987186056454</v>
      </c>
      <c r="G132" s="128">
        <f>B.G!E19</f>
        <v>274415386.36000001</v>
      </c>
      <c r="H132" s="225">
        <f>G132/G$139</f>
        <v>0.36689984289747085</v>
      </c>
      <c r="I132" s="128">
        <f>B.G!F19</f>
        <v>280785436.54162002</v>
      </c>
      <c r="J132" s="225">
        <f>I132/I$139</f>
        <v>0.25881704571004477</v>
      </c>
      <c r="K132" s="128">
        <f>B.G!G19</f>
        <v>485747939.24240911</v>
      </c>
      <c r="L132" s="225">
        <f>K132/K$139</f>
        <v>0.31891613307656935</v>
      </c>
      <c r="M132" s="128">
        <f>B.G!H19</f>
        <v>812088388.2725482</v>
      </c>
      <c r="N132" s="225">
        <f>M132/M$139</f>
        <v>0.39512948962997291</v>
      </c>
      <c r="O132" s="233">
        <f t="shared" ref="O132" si="99">AVERAGE(N132,L132,J132,H132,F132)</f>
        <v>0.34815224598394068</v>
      </c>
      <c r="P132" s="19"/>
      <c r="Q132" s="228">
        <f>(G132-E132)/E132</f>
        <v>1.0521825379826921</v>
      </c>
      <c r="R132" s="228">
        <f>(I132-G132)/G132</f>
        <v>2.3213166966021583E-2</v>
      </c>
      <c r="S132" s="228">
        <f>(K132-I132)/I132</f>
        <v>0.72996130150221694</v>
      </c>
      <c r="T132" s="228">
        <f>(M132-K132)/K132</f>
        <v>0.6718308461361916</v>
      </c>
      <c r="U132" s="249">
        <f>AVERAGE(Q132:T132)</f>
        <v>0.61929696314678062</v>
      </c>
    </row>
    <row r="133" spans="2:21">
      <c r="B133" s="120" t="str">
        <f>B.G!B20</f>
        <v>CARGOS DIFERIDOS</v>
      </c>
      <c r="C133" s="123">
        <f>B.G!C20</f>
        <v>0</v>
      </c>
      <c r="D133" s="123"/>
      <c r="E133" s="123">
        <f>B.G!D20</f>
        <v>0</v>
      </c>
      <c r="F133" s="123"/>
      <c r="G133" s="123">
        <f>B.G!E20</f>
        <v>0</v>
      </c>
      <c r="H133" s="123"/>
      <c r="I133" s="124">
        <f>B.G!F20</f>
        <v>0</v>
      </c>
      <c r="J133" s="123"/>
      <c r="K133" s="123">
        <f>B.G!G20</f>
        <v>0</v>
      </c>
      <c r="L133" s="123"/>
      <c r="M133" s="123">
        <f>B.G!H20</f>
        <v>0</v>
      </c>
      <c r="N133" s="123"/>
      <c r="Q133" s="229"/>
      <c r="R133" s="229"/>
      <c r="S133" s="229"/>
      <c r="T133" s="229"/>
      <c r="U133" s="229"/>
    </row>
    <row r="134" spans="2:21">
      <c r="B134" s="122" t="str">
        <f>B.G!B21</f>
        <v>Gastos pre operativos</v>
      </c>
      <c r="C134" s="123">
        <f>B.G!C21</f>
        <v>81424998.935167924</v>
      </c>
      <c r="D134" s="123"/>
      <c r="E134" s="123">
        <f>B.G!D21</f>
        <v>0</v>
      </c>
      <c r="F134" s="123"/>
      <c r="G134" s="123">
        <f>B.G!E21</f>
        <v>0</v>
      </c>
      <c r="H134" s="123"/>
      <c r="I134" s="123">
        <f>B.G!F21</f>
        <v>0</v>
      </c>
      <c r="J134" s="123"/>
      <c r="K134" s="123">
        <f>B.G!G21</f>
        <v>0</v>
      </c>
      <c r="L134" s="123"/>
      <c r="M134" s="123">
        <f>B.G!H21</f>
        <v>0</v>
      </c>
      <c r="N134" s="123"/>
      <c r="Q134" s="229"/>
      <c r="R134" s="229"/>
      <c r="S134" s="229"/>
      <c r="T134" s="229"/>
      <c r="U134" s="229"/>
    </row>
    <row r="135" spans="2:21">
      <c r="B135" s="145" t="str">
        <f>B.G!B22</f>
        <v>Inversión en mercadeo</v>
      </c>
      <c r="C135" s="148">
        <f>B.G!C22</f>
        <v>71123764.065853238</v>
      </c>
      <c r="D135" s="148"/>
      <c r="E135" s="149">
        <f>B.G!D22</f>
        <v>0</v>
      </c>
      <c r="F135" s="149"/>
      <c r="G135" s="149">
        <f>B.G!E22</f>
        <v>0</v>
      </c>
      <c r="H135" s="149"/>
      <c r="I135" s="149">
        <f>B.G!F22</f>
        <v>0</v>
      </c>
      <c r="J135" s="149"/>
      <c r="K135" s="149">
        <f>B.G!G22</f>
        <v>0</v>
      </c>
      <c r="L135" s="149"/>
      <c r="M135" s="149">
        <f>B.G!H22</f>
        <v>0</v>
      </c>
      <c r="N135" s="149"/>
      <c r="Q135" s="229"/>
      <c r="R135" s="229"/>
      <c r="S135" s="229"/>
      <c r="T135" s="229"/>
      <c r="U135" s="229"/>
    </row>
    <row r="136" spans="2:21">
      <c r="B136" s="145" t="str">
        <f>B.G!B23</f>
        <v>Inversión en I+D y calidad</v>
      </c>
      <c r="C136" s="148">
        <f>B.G!C23</f>
        <v>6504500</v>
      </c>
      <c r="D136" s="148"/>
      <c r="E136" s="149">
        <f>B.G!D23</f>
        <v>0</v>
      </c>
      <c r="F136" s="149"/>
      <c r="G136" s="149">
        <f>B.G!E23</f>
        <v>0</v>
      </c>
      <c r="H136" s="149"/>
      <c r="I136" s="149">
        <f>B.G!F23</f>
        <v>0</v>
      </c>
      <c r="J136" s="149"/>
      <c r="K136" s="149">
        <f>B.G!G23</f>
        <v>0</v>
      </c>
      <c r="L136" s="149"/>
      <c r="M136" s="149">
        <f>B.G!H23</f>
        <v>0</v>
      </c>
      <c r="N136" s="149"/>
      <c r="Q136" s="229"/>
      <c r="R136" s="229"/>
      <c r="S136" s="229"/>
      <c r="T136" s="229"/>
      <c r="U136" s="229"/>
    </row>
    <row r="137" spans="2:21">
      <c r="B137" s="145" t="str">
        <f>B.G!B24</f>
        <v>Inversión en gastos de puesta en marcha</v>
      </c>
      <c r="C137" s="148">
        <f>B.G!C24</f>
        <v>3796734.8693146855</v>
      </c>
      <c r="D137" s="148"/>
      <c r="E137" s="149">
        <f>B.G!D24</f>
        <v>0</v>
      </c>
      <c r="F137" s="149"/>
      <c r="G137" s="149">
        <f>B.G!E24</f>
        <v>0</v>
      </c>
      <c r="H137" s="149"/>
      <c r="I137" s="149">
        <f>B.G!F24</f>
        <v>0</v>
      </c>
      <c r="J137" s="149"/>
      <c r="K137" s="149">
        <f>B.G!G24</f>
        <v>0</v>
      </c>
      <c r="L137" s="149"/>
      <c r="M137" s="149">
        <f>B.G!H24</f>
        <v>0</v>
      </c>
      <c r="N137" s="149"/>
      <c r="Q137" s="229"/>
      <c r="R137" s="229"/>
      <c r="S137" s="229"/>
      <c r="T137" s="229"/>
      <c r="U137" s="229"/>
    </row>
    <row r="138" spans="2:21">
      <c r="B138" s="122" t="str">
        <f>B.G!B25</f>
        <v>TOTAL DIFERIDOS</v>
      </c>
      <c r="C138" s="123">
        <f>B.G!C25</f>
        <v>81424998.935167924</v>
      </c>
      <c r="D138" s="123"/>
      <c r="E138" s="123">
        <f>B.G!D25</f>
        <v>0</v>
      </c>
      <c r="F138" s="123"/>
      <c r="G138" s="123">
        <f>B.G!E25</f>
        <v>0</v>
      </c>
      <c r="H138" s="123"/>
      <c r="I138" s="123">
        <f>B.G!F25</f>
        <v>0</v>
      </c>
      <c r="J138" s="123"/>
      <c r="K138" s="123">
        <f>B.G!G25</f>
        <v>0</v>
      </c>
      <c r="L138" s="123"/>
      <c r="M138" s="123">
        <f>B.G!H25</f>
        <v>0</v>
      </c>
      <c r="N138" s="123"/>
      <c r="Q138" s="229"/>
      <c r="R138" s="229"/>
      <c r="S138" s="229"/>
      <c r="T138" s="229"/>
      <c r="U138" s="229"/>
    </row>
    <row r="139" spans="2:21">
      <c r="B139" s="130" t="str">
        <f>B.G!B26</f>
        <v>TOTAL ACTIVOS</v>
      </c>
      <c r="C139" s="129">
        <f>B.G!C26</f>
        <v>281913577.20217615</v>
      </c>
      <c r="D139" s="129"/>
      <c r="E139" s="129">
        <f>B.G!D26</f>
        <v>333464407.2304461</v>
      </c>
      <c r="F139" s="129"/>
      <c r="G139" s="129">
        <f>B.G!E26</f>
        <v>747929964.19103026</v>
      </c>
      <c r="H139" s="129"/>
      <c r="I139" s="129">
        <f>B.G!F26</f>
        <v>1084879999.9679568</v>
      </c>
      <c r="J139" s="129"/>
      <c r="K139" s="129">
        <f>B.G!G26</f>
        <v>1523121249.9550304</v>
      </c>
      <c r="L139" s="129"/>
      <c r="M139" s="129">
        <f>B.G!H26</f>
        <v>2055246215.6976564</v>
      </c>
      <c r="N139" s="129"/>
      <c r="P139" s="19"/>
      <c r="Q139" s="228">
        <f>(G139-E139)/E139</f>
        <v>1.2429079325223482</v>
      </c>
      <c r="R139" s="228">
        <f>(I139-G139)/G139</f>
        <v>0.45051014387607213</v>
      </c>
      <c r="S139" s="228">
        <f>(K139-I139)/I139</f>
        <v>0.40395366307796038</v>
      </c>
      <c r="T139" s="228">
        <f>(M139-K139)/K139</f>
        <v>0.34936480976700757</v>
      </c>
      <c r="U139" s="66">
        <f>AVERAGE(Q139:T139)</f>
        <v>0.61168413731084714</v>
      </c>
    </row>
    <row r="140" spans="2:21">
      <c r="B140" s="131" t="str">
        <f>B.G!B27</f>
        <v xml:space="preserve">PASIVOS </v>
      </c>
      <c r="C140" s="125">
        <f>B.G!C27</f>
        <v>0</v>
      </c>
      <c r="D140" s="125"/>
      <c r="E140" s="125">
        <f>B.G!D27</f>
        <v>0</v>
      </c>
      <c r="F140" s="125"/>
      <c r="G140" s="125">
        <f>B.G!E27</f>
        <v>0</v>
      </c>
      <c r="H140" s="125"/>
      <c r="I140" s="125">
        <f>B.G!F27</f>
        <v>0</v>
      </c>
      <c r="J140" s="125"/>
      <c r="K140" s="125">
        <f>B.G!G27</f>
        <v>0</v>
      </c>
      <c r="L140" s="125"/>
      <c r="M140" s="125">
        <f>B.G!H27</f>
        <v>0</v>
      </c>
      <c r="N140" s="125"/>
      <c r="Q140" s="229"/>
      <c r="R140" s="229"/>
      <c r="S140" s="229"/>
      <c r="T140" s="229"/>
      <c r="U140" s="229"/>
    </row>
    <row r="141" spans="2:21">
      <c r="B141" s="132" t="str">
        <f>B.G!B28</f>
        <v>PASIVO CORRIENTE</v>
      </c>
      <c r="C141" s="123">
        <f>B.G!C28</f>
        <v>0</v>
      </c>
      <c r="D141" s="123"/>
      <c r="E141" s="123">
        <f>B.G!D28</f>
        <v>0</v>
      </c>
      <c r="F141" s="123"/>
      <c r="G141" s="123">
        <f>B.G!E28</f>
        <v>0</v>
      </c>
      <c r="H141" s="123"/>
      <c r="I141" s="123">
        <f>B.G!F28</f>
        <v>0</v>
      </c>
      <c r="J141" s="123"/>
      <c r="K141" s="123">
        <f>B.G!G28</f>
        <v>0</v>
      </c>
      <c r="L141" s="123"/>
      <c r="M141" s="123">
        <f>B.G!H28</f>
        <v>0</v>
      </c>
      <c r="N141" s="123"/>
      <c r="Q141" s="229"/>
      <c r="R141" s="229"/>
      <c r="S141" s="229"/>
      <c r="T141" s="229"/>
      <c r="U141" s="229"/>
    </row>
    <row r="142" spans="2:21">
      <c r="B142" s="147" t="str">
        <f>B.G!B29</f>
        <v>Proveedores nacionales</v>
      </c>
      <c r="C142" s="123">
        <f>B.G!C29</f>
        <v>0</v>
      </c>
      <c r="D142" s="123"/>
      <c r="E142" s="123">
        <f>B.G!D29</f>
        <v>45104392.797990516</v>
      </c>
      <c r="F142" s="224">
        <f>E142/E$148</f>
        <v>0.90648550334070632</v>
      </c>
      <c r="G142" s="123">
        <f>B.G!E29</f>
        <v>69052415.745472774</v>
      </c>
      <c r="H142" s="224">
        <f>G142/G$148</f>
        <v>0.33743163817817423</v>
      </c>
      <c r="I142" s="123">
        <f>B.G!F29</f>
        <v>65074205.631793216</v>
      </c>
      <c r="J142" s="224">
        <f>I142/I$148</f>
        <v>0.23143707499800487</v>
      </c>
      <c r="K142" s="123">
        <f>B.G!G29</f>
        <v>79038550.89734602</v>
      </c>
      <c r="L142" s="224">
        <f>K142/K$148</f>
        <v>0.20640452878629845</v>
      </c>
      <c r="M142" s="123">
        <f>B.G!H29</f>
        <v>82448881.101419762</v>
      </c>
      <c r="N142" s="224">
        <f>M142/M$148</f>
        <v>0.16935474356195948</v>
      </c>
      <c r="O142" s="233">
        <f t="shared" ref="O142" si="100">AVERAGE(N142,L142,J142,H142,F142)</f>
        <v>0.37022269777302863</v>
      </c>
      <c r="P142" s="19"/>
      <c r="Q142" s="228">
        <f>(G142-E142)/E142</f>
        <v>0.53094657663918687</v>
      </c>
      <c r="R142" s="228">
        <f>(I142-G142)/G142</f>
        <v>-5.761145458463382E-2</v>
      </c>
      <c r="S142" s="228">
        <f>(K142-I142)/I142</f>
        <v>0.21459109842334001</v>
      </c>
      <c r="T142" s="228">
        <f>(M142-K142)/K142</f>
        <v>4.3147681294195578E-2</v>
      </c>
      <c r="U142" s="249">
        <f>AVERAGE(Q142:T142)</f>
        <v>0.18276847544302216</v>
      </c>
    </row>
    <row r="143" spans="2:21">
      <c r="B143" s="145" t="str">
        <f>B.G!B30</f>
        <v>Proveedores de materiales directos (instalaciones nuevas)</v>
      </c>
      <c r="C143" s="146">
        <f>B.G!C30</f>
        <v>0</v>
      </c>
      <c r="D143" s="146"/>
      <c r="E143" s="146">
        <f>B.G!D30</f>
        <v>44787909.281507</v>
      </c>
      <c r="F143" s="224">
        <f t="shared" ref="F143:H147" si="101">E143/E$148</f>
        <v>0.90012497608511322</v>
      </c>
      <c r="G143" s="146">
        <f>B.G!E30</f>
        <v>66542649.467042387</v>
      </c>
      <c r="H143" s="224">
        <f t="shared" si="101"/>
        <v>0.32516741052397191</v>
      </c>
      <c r="I143" s="146">
        <f>B.G!F30</f>
        <v>59527728.724738248</v>
      </c>
      <c r="J143" s="224">
        <f t="shared" ref="J143" si="102">I143/I$148</f>
        <v>0.21171097339676417</v>
      </c>
      <c r="K143" s="146">
        <f>B.G!G30</f>
        <v>70565845.012187704</v>
      </c>
      <c r="L143" s="224">
        <f t="shared" ref="L143" si="103">K143/K$148</f>
        <v>0.1842785554996384</v>
      </c>
      <c r="M143" s="146">
        <f>B.G!H30</f>
        <v>70559638.993096024</v>
      </c>
      <c r="N143" s="224">
        <f t="shared" ref="N143" si="104">M143/M$148</f>
        <v>0.14493355650031306</v>
      </c>
      <c r="O143" s="250"/>
      <c r="Q143" s="229"/>
      <c r="R143" s="229"/>
      <c r="S143" s="229"/>
      <c r="T143" s="229"/>
      <c r="U143" s="229"/>
    </row>
    <row r="144" spans="2:21">
      <c r="B144" s="145" t="str">
        <f>B.G!B31</f>
        <v>Proveedores de materiales directos (mantenimientos y recargas)</v>
      </c>
      <c r="C144" s="146">
        <f>B.G!C31</f>
        <v>0</v>
      </c>
      <c r="D144" s="146"/>
      <c r="E144" s="146">
        <f>B.G!D31</f>
        <v>0</v>
      </c>
      <c r="F144" s="224">
        <f t="shared" si="101"/>
        <v>0</v>
      </c>
      <c r="G144" s="146">
        <f>B.G!E31</f>
        <v>1713295.0093008943</v>
      </c>
      <c r="H144" s="224">
        <f t="shared" si="101"/>
        <v>8.3721899578697058E-3</v>
      </c>
      <c r="I144" s="146">
        <f>B.G!F31</f>
        <v>4305870.6563840322</v>
      </c>
      <c r="J144" s="224">
        <f t="shared" ref="J144" si="105">I144/I$148</f>
        <v>1.5313872837294882E-2</v>
      </c>
      <c r="K144" s="146">
        <f>B.G!G31</f>
        <v>6698477.1351479413</v>
      </c>
      <c r="L144" s="224">
        <f t="shared" ref="L144" si="106">K144/K$148</f>
        <v>1.7492679217533964E-2</v>
      </c>
      <c r="M144" s="146">
        <f>B.G!H31</f>
        <v>9568515.6324069872</v>
      </c>
      <c r="N144" s="224">
        <f t="shared" ref="N144" si="107">M144/M$148</f>
        <v>1.9654281411066735E-2</v>
      </c>
      <c r="O144" s="250"/>
      <c r="Q144" s="229"/>
      <c r="R144" s="229"/>
      <c r="S144" s="229"/>
      <c r="T144" s="229"/>
      <c r="U144" s="229"/>
    </row>
    <row r="145" spans="2:21">
      <c r="B145" s="145" t="str">
        <f>B.G!B32</f>
        <v>Proveedores de materiales de consumo (instalaciones nuevas)</v>
      </c>
      <c r="C145" s="146">
        <f>B.G!C32</f>
        <v>0</v>
      </c>
      <c r="D145" s="146"/>
      <c r="E145" s="146">
        <f>B.G!D32</f>
        <v>316483.51648351649</v>
      </c>
      <c r="F145" s="224">
        <f t="shared" si="101"/>
        <v>6.3605272555931304E-3</v>
      </c>
      <c r="G145" s="146">
        <f>B.G!E32</f>
        <v>470208.41198665061</v>
      </c>
      <c r="H145" s="224">
        <f t="shared" si="101"/>
        <v>2.297721130085383E-3</v>
      </c>
      <c r="I145" s="146">
        <f>B.G!F32</f>
        <v>420639.07910211117</v>
      </c>
      <c r="J145" s="224">
        <f t="shared" ref="J145" si="108">I145/I$148</f>
        <v>1.4960071683100826E-3</v>
      </c>
      <c r="K145" s="146">
        <f>B.G!G32</f>
        <v>498637.40307050408</v>
      </c>
      <c r="L145" s="224">
        <f t="shared" ref="L145" si="109">K145/K$148</f>
        <v>1.3021622619278927E-3</v>
      </c>
      <c r="M145" s="146">
        <f>B.G!H32</f>
        <v>498593.54965611146</v>
      </c>
      <c r="N145" s="224">
        <f t="shared" ref="N145" si="110">M145/M$148</f>
        <v>1.0241398259824756E-3</v>
      </c>
      <c r="O145" s="250"/>
      <c r="Q145" s="229"/>
      <c r="R145" s="229"/>
      <c r="S145" s="229"/>
      <c r="T145" s="229"/>
      <c r="U145" s="229"/>
    </row>
    <row r="146" spans="2:21">
      <c r="B146" s="145" t="str">
        <f>B.G!B33</f>
        <v>Proveedores de materiales de consumo (mantenimientos y recargas)</v>
      </c>
      <c r="C146" s="146">
        <f>B.G!C33</f>
        <v>0</v>
      </c>
      <c r="D146" s="146"/>
      <c r="E146" s="146">
        <f>B.G!D33</f>
        <v>0</v>
      </c>
      <c r="F146" s="224">
        <f t="shared" si="101"/>
        <v>0</v>
      </c>
      <c r="G146" s="146">
        <f>B.G!E33</f>
        <v>326262.8571428571</v>
      </c>
      <c r="H146" s="224">
        <f t="shared" si="101"/>
        <v>1.5943165662473402E-3</v>
      </c>
      <c r="I146" s="146">
        <f>B.G!F33</f>
        <v>819967.17156882829</v>
      </c>
      <c r="J146" s="224">
        <f t="shared" ref="J146" si="111">I146/I$148</f>
        <v>2.9162215956357487E-3</v>
      </c>
      <c r="K146" s="146">
        <f>B.G!G33</f>
        <v>1275591.3469398597</v>
      </c>
      <c r="L146" s="224">
        <f t="shared" ref="L146" si="112">K146/K$148</f>
        <v>3.3311318071981787E-3</v>
      </c>
      <c r="M146" s="146">
        <f>B.G!H33</f>
        <v>1822132.9262606434</v>
      </c>
      <c r="N146" s="224">
        <f t="shared" ref="N146" si="113">M146/M$148</f>
        <v>3.7427658245972272E-3</v>
      </c>
      <c r="O146" s="250"/>
      <c r="Q146" s="229"/>
      <c r="R146" s="229"/>
      <c r="S146" s="229"/>
      <c r="T146" s="229"/>
      <c r="U146" s="229"/>
    </row>
    <row r="147" spans="2:21">
      <c r="B147" s="122" t="str">
        <f>B.G!B34</f>
        <v>Impuestos por pagar</v>
      </c>
      <c r="C147" s="123">
        <f>B.G!C34</f>
        <v>0</v>
      </c>
      <c r="D147" s="123"/>
      <c r="E147" s="123">
        <f>B.G!D34</f>
        <v>4653041.4155358411</v>
      </c>
      <c r="F147" s="224">
        <f t="shared" si="101"/>
        <v>9.3514496659293803E-2</v>
      </c>
      <c r="G147" s="123">
        <f>B.G!E34</f>
        <v>135588785.41246659</v>
      </c>
      <c r="H147" s="224">
        <f t="shared" si="101"/>
        <v>0.66256836182182566</v>
      </c>
      <c r="I147" s="123">
        <f>B.G!F34</f>
        <v>216100302.09284076</v>
      </c>
      <c r="J147" s="224">
        <f t="shared" ref="J147" si="114">I147/I$148</f>
        <v>0.76856292500199508</v>
      </c>
      <c r="K147" s="123">
        <f>B.G!G34</f>
        <v>303891762.51248628</v>
      </c>
      <c r="L147" s="224">
        <f t="shared" ref="L147" si="115">K147/K$148</f>
        <v>0.79359547121370155</v>
      </c>
      <c r="M147" s="123">
        <f>B.G!H34</f>
        <v>404392404.63590789</v>
      </c>
      <c r="N147" s="224">
        <f t="shared" ref="N147" si="116">M147/M$148</f>
        <v>0.83064525643804055</v>
      </c>
      <c r="O147" s="233">
        <f t="shared" ref="O147:O148" si="117">AVERAGE(N147,L147,J147,H147,F147)</f>
        <v>0.62977730222697137</v>
      </c>
      <c r="P147" s="19"/>
      <c r="Q147" s="228">
        <f>(G147-E147)/E147</f>
        <v>28.139819164247065</v>
      </c>
      <c r="R147" s="228">
        <f>(I147-G147)/G147</f>
        <v>0.59379185701424253</v>
      </c>
      <c r="S147" s="228">
        <f>(K147-I147)/I147</f>
        <v>0.40625329797979021</v>
      </c>
      <c r="T147" s="228">
        <f>(M147-K147)/K147</f>
        <v>0.33071196564366317</v>
      </c>
      <c r="U147" s="249">
        <f>AVERAGE(Q147:T147)</f>
        <v>7.3676440712211901</v>
      </c>
    </row>
    <row r="148" spans="2:21">
      <c r="B148" s="127" t="str">
        <f>B.G!B35</f>
        <v>TOTAL PASIVOS CORRIENTES</v>
      </c>
      <c r="C148" s="128">
        <f>B.G!C35</f>
        <v>0</v>
      </c>
      <c r="D148" s="128"/>
      <c r="E148" s="128">
        <f>B.G!D35</f>
        <v>49757434.213526353</v>
      </c>
      <c r="F148" s="225">
        <f>E148/E$152</f>
        <v>0.44094990966371578</v>
      </c>
      <c r="G148" s="128">
        <f>B.G!E35</f>
        <v>204641201.15793937</v>
      </c>
      <c r="H148" s="225">
        <f>G148/G$152</f>
        <v>0.794140377386646</v>
      </c>
      <c r="I148" s="128">
        <f>B.G!F35</f>
        <v>281174507.72463399</v>
      </c>
      <c r="J148" s="225">
        <f>I148/I$152</f>
        <v>0.87576476212384702</v>
      </c>
      <c r="K148" s="128">
        <f>B.G!G35</f>
        <v>382930313.4098323</v>
      </c>
      <c r="L148" s="225">
        <f>K148/K$152</f>
        <v>0.94420132661362266</v>
      </c>
      <c r="M148" s="128">
        <f>B.G!H35</f>
        <v>486841285.73732764</v>
      </c>
      <c r="N148" s="225">
        <f>M148/M$152</f>
        <v>1.0000000000000004</v>
      </c>
      <c r="O148" s="233">
        <f t="shared" si="117"/>
        <v>0.81101127515756644</v>
      </c>
      <c r="P148" s="19"/>
      <c r="Q148" s="228">
        <f>(G148-E148)/E148</f>
        <v>3.1127763999999116</v>
      </c>
      <c r="R148" s="228">
        <f>(I148-G148)/G148</f>
        <v>0.37398777046674597</v>
      </c>
      <c r="S148" s="228">
        <f>(K148-I148)/I148</f>
        <v>0.36189555912676141</v>
      </c>
      <c r="T148" s="228">
        <f>(M148-K148)/K148</f>
        <v>0.27135739503674211</v>
      </c>
      <c r="U148" s="249">
        <f>AVERAGE(Q148:T148)</f>
        <v>1.0300042811575403</v>
      </c>
    </row>
    <row r="149" spans="2:21">
      <c r="B149" s="120" t="str">
        <f>B.G!B36</f>
        <v>PASIVO A LARGO PLAZO</v>
      </c>
      <c r="C149" s="123">
        <f>B.G!C36</f>
        <v>0</v>
      </c>
      <c r="D149" s="123"/>
      <c r="E149" s="123">
        <f>B.G!D36</f>
        <v>0</v>
      </c>
      <c r="F149" s="123"/>
      <c r="G149" s="123">
        <f>B.G!E36</f>
        <v>0</v>
      </c>
      <c r="H149" s="123"/>
      <c r="I149" s="124">
        <f>B.G!F36</f>
        <v>0</v>
      </c>
      <c r="J149" s="123"/>
      <c r="K149" s="123">
        <f>B.G!G36</f>
        <v>0</v>
      </c>
      <c r="L149" s="123"/>
      <c r="M149" s="123">
        <f>B.G!H36</f>
        <v>0</v>
      </c>
      <c r="N149" s="123"/>
      <c r="Q149" s="229"/>
      <c r="R149" s="229"/>
      <c r="S149" s="229"/>
      <c r="T149" s="229"/>
      <c r="U149" s="229"/>
    </row>
    <row r="150" spans="2:21">
      <c r="B150" s="122" t="str">
        <f>B.G!B37</f>
        <v>Obligaciones financieras</v>
      </c>
      <c r="C150" s="123">
        <f>B.G!C37</f>
        <v>70737720</v>
      </c>
      <c r="D150" s="123"/>
      <c r="E150" s="123">
        <f>B.G!D37</f>
        <v>63084031.728655517</v>
      </c>
      <c r="F150" s="123"/>
      <c r="G150" s="123">
        <f>B.G!E37</f>
        <v>53047750.298441485</v>
      </c>
      <c r="H150" s="123"/>
      <c r="I150" s="124">
        <f>B.G!F37</f>
        <v>39887174.459001809</v>
      </c>
      <c r="J150" s="123"/>
      <c r="K150" s="124">
        <f>B.G!G37</f>
        <v>22629711.360744547</v>
      </c>
      <c r="L150" s="123"/>
      <c r="M150" s="124">
        <f>B.G!H37</f>
        <v>-2.1606683731079102E-7</v>
      </c>
      <c r="N150" s="123"/>
      <c r="Q150" s="229"/>
      <c r="R150" s="229"/>
      <c r="S150" s="229"/>
      <c r="T150" s="229"/>
      <c r="U150" s="229"/>
    </row>
    <row r="151" spans="2:21">
      <c r="B151" s="127" t="str">
        <f>B.G!B38</f>
        <v>TOTAL PASIVO A LARGO PLAZO</v>
      </c>
      <c r="C151" s="128">
        <f>B.G!C38</f>
        <v>70737720</v>
      </c>
      <c r="D151" s="128"/>
      <c r="E151" s="128">
        <f>B.G!D38</f>
        <v>63084031.728655517</v>
      </c>
      <c r="F151" s="225">
        <f>E151/E$152</f>
        <v>0.55905009033628428</v>
      </c>
      <c r="G151" s="128">
        <f>B.G!E38</f>
        <v>53047750.298441485</v>
      </c>
      <c r="H151" s="225">
        <f>G151/G$152</f>
        <v>0.20585962261335411</v>
      </c>
      <c r="I151" s="128">
        <f>B.G!F38</f>
        <v>39887174.459001809</v>
      </c>
      <c r="J151" s="225">
        <f>I151/I$152</f>
        <v>0.12423523787615293</v>
      </c>
      <c r="K151" s="128">
        <f>B.G!G38</f>
        <v>22629711.360744547</v>
      </c>
      <c r="L151" s="225">
        <f>K151/K$152</f>
        <v>5.5798673386377409E-2</v>
      </c>
      <c r="M151" s="128">
        <f>B.G!H38</f>
        <v>-2.1606683731079102E-7</v>
      </c>
      <c r="N151" s="225">
        <f>M151/M$152</f>
        <v>-4.4381371021883448E-16</v>
      </c>
      <c r="O151" s="233">
        <f t="shared" ref="O151:O152" si="118">AVERAGE(N151,L151,J151,H151,F151)</f>
        <v>0.18898872484243365</v>
      </c>
      <c r="P151" s="19"/>
      <c r="Q151" s="228">
        <f>(G151-E151)/E151</f>
        <v>-0.15909384919123862</v>
      </c>
      <c r="R151" s="228">
        <f>(I151-G151)/G151</f>
        <v>-0.24808923593177007</v>
      </c>
      <c r="S151" s="228">
        <f>(K151-I151)/I151</f>
        <v>-0.43265694630727514</v>
      </c>
      <c r="T151" s="228">
        <f>(M151-K151)/K151</f>
        <v>-1.0000000000000095</v>
      </c>
      <c r="U151" s="249">
        <f>AVERAGE(Q151:T151)</f>
        <v>-0.45996000785757335</v>
      </c>
    </row>
    <row r="152" spans="2:21">
      <c r="B152" s="133" t="str">
        <f>B.G!B39</f>
        <v>TOTAL PASIVOS</v>
      </c>
      <c r="C152" s="128">
        <f>B.G!C39</f>
        <v>70737720</v>
      </c>
      <c r="D152" s="128"/>
      <c r="E152" s="128">
        <f>B.G!D39</f>
        <v>112841465.94218187</v>
      </c>
      <c r="F152" s="225">
        <f>E152/E$159</f>
        <v>0.33839133501345758</v>
      </c>
      <c r="G152" s="128">
        <f>B.G!E39</f>
        <v>257688951.45638084</v>
      </c>
      <c r="H152" s="225">
        <f>G152/G$159</f>
        <v>0.34453620498424631</v>
      </c>
      <c r="I152" s="128">
        <f>B.G!F39</f>
        <v>321061682.18363583</v>
      </c>
      <c r="J152" s="225">
        <f>I152/I$159</f>
        <v>0.29594211543499616</v>
      </c>
      <c r="K152" s="128">
        <f>B.G!G39</f>
        <v>405560024.77057683</v>
      </c>
      <c r="L152" s="225">
        <f>K152/K$159</f>
        <v>0.26626903457787787</v>
      </c>
      <c r="M152" s="128">
        <f>B.G!H39</f>
        <v>486841285.7373274</v>
      </c>
      <c r="N152" s="225">
        <f>M152/M$159</f>
        <v>0.2368773541675484</v>
      </c>
      <c r="O152" s="232">
        <f t="shared" si="118"/>
        <v>0.29640320883562526</v>
      </c>
      <c r="P152" s="19"/>
      <c r="Q152" s="228">
        <f>(G152-E152)/E152</f>
        <v>1.2836370416209981</v>
      </c>
      <c r="R152" s="228">
        <f>(I152-G152)/G152</f>
        <v>0.24592723269310257</v>
      </c>
      <c r="S152" s="228">
        <f>(K152-I152)/I152</f>
        <v>0.26318413960907039</v>
      </c>
      <c r="T152" s="228">
        <f>(M152-K152)/K152</f>
        <v>0.20041733899373082</v>
      </c>
      <c r="U152" s="66">
        <f>AVERAGE(Q152:T152)</f>
        <v>0.4982914382292255</v>
      </c>
    </row>
    <row r="153" spans="2:21">
      <c r="B153" s="118" t="str">
        <f>B.G!B40</f>
        <v>PATRIMONIO</v>
      </c>
      <c r="C153" s="125">
        <f>B.G!C40</f>
        <v>0</v>
      </c>
      <c r="D153" s="125"/>
      <c r="E153" s="125">
        <f>B.G!D40</f>
        <v>0</v>
      </c>
      <c r="F153" s="125"/>
      <c r="G153" s="125">
        <f>B.G!E40</f>
        <v>0</v>
      </c>
      <c r="H153" s="125"/>
      <c r="I153" s="126">
        <f>B.G!F40</f>
        <v>0</v>
      </c>
      <c r="J153" s="125"/>
      <c r="K153" s="125">
        <f>B.G!G40</f>
        <v>0</v>
      </c>
      <c r="L153" s="125"/>
      <c r="M153" s="125">
        <f>B.G!H40</f>
        <v>0</v>
      </c>
      <c r="N153" s="125"/>
      <c r="Q153" s="229"/>
      <c r="R153" s="229"/>
      <c r="S153" s="229"/>
      <c r="T153" s="229"/>
      <c r="U153" s="229"/>
    </row>
    <row r="154" spans="2:21">
      <c r="B154" s="120" t="str">
        <f>B.G!B41</f>
        <v>Aporte social</v>
      </c>
      <c r="C154" s="123">
        <f>B.G!C41</f>
        <v>211175857.20217615</v>
      </c>
      <c r="D154" s="123"/>
      <c r="E154" s="123">
        <f>B.G!D41</f>
        <v>211175857.20217615</v>
      </c>
      <c r="F154" s="224">
        <f>E154/E$158</f>
        <v>0.95717995585171523</v>
      </c>
      <c r="G154" s="123">
        <f>B.G!E41</f>
        <v>211175857.20217615</v>
      </c>
      <c r="H154" s="224">
        <f>G154/G$158</f>
        <v>0.43075926272304421</v>
      </c>
      <c r="I154" s="124">
        <f>B.G!F41</f>
        <v>211175857.20217615</v>
      </c>
      <c r="J154" s="224">
        <f>I154/I$158</f>
        <v>0.27647393664864378</v>
      </c>
      <c r="K154" s="124">
        <f>B.G!G41</f>
        <v>211175857.20217615</v>
      </c>
      <c r="L154" s="224">
        <f>K154/K$158</f>
        <v>0.18896133155239114</v>
      </c>
      <c r="M154" s="124">
        <f>B.G!H41</f>
        <v>211175857.20217615</v>
      </c>
      <c r="N154" s="224">
        <f>M154/M$158</f>
        <v>0.13464370913927029</v>
      </c>
      <c r="O154" s="233">
        <f t="shared" ref="O154:O158" si="119">AVERAGE(N154,L154,J154,H154,F154)</f>
        <v>0.39760363918301289</v>
      </c>
      <c r="P154" s="19"/>
      <c r="Q154" s="228"/>
      <c r="R154" s="228"/>
      <c r="S154" s="228"/>
      <c r="T154" s="228"/>
      <c r="U154" s="66"/>
    </row>
    <row r="155" spans="2:21">
      <c r="B155" s="120" t="str">
        <f>B.G!B42</f>
        <v>Reserva legal acumulada</v>
      </c>
      <c r="C155" s="123">
        <f>B.G!C42</f>
        <v>0</v>
      </c>
      <c r="D155" s="123"/>
      <c r="E155" s="123">
        <f>B.G!D42</f>
        <v>0</v>
      </c>
      <c r="F155" s="224">
        <f t="shared" ref="F155:H157" si="120">E155/E$158</f>
        <v>0</v>
      </c>
      <c r="G155" s="123">
        <f>B.G!E42</f>
        <v>944708.408608792</v>
      </c>
      <c r="H155" s="224">
        <f t="shared" si="120"/>
        <v>1.9270285106075568E-3</v>
      </c>
      <c r="I155" s="123">
        <f>B.G!F42</f>
        <v>28473340.598412614</v>
      </c>
      <c r="J155" s="224">
        <f t="shared" ref="J155" si="121">I155/I$158</f>
        <v>3.7277635185560716E-2</v>
      </c>
      <c r="K155" s="123">
        <f>B.G!G42</f>
        <v>72348250.417262092</v>
      </c>
      <c r="L155" s="224">
        <f t="shared" ref="L155" si="122">K155/K$158</f>
        <v>6.4737616863291714E-2</v>
      </c>
      <c r="M155" s="123">
        <f>B.G!H42</f>
        <v>134047487.04858507</v>
      </c>
      <c r="N155" s="224">
        <f t="shared" ref="N155" si="123">M155/M$158</f>
        <v>8.5467397154876085E-2</v>
      </c>
      <c r="O155" s="233">
        <f t="shared" si="119"/>
        <v>3.7881935542867215E-2</v>
      </c>
      <c r="P155" s="19"/>
      <c r="Q155" s="228"/>
      <c r="R155" s="228">
        <f>(I155-G155)/G155</f>
        <v>29.139819164247065</v>
      </c>
      <c r="S155" s="228">
        <f>(K155-I155)/I155</f>
        <v>1.5409119160853046</v>
      </c>
      <c r="T155" s="228">
        <f>(M155-K155)/K155</f>
        <v>0.85280896601477063</v>
      </c>
      <c r="U155" s="249">
        <f>AVERAGE(R155:T155)</f>
        <v>10.511180015449046</v>
      </c>
    </row>
    <row r="156" spans="2:21">
      <c r="B156" s="120" t="str">
        <f>B.G!B43</f>
        <v>Utilidades acumuladas</v>
      </c>
      <c r="C156" s="123">
        <f>B.G!C43</f>
        <v>0</v>
      </c>
      <c r="D156" s="123"/>
      <c r="E156" s="123">
        <f>B.G!D43</f>
        <v>0</v>
      </c>
      <c r="F156" s="224">
        <f t="shared" si="120"/>
        <v>0</v>
      </c>
      <c r="G156" s="123">
        <f>B.G!E43</f>
        <v>2834125.2258263761</v>
      </c>
      <c r="H156" s="224">
        <f t="shared" si="120"/>
        <v>5.781085531822671E-3</v>
      </c>
      <c r="I156" s="123">
        <f>B.G!F43</f>
        <v>85420021.795237839</v>
      </c>
      <c r="J156" s="224">
        <f t="shared" ref="J156" si="124">I156/I$158</f>
        <v>0.11183290555668213</v>
      </c>
      <c r="K156" s="123">
        <f>B.G!G43</f>
        <v>217044751.25178626</v>
      </c>
      <c r="L156" s="224">
        <f t="shared" ref="L156" si="125">K156/K$158</f>
        <v>0.19421285058987514</v>
      </c>
      <c r="M156" s="123">
        <f>B.G!H43</f>
        <v>402142461.14575517</v>
      </c>
      <c r="N156" s="224">
        <f t="shared" ref="N156" si="126">M156/M$158</f>
        <v>0.25640219146462823</v>
      </c>
      <c r="O156" s="233">
        <f t="shared" si="119"/>
        <v>0.11364580662860162</v>
      </c>
      <c r="P156" s="19"/>
      <c r="Q156" s="228"/>
      <c r="R156" s="228">
        <f>(I156-G156)/G156</f>
        <v>29.139819164247058</v>
      </c>
      <c r="S156" s="228">
        <f>(K156-I156)/I156</f>
        <v>1.5409119160853046</v>
      </c>
      <c r="T156" s="228">
        <f>(M156-K156)/K156</f>
        <v>0.85280896601477052</v>
      </c>
      <c r="U156" s="249">
        <f>AVERAGE(R156:T156)</f>
        <v>10.511180015449044</v>
      </c>
    </row>
    <row r="157" spans="2:21">
      <c r="B157" s="120" t="str">
        <f>B.G!B44</f>
        <v>Utilidad del periodo</v>
      </c>
      <c r="C157" s="123">
        <f>B.G!C44</f>
        <v>0</v>
      </c>
      <c r="D157" s="123"/>
      <c r="E157" s="123">
        <f>B.G!D44</f>
        <v>9447084.0860879198</v>
      </c>
      <c r="F157" s="224">
        <f t="shared" si="120"/>
        <v>4.282004414828483E-2</v>
      </c>
      <c r="G157" s="123">
        <f>B.G!E44</f>
        <v>275286321.89803821</v>
      </c>
      <c r="H157" s="224">
        <f t="shared" si="120"/>
        <v>0.56153262323452557</v>
      </c>
      <c r="I157" s="124">
        <f>B.G!F44</f>
        <v>438749098.1884948</v>
      </c>
      <c r="J157" s="224">
        <f t="shared" ref="J157" si="127">I157/I$158</f>
        <v>0.57441552260911333</v>
      </c>
      <c r="K157" s="123">
        <f>B.G!G44</f>
        <v>616992366.3132298</v>
      </c>
      <c r="L157" s="224">
        <f t="shared" ref="L157" si="128">K157/K$158</f>
        <v>0.55208820099444189</v>
      </c>
      <c r="M157" s="123">
        <f>B.G!H44</f>
        <v>821039124.56381297</v>
      </c>
      <c r="N157" s="224">
        <f t="shared" ref="N157" si="129">M157/M$158</f>
        <v>0.52348670224122551</v>
      </c>
      <c r="O157" s="233">
        <f t="shared" si="119"/>
        <v>0.45086861864551819</v>
      </c>
      <c r="P157" s="19"/>
      <c r="Q157" s="228">
        <f>(G157-E157)/E157</f>
        <v>28.139819164247061</v>
      </c>
      <c r="R157" s="228">
        <f>(I157-G157)/G157</f>
        <v>0.59379185701424231</v>
      </c>
      <c r="S157" s="228">
        <f>(K157-I157)/I157</f>
        <v>0.40625329797979065</v>
      </c>
      <c r="T157" s="228">
        <f>(M157-K157)/K157</f>
        <v>0.33071196564366295</v>
      </c>
      <c r="U157" s="249">
        <f>AVERAGE(Q157:T157)</f>
        <v>7.3676440712211893</v>
      </c>
    </row>
    <row r="158" spans="2:21">
      <c r="B158" s="133" t="str">
        <f>B.G!B45</f>
        <v>TOTAL PATRIMONIO</v>
      </c>
      <c r="C158" s="128">
        <f>B.G!C45</f>
        <v>211175857.20217615</v>
      </c>
      <c r="D158" s="128"/>
      <c r="E158" s="128">
        <f>B.G!D45</f>
        <v>220622941.28826407</v>
      </c>
      <c r="F158" s="225">
        <f>E158/E$159</f>
        <v>0.66160866498654247</v>
      </c>
      <c r="G158" s="128">
        <f>B.G!E45</f>
        <v>490241012.73464954</v>
      </c>
      <c r="H158" s="225">
        <f>G158/G$159</f>
        <v>0.65546379501575369</v>
      </c>
      <c r="I158" s="128">
        <f>B.G!F45</f>
        <v>763818317.78432143</v>
      </c>
      <c r="J158" s="225">
        <f>I158/I$159</f>
        <v>0.70405788456500384</v>
      </c>
      <c r="K158" s="128">
        <f>B.G!G45</f>
        <v>1117561225.1844544</v>
      </c>
      <c r="L158" s="225">
        <f>K158/K$159</f>
        <v>0.73373096542212202</v>
      </c>
      <c r="M158" s="128">
        <f>B.G!H45</f>
        <v>1568404929.9603293</v>
      </c>
      <c r="N158" s="225">
        <f>M158/M$159</f>
        <v>0.7631226458324516</v>
      </c>
      <c r="O158" s="233">
        <f t="shared" si="119"/>
        <v>0.70359679116437479</v>
      </c>
      <c r="P158" s="19"/>
      <c r="Q158" s="228">
        <f>(G158-E158)/E158</f>
        <v>1.2220763165971249</v>
      </c>
      <c r="R158" s="228">
        <f>(I158-G158)/G158</f>
        <v>0.55804654841831802</v>
      </c>
      <c r="S158" s="228">
        <f>(K158-I158)/I158</f>
        <v>0.46312440951438272</v>
      </c>
      <c r="T158" s="228">
        <f>(M158-K158)/K158</f>
        <v>0.40341745455732209</v>
      </c>
      <c r="U158" s="249">
        <f>AVERAGE(Q158:T158)</f>
        <v>0.66166618227178697</v>
      </c>
    </row>
    <row r="159" spans="2:21">
      <c r="B159" s="133" t="str">
        <f>B.G!B46</f>
        <v>TOTAL PASIVO + PATRIMONIO</v>
      </c>
      <c r="C159" s="128">
        <f>B.G!C46</f>
        <v>281913577.20217615</v>
      </c>
      <c r="D159" s="128"/>
      <c r="E159" s="128">
        <f>B.G!D46</f>
        <v>333464407.23044592</v>
      </c>
      <c r="F159" s="128"/>
      <c r="G159" s="128">
        <f>B.G!E46</f>
        <v>747929964.19103038</v>
      </c>
      <c r="H159" s="128"/>
      <c r="I159" s="128">
        <f>B.G!F46</f>
        <v>1084879999.9679573</v>
      </c>
      <c r="J159" s="128"/>
      <c r="K159" s="128">
        <f>B.G!G46</f>
        <v>1523121249.9550314</v>
      </c>
      <c r="L159" s="128"/>
      <c r="M159" s="128">
        <f>B.G!H46</f>
        <v>2055246215.6976566</v>
      </c>
      <c r="N159" s="128"/>
    </row>
    <row r="160" spans="2:21">
      <c r="B160" s="153"/>
      <c r="C160" s="153"/>
      <c r="E160" s="153"/>
      <c r="G160" s="153"/>
      <c r="I160" s="153"/>
      <c r="K160" s="153"/>
      <c r="M160" s="153"/>
    </row>
    <row r="161" spans="2:14">
      <c r="B161" s="36" t="s">
        <v>216</v>
      </c>
      <c r="C161" s="6">
        <f t="shared" ref="C161:M161" si="130">C139-C159</f>
        <v>0</v>
      </c>
      <c r="D161" s="6"/>
      <c r="E161" s="2">
        <f t="shared" si="130"/>
        <v>0</v>
      </c>
      <c r="F161" s="2"/>
      <c r="G161" s="6">
        <f t="shared" si="130"/>
        <v>0</v>
      </c>
      <c r="H161" s="2"/>
      <c r="I161" s="6">
        <f t="shared" si="130"/>
        <v>0</v>
      </c>
      <c r="J161" s="2"/>
      <c r="K161" s="6">
        <f t="shared" si="130"/>
        <v>0</v>
      </c>
      <c r="L161" s="2"/>
      <c r="M161" s="6">
        <f t="shared" si="130"/>
        <v>0</v>
      </c>
      <c r="N161" s="2"/>
    </row>
    <row r="164" spans="2:14">
      <c r="B164" s="185" t="str">
        <f>F.C.L!B2</f>
        <v>Flujo De Caja Libre Anualizado</v>
      </c>
      <c r="C164" s="186" t="str">
        <f>F.C.L!C2</f>
        <v>AÑO 0</v>
      </c>
      <c r="D164" s="186"/>
      <c r="E164" s="186" t="str">
        <f>F.C.L!D2</f>
        <v>AÑO 1</v>
      </c>
      <c r="F164" s="186"/>
      <c r="G164" s="186" t="str">
        <f>F.C.L!E2</f>
        <v>AÑO 2</v>
      </c>
      <c r="H164" s="186"/>
      <c r="I164" s="186" t="str">
        <f>F.C.L!F2</f>
        <v>AÑO 3</v>
      </c>
      <c r="J164" s="186"/>
      <c r="K164" s="186" t="str">
        <f>F.C.L!G2</f>
        <v>AÑO 4</v>
      </c>
      <c r="L164" s="186"/>
      <c r="M164" s="186" t="str">
        <f>F.C.L!H2</f>
        <v>AÑO 5</v>
      </c>
      <c r="N164" s="186"/>
    </row>
    <row r="165" spans="2:14">
      <c r="B165" s="187">
        <f>F.C.L!B3</f>
        <v>0</v>
      </c>
      <c r="C165" s="188"/>
      <c r="D165" s="188"/>
      <c r="E165" s="188"/>
      <c r="F165" s="188"/>
      <c r="G165" s="188"/>
      <c r="H165" s="188"/>
      <c r="I165" s="188"/>
      <c r="J165" s="188"/>
      <c r="K165" s="188"/>
      <c r="L165" s="188"/>
      <c r="M165" s="188"/>
      <c r="N165" s="188"/>
    </row>
    <row r="166" spans="2:14">
      <c r="B166" s="189" t="str">
        <f>F.C.L!B4</f>
        <v>Utilidad operativa</v>
      </c>
      <c r="C166" s="190">
        <f>F.C.L!C4</f>
        <v>0</v>
      </c>
      <c r="D166" s="190"/>
      <c r="E166" s="190">
        <f>F.C.L!D4</f>
        <v>32574980.345104039</v>
      </c>
      <c r="F166" s="190"/>
      <c r="G166" s="190">
        <f>F.C.L!E4</f>
        <v>426967368.99511552</v>
      </c>
      <c r="H166" s="190"/>
      <c r="I166" s="190">
        <f>F.C.L!F4</f>
        <v>667817367.55672073</v>
      </c>
      <c r="J166" s="190"/>
      <c r="K166" s="190">
        <f>F.C.L!G4</f>
        <v>929755208.84228349</v>
      </c>
      <c r="L166" s="190"/>
      <c r="M166" s="190">
        <f>F.C.L!H4</f>
        <v>1228930360.9538009</v>
      </c>
      <c r="N166" s="190"/>
    </row>
    <row r="167" spans="2:14">
      <c r="B167" s="191" t="str">
        <f>F.C.L!B5</f>
        <v>Impuestos aplicados</v>
      </c>
      <c r="C167" s="190">
        <f>F.C.L!C5</f>
        <v>0</v>
      </c>
      <c r="D167" s="190"/>
      <c r="E167" s="190">
        <f>F.C.L!D5</f>
        <v>10749743.513884334</v>
      </c>
      <c r="F167" s="190"/>
      <c r="G167" s="190">
        <f>F.C.L!E5</f>
        <v>140899231.76838812</v>
      </c>
      <c r="H167" s="190"/>
      <c r="I167" s="190">
        <f>F.C.L!F5</f>
        <v>220379731.29371786</v>
      </c>
      <c r="J167" s="190"/>
      <c r="K167" s="190">
        <f>F.C.L!G5</f>
        <v>306819218.91795355</v>
      </c>
      <c r="L167" s="190"/>
      <c r="M167" s="190">
        <f>F.C.L!H5</f>
        <v>405547019.11475432</v>
      </c>
      <c r="N167" s="190"/>
    </row>
    <row r="168" spans="2:14">
      <c r="B168" s="192" t="str">
        <f>F.C.L!B6</f>
        <v>UODI</v>
      </c>
      <c r="C168" s="193">
        <f>F.C.L!C6</f>
        <v>0</v>
      </c>
      <c r="D168" s="193"/>
      <c r="E168" s="193">
        <f>F.C.L!D6</f>
        <v>21825236.831219703</v>
      </c>
      <c r="F168" s="193"/>
      <c r="G168" s="193">
        <f>F.C.L!E6</f>
        <v>286068137.22672737</v>
      </c>
      <c r="H168" s="193"/>
      <c r="I168" s="193">
        <f>F.C.L!F6</f>
        <v>447437636.26300287</v>
      </c>
      <c r="J168" s="193"/>
      <c r="K168" s="193">
        <f>F.C.L!G6</f>
        <v>622935989.92433</v>
      </c>
      <c r="L168" s="193"/>
      <c r="M168" s="193">
        <f>F.C.L!H6</f>
        <v>823383341.8390466</v>
      </c>
      <c r="N168" s="193"/>
    </row>
    <row r="169" spans="2:14">
      <c r="B169" s="191" t="str">
        <f>F.C.L!B7</f>
        <v>Depreciaciones</v>
      </c>
      <c r="C169" s="190">
        <f>F.C.L!C7</f>
        <v>0</v>
      </c>
      <c r="D169" s="190"/>
      <c r="E169" s="190">
        <f>F.C.L!D7</f>
        <v>8640000</v>
      </c>
      <c r="F169" s="190"/>
      <c r="G169" s="190">
        <f>F.C.L!E7</f>
        <v>11608992</v>
      </c>
      <c r="H169" s="190"/>
      <c r="I169" s="190">
        <f>F.C.L!F7</f>
        <v>11608992</v>
      </c>
      <c r="J169" s="190"/>
      <c r="K169" s="190">
        <f>F.C.L!G7</f>
        <v>13135350.7872</v>
      </c>
      <c r="L169" s="190"/>
      <c r="M169" s="190">
        <f>F.C.L!H7</f>
        <v>14702921.261654399</v>
      </c>
      <c r="N169" s="190"/>
    </row>
    <row r="170" spans="2:14">
      <c r="B170" s="192" t="str">
        <f>F.C.L!B8</f>
        <v>Flujo de caja bruto</v>
      </c>
      <c r="C170" s="193">
        <f>F.C.L!C8</f>
        <v>0</v>
      </c>
      <c r="D170" s="193"/>
      <c r="E170" s="193">
        <f>F.C.L!D8</f>
        <v>30465236.831219703</v>
      </c>
      <c r="F170" s="193"/>
      <c r="G170" s="193">
        <f>F.C.L!E8</f>
        <v>297677129.22672737</v>
      </c>
      <c r="H170" s="193"/>
      <c r="I170" s="193">
        <f>F.C.L!F8</f>
        <v>459046628.26300287</v>
      </c>
      <c r="J170" s="193"/>
      <c r="K170" s="193">
        <f>F.C.L!G8</f>
        <v>636071340.71152997</v>
      </c>
      <c r="L170" s="193"/>
      <c r="M170" s="193">
        <f>F.C.L!H8</f>
        <v>838086263.10070097</v>
      </c>
      <c r="N170" s="193"/>
    </row>
    <row r="171" spans="2:14">
      <c r="B171" s="194" t="str">
        <f>F.C.L!B9</f>
        <v>Incremento del KTNO</v>
      </c>
      <c r="C171" s="190">
        <f>F.C.L!C9</f>
        <v>23491871.248953395</v>
      </c>
      <c r="D171" s="190"/>
      <c r="E171" s="190">
        <f>F.C.L!D9</f>
        <v>43384271.8173941</v>
      </c>
      <c r="F171" s="190"/>
      <c r="G171" s="190">
        <f>F.C.L!E9</f>
        <v>32287993.043675274</v>
      </c>
      <c r="H171" s="190"/>
      <c r="I171" s="190">
        <f>F.C.L!F9</f>
        <v>8161029.9423534274</v>
      </c>
      <c r="J171" s="190"/>
      <c r="K171" s="190">
        <f>F.C.L!G9</f>
        <v>25494663.051261291</v>
      </c>
      <c r="L171" s="190"/>
      <c r="M171" s="190">
        <f>F.C.L!H9</f>
        <v>18539591.958101124</v>
      </c>
      <c r="N171" s="190"/>
    </row>
    <row r="172" spans="2:14">
      <c r="B172" s="189" t="str">
        <f>F.C.L!B10</f>
        <v>Inversión en activos fijos</v>
      </c>
      <c r="C172" s="190">
        <f>F.C.L!C10</f>
        <v>142358800</v>
      </c>
      <c r="D172" s="190"/>
      <c r="E172" s="190">
        <f>F.C.L!D10</f>
        <v>0</v>
      </c>
      <c r="F172" s="190"/>
      <c r="G172" s="190">
        <f>F.C.L!E10</f>
        <v>152305578.36000001</v>
      </c>
      <c r="H172" s="190"/>
      <c r="I172" s="190">
        <f>F.C.L!F10</f>
        <v>17979042.181620002</v>
      </c>
      <c r="J172" s="190"/>
      <c r="K172" s="190">
        <f>F.C.L!G10</f>
        <v>218097853.48798913</v>
      </c>
      <c r="L172" s="190"/>
      <c r="M172" s="190">
        <f>F.C.L!H10</f>
        <v>341043370.29179347</v>
      </c>
      <c r="N172" s="190"/>
    </row>
    <row r="173" spans="2:14">
      <c r="B173" s="192" t="str">
        <f>F.C.L!B11</f>
        <v>Flujo de caja libre</v>
      </c>
      <c r="C173" s="193">
        <f>F.C.L!C11</f>
        <v>-165850671.2489534</v>
      </c>
      <c r="D173" s="193"/>
      <c r="E173" s="193">
        <f>F.C.L!D11</f>
        <v>-12919034.986174397</v>
      </c>
      <c r="F173" s="193"/>
      <c r="G173" s="193">
        <f>F.C.L!E11</f>
        <v>113083557.82305208</v>
      </c>
      <c r="H173" s="193"/>
      <c r="I173" s="193">
        <f>F.C.L!F11</f>
        <v>432906556.13902944</v>
      </c>
      <c r="J173" s="193"/>
      <c r="K173" s="193">
        <f>F.C.L!G11</f>
        <v>392478824.17227954</v>
      </c>
      <c r="L173" s="193"/>
      <c r="M173" s="193">
        <f>F.C.L!H11</f>
        <v>478503300.85080636</v>
      </c>
      <c r="N173" s="193"/>
    </row>
    <row r="174" spans="2:14">
      <c r="B174" s="78"/>
      <c r="C174" s="78"/>
      <c r="D174" s="78"/>
      <c r="E174" s="78"/>
      <c r="F174" s="78"/>
      <c r="G174" s="78"/>
      <c r="H174" s="78"/>
      <c r="I174" s="78"/>
      <c r="J174" s="78"/>
      <c r="K174" s="78"/>
      <c r="L174" s="78"/>
      <c r="M174" s="78"/>
      <c r="N174" s="78"/>
    </row>
    <row r="175" spans="2:14">
      <c r="B175" s="78"/>
      <c r="C175" s="78"/>
      <c r="D175" s="78"/>
      <c r="E175" s="78"/>
      <c r="F175" s="78"/>
      <c r="G175" s="78"/>
      <c r="H175" s="78"/>
      <c r="I175" s="78"/>
      <c r="J175" s="78"/>
      <c r="K175" s="78"/>
      <c r="L175" s="78"/>
      <c r="M175" s="78"/>
      <c r="N175" s="78"/>
    </row>
    <row r="176" spans="2:14">
      <c r="B176" s="185" t="str">
        <f>F.C.L!B14</f>
        <v>Flujo De Caja Libre Anualizado</v>
      </c>
      <c r="C176" s="186" t="str">
        <f>F.C.L!C14</f>
        <v>AÑO 0</v>
      </c>
      <c r="D176" s="186"/>
      <c r="E176" s="186" t="str">
        <f>F.C.L!D14</f>
        <v>AÑO 1</v>
      </c>
      <c r="F176" s="186"/>
      <c r="G176" s="186" t="str">
        <f>F.C.L!E14</f>
        <v>AÑO 2</v>
      </c>
      <c r="H176" s="186"/>
      <c r="I176" s="186" t="str">
        <f>F.C.L!F14</f>
        <v>AÑO 3</v>
      </c>
      <c r="J176" s="186"/>
      <c r="K176" s="186" t="str">
        <f>F.C.L!G14</f>
        <v>AÑO 4</v>
      </c>
      <c r="L176" s="186"/>
      <c r="M176" s="186" t="str">
        <f>F.C.L!H14</f>
        <v>AÑO 5</v>
      </c>
      <c r="N176" s="186"/>
    </row>
    <row r="177" spans="2:27">
      <c r="B177" s="187">
        <f>F.C.L!B15</f>
        <v>0</v>
      </c>
      <c r="C177" s="188">
        <f>F.C.L!C15</f>
        <v>0</v>
      </c>
      <c r="D177" s="188"/>
      <c r="E177" s="188">
        <f>F.C.L!D15</f>
        <v>0</v>
      </c>
      <c r="F177" s="188"/>
      <c r="G177" s="188">
        <f>F.C.L!E15</f>
        <v>0</v>
      </c>
      <c r="H177" s="188"/>
      <c r="I177" s="188">
        <f>F.C.L!F15</f>
        <v>0</v>
      </c>
      <c r="J177" s="188"/>
      <c r="K177" s="188">
        <f>F.C.L!G15</f>
        <v>0</v>
      </c>
      <c r="L177" s="188"/>
      <c r="M177" s="188">
        <f>F.C.L!H15</f>
        <v>0</v>
      </c>
      <c r="N177" s="188"/>
    </row>
    <row r="178" spans="2:27">
      <c r="B178" s="189" t="str">
        <f>F.C.L!B16</f>
        <v>Utilidad neta</v>
      </c>
      <c r="C178" s="190">
        <f>F.C.L!C16</f>
        <v>0</v>
      </c>
      <c r="D178" s="190"/>
      <c r="E178" s="190">
        <f>F.C.L!D16</f>
        <v>9447084.0860879198</v>
      </c>
      <c r="F178" s="190"/>
      <c r="G178" s="190">
        <f>F.C.L!E16</f>
        <v>275286321.89803821</v>
      </c>
      <c r="H178" s="190"/>
      <c r="I178" s="190">
        <f>F.C.L!F16</f>
        <v>438749098.1884948</v>
      </c>
      <c r="J178" s="190"/>
      <c r="K178" s="190">
        <f>F.C.L!G16</f>
        <v>616992366.3132298</v>
      </c>
      <c r="L178" s="190"/>
      <c r="M178" s="190">
        <f>F.C.L!H16</f>
        <v>821039124.56381297</v>
      </c>
      <c r="N178" s="190"/>
    </row>
    <row r="179" spans="2:27">
      <c r="B179" s="191" t="str">
        <f>F.C.L!B17</f>
        <v>Depreciaciones</v>
      </c>
      <c r="C179" s="190">
        <f>F.C.L!C17</f>
        <v>0</v>
      </c>
      <c r="D179" s="190"/>
      <c r="E179" s="190">
        <f>F.C.L!D17</f>
        <v>8640000</v>
      </c>
      <c r="F179" s="190"/>
      <c r="G179" s="190">
        <f>F.C.L!E17</f>
        <v>11608992</v>
      </c>
      <c r="H179" s="190"/>
      <c r="I179" s="190">
        <f>F.C.L!F17</f>
        <v>11608992</v>
      </c>
      <c r="J179" s="190"/>
      <c r="K179" s="190">
        <f>F.C.L!G17</f>
        <v>13135350.7872</v>
      </c>
      <c r="L179" s="190"/>
      <c r="M179" s="190">
        <f>F.C.L!H17</f>
        <v>14702921.261654399</v>
      </c>
      <c r="N179" s="190"/>
    </row>
    <row r="180" spans="2:27">
      <c r="B180" s="191" t="str">
        <f>F.C.L!B18</f>
        <v>Intereses</v>
      </c>
      <c r="C180" s="190">
        <f>F.C.L!C18</f>
        <v>0</v>
      </c>
      <c r="D180" s="190"/>
      <c r="E180" s="190">
        <f>F.C.L!D18</f>
        <v>18474854.843480278</v>
      </c>
      <c r="F180" s="190"/>
      <c r="G180" s="190">
        <f>F.C.L!E18</f>
        <v>16092261.68461073</v>
      </c>
      <c r="H180" s="190"/>
      <c r="I180" s="190">
        <f>F.C.L!F18</f>
        <v>12967967.275385091</v>
      </c>
      <c r="J180" s="190"/>
      <c r="K180" s="190">
        <f>F.C.L!G18</f>
        <v>8871080.0165675059</v>
      </c>
      <c r="L180" s="190"/>
      <c r="M180" s="190">
        <f>F.C.L!H18</f>
        <v>3498831.7540800017</v>
      </c>
      <c r="N180" s="190"/>
    </row>
    <row r="181" spans="2:27">
      <c r="B181" s="192" t="str">
        <f>F.C.L!B19</f>
        <v>Flujo de caja bruto</v>
      </c>
      <c r="C181" s="193">
        <f>F.C.L!C19</f>
        <v>0</v>
      </c>
      <c r="D181" s="193"/>
      <c r="E181" s="193">
        <f>F.C.L!D19</f>
        <v>36561938.929568201</v>
      </c>
      <c r="F181" s="193"/>
      <c r="G181" s="193">
        <f>F.C.L!E19</f>
        <v>302987575.58264893</v>
      </c>
      <c r="H181" s="193"/>
      <c r="I181" s="193">
        <f>F.C.L!F19</f>
        <v>463326057.46387988</v>
      </c>
      <c r="J181" s="193"/>
      <c r="K181" s="193">
        <f>F.C.L!G19</f>
        <v>638998797.11699724</v>
      </c>
      <c r="L181" s="193"/>
      <c r="M181" s="193">
        <f>F.C.L!H19</f>
        <v>839240877.57954741</v>
      </c>
      <c r="N181" s="193"/>
    </row>
    <row r="182" spans="2:27">
      <c r="B182" s="194" t="str">
        <f>F.C.L!B20</f>
        <v>Incremento del KTNO</v>
      </c>
      <c r="C182" s="190">
        <f>F.C.L!C20</f>
        <v>23491871.248953395</v>
      </c>
      <c r="D182" s="190"/>
      <c r="E182" s="190">
        <f>F.C.L!D20</f>
        <v>43384271.8173941</v>
      </c>
      <c r="F182" s="190"/>
      <c r="G182" s="190">
        <f>F.C.L!E20</f>
        <v>32287993.043675274</v>
      </c>
      <c r="H182" s="190"/>
      <c r="I182" s="190">
        <f>F.C.L!F20</f>
        <v>8161029.9423534274</v>
      </c>
      <c r="J182" s="190"/>
      <c r="K182" s="190">
        <f>F.C.L!G20</f>
        <v>25494663.051261291</v>
      </c>
      <c r="L182" s="190"/>
      <c r="M182" s="190">
        <f>F.C.L!H20</f>
        <v>18539591.958101124</v>
      </c>
      <c r="N182" s="190"/>
    </row>
    <row r="183" spans="2:27">
      <c r="B183" s="189" t="str">
        <f>F.C.L!B21</f>
        <v>Inversión en activos fijos</v>
      </c>
      <c r="C183" s="190">
        <f>F.C.L!C21</f>
        <v>142358800</v>
      </c>
      <c r="D183" s="190"/>
      <c r="E183" s="190">
        <f>F.C.L!D21</f>
        <v>0</v>
      </c>
      <c r="F183" s="190"/>
      <c r="G183" s="190">
        <f>F.C.L!E21</f>
        <v>152305578.36000001</v>
      </c>
      <c r="H183" s="190"/>
      <c r="I183" s="190">
        <f>F.C.L!F21</f>
        <v>17979042.181620002</v>
      </c>
      <c r="J183" s="190"/>
      <c r="K183" s="190">
        <f>F.C.L!G21</f>
        <v>218097853.48798913</v>
      </c>
      <c r="L183" s="190"/>
      <c r="M183" s="190">
        <f>F.C.L!H21</f>
        <v>341043370.29179347</v>
      </c>
      <c r="N183" s="190"/>
    </row>
    <row r="184" spans="2:27">
      <c r="B184" s="192" t="str">
        <f>F.C.L!B22</f>
        <v>Flujo de caja libre después de beneficio tributario</v>
      </c>
      <c r="C184" s="193">
        <f>F.C.L!C22</f>
        <v>-165850671.2489534</v>
      </c>
      <c r="D184" s="193"/>
      <c r="E184" s="193">
        <f>F.C.L!D22</f>
        <v>-6822332.8878258988</v>
      </c>
      <c r="F184" s="193"/>
      <c r="G184" s="193">
        <f>F.C.L!E22</f>
        <v>118394004.17897367</v>
      </c>
      <c r="H184" s="193"/>
      <c r="I184" s="193">
        <f>F.C.L!F22</f>
        <v>437185985.33990645</v>
      </c>
      <c r="J184" s="193"/>
      <c r="K184" s="193">
        <f>F.C.L!G22</f>
        <v>395406280.57774681</v>
      </c>
      <c r="L184" s="193"/>
      <c r="M184" s="193">
        <f>F.C.L!H22</f>
        <v>479657915.32965279</v>
      </c>
      <c r="N184" s="193"/>
    </row>
    <row r="185" spans="2:27">
      <c r="B185" s="189" t="str">
        <f>F.C.L!B23</f>
        <v>Abono a capital</v>
      </c>
      <c r="C185" s="190">
        <f>F.C.L!C23</f>
        <v>0</v>
      </c>
      <c r="D185" s="190"/>
      <c r="E185" s="190">
        <f>F.C.L!D23</f>
        <v>7653688.2713444866</v>
      </c>
      <c r="F185" s="190"/>
      <c r="G185" s="190">
        <f>F.C.L!E23</f>
        <v>10036281.430214036</v>
      </c>
      <c r="H185" s="190"/>
      <c r="I185" s="190">
        <f>F.C.L!F23</f>
        <v>13160575.839439675</v>
      </c>
      <c r="J185" s="190"/>
      <c r="K185" s="190">
        <f>F.C.L!G23</f>
        <v>17257463.098257262</v>
      </c>
      <c r="L185" s="190"/>
      <c r="M185" s="190">
        <f>F.C.L!H23</f>
        <v>22629711.360744763</v>
      </c>
      <c r="N185" s="190"/>
    </row>
    <row r="186" spans="2:27">
      <c r="B186" s="191" t="str">
        <f>F.C.L!B24</f>
        <v>Intereses</v>
      </c>
      <c r="C186" s="190">
        <f>F.C.L!C24</f>
        <v>0</v>
      </c>
      <c r="D186" s="190"/>
      <c r="E186" s="190">
        <f>F.C.L!D24</f>
        <v>18474854.843480278</v>
      </c>
      <c r="F186" s="190"/>
      <c r="G186" s="190">
        <f>F.C.L!E24</f>
        <v>16092261.68461073</v>
      </c>
      <c r="H186" s="190"/>
      <c r="I186" s="190">
        <f>F.C.L!F24</f>
        <v>12967967.275385091</v>
      </c>
      <c r="J186" s="190"/>
      <c r="K186" s="190">
        <f>F.C.L!G24</f>
        <v>8871080.0165675059</v>
      </c>
      <c r="L186" s="190"/>
      <c r="M186" s="190">
        <f>F.C.L!H24</f>
        <v>3498831.7540800017</v>
      </c>
      <c r="N186" s="190"/>
      <c r="Z186" s="454"/>
    </row>
    <row r="187" spans="2:27">
      <c r="B187" s="192" t="str">
        <f>F.C.L!B25</f>
        <v>Flujo de propietarios</v>
      </c>
      <c r="C187" s="193">
        <f>F.C.L!C25</f>
        <v>-165850671.2489534</v>
      </c>
      <c r="D187" s="193"/>
      <c r="E187" s="193">
        <f>F.C.L!D25</f>
        <v>-32950876.002650663</v>
      </c>
      <c r="F187" s="193"/>
      <c r="G187" s="193">
        <f>F.C.L!E25</f>
        <v>92265461.064148918</v>
      </c>
      <c r="H187" s="193"/>
      <c r="I187" s="193">
        <f>F.C.L!F25</f>
        <v>411057442.22508168</v>
      </c>
      <c r="J187" s="193"/>
      <c r="K187" s="193">
        <f>F.C.L!G25</f>
        <v>369277737.46292204</v>
      </c>
      <c r="L187" s="193"/>
      <c r="M187" s="193">
        <f>F.C.L!H25</f>
        <v>453529372.21482801</v>
      </c>
      <c r="N187" s="193"/>
      <c r="Z187" s="454"/>
    </row>
    <row r="190" spans="2:27" ht="29.25">
      <c r="B190" s="163" t="str">
        <f>'RATIOS FINANCIEROS'!B2</f>
        <v>Razones Financieras</v>
      </c>
      <c r="C190" s="163">
        <f>'RATIOS FINANCIEROS'!C2</f>
        <v>0</v>
      </c>
      <c r="D190" s="164"/>
      <c r="E190" s="164" t="str">
        <f>'RATIOS FINANCIEROS'!D2</f>
        <v>AÑO 1</v>
      </c>
      <c r="F190" s="164"/>
      <c r="G190" s="164" t="str">
        <f>'RATIOS FINANCIEROS'!E2</f>
        <v>AÑO 2</v>
      </c>
      <c r="H190" s="164"/>
      <c r="I190" s="164" t="str">
        <f>'RATIOS FINANCIEROS'!F2</f>
        <v>AÑO 3</v>
      </c>
      <c r="J190" s="164"/>
      <c r="K190" s="164" t="str">
        <f>'RATIOS FINANCIEROS'!G2</f>
        <v>AÑO 4</v>
      </c>
      <c r="L190" s="164"/>
      <c r="M190" s="164" t="str">
        <f>'RATIOS FINANCIEROS'!H2</f>
        <v>AÑO 5</v>
      </c>
      <c r="N190" s="164"/>
      <c r="W190" s="491" t="str">
        <f>B190</f>
        <v>Razones Financieras</v>
      </c>
      <c r="X190" s="474" t="s">
        <v>534</v>
      </c>
      <c r="Y190" s="474" t="s">
        <v>535</v>
      </c>
      <c r="Z190" s="474" t="s">
        <v>536</v>
      </c>
      <c r="AA190" s="499" t="s">
        <v>537</v>
      </c>
    </row>
    <row r="191" spans="2:27">
      <c r="B191" s="195" t="str">
        <f>'RATIOS FINANCIEROS'!B3</f>
        <v>Razón circulante</v>
      </c>
      <c r="C191" s="195"/>
      <c r="D191" s="195"/>
      <c r="E191" s="169">
        <f>'RATIOS FINANCIEROS'!D3</f>
        <v>4.0143872043978117</v>
      </c>
      <c r="F191" s="169"/>
      <c r="G191" s="169">
        <f>'RATIOS FINANCIEROS'!E3</f>
        <v>2.3138770450510497</v>
      </c>
      <c r="H191" s="169"/>
      <c r="I191" s="169">
        <f>'RATIOS FINANCIEROS'!F3</f>
        <v>2.8597705031418439</v>
      </c>
      <c r="J191" s="169"/>
      <c r="K191" s="169">
        <f>'RATIOS FINANCIEROS'!G3</f>
        <v>2.7090394110491056</v>
      </c>
      <c r="L191" s="169"/>
      <c r="M191" s="169">
        <f>'RATIOS FINANCIEROS'!H3</f>
        <v>2.5535176737164536</v>
      </c>
      <c r="N191" s="169"/>
      <c r="O191" s="234">
        <f t="shared" ref="O191:O201" si="131">AVERAGE(E191,G191,I191,K191,M191)</f>
        <v>2.8901183674712527</v>
      </c>
      <c r="Q191" s="231">
        <f>G191-E191</f>
        <v>-1.700510159346762</v>
      </c>
      <c r="R191" s="231">
        <f>I191-G191</f>
        <v>0.54589345809079415</v>
      </c>
      <c r="S191" s="231">
        <f>+K191-I191</f>
        <v>-0.15073109209273827</v>
      </c>
      <c r="T191" s="231">
        <f>+M191-K191</f>
        <v>-0.15552173733265207</v>
      </c>
      <c r="U191" s="231">
        <f>AVERAGE(Q191:T191)</f>
        <v>-0.36521738267033954</v>
      </c>
      <c r="W191" s="472" t="str">
        <f t="shared" ref="W191:W201" si="132">B191</f>
        <v>Razón circulante</v>
      </c>
      <c r="X191" s="495">
        <f t="shared" ref="X191:X201" si="133">U191</f>
        <v>-0.36521738267033954</v>
      </c>
      <c r="Y191" s="495">
        <f t="shared" ref="Y191:Y201" si="134">O191</f>
        <v>2.8901183674712527</v>
      </c>
      <c r="Z191" s="495">
        <v>2.5</v>
      </c>
      <c r="AA191" s="495">
        <f>Y191-Z191</f>
        <v>0.39011836747125272</v>
      </c>
    </row>
    <row r="192" spans="2:27">
      <c r="B192" s="196" t="str">
        <f>'RATIOS FINANCIEROS'!B4</f>
        <v>Razón rápida o prueba del acido</v>
      </c>
      <c r="C192" s="196"/>
      <c r="D192" s="196"/>
      <c r="E192" s="170">
        <f>'RATIOS FINANCIEROS'!D4</f>
        <v>3.5422593380745266</v>
      </c>
      <c r="F192" s="170"/>
      <c r="G192" s="170">
        <f>'RATIOS FINANCIEROS'!E4</f>
        <v>2.1903435647469474</v>
      </c>
      <c r="H192" s="170"/>
      <c r="I192" s="170">
        <f>'RATIOS FINANCIEROS'!F4</f>
        <v>2.7672094769764715</v>
      </c>
      <c r="J192" s="170"/>
      <c r="K192" s="170">
        <f>'RATIOS FINANCIEROS'!G4</f>
        <v>2.6391579532049678</v>
      </c>
      <c r="L192" s="170"/>
      <c r="M192" s="170">
        <f>'RATIOS FINANCIEROS'!H4</f>
        <v>2.4970675696889741</v>
      </c>
      <c r="N192" s="170"/>
      <c r="O192" s="234">
        <f t="shared" si="131"/>
        <v>2.7272075805383778</v>
      </c>
      <c r="Q192" s="231">
        <f>G192-E192</f>
        <v>-1.3519157733275793</v>
      </c>
      <c r="R192" s="231">
        <f>I192-G192</f>
        <v>0.5768659122295241</v>
      </c>
      <c r="S192" s="231">
        <f>+K192-I192</f>
        <v>-0.12805152377150364</v>
      </c>
      <c r="T192" s="231">
        <f>+M192-K192</f>
        <v>-0.14209038351599368</v>
      </c>
      <c r="U192" s="231">
        <f>AVERAGE(Q192:T192)</f>
        <v>-0.26129794209638812</v>
      </c>
      <c r="W192" s="472" t="str">
        <f t="shared" si="132"/>
        <v>Razón rápida o prueba del acido</v>
      </c>
      <c r="X192" s="495">
        <f t="shared" si="133"/>
        <v>-0.26129794209638812</v>
      </c>
      <c r="Y192" s="495">
        <f t="shared" si="134"/>
        <v>2.7272075805383778</v>
      </c>
      <c r="Z192" s="495">
        <v>1</v>
      </c>
      <c r="AA192" s="495">
        <f t="shared" ref="AA192:AA201" si="135">Y192-Z192</f>
        <v>1.7272075805383778</v>
      </c>
    </row>
    <row r="193" spans="2:27">
      <c r="B193" s="195" t="str">
        <f>'RATIOS FINANCIEROS'!B5</f>
        <v>Razón de endeudamiento</v>
      </c>
      <c r="C193" s="195"/>
      <c r="D193" s="195"/>
      <c r="E193" s="162">
        <f>'RATIOS FINANCIEROS'!D5</f>
        <v>0.33839133501345742</v>
      </c>
      <c r="F193" s="162"/>
      <c r="G193" s="162">
        <f>'RATIOS FINANCIEROS'!E5</f>
        <v>0.34453620498424636</v>
      </c>
      <c r="H193" s="162"/>
      <c r="I193" s="162">
        <f>'RATIOS FINANCIEROS'!F5</f>
        <v>0.29594211543499627</v>
      </c>
      <c r="J193" s="162"/>
      <c r="K193" s="162">
        <f>'RATIOS FINANCIEROS'!G5</f>
        <v>0.26626903457787804</v>
      </c>
      <c r="L193" s="162"/>
      <c r="M193" s="162">
        <f>'RATIOS FINANCIEROS'!H5</f>
        <v>0.23687735416754843</v>
      </c>
      <c r="N193" s="162"/>
      <c r="O193" s="235">
        <f t="shared" si="131"/>
        <v>0.29640320883562532</v>
      </c>
      <c r="Q193" s="228">
        <f>(G193-E193)/E193</f>
        <v>1.8159064180956561E-2</v>
      </c>
      <c r="R193" s="228">
        <f>(I193-G193)/G193</f>
        <v>-0.14104204099964479</v>
      </c>
      <c r="S193" s="228">
        <f>(K193-I193)/I193</f>
        <v>-0.10026650249999962</v>
      </c>
      <c r="T193" s="228">
        <f>(M193-K193)/K193</f>
        <v>-0.11038339646562681</v>
      </c>
      <c r="U193" s="66">
        <f t="shared" ref="U193" si="136">AVERAGE(Q193:T193)</f>
        <v>-8.3383218946078669E-2</v>
      </c>
      <c r="W193" s="472" t="str">
        <f t="shared" si="132"/>
        <v>Razón de endeudamiento</v>
      </c>
      <c r="X193" s="496">
        <f t="shared" si="133"/>
        <v>-8.3383218946078669E-2</v>
      </c>
      <c r="Y193" s="496">
        <f t="shared" si="134"/>
        <v>0.29640320883562532</v>
      </c>
      <c r="Z193" s="496">
        <v>0.33</v>
      </c>
      <c r="AA193" s="496">
        <f t="shared" si="135"/>
        <v>-3.3596791164374695E-2</v>
      </c>
    </row>
    <row r="194" spans="2:27">
      <c r="B194" s="196" t="str">
        <f>'RATIOS FINANCIEROS'!B6</f>
        <v>Razón de cobertura</v>
      </c>
      <c r="C194" s="196"/>
      <c r="D194" s="196"/>
      <c r="E194" s="167">
        <f>'RATIOS FINANCIEROS'!D6</f>
        <v>1.7632062942350886</v>
      </c>
      <c r="F194" s="167"/>
      <c r="G194" s="167">
        <f>'RATIOS FINANCIEROS'!E6</f>
        <v>26.532464942664387</v>
      </c>
      <c r="H194" s="167"/>
      <c r="I194" s="167">
        <f>'RATIOS FINANCIEROS'!F6</f>
        <v>51.497459345407663</v>
      </c>
      <c r="J194" s="167"/>
      <c r="K194" s="167">
        <f>'RATIOS FINANCIEROS'!G6</f>
        <v>104.80744251048188</v>
      </c>
      <c r="L194" s="167"/>
      <c r="M194" s="167">
        <f>'RATIOS FINANCIEROS'!H6</f>
        <v>351.24019882371891</v>
      </c>
      <c r="N194" s="167"/>
      <c r="O194" s="234">
        <f t="shared" si="131"/>
        <v>107.16815438330158</v>
      </c>
      <c r="Q194" s="8">
        <f>G194-E194</f>
        <v>24.769258648429297</v>
      </c>
      <c r="R194" s="8">
        <f>I194-G194</f>
        <v>24.964994402743276</v>
      </c>
      <c r="S194" s="8">
        <f>+K194-I194</f>
        <v>53.309983165074215</v>
      </c>
      <c r="T194" s="8">
        <f>+M194-K194</f>
        <v>246.43275631323704</v>
      </c>
      <c r="U194" s="8">
        <f>AVERAGE(Q194:T194)</f>
        <v>87.369248132370956</v>
      </c>
      <c r="W194" s="472" t="str">
        <f t="shared" si="132"/>
        <v>Razón de cobertura</v>
      </c>
      <c r="X194" s="497">
        <f t="shared" si="133"/>
        <v>87.369248132370956</v>
      </c>
      <c r="Y194" s="497">
        <f t="shared" si="134"/>
        <v>107.16815438330158</v>
      </c>
      <c r="Z194" s="497">
        <v>8</v>
      </c>
      <c r="AA194" s="497">
        <f t="shared" si="135"/>
        <v>99.168154383301584</v>
      </c>
    </row>
    <row r="195" spans="2:27">
      <c r="B195" s="195" t="str">
        <f>'RATIOS FINANCIEROS'!B7</f>
        <v>Rotación del inventario</v>
      </c>
      <c r="C195" s="195"/>
      <c r="D195" s="195"/>
      <c r="E195" s="168">
        <f>'RATIOS FINANCIEROS'!D7</f>
        <v>49.331948423822482</v>
      </c>
      <c r="F195" s="168"/>
      <c r="G195" s="168">
        <f>'RATIOS FINANCIEROS'!E7</f>
        <v>79.469077304348787</v>
      </c>
      <c r="H195" s="168"/>
      <c r="I195" s="168">
        <f>'RATIOS FINANCIEROS'!F7</f>
        <v>91.484772309211593</v>
      </c>
      <c r="J195" s="168"/>
      <c r="K195" s="168">
        <f>'RATIOS FINANCIEROS'!G7</f>
        <v>104.37464788943952</v>
      </c>
      <c r="L195" s="168"/>
      <c r="M195" s="168">
        <f>'RATIOS FINANCIEROS'!H7</f>
        <v>118.21437518554922</v>
      </c>
      <c r="N195" s="168"/>
      <c r="O195" s="234">
        <f t="shared" si="131"/>
        <v>88.574964222474321</v>
      </c>
      <c r="Q195" s="8">
        <f>G195-E195</f>
        <v>30.137128880526305</v>
      </c>
      <c r="R195" s="8">
        <f>I195-G195</f>
        <v>12.015695004862806</v>
      </c>
      <c r="S195" s="8">
        <f>+K195-I195</f>
        <v>12.889875580227923</v>
      </c>
      <c r="T195" s="8">
        <f>+M195-K195</f>
        <v>13.8397272961097</v>
      </c>
      <c r="U195" s="8">
        <f>AVERAGE(Q195:T195)</f>
        <v>17.220606690431683</v>
      </c>
      <c r="W195" s="472" t="str">
        <f t="shared" si="132"/>
        <v>Rotación del inventario</v>
      </c>
      <c r="X195" s="497">
        <f t="shared" si="133"/>
        <v>17.220606690431683</v>
      </c>
      <c r="Y195" s="497">
        <f t="shared" si="134"/>
        <v>88.574964222474321</v>
      </c>
      <c r="Z195" s="497">
        <v>9</v>
      </c>
      <c r="AA195" s="497">
        <f t="shared" si="135"/>
        <v>79.574964222474321</v>
      </c>
    </row>
    <row r="196" spans="2:27">
      <c r="B196" s="196" t="str">
        <f>'RATIOS FINANCIEROS'!B8</f>
        <v>Periodo promedio de cobranza</v>
      </c>
      <c r="C196" s="196"/>
      <c r="D196" s="196"/>
      <c r="E196" s="165">
        <f>'RATIOS FINANCIEROS'!D8</f>
        <v>27.488070830987731</v>
      </c>
      <c r="F196" s="165"/>
      <c r="G196" s="165">
        <f>'RATIOS FINANCIEROS'!E8</f>
        <v>25.613548939140387</v>
      </c>
      <c r="H196" s="165"/>
      <c r="I196" s="165">
        <f>'RATIOS FINANCIEROS'!F8</f>
        <v>22.131571469720111</v>
      </c>
      <c r="J196" s="165"/>
      <c r="K196" s="165">
        <f>'RATIOS FINANCIEROS'!G8</f>
        <v>23.857725001799221</v>
      </c>
      <c r="L196" s="165"/>
      <c r="M196" s="165">
        <f>'RATIOS FINANCIEROS'!H8</f>
        <v>22.863049113437182</v>
      </c>
      <c r="N196" s="165"/>
      <c r="O196" s="234">
        <f t="shared" si="131"/>
        <v>24.390793071016926</v>
      </c>
      <c r="Q196" s="8">
        <f>G196-E196</f>
        <v>-1.8745218918473441</v>
      </c>
      <c r="R196" s="8">
        <f>I196-G196</f>
        <v>-3.4819774694202756</v>
      </c>
      <c r="S196" s="8">
        <f>+K196-I196</f>
        <v>1.7261535320791097</v>
      </c>
      <c r="T196" s="8">
        <f>+M196-K196</f>
        <v>-0.99467588836203902</v>
      </c>
      <c r="U196" s="8">
        <f>AVERAGE(Q196:T196)</f>
        <v>-1.1562554293876373</v>
      </c>
      <c r="W196" s="472" t="str">
        <f t="shared" si="132"/>
        <v>Periodo promedio de cobranza</v>
      </c>
      <c r="X196" s="498">
        <f t="shared" si="133"/>
        <v>-1.1562554293876373</v>
      </c>
      <c r="Y196" s="498">
        <f t="shared" si="134"/>
        <v>24.390793071016926</v>
      </c>
      <c r="Z196" s="498">
        <v>20</v>
      </c>
      <c r="AA196" s="498">
        <f t="shared" si="135"/>
        <v>4.3907930710169261</v>
      </c>
    </row>
    <row r="197" spans="2:27">
      <c r="B197" s="195" t="str">
        <f>'RATIOS FINANCIEROS'!B9</f>
        <v>Rotación de los activos fijos</v>
      </c>
      <c r="C197" s="195"/>
      <c r="D197" s="195"/>
      <c r="E197" s="169">
        <f>'RATIOS FINANCIEROS'!D9</f>
        <v>8.6666929469337681</v>
      </c>
      <c r="F197" s="169"/>
      <c r="G197" s="169">
        <f>'RATIOS FINANCIEROS'!E9</f>
        <v>7.3209504145796913</v>
      </c>
      <c r="H197" s="169"/>
      <c r="I197" s="169">
        <f>'RATIOS FINANCIEROS'!F9</f>
        <v>8.4796580083149244</v>
      </c>
      <c r="J197" s="169"/>
      <c r="K197" s="169">
        <f>'RATIOS FINANCIEROS'!G9</f>
        <v>5.7499724029197443</v>
      </c>
      <c r="L197" s="169"/>
      <c r="M197" s="169">
        <f>'RATIOS FINANCIEROS'!H9</f>
        <v>4.0005447953669346</v>
      </c>
      <c r="N197" s="169"/>
      <c r="O197" s="234">
        <f t="shared" si="131"/>
        <v>6.8435637136230127</v>
      </c>
      <c r="Q197" s="8">
        <f>G197-E197</f>
        <v>-1.3457425323540768</v>
      </c>
      <c r="R197" s="8">
        <f>I197-G197</f>
        <v>1.1587075937352331</v>
      </c>
      <c r="S197" s="8">
        <f>+K197-I197</f>
        <v>-2.7296856053951801</v>
      </c>
      <c r="T197" s="8">
        <f>+M197-K197</f>
        <v>-1.7494276075528097</v>
      </c>
      <c r="U197" s="8">
        <f>AVERAGE(Q197:T197)</f>
        <v>-1.1665370378917084</v>
      </c>
      <c r="W197" s="472" t="str">
        <f t="shared" si="132"/>
        <v>Rotación de los activos fijos</v>
      </c>
      <c r="X197" s="495">
        <f t="shared" si="133"/>
        <v>-1.1665370378917084</v>
      </c>
      <c r="Y197" s="495">
        <f t="shared" si="134"/>
        <v>6.8435637136230127</v>
      </c>
      <c r="Z197" s="495">
        <v>5</v>
      </c>
      <c r="AA197" s="495">
        <f t="shared" si="135"/>
        <v>1.8435637136230127</v>
      </c>
    </row>
    <row r="198" spans="2:27">
      <c r="B198" s="196" t="str">
        <f>'RATIOS FINANCIEROS'!B10</f>
        <v>Rotación de los activos totales</v>
      </c>
      <c r="C198" s="196"/>
      <c r="D198" s="196"/>
      <c r="E198" s="167">
        <f>'RATIOS FINANCIEROS'!D10</f>
        <v>3.4753327662690254</v>
      </c>
      <c r="F198" s="167"/>
      <c r="G198" s="167">
        <f>'RATIOS FINANCIEROS'!E10</f>
        <v>2.6860555569694631</v>
      </c>
      <c r="H198" s="167"/>
      <c r="I198" s="167">
        <f>'RATIOS FINANCIEROS'!F10</f>
        <v>2.194680034343591</v>
      </c>
      <c r="J198" s="167"/>
      <c r="K198" s="167">
        <f>'RATIOS FINANCIEROS'!G10</f>
        <v>1.8337589640361545</v>
      </c>
      <c r="L198" s="167"/>
      <c r="M198" s="167">
        <f>'RATIOS FINANCIEROS'!H10</f>
        <v>1.5807332232351814</v>
      </c>
      <c r="N198" s="167"/>
      <c r="O198" s="234">
        <f t="shared" si="131"/>
        <v>2.3541121089706833</v>
      </c>
      <c r="Q198" s="8">
        <f>G198-E198</f>
        <v>-0.78927720929956235</v>
      </c>
      <c r="R198" s="8">
        <f>I198-G198</f>
        <v>-0.49137552262587203</v>
      </c>
      <c r="S198" s="8">
        <f>+K198-I198</f>
        <v>-0.36092107030743659</v>
      </c>
      <c r="T198" s="8">
        <f>+M198-K198</f>
        <v>-0.25302574080097306</v>
      </c>
      <c r="U198" s="8">
        <f>AVERAGE(Q198:T198)</f>
        <v>-0.47364988575846101</v>
      </c>
      <c r="W198" s="472" t="str">
        <f t="shared" si="132"/>
        <v>Rotación de los activos totales</v>
      </c>
      <c r="X198" s="497">
        <f t="shared" si="133"/>
        <v>-0.47364988575846101</v>
      </c>
      <c r="Y198" s="497">
        <f t="shared" si="134"/>
        <v>2.3541121089706833</v>
      </c>
      <c r="Z198" s="497">
        <v>3</v>
      </c>
      <c r="AA198" s="497">
        <f t="shared" si="135"/>
        <v>-0.64588789102931665</v>
      </c>
    </row>
    <row r="199" spans="2:27">
      <c r="B199" s="195" t="str">
        <f>'RATIOS FINANCIEROS'!B11</f>
        <v>Margen de utilidad</v>
      </c>
      <c r="C199" s="195"/>
      <c r="D199" s="195"/>
      <c r="E199" s="162">
        <f>'RATIOS FINANCIEROS'!D11</f>
        <v>8.1517696718365097E-3</v>
      </c>
      <c r="F199" s="162"/>
      <c r="G199" s="162">
        <f>'RATIOS FINANCIEROS'!E11</f>
        <v>0.13702780766966766</v>
      </c>
      <c r="H199" s="162"/>
      <c r="I199" s="162">
        <f>'RATIOS FINANCIEROS'!F11</f>
        <v>0.18427368517544862</v>
      </c>
      <c r="J199" s="162"/>
      <c r="K199" s="162">
        <f>'RATIOS FINANCIEROS'!G11</f>
        <v>0.22090373743679653</v>
      </c>
      <c r="L199" s="162"/>
      <c r="M199" s="162">
        <f>'RATIOS FINANCIEROS'!H11</f>
        <v>0.25272104830872749</v>
      </c>
      <c r="N199" s="162"/>
      <c r="O199" s="235">
        <f t="shared" si="131"/>
        <v>0.16061560965249538</v>
      </c>
      <c r="Q199" s="228">
        <f>(G199-E199)/E199</f>
        <v>15.809577942699246</v>
      </c>
      <c r="R199" s="228">
        <f>(I199-G199)/G199</f>
        <v>0.34479043567329337</v>
      </c>
      <c r="S199" s="228">
        <f>(K199-I199)/I199</f>
        <v>0.19878070070868833</v>
      </c>
      <c r="T199" s="228">
        <f>(M199-K199)/K199</f>
        <v>0.14403246971334882</v>
      </c>
      <c r="U199" s="66">
        <f t="shared" ref="U199:U201" si="137">AVERAGE(Q199:T199)</f>
        <v>4.1242953871986439</v>
      </c>
      <c r="W199" s="472" t="str">
        <f t="shared" si="132"/>
        <v>Margen de utilidad</v>
      </c>
      <c r="X199" s="496">
        <f t="shared" si="133"/>
        <v>4.1242953871986439</v>
      </c>
      <c r="Y199" s="496">
        <f t="shared" si="134"/>
        <v>0.16061560965249538</v>
      </c>
      <c r="Z199" s="496">
        <v>0.05</v>
      </c>
      <c r="AA199" s="496">
        <f t="shared" si="135"/>
        <v>0.11061560965249538</v>
      </c>
    </row>
    <row r="200" spans="2:27">
      <c r="B200" s="196" t="str">
        <f>'RATIOS FINANCIEROS'!B12</f>
        <v>Rendimiento sobre inversión (ROA)</v>
      </c>
      <c r="C200" s="196"/>
      <c r="D200" s="196"/>
      <c r="E200" s="166">
        <f>'RATIOS FINANCIEROS'!D12</f>
        <v>2.8330112243611521E-2</v>
      </c>
      <c r="F200" s="166"/>
      <c r="G200" s="166">
        <f>'RATIOS FINANCIEROS'!E12</f>
        <v>0.36806430425045356</v>
      </c>
      <c r="H200" s="166"/>
      <c r="I200" s="166">
        <f>'RATIOS FINANCIEROS'!F12</f>
        <v>0.40442177770947363</v>
      </c>
      <c r="J200" s="166"/>
      <c r="K200" s="166">
        <f>'RATIOS FINANCIEROS'!G12</f>
        <v>0.40508420871381462</v>
      </c>
      <c r="L200" s="166"/>
      <c r="M200" s="166">
        <f>'RATIOS FINANCIEROS'!H12</f>
        <v>0.39948455727242882</v>
      </c>
      <c r="N200" s="166"/>
      <c r="O200" s="235">
        <f t="shared" si="131"/>
        <v>0.32107699203795648</v>
      </c>
      <c r="Q200" s="228">
        <f>(G200-E200)/E200</f>
        <v>11.99198185610622</v>
      </c>
      <c r="R200" s="228">
        <f>(I200-G200)/G200</f>
        <v>9.8780221388380593E-2</v>
      </c>
      <c r="S200" s="228">
        <f>(K200-I200)/I200</f>
        <v>1.6379706555191115E-3</v>
      </c>
      <c r="T200" s="228">
        <f>(M200-K200)/K200</f>
        <v>-1.3823425650595682E-2</v>
      </c>
      <c r="U200" s="66">
        <f t="shared" si="137"/>
        <v>3.019644155624881</v>
      </c>
      <c r="W200" s="472" t="str">
        <f t="shared" si="132"/>
        <v>Rendimiento sobre inversión (ROA)</v>
      </c>
      <c r="X200" s="496">
        <f t="shared" si="133"/>
        <v>3.019644155624881</v>
      </c>
      <c r="Y200" s="496">
        <f t="shared" si="134"/>
        <v>0.32107699203795648</v>
      </c>
      <c r="Z200" s="496">
        <v>0.1</v>
      </c>
      <c r="AA200" s="496">
        <f t="shared" si="135"/>
        <v>0.22107699203795647</v>
      </c>
    </row>
    <row r="201" spans="2:27">
      <c r="B201" s="195" t="str">
        <f>'RATIOS FINANCIEROS'!B13</f>
        <v>Rendimiento del patrimonio (ROE)</v>
      </c>
      <c r="C201" s="195"/>
      <c r="D201" s="195"/>
      <c r="E201" s="162">
        <f>'RATIOS FINANCIEROS'!D13</f>
        <v>4.282004414828483E-2</v>
      </c>
      <c r="F201" s="162"/>
      <c r="G201" s="162">
        <f>'RATIOS FINANCIEROS'!E13</f>
        <v>0.56153262323452557</v>
      </c>
      <c r="H201" s="162"/>
      <c r="I201" s="162">
        <f>'RATIOS FINANCIEROS'!F13</f>
        <v>0.57441552260911333</v>
      </c>
      <c r="J201" s="162"/>
      <c r="K201" s="162">
        <f>'RATIOS FINANCIEROS'!G13</f>
        <v>0.55208820099444189</v>
      </c>
      <c r="L201" s="162"/>
      <c r="M201" s="162">
        <f>'RATIOS FINANCIEROS'!H13</f>
        <v>0.52348670224122551</v>
      </c>
      <c r="N201" s="162"/>
      <c r="O201" s="235">
        <f t="shared" si="131"/>
        <v>0.4508686186455183</v>
      </c>
      <c r="Q201" s="228">
        <f>(G201-E201)/E201</f>
        <v>12.113779642308426</v>
      </c>
      <c r="R201" s="228">
        <f>(I201-G201)/G201</f>
        <v>2.2942388102725024E-2</v>
      </c>
      <c r="S201" s="228">
        <f>(K201-I201)/I201</f>
        <v>-3.8869634847707724E-2</v>
      </c>
      <c r="T201" s="228">
        <f>(M201-K201)/K201</f>
        <v>-5.1806031539341525E-2</v>
      </c>
      <c r="U201" s="66">
        <f t="shared" si="137"/>
        <v>3.0115115910060259</v>
      </c>
      <c r="W201" s="473" t="str">
        <f t="shared" si="132"/>
        <v>Rendimiento del patrimonio (ROE)</v>
      </c>
      <c r="X201" s="500">
        <f t="shared" si="133"/>
        <v>3.0115115910060259</v>
      </c>
      <c r="Y201" s="500">
        <f t="shared" si="134"/>
        <v>0.4508686186455183</v>
      </c>
      <c r="Z201" s="500">
        <v>0.15</v>
      </c>
      <c r="AA201" s="500">
        <f t="shared" si="135"/>
        <v>0.30086861864551828</v>
      </c>
    </row>
    <row r="202" spans="2:27">
      <c r="B202" s="200"/>
      <c r="C202" s="200"/>
      <c r="D202" s="200"/>
      <c r="E202" s="203"/>
      <c r="F202" s="203"/>
      <c r="G202" s="203"/>
      <c r="H202" s="203"/>
      <c r="I202" s="203"/>
      <c r="J202" s="203"/>
      <c r="K202" s="203"/>
      <c r="L202" s="203"/>
      <c r="M202" s="203"/>
      <c r="N202" s="203"/>
    </row>
    <row r="203" spans="2:27">
      <c r="B203" s="197" t="str">
        <f>'RATIOS FINANCIEROS'!B15</f>
        <v>Medidas De Valor</v>
      </c>
      <c r="C203" s="197"/>
      <c r="D203" s="197"/>
      <c r="E203" s="171" t="str">
        <f>'RATIOS FINANCIEROS'!D15</f>
        <v>AÑO 1</v>
      </c>
      <c r="F203" s="171"/>
      <c r="G203" s="171" t="str">
        <f>'RATIOS FINANCIEROS'!E15</f>
        <v>AÑO 2</v>
      </c>
      <c r="H203" s="171"/>
      <c r="I203" s="171" t="str">
        <f>'RATIOS FINANCIEROS'!F15</f>
        <v>AÑO 3</v>
      </c>
      <c r="J203" s="171"/>
      <c r="K203" s="171" t="str">
        <f>'RATIOS FINANCIEROS'!G15</f>
        <v>AÑO 4</v>
      </c>
      <c r="L203" s="171"/>
      <c r="M203" s="171" t="str">
        <f>'RATIOS FINANCIEROS'!H15</f>
        <v>AÑO 5</v>
      </c>
      <c r="N203" s="171"/>
    </row>
    <row r="204" spans="2:27">
      <c r="B204" s="172" t="str">
        <f>'RATIOS FINANCIEROS'!B16</f>
        <v>Utilidad operativa después de impuestos (UODI)</v>
      </c>
      <c r="C204" s="172"/>
      <c r="D204" s="172"/>
      <c r="E204" s="214">
        <f>'RATIOS FINANCIEROS'!D16</f>
        <v>21825236.831219703</v>
      </c>
      <c r="F204" s="214"/>
      <c r="G204" s="214">
        <f>'RATIOS FINANCIEROS'!E16</f>
        <v>286068137.22672737</v>
      </c>
      <c r="H204" s="214"/>
      <c r="I204" s="214">
        <f>'RATIOS FINANCIEROS'!F16</f>
        <v>447437636.26300287</v>
      </c>
      <c r="J204" s="214"/>
      <c r="K204" s="214">
        <f>'RATIOS FINANCIEROS'!G16</f>
        <v>622935989.92433</v>
      </c>
      <c r="L204" s="214"/>
      <c r="M204" s="214">
        <f>'RATIOS FINANCIEROS'!H16</f>
        <v>823383341.8390466</v>
      </c>
      <c r="N204" s="214"/>
      <c r="O204" s="236">
        <f t="shared" ref="O204:O213" si="138">AVERAGE(E204,G204,I204,K204,M204)</f>
        <v>440330068.41686523</v>
      </c>
      <c r="P204" s="227"/>
      <c r="Q204" s="8">
        <f>G204-E204</f>
        <v>264242900.39550766</v>
      </c>
      <c r="R204" s="8">
        <f>I204-G204</f>
        <v>161369499.03627551</v>
      </c>
      <c r="S204" s="8">
        <f>+K204-I204</f>
        <v>175498353.66132712</v>
      </c>
      <c r="T204" s="8">
        <f>+M204-K204</f>
        <v>200447351.9147166</v>
      </c>
      <c r="U204" s="8">
        <f>AVERAGE(Q204:T204)</f>
        <v>200389526.25195673</v>
      </c>
    </row>
    <row r="205" spans="2:27">
      <c r="B205" s="210" t="str">
        <f>'RATIOS FINANCIEROS'!B17</f>
        <v>Rentabilidad del activo neto (RAN)</v>
      </c>
      <c r="C205" s="210"/>
      <c r="D205" s="210"/>
      <c r="E205" s="213">
        <f>'RATIOS FINANCIEROS'!D17</f>
        <v>0.13159570996525244</v>
      </c>
      <c r="F205" s="213"/>
      <c r="G205" s="213">
        <f>'RATIOS FINANCIEROS'!E17</f>
        <v>1.1375848492516143</v>
      </c>
      <c r="H205" s="213"/>
      <c r="I205" s="213">
        <f>'RATIOS FINANCIEROS'!F17</f>
        <v>3.5708109294098622</v>
      </c>
      <c r="J205" s="213"/>
      <c r="K205" s="213">
        <f>'RATIOS FINANCIEROS'!G17</f>
        <v>1.7751627256961546</v>
      </c>
      <c r="L205" s="213"/>
      <c r="M205" s="213">
        <f>'RATIOS FINANCIEROS'!H17</f>
        <v>1.6721743992874307</v>
      </c>
      <c r="N205" s="213"/>
      <c r="O205" s="235">
        <f t="shared" si="138"/>
        <v>1.6574657227220626</v>
      </c>
      <c r="Q205" s="228">
        <f>(G205-E205)/E205</f>
        <v>7.6445435763216825</v>
      </c>
      <c r="R205" s="228">
        <f>(I205-G205)/G205</f>
        <v>2.1389403012522541</v>
      </c>
      <c r="S205" s="228">
        <f>(K205-I205)/I205</f>
        <v>-0.50286846299377419</v>
      </c>
      <c r="T205" s="228">
        <f>(M205-K205)/K205</f>
        <v>-5.8016273617020442E-2</v>
      </c>
      <c r="U205" s="66">
        <f t="shared" ref="U205:U213" si="139">AVERAGE(Q205:T205)</f>
        <v>2.3056497852407851</v>
      </c>
    </row>
    <row r="206" spans="2:27">
      <c r="B206" s="174" t="str">
        <f>'RATIOS FINANCIEROS'!B18</f>
        <v>Creación de valor</v>
      </c>
      <c r="C206" s="174"/>
      <c r="D206" s="174"/>
      <c r="E206" s="175">
        <f>'RATIOS FINANCIEROS'!D18</f>
        <v>-6.6356308967587208E-2</v>
      </c>
      <c r="F206" s="175"/>
      <c r="G206" s="175">
        <f>'RATIOS FINANCIEROS'!E18</f>
        <v>0.93963283031877465</v>
      </c>
      <c r="H206" s="175"/>
      <c r="I206" s="175">
        <f>'RATIOS FINANCIEROS'!F18</f>
        <v>3.3728589104770226</v>
      </c>
      <c r="J206" s="175"/>
      <c r="K206" s="175">
        <f>'RATIOS FINANCIEROS'!G18</f>
        <v>1.577210706763315</v>
      </c>
      <c r="L206" s="175"/>
      <c r="M206" s="175">
        <f>'RATIOS FINANCIEROS'!H18</f>
        <v>1.4742223803545911</v>
      </c>
      <c r="N206" s="175"/>
      <c r="O206" s="235">
        <f t="shared" si="138"/>
        <v>1.4595137037892232</v>
      </c>
      <c r="Q206" s="228"/>
      <c r="R206" s="228"/>
      <c r="S206" s="228"/>
      <c r="T206" s="228"/>
      <c r="U206" s="66"/>
    </row>
    <row r="207" spans="2:27">
      <c r="B207" s="172" t="str">
        <f>'RATIOS FINANCIEROS'!B19</f>
        <v>Índice de creación de valor</v>
      </c>
      <c r="C207" s="172"/>
      <c r="D207" s="172"/>
      <c r="E207" s="176">
        <f>'RATIOS FINANCIEROS'!D19</f>
        <v>-11005238.383877285</v>
      </c>
      <c r="F207" s="176"/>
      <c r="G207" s="176">
        <f>'RATIOS FINANCIEROS'!E19</f>
        <v>236289199.54692164</v>
      </c>
      <c r="H207" s="176"/>
      <c r="I207" s="176">
        <f>'RATIOS FINANCIEROS'!F19</f>
        <v>422633415.2623024</v>
      </c>
      <c r="J207" s="176"/>
      <c r="K207" s="176">
        <f>'RATIOS FINANCIEROS'!G19</f>
        <v>553471126.17608404</v>
      </c>
      <c r="L207" s="176"/>
      <c r="M207" s="176">
        <f>'RATIOS FINANCIEROS'!H19</f>
        <v>725911215.16244912</v>
      </c>
      <c r="N207" s="176"/>
      <c r="O207" s="236">
        <f t="shared" si="138"/>
        <v>385459943.55277598</v>
      </c>
      <c r="Q207" s="228"/>
      <c r="R207" s="228"/>
      <c r="S207" s="228"/>
      <c r="T207" s="228"/>
      <c r="U207" s="66"/>
    </row>
    <row r="208" spans="2:27">
      <c r="B208" s="174" t="str">
        <f>'RATIOS FINANCIEROS'!B20</f>
        <v>Ebitda</v>
      </c>
      <c r="C208" s="174"/>
      <c r="D208" s="174"/>
      <c r="E208" s="177">
        <f>'RATIOS FINANCIEROS'!D20</f>
        <v>41214980.345104039</v>
      </c>
      <c r="F208" s="177"/>
      <c r="G208" s="177">
        <f>'RATIOS FINANCIEROS'!E20</f>
        <v>438576360.99511552</v>
      </c>
      <c r="H208" s="177"/>
      <c r="I208" s="177">
        <f>'RATIOS FINANCIEROS'!F20</f>
        <v>679426359.55672073</v>
      </c>
      <c r="J208" s="177"/>
      <c r="K208" s="177">
        <f>'RATIOS FINANCIEROS'!G20</f>
        <v>942890559.62948346</v>
      </c>
      <c r="L208" s="177"/>
      <c r="M208" s="177">
        <f>'RATIOS FINANCIEROS'!H20</f>
        <v>1243633282.2154553</v>
      </c>
      <c r="N208" s="177"/>
      <c r="O208" s="236">
        <f t="shared" si="138"/>
        <v>669148308.54837584</v>
      </c>
      <c r="Q208" s="8">
        <f>G208-E208</f>
        <v>397361380.65001148</v>
      </c>
      <c r="R208" s="8">
        <f>I208-G208</f>
        <v>240849998.56160522</v>
      </c>
      <c r="S208" s="8">
        <f>+K208-I208</f>
        <v>263464200.07276273</v>
      </c>
      <c r="T208" s="8">
        <f>+M208-K208</f>
        <v>300742722.58597183</v>
      </c>
      <c r="U208" s="8">
        <f t="shared" si="139"/>
        <v>300604575.46758783</v>
      </c>
    </row>
    <row r="209" spans="2:21">
      <c r="B209" s="172" t="str">
        <f>'RATIOS FINANCIEROS'!B21</f>
        <v>Margen EBITDA</v>
      </c>
      <c r="C209" s="172"/>
      <c r="D209" s="172"/>
      <c r="E209" s="173">
        <f>'RATIOS FINANCIEROS'!D21</f>
        <v>3.5563886564461154E-2</v>
      </c>
      <c r="F209" s="173"/>
      <c r="G209" s="173">
        <f>'RATIOS FINANCIEROS'!E21</f>
        <v>0.21830782157480558</v>
      </c>
      <c r="H209" s="173"/>
      <c r="I209" s="173">
        <f>'RATIOS FINANCIEROS'!F21</f>
        <v>0.28535762146927057</v>
      </c>
      <c r="J209" s="173"/>
      <c r="K209" s="173">
        <f>'RATIOS FINANCIEROS'!G21</f>
        <v>0.33758610314845211</v>
      </c>
      <c r="L209" s="173"/>
      <c r="M209" s="173">
        <f>'RATIOS FINANCIEROS'!H21</f>
        <v>0.38279820947641813</v>
      </c>
      <c r="N209" s="173"/>
      <c r="O209" s="253">
        <f>AVERAGE(E209,G209,I209,K209,M209)</f>
        <v>0.25192272844668151</v>
      </c>
      <c r="P209" s="240">
        <f>O209-'COSTO CAPITAL'!$E$7</f>
        <v>5.3970709513841864E-2</v>
      </c>
      <c r="Q209" s="228">
        <f>(G209-E209)/E209</f>
        <v>5.1384691793770276</v>
      </c>
      <c r="R209" s="228">
        <f>(I209-G209)/G209</f>
        <v>0.30713420806816877</v>
      </c>
      <c r="S209" s="228">
        <f>(K209-I209)/I209</f>
        <v>0.18302816448449366</v>
      </c>
      <c r="T209" s="228">
        <f>(M209-K209)/K209</f>
        <v>0.13392762885172491</v>
      </c>
      <c r="U209" s="249">
        <f t="shared" si="139"/>
        <v>1.4406397951953538</v>
      </c>
    </row>
    <row r="210" spans="2:21">
      <c r="B210" s="174" t="str">
        <f>'RATIOS FINANCIEROS'!B22</f>
        <v>Capital de trabajo neto operativo</v>
      </c>
      <c r="C210" s="174"/>
      <c r="D210" s="174"/>
      <c r="E210" s="178">
        <f>'RATIOS FINANCIEROS'!D22</f>
        <v>66876143.066347495</v>
      </c>
      <c r="F210" s="178"/>
      <c r="G210" s="178">
        <f>'RATIOS FINANCIEROS'!E22</f>
        <v>99164136.110022768</v>
      </c>
      <c r="H210" s="178"/>
      <c r="I210" s="178">
        <f>'RATIOS FINANCIEROS'!F22</f>
        <v>107325166.0523762</v>
      </c>
      <c r="J210" s="178"/>
      <c r="K210" s="178">
        <f>'RATIOS FINANCIEROS'!G22</f>
        <v>132819829.10363749</v>
      </c>
      <c r="L210" s="178"/>
      <c r="M210" s="178">
        <f>'RATIOS FINANCIEROS'!H22</f>
        <v>151359421.06173861</v>
      </c>
      <c r="N210" s="178"/>
      <c r="O210" s="236">
        <f t="shared" si="138"/>
        <v>111508939.07882452</v>
      </c>
      <c r="Q210" s="228">
        <f>(G210-E210)/E210</f>
        <v>0.48280285858654426</v>
      </c>
      <c r="R210" s="228">
        <f>(I210-G210)/G210</f>
        <v>8.2298200362465226E-2</v>
      </c>
      <c r="S210" s="228">
        <f>(K210-I210)/I210</f>
        <v>0.23754599213775765</v>
      </c>
      <c r="T210" s="228">
        <f>(M210-K210)/K210</f>
        <v>0.13958451899252886</v>
      </c>
      <c r="U210" s="66">
        <f t="shared" si="139"/>
        <v>0.23555789251982401</v>
      </c>
    </row>
    <row r="211" spans="2:21">
      <c r="B211" s="172" t="str">
        <f>'RATIOS FINANCIEROS'!B23</f>
        <v>Productividad del capital de trabajo</v>
      </c>
      <c r="C211" s="172"/>
      <c r="D211" s="172"/>
      <c r="E211" s="173">
        <f>'RATIOS FINANCIEROS'!D23</f>
        <v>5.7706580130949564E-2</v>
      </c>
      <c r="F211" s="173"/>
      <c r="G211" s="173">
        <f>'RATIOS FINANCIEROS'!E23</f>
        <v>4.9360404385241557E-2</v>
      </c>
      <c r="H211" s="173"/>
      <c r="I211" s="173">
        <f>'RATIOS FINANCIEROS'!F23</f>
        <v>4.5076340765586399E-2</v>
      </c>
      <c r="J211" s="173"/>
      <c r="K211" s="173">
        <f>'RATIOS FINANCIEROS'!G23</f>
        <v>4.7553905455962837E-2</v>
      </c>
      <c r="L211" s="173"/>
      <c r="M211" s="173">
        <f>'RATIOS FINANCIEROS'!H23</f>
        <v>4.6589389491574304E-2</v>
      </c>
      <c r="N211" s="173"/>
      <c r="O211" s="253">
        <f t="shared" si="138"/>
        <v>4.925732404586293E-2</v>
      </c>
      <c r="Q211" s="228">
        <f>(G211-E211)/E211</f>
        <v>-0.14463126608384355</v>
      </c>
      <c r="R211" s="228">
        <f>(I211-G211)/G211</f>
        <v>-8.6791501670437393E-2</v>
      </c>
      <c r="S211" s="228">
        <f>(K211-I211)/I211</f>
        <v>5.4963749237336913E-2</v>
      </c>
      <c r="T211" s="228">
        <f>(M211-K211)/K211</f>
        <v>-2.0282581528066519E-2</v>
      </c>
      <c r="U211" s="249">
        <f t="shared" si="139"/>
        <v>-4.9185400011252642E-2</v>
      </c>
    </row>
    <row r="212" spans="2:21">
      <c r="B212" s="210" t="str">
        <f>'RATIOS FINANCIEROS'!B24</f>
        <v>EVA</v>
      </c>
      <c r="C212" s="210"/>
      <c r="D212" s="210"/>
      <c r="E212" s="211">
        <f>'RATIOS FINANCIEROS'!D24</f>
        <v>-11005238.383877285</v>
      </c>
      <c r="F212" s="211"/>
      <c r="G212" s="211">
        <f>'RATIOS FINANCIEROS'!E24</f>
        <v>236289199.54692164</v>
      </c>
      <c r="H212" s="211"/>
      <c r="I212" s="211">
        <f>'RATIOS FINANCIEROS'!F24</f>
        <v>422633415.2623024</v>
      </c>
      <c r="J212" s="211"/>
      <c r="K212" s="211">
        <f>'RATIOS FINANCIEROS'!G24</f>
        <v>553471126.17608404</v>
      </c>
      <c r="L212" s="211"/>
      <c r="M212" s="211">
        <f>'RATIOS FINANCIEROS'!H24</f>
        <v>725911215.16244912</v>
      </c>
      <c r="N212" s="211"/>
      <c r="O212" s="254">
        <f t="shared" si="138"/>
        <v>385459943.55277598</v>
      </c>
      <c r="Q212" s="8">
        <f>G212-E212</f>
        <v>247294437.93079892</v>
      </c>
      <c r="R212" s="8">
        <f>I212-G212</f>
        <v>186344215.71538076</v>
      </c>
      <c r="S212" s="8">
        <f>+K212-I212</f>
        <v>130837710.91378164</v>
      </c>
      <c r="T212" s="8">
        <f>+M212-K212</f>
        <v>172440088.98636508</v>
      </c>
      <c r="U212" s="251">
        <f t="shared" ref="U212" si="140">AVERAGE(Q212:T212)</f>
        <v>184229113.3865816</v>
      </c>
    </row>
    <row r="213" spans="2:21">
      <c r="B213" s="172" t="str">
        <f>'RATIOS FINANCIEROS'!B25</f>
        <v>Palanca de crecimiento</v>
      </c>
      <c r="C213" s="172"/>
      <c r="D213" s="172"/>
      <c r="E213" s="212">
        <f>'RATIOS FINANCIEROS'!D25</f>
        <v>0.61628823755901807</v>
      </c>
      <c r="F213" s="212"/>
      <c r="G213" s="212">
        <f>'RATIOS FINANCIEROS'!E25</f>
        <v>4.4227316265682424</v>
      </c>
      <c r="H213" s="212"/>
      <c r="I213" s="212">
        <f>'RATIOS FINANCIEROS'!F25</f>
        <v>6.3305409583540833</v>
      </c>
      <c r="J213" s="212"/>
      <c r="K213" s="212">
        <f>'RATIOS FINANCIEROS'!G25</f>
        <v>7.099019521352937</v>
      </c>
      <c r="L213" s="212"/>
      <c r="M213" s="212">
        <f>'RATIOS FINANCIEROS'!H25</f>
        <v>8.2164246763878985</v>
      </c>
      <c r="N213" s="212"/>
      <c r="O213" s="234">
        <f t="shared" si="138"/>
        <v>5.3370010040444358</v>
      </c>
      <c r="Q213" s="228">
        <f>(G213-E213)/E213</f>
        <v>6.1764011659312335</v>
      </c>
      <c r="R213" s="228">
        <f>(I213-G213)/G213</f>
        <v>0.4313644807940063</v>
      </c>
      <c r="S213" s="228">
        <f>(K213-I213)/I213</f>
        <v>0.12139224247253828</v>
      </c>
      <c r="T213" s="228">
        <f>(M213-K213)/K213</f>
        <v>0.15740274437532545</v>
      </c>
      <c r="U213" s="66">
        <f t="shared" si="139"/>
        <v>1.7216401583932759</v>
      </c>
    </row>
    <row r="214" spans="2:21">
      <c r="B214" s="200"/>
      <c r="C214" s="200"/>
      <c r="D214" s="200"/>
      <c r="E214" s="202"/>
      <c r="F214" s="202"/>
      <c r="G214" s="202"/>
      <c r="H214" s="202"/>
      <c r="I214" s="202"/>
      <c r="J214" s="202"/>
      <c r="K214" s="202"/>
      <c r="L214" s="202"/>
      <c r="M214" s="208"/>
      <c r="N214" s="202"/>
      <c r="Q214" s="229"/>
      <c r="R214" s="229"/>
      <c r="S214" s="229"/>
      <c r="T214" s="229"/>
      <c r="U214" s="229"/>
    </row>
    <row r="215" spans="2:21">
      <c r="B215" s="179" t="str">
        <f>'RATIOS FINANCIEROS'!B27</f>
        <v>Indicadores De Evaluación De La Empresa</v>
      </c>
      <c r="C215" s="179"/>
      <c r="D215" s="179"/>
      <c r="E215" s="198" t="str">
        <f>'RATIOS FINANCIEROS'!D27</f>
        <v>AÑO 1</v>
      </c>
      <c r="F215" s="198"/>
      <c r="G215" s="198" t="str">
        <f>'RATIOS FINANCIEROS'!E27</f>
        <v>AÑO 2</v>
      </c>
      <c r="H215" s="198"/>
      <c r="I215" s="198" t="str">
        <f>'RATIOS FINANCIEROS'!F27</f>
        <v>AÑO 3</v>
      </c>
      <c r="J215" s="198"/>
      <c r="K215" s="198" t="str">
        <f>'RATIOS FINANCIEROS'!G27</f>
        <v>AÑO 4</v>
      </c>
      <c r="L215" s="198"/>
      <c r="M215" s="198" t="str">
        <f>'RATIOS FINANCIEROS'!H27</f>
        <v>AÑO 5</v>
      </c>
      <c r="N215" s="198"/>
      <c r="Q215" s="229"/>
      <c r="R215" s="229"/>
      <c r="S215" s="229"/>
      <c r="T215" s="229"/>
      <c r="U215" s="229"/>
    </row>
    <row r="216" spans="2:21">
      <c r="B216" s="180" t="str">
        <f>'RATIOS FINANCIEROS'!B28</f>
        <v>Tasa interna de retorno(TIR)</v>
      </c>
      <c r="C216" s="216"/>
      <c r="D216" s="216"/>
      <c r="E216" s="205">
        <f>'RATIOS FINANCIEROS'!D28</f>
        <v>0</v>
      </c>
      <c r="F216" s="205"/>
      <c r="G216" s="182">
        <f>'RATIOS FINANCIEROS'!E28</f>
        <v>-0.21229396783332247</v>
      </c>
      <c r="H216" s="205"/>
      <c r="I216" s="182">
        <f>'RATIOS FINANCIEROS'!F28</f>
        <v>0.513002083629716</v>
      </c>
      <c r="J216" s="205"/>
      <c r="K216" s="182">
        <f>'RATIOS FINANCIEROS'!G28</f>
        <v>0.70256088095426039</v>
      </c>
      <c r="L216" s="205"/>
      <c r="M216" s="182">
        <f>'RATIOS FINANCIEROS'!H28</f>
        <v>0.79621904540462674</v>
      </c>
      <c r="N216" s="205"/>
      <c r="O216" s="253">
        <f>AVERAGE(E216,G216,I216,K216,M216)</f>
        <v>0.35989760843105612</v>
      </c>
      <c r="P216" s="240">
        <f>O216-'COSTO CAPITAL'!$E$7</f>
        <v>0.16194558949821647</v>
      </c>
      <c r="Q216" s="228"/>
      <c r="R216" s="228">
        <f>(I216+G216)/-G216</f>
        <v>1.4164703729711592</v>
      </c>
      <c r="S216" s="228">
        <f>(K216-I216)/I216</f>
        <v>0.36950882535082957</v>
      </c>
      <c r="T216" s="228">
        <f>(M216-K216)/K216</f>
        <v>0.13330967748041167</v>
      </c>
      <c r="U216" s="249">
        <f>AVERAGE(R216:T216)</f>
        <v>0.63976295860080012</v>
      </c>
    </row>
    <row r="217" spans="2:21">
      <c r="B217" s="181" t="str">
        <f>'RATIOS FINANCIEROS'!B29</f>
        <v>Valor actual neto (VAN)</v>
      </c>
      <c r="C217" s="217"/>
      <c r="D217" s="217"/>
      <c r="E217" s="183">
        <f>'RATIOS FINANCIEROS'!D29</f>
        <v>-292697844.6703198</v>
      </c>
      <c r="F217" s="183"/>
      <c r="G217" s="183">
        <f>'RATIOS FINANCIEROS'!E29</f>
        <v>-165660488.95601642</v>
      </c>
      <c r="H217" s="183"/>
      <c r="I217" s="183">
        <f>'RATIOS FINANCIEROS'!F29</f>
        <v>217806823.60082275</v>
      </c>
      <c r="J217" s="183"/>
      <c r="K217" s="183">
        <f>'RATIOS FINANCIEROS'!G29</f>
        <v>205615698.31957167</v>
      </c>
      <c r="L217" s="183"/>
      <c r="M217" s="183">
        <f>'RATIOS FINANCIEROS'!H29</f>
        <v>273989126.6386556</v>
      </c>
      <c r="N217" s="183"/>
      <c r="O217" s="254">
        <f>AVERAGE(E217,G217,I217,K217,M217)</f>
        <v>47810662.986542761</v>
      </c>
      <c r="P217" s="240">
        <f>M216-'COSTO CAPITAL'!E7</f>
        <v>0.59826702647178709</v>
      </c>
      <c r="Q217" s="8">
        <f>G217-E217</f>
        <v>127037355.71430337</v>
      </c>
      <c r="R217" s="8">
        <f>I217-G217</f>
        <v>383467312.55683917</v>
      </c>
      <c r="S217" s="8">
        <f>+K217-I217</f>
        <v>-12191125.281251073</v>
      </c>
      <c r="T217" s="8">
        <f>+M217-K217</f>
        <v>68373428.319083929</v>
      </c>
      <c r="U217" s="251">
        <f t="shared" ref="U217" si="141">AVERAGE(Q217:T217)</f>
        <v>141671742.82724386</v>
      </c>
    </row>
    <row r="218" spans="2:21">
      <c r="B218" s="62"/>
      <c r="C218" s="62"/>
      <c r="D218" s="62"/>
      <c r="E218" s="203"/>
      <c r="F218" s="203"/>
      <c r="G218" s="201"/>
      <c r="H218" s="203"/>
      <c r="I218" s="62"/>
      <c r="J218" s="203"/>
      <c r="K218" s="204"/>
      <c r="L218" s="203"/>
      <c r="M218" s="62"/>
      <c r="N218" s="203"/>
      <c r="Q218" s="229"/>
      <c r="R218" s="229"/>
      <c r="S218" s="229"/>
      <c r="T218" s="229"/>
      <c r="U218" s="229"/>
    </row>
    <row r="219" spans="2:21">
      <c r="B219" s="179" t="str">
        <f>'RATIOS FINANCIEROS'!B31</f>
        <v>Indicadores De Evaluación Del Inversionista</v>
      </c>
      <c r="C219" s="179"/>
      <c r="D219" s="179"/>
      <c r="E219" s="198" t="str">
        <f>'RATIOS FINANCIEROS'!D31</f>
        <v>AÑO 1</v>
      </c>
      <c r="F219" s="198"/>
      <c r="G219" s="198" t="str">
        <f>'RATIOS FINANCIEROS'!E31</f>
        <v>AÑO 2</v>
      </c>
      <c r="H219" s="198"/>
      <c r="I219" s="198" t="str">
        <f>'RATIOS FINANCIEROS'!F31</f>
        <v>AÑO 3</v>
      </c>
      <c r="J219" s="198"/>
      <c r="K219" s="198" t="str">
        <f>'RATIOS FINANCIEROS'!G31</f>
        <v>AÑO 4</v>
      </c>
      <c r="L219" s="198"/>
      <c r="M219" s="198" t="str">
        <f>'RATIOS FINANCIEROS'!H31</f>
        <v>AÑO 5</v>
      </c>
      <c r="N219" s="198"/>
      <c r="Q219" s="229"/>
      <c r="R219" s="229"/>
      <c r="S219" s="229"/>
      <c r="T219" s="229"/>
      <c r="U219" s="229"/>
    </row>
    <row r="220" spans="2:21">
      <c r="B220" s="180" t="str">
        <f>'RATIOS FINANCIEROS'!B32</f>
        <v>Tasa interna de retorno(TIR)</v>
      </c>
      <c r="C220" s="216"/>
      <c r="D220" s="216"/>
      <c r="E220" s="205">
        <f>'RATIOS FINANCIEROS'!D32</f>
        <v>0</v>
      </c>
      <c r="F220" s="205"/>
      <c r="G220" s="182">
        <f>'RATIOS FINANCIEROS'!E32</f>
        <v>-0.34688652449615481</v>
      </c>
      <c r="H220" s="205"/>
      <c r="I220" s="182">
        <f>'RATIOS FINANCIEROS'!F32</f>
        <v>0.4207501626551044</v>
      </c>
      <c r="J220" s="205"/>
      <c r="K220" s="182">
        <f>'RATIOS FINANCIEROS'!G32</f>
        <v>0.61786323350282168</v>
      </c>
      <c r="L220" s="205"/>
      <c r="M220" s="182">
        <f>'RATIOS FINANCIEROS'!H32</f>
        <v>0.71796535490489832</v>
      </c>
      <c r="N220" s="205"/>
      <c r="O220" s="253">
        <f>AVERAGE(E220,G220,I220,K220,M220)</f>
        <v>0.2819384453133339</v>
      </c>
      <c r="P220" s="240">
        <f>O220-'COSTO CAPITAL'!D6</f>
        <v>8.7543473664999594E-2</v>
      </c>
      <c r="Q220" s="228"/>
      <c r="R220" s="228">
        <f>(I220+G220)/-G220</f>
        <v>0.21293314367352528</v>
      </c>
      <c r="S220" s="228">
        <f>(K220-I220)/I220</f>
        <v>0.46848008234590749</v>
      </c>
      <c r="T220" s="228">
        <f>(M220-K220)/K220</f>
        <v>0.1620133970985336</v>
      </c>
      <c r="U220" s="249">
        <f>AVERAGE(R220:T220)</f>
        <v>0.2811422077059888</v>
      </c>
    </row>
    <row r="221" spans="2:21">
      <c r="B221" s="181" t="str">
        <f>'RATIOS FINANCIEROS'!B33</f>
        <v>Valor actual neto (VAN)</v>
      </c>
      <c r="C221" s="217"/>
      <c r="D221" s="217"/>
      <c r="E221" s="183">
        <f>'RATIOS FINANCIEROS'!D33</f>
        <v>-27506006.485972606</v>
      </c>
      <c r="F221" s="183"/>
      <c r="G221" s="183">
        <f>'RATIOS FINANCIEROS'!E33</f>
        <v>36786492.804294266</v>
      </c>
      <c r="H221" s="183"/>
      <c r="I221" s="183">
        <f>'RATIOS FINANCIEROS'!F33</f>
        <v>275889062.81318378</v>
      </c>
      <c r="J221" s="183"/>
      <c r="K221" s="183">
        <f>'RATIOS FINANCIEROS'!G33</f>
        <v>455195314.16186494</v>
      </c>
      <c r="L221" s="183"/>
      <c r="M221" s="183">
        <f>'RATIOS FINANCIEROS'!H33</f>
        <v>639021890.95137358</v>
      </c>
      <c r="N221" s="183"/>
      <c r="O221" s="254">
        <f>AVERAGE(E221,G221,I221,K221,M221)</f>
        <v>275877350.84894878</v>
      </c>
      <c r="P221" s="240">
        <f>M220-'COSTO CAPITAL'!D6</f>
        <v>0.52357038325656402</v>
      </c>
      <c r="Q221" s="8">
        <f>G221-E221</f>
        <v>64292499.290266871</v>
      </c>
      <c r="R221" s="8">
        <f>I221-G221</f>
        <v>239102570.00888953</v>
      </c>
      <c r="S221" s="8">
        <f>+K221-I221</f>
        <v>179306251.34868115</v>
      </c>
      <c r="T221" s="8">
        <f>+M221-K221</f>
        <v>183826576.78950864</v>
      </c>
      <c r="U221" s="251">
        <f t="shared" ref="U221" si="142">AVERAGE(Q221:T221)</f>
        <v>166631974.35933656</v>
      </c>
    </row>
    <row r="224" spans="2:21">
      <c r="B224" s="241" t="str">
        <f>INVERSION!B12</f>
        <v>Proyección de inversiones año 1 - año 5</v>
      </c>
      <c r="C224" s="241"/>
      <c r="D224" s="241"/>
      <c r="E224" s="241"/>
      <c r="F224" s="241"/>
      <c r="G224" s="241"/>
      <c r="H224" s="241"/>
      <c r="I224" s="241"/>
      <c r="J224" s="241"/>
      <c r="K224" s="241"/>
      <c r="L224" s="241"/>
      <c r="M224" s="241"/>
      <c r="N224" s="241"/>
    </row>
    <row r="225" spans="2:21">
      <c r="B225" s="26"/>
      <c r="C225" s="26"/>
      <c r="D225" s="26"/>
      <c r="E225" s="26"/>
      <c r="F225" s="26"/>
      <c r="G225" s="26"/>
      <c r="H225" s="26"/>
      <c r="I225" s="26"/>
      <c r="J225" s="26"/>
      <c r="K225" s="26"/>
      <c r="L225" s="26"/>
      <c r="M225" s="26"/>
      <c r="N225" s="26"/>
    </row>
    <row r="226" spans="2:21">
      <c r="B226" s="41" t="str">
        <f>INVERSION!B14</f>
        <v>Descripción</v>
      </c>
      <c r="C226" s="41" t="str">
        <f>INVERSION!C14</f>
        <v>Año 0</v>
      </c>
      <c r="D226" s="41"/>
      <c r="E226" s="41" t="str">
        <f>INVERSION!D14</f>
        <v>Año 1</v>
      </c>
      <c r="F226" s="41"/>
      <c r="G226" s="41" t="str">
        <f>INVERSION!E14</f>
        <v>Año 2</v>
      </c>
      <c r="H226" s="41"/>
      <c r="I226" s="41" t="str">
        <f>INVERSION!F14</f>
        <v>Año 3</v>
      </c>
      <c r="J226" s="41"/>
      <c r="K226" s="41" t="str">
        <f>INVERSION!G14</f>
        <v>Año 4</v>
      </c>
      <c r="L226" s="41"/>
      <c r="M226" s="41" t="str">
        <f>INVERSION!H14</f>
        <v>Año 5</v>
      </c>
      <c r="N226" s="41"/>
    </row>
    <row r="227" spans="2:21">
      <c r="B227" s="42" t="str">
        <f>INVERSION!B15</f>
        <v>Caja</v>
      </c>
      <c r="C227" s="242">
        <f>INVERSION!C15</f>
        <v>34637907.018054858</v>
      </c>
      <c r="D227" s="42"/>
      <c r="E227" s="42">
        <f>INVERSION!D15</f>
        <v>0</v>
      </c>
      <c r="F227" s="42"/>
      <c r="G227" s="242">
        <f>INVERSION!E15</f>
        <v>0</v>
      </c>
      <c r="H227" s="42"/>
      <c r="I227" s="242">
        <f>INVERSION!F15</f>
        <v>0</v>
      </c>
      <c r="J227" s="42"/>
      <c r="K227" s="242">
        <f>INVERSION!G15</f>
        <v>0</v>
      </c>
      <c r="L227" s="42"/>
      <c r="M227" s="242">
        <f>INVERSION!H15</f>
        <v>0</v>
      </c>
      <c r="N227" s="42"/>
      <c r="O227" s="236">
        <f t="shared" ref="O227:O233" si="143">AVERAGE(C227,G227,I227,K227,M227)</f>
        <v>6927581.4036109718</v>
      </c>
      <c r="Q227" s="8">
        <f t="shared" ref="Q227:Q233" si="144">G227-C227</f>
        <v>-34637907.018054858</v>
      </c>
      <c r="R227" s="8">
        <f t="shared" ref="R227:R233" si="145">I227-G227</f>
        <v>0</v>
      </c>
      <c r="S227" s="8">
        <f t="shared" ref="S227:S233" si="146">+K227-I227</f>
        <v>0</v>
      </c>
      <c r="T227" s="8">
        <f t="shared" ref="T227:T233" si="147">+M227-K227</f>
        <v>0</v>
      </c>
      <c r="U227" s="8">
        <f t="shared" ref="U227:U233" si="148">AVERAGE(Q227:T227)</f>
        <v>-8659476.7545137145</v>
      </c>
    </row>
    <row r="228" spans="2:21">
      <c r="B228" s="43" t="str">
        <f>INVERSION!B16</f>
        <v>Inventario inicial</v>
      </c>
      <c r="C228" s="243">
        <f>INVERSION!C16</f>
        <v>23491871.248953395</v>
      </c>
      <c r="D228" s="43"/>
      <c r="E228" s="43">
        <f>INVERSION!D16</f>
        <v>0</v>
      </c>
      <c r="F228" s="43"/>
      <c r="G228" s="243">
        <f>INVERSION!E16</f>
        <v>0</v>
      </c>
      <c r="H228" s="43"/>
      <c r="I228" s="243">
        <f>INVERSION!F16</f>
        <v>0</v>
      </c>
      <c r="J228" s="43"/>
      <c r="K228" s="243">
        <f>INVERSION!G16</f>
        <v>0</v>
      </c>
      <c r="L228" s="43"/>
      <c r="M228" s="243">
        <f>INVERSION!H16</f>
        <v>0</v>
      </c>
      <c r="N228" s="43"/>
      <c r="O228" s="236">
        <f t="shared" si="143"/>
        <v>4698374.2497906787</v>
      </c>
      <c r="Q228" s="8">
        <f t="shared" si="144"/>
        <v>-23491871.248953395</v>
      </c>
      <c r="R228" s="8">
        <f t="shared" si="145"/>
        <v>0</v>
      </c>
      <c r="S228" s="8">
        <f t="shared" si="146"/>
        <v>0</v>
      </c>
      <c r="T228" s="8">
        <f t="shared" si="147"/>
        <v>0</v>
      </c>
      <c r="U228" s="8">
        <f>AVERAGE(Q228:T228)</f>
        <v>-5872967.8122383486</v>
      </c>
    </row>
    <row r="229" spans="2:21">
      <c r="B229" s="42" t="str">
        <f>INVERSION!B17</f>
        <v>Propiedad planta y equipo</v>
      </c>
      <c r="C229" s="242">
        <f>INVERSION!C17</f>
        <v>142358800</v>
      </c>
      <c r="D229" s="247">
        <f>C229/C$234</f>
        <v>0.50497319573191912</v>
      </c>
      <c r="E229" s="42">
        <f>INVERSION!D17</f>
        <v>0</v>
      </c>
      <c r="F229" s="247" t="e">
        <f>E229/E$234</f>
        <v>#DIV/0!</v>
      </c>
      <c r="G229" s="242">
        <f>INVERSION!E17</f>
        <v>152305578.36000001</v>
      </c>
      <c r="H229" s="247">
        <f>G229/G$234</f>
        <v>0.65178322298828728</v>
      </c>
      <c r="I229" s="242">
        <f>INVERSION!F17</f>
        <v>17979042.181620002</v>
      </c>
      <c r="J229" s="247">
        <f>I229/I$234</f>
        <v>0.17623128149222614</v>
      </c>
      <c r="K229" s="242">
        <f>INVERSION!G17</f>
        <v>218097853.48798913</v>
      </c>
      <c r="L229" s="247">
        <f>K229/K$234</f>
        <v>0.71558530445562174</v>
      </c>
      <c r="M229" s="242">
        <f>INVERSION!H17</f>
        <v>341043370.29179347</v>
      </c>
      <c r="N229" s="247">
        <f>M229/M$234</f>
        <v>0.79246404993419906</v>
      </c>
      <c r="O229" s="236">
        <f t="shared" si="143"/>
        <v>174356928.86428052</v>
      </c>
      <c r="P229" s="233">
        <f>AVERAGE(D229,H229,J229,L229,N229)</f>
        <v>0.56820741092045068</v>
      </c>
      <c r="Q229" s="8">
        <f t="shared" si="144"/>
        <v>9946778.3600000143</v>
      </c>
      <c r="R229" s="8">
        <f t="shared" si="145"/>
        <v>-134326536.17838001</v>
      </c>
      <c r="S229" s="8">
        <f t="shared" si="146"/>
        <v>200118811.30636913</v>
      </c>
      <c r="T229" s="8">
        <f t="shared" si="147"/>
        <v>122945516.80380434</v>
      </c>
      <c r="U229" s="8">
        <f>AVERAGE(Q229:T229)</f>
        <v>49671142.572948366</v>
      </c>
    </row>
    <row r="230" spans="2:21">
      <c r="B230" s="35" t="str">
        <f>INVERSION!B18</f>
        <v>Inversión en mercadeo</v>
      </c>
      <c r="C230" s="244">
        <f>INVERSION!C18</f>
        <v>71123764.065853238</v>
      </c>
      <c r="D230" s="248">
        <f>C230/C$234</f>
        <v>0.25228924683838966</v>
      </c>
      <c r="E230" s="35">
        <f>INVERSION!D18</f>
        <v>0</v>
      </c>
      <c r="F230" s="248" t="e">
        <f>E230/E$234</f>
        <v>#DIV/0!</v>
      </c>
      <c r="G230" s="244">
        <f>INVERSION!E18</f>
        <v>74664137.762835443</v>
      </c>
      <c r="H230" s="248">
        <f>G230/G$234</f>
        <v>0.31952101083044254</v>
      </c>
      <c r="I230" s="244">
        <f>INVERSION!F18</f>
        <v>77137241.726583794</v>
      </c>
      <c r="J230" s="248">
        <f>I230/I$234</f>
        <v>0.756102289706436</v>
      </c>
      <c r="K230" s="244">
        <f>INVERSION!G18</f>
        <v>79586638.115790173</v>
      </c>
      <c r="L230" s="248">
        <f>K230/K$234</f>
        <v>0.26112603932538681</v>
      </c>
      <c r="M230" s="244">
        <f>INVERSION!H18</f>
        <v>82025170.212656245</v>
      </c>
      <c r="N230" s="248">
        <f>M230/M$234</f>
        <v>0.19059745547215448</v>
      </c>
      <c r="O230" s="236">
        <f t="shared" si="143"/>
        <v>76907390.376743779</v>
      </c>
      <c r="P230" s="233">
        <f>AVERAGE(D230,H230,J230,L230,N230)</f>
        <v>0.35592720843456194</v>
      </c>
      <c r="Q230" s="8">
        <f t="shared" si="144"/>
        <v>3540373.6969822049</v>
      </c>
      <c r="R230" s="8">
        <f t="shared" si="145"/>
        <v>2473103.9637483507</v>
      </c>
      <c r="S230" s="8">
        <f t="shared" si="146"/>
        <v>2449396.3892063797</v>
      </c>
      <c r="T230" s="8">
        <f t="shared" si="147"/>
        <v>2438532.0968660712</v>
      </c>
      <c r="U230" s="8">
        <f>AVERAGE(Q230:T230)</f>
        <v>2725351.5367007516</v>
      </c>
    </row>
    <row r="231" spans="2:21">
      <c r="B231" s="45" t="str">
        <f>INVERSION!B19</f>
        <v>Inversión en I+D y calidad</v>
      </c>
      <c r="C231" s="245">
        <f>INVERSION!C19</f>
        <v>6504500</v>
      </c>
      <c r="D231" s="45"/>
      <c r="E231" s="45">
        <f>INVERSION!D19</f>
        <v>0</v>
      </c>
      <c r="F231" s="45"/>
      <c r="G231" s="245">
        <f>INVERSION!E19</f>
        <v>6705489.0499999989</v>
      </c>
      <c r="H231" s="45"/>
      <c r="I231" s="245">
        <f>INVERSION!F19</f>
        <v>6903300.9769749995</v>
      </c>
      <c r="J231" s="45"/>
      <c r="K231" s="245">
        <f>INVERSION!G19</f>
        <v>7097974.0645256946</v>
      </c>
      <c r="L231" s="45"/>
      <c r="M231" s="245">
        <f>INVERSION!H19</f>
        <v>7289619.3642678875</v>
      </c>
      <c r="N231" s="45"/>
      <c r="O231" s="236">
        <f t="shared" si="143"/>
        <v>6900176.6911537154</v>
      </c>
      <c r="Q231" s="8">
        <f t="shared" si="144"/>
        <v>200989.04999999888</v>
      </c>
      <c r="R231" s="8">
        <f t="shared" si="145"/>
        <v>197811.92697500065</v>
      </c>
      <c r="S231" s="8">
        <f t="shared" si="146"/>
        <v>194673.08755069505</v>
      </c>
      <c r="T231" s="8">
        <f t="shared" si="147"/>
        <v>191645.29974219296</v>
      </c>
      <c r="U231" s="8">
        <f t="shared" si="148"/>
        <v>196279.84106697189</v>
      </c>
    </row>
    <row r="232" spans="2:21">
      <c r="B232" s="35" t="str">
        <f>INVERSION!B20</f>
        <v>Inversión en gastos de puesta en marcha</v>
      </c>
      <c r="C232" s="244">
        <f>INVERSION!C20</f>
        <v>3796734.8693146855</v>
      </c>
      <c r="D232" s="35"/>
      <c r="E232" s="35">
        <f>INVERSION!D20</f>
        <v>0</v>
      </c>
      <c r="F232" s="35"/>
      <c r="G232" s="244">
        <f>INVERSION!E20</f>
        <v>0</v>
      </c>
      <c r="H232" s="35"/>
      <c r="I232" s="244">
        <f>INVERSION!F20</f>
        <v>0</v>
      </c>
      <c r="J232" s="35"/>
      <c r="K232" s="244">
        <f>INVERSION!G20</f>
        <v>0</v>
      </c>
      <c r="L232" s="35"/>
      <c r="M232" s="244">
        <f>INVERSION!H20</f>
        <v>0</v>
      </c>
      <c r="N232" s="35"/>
      <c r="O232" s="236">
        <f t="shared" si="143"/>
        <v>759346.97386293707</v>
      </c>
      <c r="Q232" s="8">
        <f t="shared" si="144"/>
        <v>-3796734.8693146855</v>
      </c>
      <c r="R232" s="8">
        <f t="shared" si="145"/>
        <v>0</v>
      </c>
      <c r="S232" s="8">
        <f t="shared" si="146"/>
        <v>0</v>
      </c>
      <c r="T232" s="8">
        <f t="shared" si="147"/>
        <v>0</v>
      </c>
      <c r="U232" s="8">
        <f t="shared" si="148"/>
        <v>-949183.71732867137</v>
      </c>
    </row>
    <row r="233" spans="2:21">
      <c r="B233" s="44" t="str">
        <f>INVERSION!B21</f>
        <v>Total</v>
      </c>
      <c r="C233" s="246">
        <f>INVERSION!C21</f>
        <v>281913577.20217615</v>
      </c>
      <c r="D233" s="44"/>
      <c r="E233" s="44">
        <f>INVERSION!D21</f>
        <v>0</v>
      </c>
      <c r="F233" s="44"/>
      <c r="G233" s="246">
        <f>INVERSION!E21</f>
        <v>233675205.17283547</v>
      </c>
      <c r="H233" s="44"/>
      <c r="I233" s="246">
        <f>INVERSION!F21</f>
        <v>102019584.88517879</v>
      </c>
      <c r="J233" s="44"/>
      <c r="K233" s="246">
        <f>INVERSION!G21</f>
        <v>304782465.66830504</v>
      </c>
      <c r="L233" s="44"/>
      <c r="M233" s="246">
        <f>INVERSION!H21</f>
        <v>430358159.86871761</v>
      </c>
      <c r="N233" s="44"/>
      <c r="O233" s="236">
        <f t="shared" si="143"/>
        <v>270549798.55944264</v>
      </c>
      <c r="Q233" s="8">
        <f t="shared" si="144"/>
        <v>-48238372.029340684</v>
      </c>
      <c r="R233" s="8">
        <f t="shared" si="145"/>
        <v>-131655620.28765668</v>
      </c>
      <c r="S233" s="8">
        <f t="shared" si="146"/>
        <v>202762880.78312624</v>
      </c>
      <c r="T233" s="8">
        <f t="shared" si="147"/>
        <v>125575694.20041257</v>
      </c>
      <c r="U233" s="251">
        <f t="shared" si="148"/>
        <v>37111145.666635364</v>
      </c>
    </row>
    <row r="234" spans="2:21">
      <c r="B234" s="153"/>
      <c r="C234" s="6">
        <f>C233</f>
        <v>281913577.20217615</v>
      </c>
      <c r="D234" s="6">
        <f t="shared" ref="D234:N234" si="149">D233</f>
        <v>0</v>
      </c>
      <c r="E234" s="6">
        <f t="shared" si="149"/>
        <v>0</v>
      </c>
      <c r="F234" s="6">
        <f t="shared" si="149"/>
        <v>0</v>
      </c>
      <c r="G234" s="6">
        <f t="shared" si="149"/>
        <v>233675205.17283547</v>
      </c>
      <c r="H234" s="6">
        <f t="shared" si="149"/>
        <v>0</v>
      </c>
      <c r="I234" s="6">
        <f t="shared" si="149"/>
        <v>102019584.88517879</v>
      </c>
      <c r="J234" s="6">
        <f t="shared" si="149"/>
        <v>0</v>
      </c>
      <c r="K234" s="6">
        <f t="shared" si="149"/>
        <v>304782465.66830504</v>
      </c>
      <c r="L234" s="6">
        <f t="shared" si="149"/>
        <v>0</v>
      </c>
      <c r="M234" s="6">
        <f t="shared" si="149"/>
        <v>430358159.86871761</v>
      </c>
      <c r="N234" s="6">
        <f t="shared" si="149"/>
        <v>0</v>
      </c>
      <c r="Q234" s="152">
        <f>(G234-C234)/C234</f>
        <v>-0.17111049601823974</v>
      </c>
      <c r="R234" s="152">
        <f>(I234-G234)/G234</f>
        <v>-0.56341287981443711</v>
      </c>
      <c r="S234" s="228">
        <f>(K234-I234)/I234</f>
        <v>1.9874897649439782</v>
      </c>
      <c r="T234" s="228">
        <f>(M234-K234)/K234</f>
        <v>0.41201744964251547</v>
      </c>
      <c r="U234" s="252">
        <f t="shared" ref="U234" si="150">AVERAGE(Q234:T234)</f>
        <v>0.41624595968845424</v>
      </c>
    </row>
  </sheetData>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sheetPr>
    <tabColor rgb="FF00B0F0"/>
  </sheetPr>
  <dimension ref="A2:D14"/>
  <sheetViews>
    <sheetView showGridLines="0" zoomScaleNormal="100" workbookViewId="0">
      <selection activeCell="D10" sqref="D10"/>
    </sheetView>
  </sheetViews>
  <sheetFormatPr baseColWidth="10" defaultRowHeight="15"/>
  <cols>
    <col min="2" max="2" width="24.7109375" bestFit="1" customWidth="1"/>
    <col min="3" max="3" width="27.7109375" bestFit="1" customWidth="1"/>
    <col min="4" max="4" width="21.140625" bestFit="1" customWidth="1"/>
    <col min="5" max="5" width="11.5703125" customWidth="1"/>
  </cols>
  <sheetData>
    <row r="2" spans="1:4">
      <c r="A2" s="709" t="s">
        <v>587</v>
      </c>
      <c r="B2" s="709"/>
      <c r="C2" s="709"/>
      <c r="D2" s="709"/>
    </row>
    <row r="3" spans="1:4">
      <c r="A3" s="464"/>
      <c r="B3" s="464"/>
      <c r="C3" s="464"/>
      <c r="D3" s="464"/>
    </row>
    <row r="4" spans="1:4">
      <c r="A4" s="521" t="s">
        <v>588</v>
      </c>
      <c r="B4" s="521" t="s">
        <v>589</v>
      </c>
      <c r="C4" s="521" t="s">
        <v>590</v>
      </c>
      <c r="D4" s="521" t="s">
        <v>591</v>
      </c>
    </row>
    <row r="5" spans="1:4">
      <c r="A5" s="711" t="s">
        <v>592</v>
      </c>
      <c r="B5" s="631" t="s">
        <v>593</v>
      </c>
      <c r="C5" s="632">
        <v>0</v>
      </c>
      <c r="D5" s="632">
        <v>0</v>
      </c>
    </row>
    <row r="6" spans="1:4">
      <c r="A6" s="711"/>
      <c r="B6" s="633" t="s">
        <v>594</v>
      </c>
      <c r="C6" s="634">
        <v>1363.2737651934669</v>
      </c>
      <c r="D6" s="634">
        <v>952926998.59646821</v>
      </c>
    </row>
    <row r="7" spans="1:4">
      <c r="A7" s="711" t="s">
        <v>12</v>
      </c>
      <c r="B7" s="631" t="s">
        <v>593</v>
      </c>
      <c r="C7" s="634">
        <v>5914.1243895909774</v>
      </c>
      <c r="D7" s="634">
        <v>532265280.93879843</v>
      </c>
    </row>
    <row r="8" spans="1:4">
      <c r="A8" s="711"/>
      <c r="B8" s="633" t="s">
        <v>594</v>
      </c>
      <c r="C8" s="632">
        <v>1367.4924012419401</v>
      </c>
      <c r="D8" s="632">
        <v>985960653.80303764</v>
      </c>
    </row>
    <row r="9" spans="1:4">
      <c r="A9" s="711" t="s">
        <v>13</v>
      </c>
      <c r="B9" s="631" t="s">
        <v>593</v>
      </c>
      <c r="C9" s="632">
        <v>5872.8510479600191</v>
      </c>
      <c r="D9" s="632">
        <v>546169274.60923386</v>
      </c>
    </row>
    <row r="10" spans="1:4">
      <c r="A10" s="711"/>
      <c r="B10" s="633" t="s">
        <v>594</v>
      </c>
      <c r="C10" s="632">
        <v>1365.2266822662436</v>
      </c>
      <c r="D10" s="632">
        <v>1012996833.0148705</v>
      </c>
    </row>
    <row r="11" spans="1:4">
      <c r="A11" s="711" t="s">
        <v>14</v>
      </c>
      <c r="B11" s="631" t="s">
        <v>593</v>
      </c>
      <c r="C11" s="632">
        <v>5864.8875046519379</v>
      </c>
      <c r="D11" s="632">
        <v>603961823.45179904</v>
      </c>
    </row>
    <row r="12" spans="1:4">
      <c r="A12" s="711"/>
      <c r="B12" s="633" t="s">
        <v>594</v>
      </c>
      <c r="C12" s="632">
        <v>1370.3420199105624</v>
      </c>
      <c r="D12" s="632">
        <v>1044199248.8298286</v>
      </c>
    </row>
    <row r="13" spans="1:4">
      <c r="A13" s="711" t="s">
        <v>15</v>
      </c>
      <c r="B13" s="631" t="s">
        <v>593</v>
      </c>
      <c r="C13" s="632">
        <v>5863.7639535509961</v>
      </c>
      <c r="D13" s="632">
        <v>603961823.45179904</v>
      </c>
    </row>
    <row r="14" spans="1:4">
      <c r="A14" s="712"/>
      <c r="B14" s="635" t="s">
        <v>594</v>
      </c>
      <c r="C14" s="636">
        <v>1370.1217025434194</v>
      </c>
      <c r="D14" s="636">
        <v>1072803922.9697948</v>
      </c>
    </row>
  </sheetData>
  <sheetProtection sheet="1" formatCells="0" formatColumns="0" formatRows="0" insertColumns="0" insertRows="0" insertHyperlinks="0" deleteColumns="0" deleteRows="0" sort="0" autoFilter="0" pivotTables="0"/>
  <mergeCells count="6">
    <mergeCell ref="A2:D2"/>
    <mergeCell ref="A5:A6"/>
    <mergeCell ref="A9:A10"/>
    <mergeCell ref="A11:A12"/>
    <mergeCell ref="A13:A14"/>
    <mergeCell ref="A7:A8"/>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dimension ref="A1:M114"/>
  <sheetViews>
    <sheetView showGridLines="0" topLeftCell="A73" zoomScale="90" zoomScaleNormal="90" workbookViewId="0">
      <selection activeCell="O109" sqref="O109"/>
    </sheetView>
  </sheetViews>
  <sheetFormatPr baseColWidth="10" defaultRowHeight="15.75"/>
  <cols>
    <col min="1" max="1" width="3.140625" style="458" customWidth="1"/>
    <col min="2" max="3" width="12" style="458" bestFit="1" customWidth="1"/>
    <col min="4" max="5" width="0" style="458" hidden="1" customWidth="1"/>
    <col min="6" max="6" width="23" style="458" customWidth="1"/>
    <col min="7" max="7" width="0" style="458" hidden="1" customWidth="1"/>
    <col min="8" max="8" width="14.42578125" style="458" customWidth="1"/>
    <col min="9" max="9" width="26.85546875" style="458" bestFit="1" customWidth="1"/>
    <col min="10" max="10" width="21.140625" style="458" customWidth="1"/>
    <col min="11" max="11" width="28.42578125" style="458" bestFit="1" customWidth="1"/>
    <col min="12" max="12" width="13.42578125" style="458" customWidth="1"/>
    <col min="13" max="16384" width="11.42578125" style="458"/>
  </cols>
  <sheetData>
    <row r="1" spans="2:12" s="641" customFormat="1">
      <c r="B1" s="717" t="s">
        <v>569</v>
      </c>
      <c r="C1" s="717"/>
      <c r="D1" s="717"/>
      <c r="E1" s="717"/>
      <c r="F1" s="717"/>
      <c r="G1" s="717"/>
    </row>
    <row r="2" spans="2:12" s="641" customFormat="1">
      <c r="B2" s="718" t="s">
        <v>570</v>
      </c>
      <c r="C2" s="718"/>
      <c r="D2" s="718"/>
      <c r="E2" s="718"/>
      <c r="F2" s="718"/>
      <c r="G2" s="718"/>
      <c r="H2" s="718"/>
    </row>
    <row r="4" spans="2:12">
      <c r="J4" s="459"/>
      <c r="K4" s="459"/>
    </row>
    <row r="5" spans="2:12" ht="21" customHeight="1">
      <c r="B5" s="715"/>
      <c r="C5" s="715"/>
      <c r="D5" s="716" t="s">
        <v>562</v>
      </c>
      <c r="E5" s="716"/>
      <c r="F5" s="716"/>
      <c r="G5" s="716"/>
      <c r="H5" s="716" t="s">
        <v>562</v>
      </c>
      <c r="I5" s="716"/>
      <c r="J5" s="460"/>
      <c r="K5" s="716" t="s">
        <v>562</v>
      </c>
      <c r="L5" s="716"/>
    </row>
    <row r="6" spans="2:12" ht="31.5">
      <c r="B6" s="505" t="s">
        <v>563</v>
      </c>
      <c r="C6" s="505" t="s">
        <v>564</v>
      </c>
      <c r="D6" s="640" t="s">
        <v>565</v>
      </c>
      <c r="E6" s="640" t="s">
        <v>566</v>
      </c>
      <c r="F6" s="640" t="s">
        <v>567</v>
      </c>
      <c r="G6" s="640" t="s">
        <v>568</v>
      </c>
      <c r="H6" s="505" t="s">
        <v>61</v>
      </c>
      <c r="I6" s="505" t="s">
        <v>567</v>
      </c>
      <c r="K6" s="505" t="s">
        <v>607</v>
      </c>
      <c r="L6" s="505" t="s">
        <v>567</v>
      </c>
    </row>
    <row r="7" spans="2:12" hidden="1">
      <c r="B7" s="637">
        <v>41463</v>
      </c>
      <c r="C7" s="637">
        <v>41469</v>
      </c>
      <c r="D7" s="638">
        <v>3.9800000000000002E-2</v>
      </c>
      <c r="E7" s="638">
        <v>4.1399999999999999E-2</v>
      </c>
      <c r="F7" s="638">
        <v>4.2999999999999997E-2</v>
      </c>
      <c r="G7" s="638">
        <v>3.5400000000000001E-2</v>
      </c>
      <c r="H7" s="503"/>
      <c r="I7" s="503"/>
      <c r="K7" s="503"/>
      <c r="L7" s="503"/>
    </row>
    <row r="8" spans="2:12" hidden="1">
      <c r="B8" s="637">
        <v>41456</v>
      </c>
      <c r="C8" s="637">
        <v>41462</v>
      </c>
      <c r="D8" s="638">
        <v>3.9100000000000003E-2</v>
      </c>
      <c r="E8" s="638">
        <v>4.1700000000000001E-2</v>
      </c>
      <c r="F8" s="638">
        <v>4.4400000000000002E-2</v>
      </c>
      <c r="G8" s="638">
        <v>4.0500000000000001E-2</v>
      </c>
      <c r="H8" s="503"/>
      <c r="I8" s="503"/>
      <c r="K8" s="503"/>
      <c r="L8" s="503"/>
    </row>
    <row r="9" spans="2:12" hidden="1">
      <c r="B9" s="637">
        <v>41449</v>
      </c>
      <c r="C9" s="637">
        <v>41455</v>
      </c>
      <c r="D9" s="638">
        <v>3.9899999999999998E-2</v>
      </c>
      <c r="E9" s="638">
        <v>4.2999999999999997E-2</v>
      </c>
      <c r="F9" s="638">
        <v>4.4299999999999999E-2</v>
      </c>
      <c r="G9" s="638">
        <v>3.5400000000000001E-2</v>
      </c>
      <c r="H9" s="503"/>
      <c r="I9" s="503"/>
      <c r="K9" s="503"/>
      <c r="L9" s="503"/>
    </row>
    <row r="10" spans="2:12" hidden="1">
      <c r="B10" s="637">
        <v>41442</v>
      </c>
      <c r="C10" s="637">
        <v>41448</v>
      </c>
      <c r="D10" s="638">
        <v>3.9100000000000003E-2</v>
      </c>
      <c r="E10" s="638">
        <v>4.3700000000000003E-2</v>
      </c>
      <c r="F10" s="638">
        <v>4.5100000000000001E-2</v>
      </c>
      <c r="G10" s="638">
        <v>3.5400000000000001E-2</v>
      </c>
      <c r="H10" s="503"/>
      <c r="I10" s="503"/>
      <c r="K10" s="503"/>
      <c r="L10" s="503"/>
    </row>
    <row r="11" spans="2:12" hidden="1">
      <c r="B11" s="637">
        <v>41435</v>
      </c>
      <c r="C11" s="637">
        <v>41441</v>
      </c>
      <c r="D11" s="638">
        <v>3.9399999999999998E-2</v>
      </c>
      <c r="E11" s="638">
        <v>4.2500000000000003E-2</v>
      </c>
      <c r="F11" s="638">
        <v>4.4299999999999999E-2</v>
      </c>
      <c r="G11" s="638">
        <v>3.5400000000000001E-2</v>
      </c>
      <c r="H11" s="503"/>
      <c r="I11" s="503"/>
      <c r="K11" s="503"/>
      <c r="L11" s="503"/>
    </row>
    <row r="12" spans="2:12" hidden="1">
      <c r="B12" s="637">
        <v>41428</v>
      </c>
      <c r="C12" s="637">
        <v>41434</v>
      </c>
      <c r="D12" s="638">
        <v>4.0099999999999997E-2</v>
      </c>
      <c r="E12" s="638">
        <v>4.2900000000000001E-2</v>
      </c>
      <c r="F12" s="638">
        <v>4.6399999999999997E-2</v>
      </c>
      <c r="G12" s="638">
        <v>3.5400000000000001E-2</v>
      </c>
      <c r="H12" s="503"/>
      <c r="I12" s="503"/>
      <c r="K12" s="503"/>
      <c r="L12" s="503"/>
    </row>
    <row r="13" spans="2:12" hidden="1">
      <c r="B13" s="637">
        <v>41421</v>
      </c>
      <c r="C13" s="637">
        <v>41427</v>
      </c>
      <c r="D13" s="638">
        <v>3.9600000000000003E-2</v>
      </c>
      <c r="E13" s="638">
        <v>4.24E-2</v>
      </c>
      <c r="F13" s="638">
        <v>4.4600000000000001E-2</v>
      </c>
      <c r="G13" s="639"/>
      <c r="H13" s="503"/>
      <c r="I13" s="503"/>
      <c r="K13" s="503"/>
      <c r="L13" s="503"/>
    </row>
    <row r="14" spans="2:12" hidden="1">
      <c r="B14" s="637">
        <v>41414</v>
      </c>
      <c r="C14" s="637">
        <v>41420</v>
      </c>
      <c r="D14" s="638">
        <v>3.9800000000000002E-2</v>
      </c>
      <c r="E14" s="638">
        <v>4.2299999999999997E-2</v>
      </c>
      <c r="F14" s="638">
        <v>4.3799999999999999E-2</v>
      </c>
      <c r="G14" s="638">
        <v>3.5400000000000001E-2</v>
      </c>
      <c r="H14" s="503"/>
      <c r="I14" s="503"/>
      <c r="K14" s="503"/>
      <c r="L14" s="503"/>
    </row>
    <row r="15" spans="2:12" hidden="1">
      <c r="B15" s="637">
        <v>41407</v>
      </c>
      <c r="C15" s="637">
        <v>41413</v>
      </c>
      <c r="D15" s="638">
        <v>3.9800000000000002E-2</v>
      </c>
      <c r="E15" s="638">
        <v>4.3299999999999998E-2</v>
      </c>
      <c r="F15" s="638">
        <v>4.4600000000000001E-2</v>
      </c>
      <c r="G15" s="638">
        <v>3.5400000000000001E-2</v>
      </c>
      <c r="H15" s="503"/>
      <c r="I15" s="503"/>
      <c r="K15" s="503"/>
      <c r="L15" s="503"/>
    </row>
    <row r="16" spans="2:12" hidden="1">
      <c r="B16" s="637">
        <v>41400</v>
      </c>
      <c r="C16" s="637">
        <v>41406</v>
      </c>
      <c r="D16" s="638">
        <v>4.07E-2</v>
      </c>
      <c r="E16" s="638">
        <v>4.3900000000000002E-2</v>
      </c>
      <c r="F16" s="638">
        <v>4.3999999999999997E-2</v>
      </c>
      <c r="G16" s="638">
        <v>3.5400000000000001E-2</v>
      </c>
      <c r="H16" s="503"/>
      <c r="I16" s="503"/>
      <c r="K16" s="503"/>
      <c r="L16" s="503"/>
    </row>
    <row r="17" spans="2:12" hidden="1">
      <c r="B17" s="637">
        <v>41393</v>
      </c>
      <c r="C17" s="637">
        <v>41399</v>
      </c>
      <c r="D17" s="638">
        <v>4.1099999999999998E-2</v>
      </c>
      <c r="E17" s="638">
        <v>4.3099999999999999E-2</v>
      </c>
      <c r="F17" s="638">
        <v>4.4699999999999997E-2</v>
      </c>
      <c r="G17" s="638">
        <v>4.24E-2</v>
      </c>
      <c r="H17" s="503"/>
      <c r="I17" s="503"/>
      <c r="K17" s="503"/>
      <c r="L17" s="503"/>
    </row>
    <row r="18" spans="2:12" hidden="1">
      <c r="B18" s="637">
        <v>41386</v>
      </c>
      <c r="C18" s="637">
        <v>41392</v>
      </c>
      <c r="D18" s="638">
        <v>4.1700000000000001E-2</v>
      </c>
      <c r="E18" s="638">
        <v>4.5400000000000003E-2</v>
      </c>
      <c r="F18" s="638">
        <v>4.7800000000000002E-2</v>
      </c>
      <c r="G18" s="638">
        <v>3.5400000000000001E-2</v>
      </c>
      <c r="H18" s="503"/>
      <c r="I18" s="503"/>
      <c r="K18" s="503"/>
      <c r="L18" s="503"/>
    </row>
    <row r="19" spans="2:12" hidden="1">
      <c r="B19" s="637">
        <v>41379</v>
      </c>
      <c r="C19" s="637">
        <v>41385</v>
      </c>
      <c r="D19" s="638">
        <v>4.2500000000000003E-2</v>
      </c>
      <c r="E19" s="638">
        <v>4.4499999999999998E-2</v>
      </c>
      <c r="F19" s="638">
        <v>4.48E-2</v>
      </c>
      <c r="G19" s="638">
        <v>3.5400000000000001E-2</v>
      </c>
      <c r="H19" s="503"/>
      <c r="I19" s="503"/>
      <c r="K19" s="503"/>
      <c r="L19" s="503"/>
    </row>
    <row r="20" spans="2:12" hidden="1">
      <c r="B20" s="637">
        <v>41372</v>
      </c>
      <c r="C20" s="637">
        <v>41378</v>
      </c>
      <c r="D20" s="638">
        <v>4.3900000000000002E-2</v>
      </c>
      <c r="E20" s="638">
        <v>4.65E-2</v>
      </c>
      <c r="F20" s="638">
        <v>4.6899999999999997E-2</v>
      </c>
      <c r="G20" s="638">
        <v>3.5400000000000001E-2</v>
      </c>
      <c r="H20" s="503"/>
      <c r="I20" s="503"/>
      <c r="K20" s="503"/>
      <c r="L20" s="503"/>
    </row>
    <row r="21" spans="2:12" hidden="1">
      <c r="B21" s="637">
        <v>41365</v>
      </c>
      <c r="C21" s="637">
        <v>41371</v>
      </c>
      <c r="D21" s="638">
        <v>4.4999999999999998E-2</v>
      </c>
      <c r="E21" s="638">
        <v>4.5600000000000002E-2</v>
      </c>
      <c r="F21" s="638">
        <v>4.7500000000000001E-2</v>
      </c>
      <c r="G21" s="638">
        <v>3.5400000000000001E-2</v>
      </c>
      <c r="H21" s="503"/>
      <c r="I21" s="503"/>
      <c r="K21" s="503"/>
      <c r="L21" s="503"/>
    </row>
    <row r="22" spans="2:12" hidden="1">
      <c r="B22" s="637">
        <v>41358</v>
      </c>
      <c r="C22" s="637">
        <v>41364</v>
      </c>
      <c r="D22" s="638">
        <v>4.5499999999999999E-2</v>
      </c>
      <c r="E22" s="638">
        <v>4.7399999999999998E-2</v>
      </c>
      <c r="F22" s="638">
        <v>4.9099999999999998E-2</v>
      </c>
      <c r="G22" s="638">
        <v>3.5400000000000001E-2</v>
      </c>
      <c r="H22" s="503"/>
      <c r="I22" s="503"/>
      <c r="K22" s="503"/>
      <c r="L22" s="503"/>
    </row>
    <row r="23" spans="2:12" hidden="1">
      <c r="B23" s="637">
        <v>41351</v>
      </c>
      <c r="C23" s="637">
        <v>41357</v>
      </c>
      <c r="D23" s="638">
        <v>4.5499999999999999E-2</v>
      </c>
      <c r="E23" s="638">
        <v>4.82E-2</v>
      </c>
      <c r="F23" s="638">
        <v>5.0299999999999997E-2</v>
      </c>
      <c r="G23" s="638">
        <v>3.5400000000000001E-2</v>
      </c>
      <c r="H23" s="503"/>
      <c r="I23" s="503"/>
      <c r="K23" s="503"/>
      <c r="L23" s="503"/>
    </row>
    <row r="24" spans="2:12" hidden="1">
      <c r="B24" s="637">
        <v>41344</v>
      </c>
      <c r="C24" s="637">
        <v>41350</v>
      </c>
      <c r="D24" s="638">
        <v>4.65E-2</v>
      </c>
      <c r="E24" s="638">
        <v>4.8599999999999997E-2</v>
      </c>
      <c r="F24" s="638">
        <v>5.0999999999999997E-2</v>
      </c>
      <c r="G24" s="638">
        <v>3.5400000000000001E-2</v>
      </c>
      <c r="H24" s="503"/>
      <c r="I24" s="503"/>
      <c r="K24" s="503"/>
      <c r="L24" s="503"/>
    </row>
    <row r="25" spans="2:12" hidden="1">
      <c r="B25" s="637">
        <v>41337</v>
      </c>
      <c r="C25" s="637">
        <v>41343</v>
      </c>
      <c r="D25" s="638">
        <v>4.7800000000000002E-2</v>
      </c>
      <c r="E25" s="638">
        <v>5.1200000000000002E-2</v>
      </c>
      <c r="F25" s="638">
        <v>5.1499999999999997E-2</v>
      </c>
      <c r="G25" s="638">
        <v>3.5400000000000001E-2</v>
      </c>
      <c r="H25" s="503"/>
      <c r="I25" s="503"/>
      <c r="K25" s="503"/>
      <c r="L25" s="503"/>
    </row>
    <row r="26" spans="2:12" hidden="1">
      <c r="B26" s="637">
        <v>41330</v>
      </c>
      <c r="C26" s="637">
        <v>41336</v>
      </c>
      <c r="D26" s="638">
        <v>4.8300000000000003E-2</v>
      </c>
      <c r="E26" s="638">
        <v>5.04E-2</v>
      </c>
      <c r="F26" s="638">
        <v>5.1200000000000002E-2</v>
      </c>
      <c r="G26" s="638">
        <v>3.5400000000000001E-2</v>
      </c>
      <c r="H26" s="503"/>
      <c r="I26" s="503"/>
      <c r="K26" s="503"/>
      <c r="L26" s="503"/>
    </row>
    <row r="27" spans="2:12" hidden="1">
      <c r="B27" s="637">
        <v>41323</v>
      </c>
      <c r="C27" s="637">
        <v>41329</v>
      </c>
      <c r="D27" s="638">
        <v>4.82E-2</v>
      </c>
      <c r="E27" s="638">
        <v>5.0799999999999998E-2</v>
      </c>
      <c r="F27" s="638">
        <v>5.2600000000000001E-2</v>
      </c>
      <c r="G27" s="638">
        <v>3.5400000000000001E-2</v>
      </c>
      <c r="H27" s="503"/>
      <c r="I27" s="503"/>
      <c r="K27" s="503"/>
      <c r="L27" s="503"/>
    </row>
    <row r="28" spans="2:12" hidden="1">
      <c r="B28" s="637">
        <v>41316</v>
      </c>
      <c r="C28" s="637">
        <v>41322</v>
      </c>
      <c r="D28" s="638">
        <v>4.8500000000000001E-2</v>
      </c>
      <c r="E28" s="638">
        <v>5.1700000000000003E-2</v>
      </c>
      <c r="F28" s="638">
        <v>5.3199999999999997E-2</v>
      </c>
      <c r="G28" s="638">
        <v>3.5400000000000001E-2</v>
      </c>
      <c r="H28" s="503"/>
      <c r="I28" s="503"/>
      <c r="K28" s="503"/>
      <c r="L28" s="503"/>
    </row>
    <row r="29" spans="2:12" hidden="1">
      <c r="B29" s="637">
        <v>41309</v>
      </c>
      <c r="C29" s="637">
        <v>41315</v>
      </c>
      <c r="D29" s="638">
        <v>4.9399999999999999E-2</v>
      </c>
      <c r="E29" s="638">
        <v>5.21E-2</v>
      </c>
      <c r="F29" s="638">
        <v>5.4600000000000003E-2</v>
      </c>
      <c r="G29" s="638">
        <v>3.5400000000000001E-2</v>
      </c>
      <c r="H29" s="503"/>
      <c r="I29" s="503"/>
      <c r="K29" s="503"/>
      <c r="L29" s="503"/>
    </row>
    <row r="30" spans="2:12" hidden="1">
      <c r="B30" s="637">
        <v>41302</v>
      </c>
      <c r="C30" s="637">
        <v>41308</v>
      </c>
      <c r="D30" s="638">
        <v>5.11E-2</v>
      </c>
      <c r="E30" s="638">
        <v>5.3199999999999997E-2</v>
      </c>
      <c r="F30" s="638">
        <v>5.5599999999999997E-2</v>
      </c>
      <c r="G30" s="638">
        <v>5.4300000000000001E-2</v>
      </c>
      <c r="H30" s="503"/>
      <c r="I30" s="503"/>
      <c r="K30" s="503"/>
      <c r="L30" s="503"/>
    </row>
    <row r="31" spans="2:12" hidden="1">
      <c r="B31" s="637">
        <v>41295</v>
      </c>
      <c r="C31" s="637">
        <v>41301</v>
      </c>
      <c r="D31" s="638">
        <v>5.0700000000000002E-2</v>
      </c>
      <c r="E31" s="638">
        <v>5.3800000000000001E-2</v>
      </c>
      <c r="F31" s="638">
        <v>5.5899999999999998E-2</v>
      </c>
      <c r="G31" s="638">
        <v>3.5400000000000001E-2</v>
      </c>
      <c r="H31" s="503"/>
      <c r="I31" s="503"/>
      <c r="K31" s="503"/>
      <c r="L31" s="503"/>
    </row>
    <row r="32" spans="2:12" hidden="1">
      <c r="B32" s="637">
        <v>41288</v>
      </c>
      <c r="C32" s="637">
        <v>41294</v>
      </c>
      <c r="D32" s="638">
        <v>5.2200000000000003E-2</v>
      </c>
      <c r="E32" s="638">
        <v>5.4699999999999999E-2</v>
      </c>
      <c r="F32" s="638">
        <v>5.6099999999999997E-2</v>
      </c>
      <c r="G32" s="638">
        <v>3.5400000000000001E-2</v>
      </c>
      <c r="H32" s="503"/>
      <c r="I32" s="503"/>
      <c r="K32" s="503"/>
      <c r="L32" s="503"/>
    </row>
    <row r="33" spans="2:13" hidden="1">
      <c r="B33" s="637">
        <v>41281</v>
      </c>
      <c r="C33" s="637">
        <v>41287</v>
      </c>
      <c r="D33" s="638">
        <v>5.21E-2</v>
      </c>
      <c r="E33" s="638">
        <v>5.6399999999999999E-2</v>
      </c>
      <c r="F33" s="638">
        <v>5.7700000000000001E-2</v>
      </c>
      <c r="G33" s="638">
        <v>3.5400000000000001E-2</v>
      </c>
      <c r="H33" s="503"/>
      <c r="I33" s="503"/>
      <c r="K33" s="503"/>
      <c r="L33" s="503"/>
    </row>
    <row r="34" spans="2:13">
      <c r="B34" s="637">
        <v>41274</v>
      </c>
      <c r="C34" s="637">
        <v>41280</v>
      </c>
      <c r="D34" s="638">
        <v>5.2699999999999997E-2</v>
      </c>
      <c r="E34" s="638">
        <v>5.67E-2</v>
      </c>
      <c r="F34" s="638">
        <v>5.9400000000000001E-2</v>
      </c>
      <c r="G34" s="638">
        <v>3.5400000000000001E-2</v>
      </c>
      <c r="H34" s="503"/>
      <c r="I34" s="503"/>
      <c r="K34" s="503" t="s">
        <v>595</v>
      </c>
      <c r="L34" s="504">
        <f>I35</f>
        <v>5.9860000000000003E-2</v>
      </c>
    </row>
    <row r="35" spans="2:13">
      <c r="B35" s="637">
        <v>41267</v>
      </c>
      <c r="C35" s="637">
        <v>41273</v>
      </c>
      <c r="D35" s="638">
        <v>5.2200000000000003E-2</v>
      </c>
      <c r="E35" s="638">
        <v>5.7000000000000002E-2</v>
      </c>
      <c r="F35" s="638">
        <v>5.9900000000000002E-2</v>
      </c>
      <c r="G35" s="638">
        <v>5.33E-2</v>
      </c>
      <c r="H35" s="503" t="s">
        <v>595</v>
      </c>
      <c r="I35" s="504">
        <f>AVERAGE(F35:F39)</f>
        <v>5.9860000000000003E-2</v>
      </c>
      <c r="K35" s="503" t="s">
        <v>606</v>
      </c>
      <c r="L35" s="504">
        <f>+I40</f>
        <v>6.0624999999999998E-2</v>
      </c>
    </row>
    <row r="36" spans="2:13">
      <c r="B36" s="637">
        <v>41260</v>
      </c>
      <c r="C36" s="637">
        <v>41266</v>
      </c>
      <c r="D36" s="638">
        <v>5.2600000000000001E-2</v>
      </c>
      <c r="E36" s="638">
        <v>5.6899999999999999E-2</v>
      </c>
      <c r="F36" s="638">
        <v>5.9799999999999999E-2</v>
      </c>
      <c r="G36" s="638">
        <v>3.5400000000000001E-2</v>
      </c>
      <c r="H36" s="503"/>
      <c r="I36" s="503"/>
      <c r="K36" s="503" t="s">
        <v>605</v>
      </c>
      <c r="L36" s="504">
        <f>+I44</f>
        <v>6.1275000000000003E-2</v>
      </c>
    </row>
    <row r="37" spans="2:13">
      <c r="B37" s="637">
        <v>41253</v>
      </c>
      <c r="C37" s="637">
        <v>41259</v>
      </c>
      <c r="D37" s="638">
        <v>5.1499999999999997E-2</v>
      </c>
      <c r="E37" s="638">
        <v>5.7500000000000002E-2</v>
      </c>
      <c r="F37" s="638">
        <v>6.1699999999999998E-2</v>
      </c>
      <c r="G37" s="638">
        <v>3.5400000000000001E-2</v>
      </c>
      <c r="H37" s="503"/>
      <c r="I37" s="503"/>
      <c r="K37" s="503" t="s">
        <v>604</v>
      </c>
      <c r="L37" s="504">
        <f>+I48</f>
        <v>6.2560000000000004E-2</v>
      </c>
    </row>
    <row r="38" spans="2:13">
      <c r="B38" s="637">
        <v>41246</v>
      </c>
      <c r="C38" s="637">
        <v>41252</v>
      </c>
      <c r="D38" s="638">
        <v>5.3400000000000003E-2</v>
      </c>
      <c r="E38" s="638">
        <v>5.7000000000000002E-2</v>
      </c>
      <c r="F38" s="638">
        <v>5.9200000000000003E-2</v>
      </c>
      <c r="G38" s="638">
        <v>3.5400000000000001E-2</v>
      </c>
      <c r="H38" s="503"/>
      <c r="I38" s="503"/>
      <c r="K38" s="503" t="s">
        <v>603</v>
      </c>
      <c r="L38" s="504">
        <f>+I53</f>
        <v>6.3875000000000001E-2</v>
      </c>
    </row>
    <row r="39" spans="2:13">
      <c r="B39" s="637">
        <v>41239</v>
      </c>
      <c r="C39" s="637">
        <v>41245</v>
      </c>
      <c r="D39" s="638">
        <v>5.4199999999999998E-2</v>
      </c>
      <c r="E39" s="638">
        <v>5.6500000000000002E-2</v>
      </c>
      <c r="F39" s="638">
        <v>5.8700000000000002E-2</v>
      </c>
      <c r="G39" s="638">
        <v>0</v>
      </c>
      <c r="H39" s="503"/>
      <c r="I39" s="503"/>
      <c r="K39" s="503" t="s">
        <v>602</v>
      </c>
      <c r="L39" s="504">
        <f>+I57</f>
        <v>6.3820000000000002E-2</v>
      </c>
    </row>
    <row r="40" spans="2:13">
      <c r="B40" s="637">
        <v>41232</v>
      </c>
      <c r="C40" s="637">
        <v>41238</v>
      </c>
      <c r="D40" s="638">
        <v>5.2600000000000001E-2</v>
      </c>
      <c r="E40" s="638">
        <v>5.7700000000000001E-2</v>
      </c>
      <c r="F40" s="638">
        <v>6.0199999999999997E-2</v>
      </c>
      <c r="G40" s="638">
        <v>3.5400000000000001E-2</v>
      </c>
      <c r="H40" s="503" t="s">
        <v>606</v>
      </c>
      <c r="I40" s="504">
        <f>AVERAGE(F40:F43)</f>
        <v>6.0624999999999998E-2</v>
      </c>
      <c r="K40" s="503" t="s">
        <v>601</v>
      </c>
      <c r="L40" s="504">
        <f>+I62</f>
        <v>6.3825000000000007E-2</v>
      </c>
    </row>
    <row r="41" spans="2:13">
      <c r="B41" s="637">
        <v>41225</v>
      </c>
      <c r="C41" s="637">
        <v>41231</v>
      </c>
      <c r="D41" s="638">
        <v>5.2299999999999999E-2</v>
      </c>
      <c r="E41" s="638">
        <v>5.7500000000000002E-2</v>
      </c>
      <c r="F41" s="638">
        <v>6.0100000000000001E-2</v>
      </c>
      <c r="G41" s="638">
        <v>3.5400000000000001E-2</v>
      </c>
      <c r="H41" s="503"/>
      <c r="I41" s="503"/>
      <c r="K41" s="503" t="s">
        <v>600</v>
      </c>
      <c r="L41" s="504">
        <f>+I66</f>
        <v>6.3774999999999998E-2</v>
      </c>
    </row>
    <row r="42" spans="2:13">
      <c r="B42" s="637">
        <v>41218</v>
      </c>
      <c r="C42" s="637">
        <v>41224</v>
      </c>
      <c r="D42" s="638">
        <v>5.79E-2</v>
      </c>
      <c r="E42" s="638">
        <v>5.74E-2</v>
      </c>
      <c r="F42" s="638">
        <v>6.0900000000000003E-2</v>
      </c>
      <c r="G42" s="638">
        <v>3.5400000000000001E-2</v>
      </c>
      <c r="H42" s="503"/>
      <c r="I42" s="503"/>
      <c r="K42" s="503" t="s">
        <v>599</v>
      </c>
      <c r="L42" s="504">
        <f>+I70</f>
        <v>6.3100000000000003E-2</v>
      </c>
    </row>
    <row r="43" spans="2:13">
      <c r="B43" s="637">
        <v>41211</v>
      </c>
      <c r="C43" s="637">
        <v>41217</v>
      </c>
      <c r="D43" s="638">
        <v>5.2900000000000003E-2</v>
      </c>
      <c r="E43" s="638">
        <v>5.91E-2</v>
      </c>
      <c r="F43" s="638">
        <v>6.13E-2</v>
      </c>
      <c r="G43" s="638">
        <v>5.7799999999999997E-2</v>
      </c>
      <c r="H43" s="503"/>
      <c r="I43" s="503"/>
      <c r="K43" s="503" t="s">
        <v>598</v>
      </c>
      <c r="L43" s="504">
        <f>+I75</f>
        <v>6.1650000000000003E-2</v>
      </c>
    </row>
    <row r="44" spans="2:13">
      <c r="B44" s="637">
        <v>41204</v>
      </c>
      <c r="C44" s="637">
        <v>41210</v>
      </c>
      <c r="D44" s="638">
        <v>5.1900000000000002E-2</v>
      </c>
      <c r="E44" s="638">
        <v>5.8400000000000001E-2</v>
      </c>
      <c r="F44" s="638">
        <v>6.1499999999999999E-2</v>
      </c>
      <c r="G44" s="638">
        <v>3.5400000000000001E-2</v>
      </c>
      <c r="H44" s="503" t="s">
        <v>605</v>
      </c>
      <c r="I44" s="504">
        <f>AVERAGE(F44:F47)</f>
        <v>6.1275000000000003E-2</v>
      </c>
      <c r="K44" s="503" t="s">
        <v>597</v>
      </c>
      <c r="L44" s="504">
        <f>+I79</f>
        <v>6.0124999999999998E-2</v>
      </c>
    </row>
    <row r="45" spans="2:13">
      <c r="B45" s="637">
        <v>41197</v>
      </c>
      <c r="C45" s="637">
        <v>41203</v>
      </c>
      <c r="D45" s="638">
        <v>5.2299999999999999E-2</v>
      </c>
      <c r="E45" s="638">
        <v>5.8200000000000002E-2</v>
      </c>
      <c r="F45" s="638">
        <v>6.13E-2</v>
      </c>
      <c r="G45" s="638">
        <v>3.5400000000000001E-2</v>
      </c>
      <c r="H45" s="503"/>
      <c r="I45" s="503"/>
      <c r="K45" s="503" t="s">
        <v>596</v>
      </c>
      <c r="L45" s="504">
        <f>+I83</f>
        <v>5.9499999999999997E-2</v>
      </c>
    </row>
    <row r="46" spans="2:13">
      <c r="B46" s="637">
        <v>41190</v>
      </c>
      <c r="C46" s="637">
        <v>41196</v>
      </c>
      <c r="D46" s="638">
        <v>5.3100000000000001E-2</v>
      </c>
      <c r="E46" s="638">
        <v>5.8099999999999999E-2</v>
      </c>
      <c r="F46" s="638">
        <v>6.1100000000000002E-2</v>
      </c>
      <c r="G46" s="638">
        <v>3.5400000000000001E-2</v>
      </c>
      <c r="H46" s="503"/>
      <c r="I46" s="503"/>
      <c r="K46" s="506" t="s">
        <v>571</v>
      </c>
      <c r="L46" s="507">
        <v>6.1999166666666668E-2</v>
      </c>
    </row>
    <row r="47" spans="2:13">
      <c r="B47" s="637">
        <v>41183</v>
      </c>
      <c r="C47" s="637">
        <v>41189</v>
      </c>
      <c r="D47" s="638">
        <v>5.2699999999999997E-2</v>
      </c>
      <c r="E47" s="638">
        <v>5.7299999999999997E-2</v>
      </c>
      <c r="F47" s="638">
        <v>6.1199999999999997E-2</v>
      </c>
      <c r="G47" s="638">
        <v>3.5400000000000001E-2</v>
      </c>
      <c r="H47" s="503"/>
      <c r="I47" s="503"/>
    </row>
    <row r="48" spans="2:13">
      <c r="B48" s="637">
        <v>41176</v>
      </c>
      <c r="C48" s="637">
        <v>41182</v>
      </c>
      <c r="D48" s="638">
        <v>5.1999999999999998E-2</v>
      </c>
      <c r="E48" s="638">
        <v>5.7799999999999997E-2</v>
      </c>
      <c r="F48" s="638">
        <v>6.13E-2</v>
      </c>
      <c r="G48" s="638">
        <v>3.5400000000000001E-2</v>
      </c>
      <c r="H48" s="503" t="s">
        <v>604</v>
      </c>
      <c r="I48" s="504">
        <f>AVERAGE(F48:F52)</f>
        <v>6.2560000000000004E-2</v>
      </c>
      <c r="K48" s="461"/>
      <c r="L48" s="461"/>
      <c r="M48" s="461"/>
    </row>
    <row r="49" spans="2:13">
      <c r="B49" s="637">
        <v>41169</v>
      </c>
      <c r="C49" s="637">
        <v>41175</v>
      </c>
      <c r="D49" s="638">
        <v>5.3699999999999998E-2</v>
      </c>
      <c r="E49" s="638">
        <v>5.8700000000000002E-2</v>
      </c>
      <c r="F49" s="638">
        <v>6.25E-2</v>
      </c>
      <c r="G49" s="638">
        <v>5.9400000000000001E-2</v>
      </c>
      <c r="H49" s="503"/>
      <c r="I49" s="503"/>
      <c r="K49" s="461"/>
      <c r="L49" s="461"/>
      <c r="M49" s="461"/>
    </row>
    <row r="50" spans="2:13">
      <c r="B50" s="637">
        <v>41162</v>
      </c>
      <c r="C50" s="637">
        <v>41168</v>
      </c>
      <c r="D50" s="638">
        <v>5.3699999999999998E-2</v>
      </c>
      <c r="E50" s="638">
        <v>5.8599999999999999E-2</v>
      </c>
      <c r="F50" s="638">
        <v>6.3100000000000003E-2</v>
      </c>
      <c r="G50" s="638">
        <v>3.5400000000000001E-2</v>
      </c>
      <c r="H50" s="503"/>
      <c r="I50" s="503"/>
      <c r="K50" s="461"/>
      <c r="L50" s="461"/>
      <c r="M50" s="461"/>
    </row>
    <row r="51" spans="2:13">
      <c r="B51" s="637">
        <v>41155</v>
      </c>
      <c r="C51" s="637">
        <v>41161</v>
      </c>
      <c r="D51" s="638">
        <v>5.3999999999999999E-2</v>
      </c>
      <c r="E51" s="638">
        <v>5.7799999999999997E-2</v>
      </c>
      <c r="F51" s="638">
        <v>6.2799999999999995E-2</v>
      </c>
      <c r="G51" s="638">
        <v>3.5400000000000001E-2</v>
      </c>
      <c r="H51" s="503"/>
      <c r="I51" s="503"/>
    </row>
    <row r="52" spans="2:13">
      <c r="B52" s="637">
        <v>41148</v>
      </c>
      <c r="C52" s="637">
        <v>41154</v>
      </c>
      <c r="D52" s="638">
        <v>5.4199999999999998E-2</v>
      </c>
      <c r="E52" s="638">
        <v>5.9499999999999997E-2</v>
      </c>
      <c r="F52" s="638">
        <v>6.3100000000000003E-2</v>
      </c>
      <c r="G52" s="639"/>
      <c r="H52" s="503"/>
      <c r="I52" s="503"/>
    </row>
    <row r="53" spans="2:13">
      <c r="B53" s="637">
        <v>41141</v>
      </c>
      <c r="C53" s="637">
        <v>41147</v>
      </c>
      <c r="D53" s="638">
        <v>5.3999999999999999E-2</v>
      </c>
      <c r="E53" s="638">
        <v>5.8900000000000001E-2</v>
      </c>
      <c r="F53" s="638">
        <v>6.3700000000000007E-2</v>
      </c>
      <c r="G53" s="638">
        <v>3.5400000000000001E-2</v>
      </c>
      <c r="H53" s="503" t="s">
        <v>603</v>
      </c>
      <c r="I53" s="504">
        <f>AVERAGE(F53:F56)</f>
        <v>6.3875000000000001E-2</v>
      </c>
    </row>
    <row r="54" spans="2:13">
      <c r="B54" s="637">
        <v>41134</v>
      </c>
      <c r="C54" s="637">
        <v>41140</v>
      </c>
      <c r="D54" s="638">
        <v>5.4600000000000003E-2</v>
      </c>
      <c r="E54" s="638">
        <v>5.79E-2</v>
      </c>
      <c r="F54" s="638">
        <v>6.3799999999999996E-2</v>
      </c>
      <c r="G54" s="638">
        <v>6.08E-2</v>
      </c>
      <c r="H54" s="503"/>
      <c r="I54" s="503"/>
    </row>
    <row r="55" spans="2:13">
      <c r="B55" s="637">
        <v>41127</v>
      </c>
      <c r="C55" s="637">
        <v>41133</v>
      </c>
      <c r="D55" s="638">
        <v>5.3900000000000003E-2</v>
      </c>
      <c r="E55" s="638">
        <v>5.8000000000000003E-2</v>
      </c>
      <c r="F55" s="638">
        <v>6.3600000000000004E-2</v>
      </c>
      <c r="G55" s="638">
        <v>3.5400000000000001E-2</v>
      </c>
      <c r="H55" s="503"/>
      <c r="I55" s="503"/>
    </row>
    <row r="56" spans="2:13">
      <c r="B56" s="637">
        <v>41120</v>
      </c>
      <c r="C56" s="637">
        <v>41126</v>
      </c>
      <c r="D56" s="638">
        <v>5.5E-2</v>
      </c>
      <c r="E56" s="638">
        <v>5.9400000000000001E-2</v>
      </c>
      <c r="F56" s="638">
        <v>6.4399999999999999E-2</v>
      </c>
      <c r="G56" s="638">
        <v>3.5400000000000001E-2</v>
      </c>
      <c r="H56" s="503"/>
      <c r="I56" s="503"/>
    </row>
    <row r="57" spans="2:13">
      <c r="B57" s="637">
        <v>41113</v>
      </c>
      <c r="C57" s="637">
        <v>41119</v>
      </c>
      <c r="D57" s="638">
        <v>5.2900000000000003E-2</v>
      </c>
      <c r="E57" s="638">
        <v>5.9700000000000003E-2</v>
      </c>
      <c r="F57" s="638">
        <v>6.4500000000000002E-2</v>
      </c>
      <c r="G57" s="638">
        <v>3.5400000000000001E-2</v>
      </c>
      <c r="H57" s="503" t="s">
        <v>602</v>
      </c>
      <c r="I57" s="504">
        <f>AVERAGE(F57:F61)</f>
        <v>6.3820000000000002E-2</v>
      </c>
    </row>
    <row r="58" spans="2:13">
      <c r="B58" s="637">
        <v>41106</v>
      </c>
      <c r="C58" s="637">
        <v>41112</v>
      </c>
      <c r="D58" s="638">
        <v>5.5399999999999998E-2</v>
      </c>
      <c r="E58" s="638">
        <v>5.8299999999999998E-2</v>
      </c>
      <c r="F58" s="638">
        <v>6.4500000000000002E-2</v>
      </c>
      <c r="G58" s="638">
        <v>3.5400000000000001E-2</v>
      </c>
      <c r="H58" s="503"/>
      <c r="I58" s="503"/>
    </row>
    <row r="59" spans="2:13">
      <c r="B59" s="637">
        <v>41099</v>
      </c>
      <c r="C59" s="637">
        <v>41105</v>
      </c>
      <c r="D59" s="638">
        <v>5.3800000000000001E-2</v>
      </c>
      <c r="E59" s="638">
        <v>5.6800000000000003E-2</v>
      </c>
      <c r="F59" s="638">
        <v>6.1400000000000003E-2</v>
      </c>
      <c r="G59" s="638">
        <v>3.5400000000000001E-2</v>
      </c>
      <c r="H59" s="503"/>
      <c r="I59" s="503"/>
      <c r="K59" s="651"/>
      <c r="L59" s="651"/>
    </row>
    <row r="60" spans="2:13">
      <c r="B60" s="637">
        <v>41092</v>
      </c>
      <c r="C60" s="637">
        <v>41098</v>
      </c>
      <c r="D60" s="638">
        <v>5.4800000000000001E-2</v>
      </c>
      <c r="E60" s="638">
        <v>5.7700000000000001E-2</v>
      </c>
      <c r="F60" s="638">
        <v>6.3600000000000004E-2</v>
      </c>
      <c r="G60" s="638">
        <v>3.5400000000000001E-2</v>
      </c>
      <c r="H60" s="503"/>
      <c r="I60" s="503"/>
      <c r="K60" s="651"/>
      <c r="L60" s="651"/>
    </row>
    <row r="61" spans="2:13" ht="31.5">
      <c r="B61" s="637">
        <v>41085</v>
      </c>
      <c r="C61" s="637">
        <v>41091</v>
      </c>
      <c r="D61" s="638">
        <v>5.4300000000000001E-2</v>
      </c>
      <c r="E61" s="638">
        <v>5.8599999999999999E-2</v>
      </c>
      <c r="F61" s="638">
        <v>6.5100000000000005E-2</v>
      </c>
      <c r="G61" s="638">
        <v>3.5400000000000001E-2</v>
      </c>
      <c r="H61" s="503"/>
      <c r="I61" s="503"/>
      <c r="K61" s="652" t="s">
        <v>585</v>
      </c>
      <c r="L61" s="653" t="s">
        <v>586</v>
      </c>
    </row>
    <row r="62" spans="2:13">
      <c r="B62" s="637">
        <v>41078</v>
      </c>
      <c r="C62" s="637">
        <v>41084</v>
      </c>
      <c r="D62" s="638">
        <v>5.4600000000000003E-2</v>
      </c>
      <c r="E62" s="638">
        <v>5.8799999999999998E-2</v>
      </c>
      <c r="F62" s="638">
        <v>6.4500000000000002E-2</v>
      </c>
      <c r="G62" s="638">
        <v>6.08E-2</v>
      </c>
      <c r="H62" s="503" t="s">
        <v>601</v>
      </c>
      <c r="I62" s="504">
        <f>AVERAGE(F62:F65)</f>
        <v>6.3825000000000007E-2</v>
      </c>
      <c r="K62" s="654">
        <v>13302.102727272724</v>
      </c>
      <c r="L62" s="655">
        <v>4.1067673979107737E-3</v>
      </c>
    </row>
    <row r="63" spans="2:13">
      <c r="B63" s="637">
        <v>41071</v>
      </c>
      <c r="C63" s="637">
        <v>41077</v>
      </c>
      <c r="D63" s="638">
        <v>5.4199999999999998E-2</v>
      </c>
      <c r="E63" s="638">
        <v>5.91E-2</v>
      </c>
      <c r="F63" s="638">
        <v>6.4899999999999999E-2</v>
      </c>
      <c r="G63" s="638">
        <v>3.5400000000000001E-2</v>
      </c>
      <c r="H63" s="503"/>
      <c r="I63" s="503"/>
      <c r="K63" s="654">
        <v>14372.49857142857</v>
      </c>
      <c r="L63" s="655">
        <v>3.5387419453155487E-3</v>
      </c>
    </row>
    <row r="64" spans="2:13">
      <c r="B64" s="637">
        <v>41064</v>
      </c>
      <c r="C64" s="637">
        <v>41070</v>
      </c>
      <c r="D64" s="638">
        <v>5.4100000000000002E-2</v>
      </c>
      <c r="E64" s="638">
        <v>5.8799999999999998E-2</v>
      </c>
      <c r="F64" s="638">
        <v>6.4000000000000001E-2</v>
      </c>
      <c r="G64" s="638">
        <v>6.0900000000000003E-2</v>
      </c>
      <c r="H64" s="503"/>
      <c r="I64" s="503"/>
    </row>
    <row r="65" spans="2:11">
      <c r="B65" s="637">
        <v>41057</v>
      </c>
      <c r="C65" s="637">
        <v>41063</v>
      </c>
      <c r="D65" s="638">
        <v>5.4800000000000001E-2</v>
      </c>
      <c r="E65" s="638">
        <v>5.8900000000000001E-2</v>
      </c>
      <c r="F65" s="638">
        <v>6.1899999999999997E-2</v>
      </c>
      <c r="G65" s="638">
        <v>3.5400000000000001E-2</v>
      </c>
      <c r="H65" s="503"/>
      <c r="I65" s="503"/>
      <c r="K65" s="641" t="s">
        <v>608</v>
      </c>
    </row>
    <row r="66" spans="2:11">
      <c r="B66" s="637">
        <v>41050</v>
      </c>
      <c r="C66" s="637">
        <v>41056</v>
      </c>
      <c r="D66" s="638">
        <v>5.5100000000000003E-2</v>
      </c>
      <c r="E66" s="638">
        <v>5.9700000000000003E-2</v>
      </c>
      <c r="F66" s="638">
        <v>6.3500000000000001E-2</v>
      </c>
      <c r="G66" s="638">
        <v>3.5400000000000001E-2</v>
      </c>
      <c r="H66" s="503" t="s">
        <v>600</v>
      </c>
      <c r="I66" s="504">
        <f>AVERAGE(F66:F69)</f>
        <v>6.3774999999999998E-2</v>
      </c>
    </row>
    <row r="67" spans="2:11">
      <c r="B67" s="637">
        <v>41043</v>
      </c>
      <c r="C67" s="637">
        <v>41049</v>
      </c>
      <c r="D67" s="638">
        <v>5.4300000000000001E-2</v>
      </c>
      <c r="E67" s="638">
        <v>5.8000000000000003E-2</v>
      </c>
      <c r="F67" s="638">
        <v>6.3899999999999998E-2</v>
      </c>
      <c r="G67" s="638">
        <v>6.08E-2</v>
      </c>
      <c r="H67" s="503"/>
      <c r="I67" s="503"/>
    </row>
    <row r="68" spans="2:11">
      <c r="B68" s="637">
        <v>41036</v>
      </c>
      <c r="C68" s="637">
        <v>41042</v>
      </c>
      <c r="D68" s="638">
        <v>5.4399999999999997E-2</v>
      </c>
      <c r="E68" s="638">
        <v>5.8200000000000002E-2</v>
      </c>
      <c r="F68" s="638">
        <v>6.2799999999999995E-2</v>
      </c>
      <c r="G68" s="638">
        <v>3.5400000000000001E-2</v>
      </c>
      <c r="H68" s="503"/>
      <c r="I68" s="503"/>
    </row>
    <row r="69" spans="2:11">
      <c r="B69" s="637">
        <v>41029</v>
      </c>
      <c r="C69" s="637">
        <v>41035</v>
      </c>
      <c r="D69" s="638">
        <v>5.3499999999999999E-2</v>
      </c>
      <c r="E69" s="638">
        <v>5.8999999999999997E-2</v>
      </c>
      <c r="F69" s="638">
        <v>6.4899999999999999E-2</v>
      </c>
      <c r="G69" s="638">
        <v>3.5400000000000001E-2</v>
      </c>
      <c r="H69" s="503"/>
      <c r="I69" s="503"/>
    </row>
    <row r="70" spans="2:11">
      <c r="B70" s="637">
        <v>41022</v>
      </c>
      <c r="C70" s="637">
        <v>41028</v>
      </c>
      <c r="D70" s="638">
        <v>5.45E-2</v>
      </c>
      <c r="E70" s="638">
        <v>5.7700000000000001E-2</v>
      </c>
      <c r="F70" s="638">
        <v>6.4199999999999993E-2</v>
      </c>
      <c r="G70" s="638">
        <v>4.7600000000000003E-2</v>
      </c>
      <c r="H70" s="503" t="s">
        <v>599</v>
      </c>
      <c r="I70" s="504">
        <f>AVERAGE(F70:F74)</f>
        <v>6.3100000000000003E-2</v>
      </c>
    </row>
    <row r="71" spans="2:11">
      <c r="B71" s="637">
        <v>41015</v>
      </c>
      <c r="C71" s="637">
        <v>41021</v>
      </c>
      <c r="D71" s="638">
        <v>5.5599999999999997E-2</v>
      </c>
      <c r="E71" s="638">
        <v>5.8900000000000001E-2</v>
      </c>
      <c r="F71" s="638">
        <v>6.2399999999999997E-2</v>
      </c>
      <c r="G71" s="638">
        <v>3.5400000000000001E-2</v>
      </c>
      <c r="H71" s="503"/>
      <c r="I71" s="503"/>
    </row>
    <row r="72" spans="2:11">
      <c r="B72" s="637">
        <v>41008</v>
      </c>
      <c r="C72" s="637">
        <v>41014</v>
      </c>
      <c r="D72" s="638">
        <v>5.4300000000000001E-2</v>
      </c>
      <c r="E72" s="638">
        <v>5.9900000000000002E-2</v>
      </c>
      <c r="F72" s="638">
        <v>6.1499999999999999E-2</v>
      </c>
      <c r="G72" s="638">
        <v>3.5400000000000001E-2</v>
      </c>
      <c r="H72" s="503"/>
      <c r="I72" s="503"/>
    </row>
    <row r="73" spans="2:11">
      <c r="B73" s="637">
        <v>41001</v>
      </c>
      <c r="C73" s="637">
        <v>41007</v>
      </c>
      <c r="D73" s="638">
        <v>5.5E-2</v>
      </c>
      <c r="E73" s="638">
        <v>5.8700000000000002E-2</v>
      </c>
      <c r="F73" s="638">
        <v>6.4100000000000004E-2</v>
      </c>
      <c r="G73" s="638">
        <v>3.5400000000000001E-2</v>
      </c>
      <c r="H73" s="503"/>
      <c r="I73" s="503"/>
    </row>
    <row r="74" spans="2:11">
      <c r="B74" s="637">
        <v>40994</v>
      </c>
      <c r="C74" s="637">
        <v>41000</v>
      </c>
      <c r="D74" s="638">
        <v>5.33E-2</v>
      </c>
      <c r="E74" s="638">
        <v>5.8500000000000003E-2</v>
      </c>
      <c r="F74" s="638">
        <v>6.3299999999999995E-2</v>
      </c>
      <c r="G74" s="638">
        <v>3.5400000000000001E-2</v>
      </c>
      <c r="H74" s="503"/>
      <c r="I74" s="503"/>
    </row>
    <row r="75" spans="2:11">
      <c r="B75" s="637">
        <v>40987</v>
      </c>
      <c r="C75" s="637">
        <v>40993</v>
      </c>
      <c r="D75" s="638">
        <v>5.2299999999999999E-2</v>
      </c>
      <c r="E75" s="638">
        <v>5.9299999999999999E-2</v>
      </c>
      <c r="F75" s="638">
        <v>6.2700000000000006E-2</v>
      </c>
      <c r="G75" s="638">
        <v>3.5400000000000001E-2</v>
      </c>
      <c r="H75" s="503" t="s">
        <v>598</v>
      </c>
      <c r="I75" s="504">
        <f>AVERAGE(F75:F78)</f>
        <v>6.1650000000000003E-2</v>
      </c>
    </row>
    <row r="76" spans="2:11">
      <c r="B76" s="637">
        <v>40980</v>
      </c>
      <c r="C76" s="637">
        <v>40986</v>
      </c>
      <c r="D76" s="638">
        <v>5.3100000000000001E-2</v>
      </c>
      <c r="E76" s="638">
        <v>5.74E-2</v>
      </c>
      <c r="F76" s="638">
        <v>6.2E-2</v>
      </c>
      <c r="G76" s="638">
        <v>3.5400000000000001E-2</v>
      </c>
      <c r="H76" s="503"/>
      <c r="I76" s="503"/>
    </row>
    <row r="77" spans="2:11">
      <c r="B77" s="637">
        <v>40973</v>
      </c>
      <c r="C77" s="637">
        <v>40979</v>
      </c>
      <c r="D77" s="638">
        <v>5.3499999999999999E-2</v>
      </c>
      <c r="E77" s="638">
        <v>5.8000000000000003E-2</v>
      </c>
      <c r="F77" s="638">
        <v>6.0900000000000003E-2</v>
      </c>
      <c r="G77" s="638">
        <v>3.5400000000000001E-2</v>
      </c>
      <c r="H77" s="503"/>
      <c r="I77" s="503"/>
    </row>
    <row r="78" spans="2:11">
      <c r="B78" s="637">
        <v>40966</v>
      </c>
      <c r="C78" s="637">
        <v>40972</v>
      </c>
      <c r="D78" s="638">
        <v>5.2600000000000001E-2</v>
      </c>
      <c r="E78" s="638">
        <v>5.6500000000000002E-2</v>
      </c>
      <c r="F78" s="638">
        <v>6.0999999999999999E-2</v>
      </c>
      <c r="G78" s="639"/>
      <c r="H78" s="503"/>
      <c r="I78" s="503"/>
    </row>
    <row r="79" spans="2:11">
      <c r="B79" s="637">
        <v>40959</v>
      </c>
      <c r="C79" s="637">
        <v>40965</v>
      </c>
      <c r="D79" s="638">
        <v>5.33E-2</v>
      </c>
      <c r="E79" s="638">
        <v>5.79E-2</v>
      </c>
      <c r="F79" s="638">
        <v>6.25E-2</v>
      </c>
      <c r="G79" s="638">
        <v>3.5400000000000001E-2</v>
      </c>
      <c r="H79" s="503" t="s">
        <v>597</v>
      </c>
      <c r="I79" s="504">
        <f>AVERAGE(F79:F82)</f>
        <v>6.0124999999999998E-2</v>
      </c>
    </row>
    <row r="80" spans="2:11">
      <c r="B80" s="637">
        <v>40952</v>
      </c>
      <c r="C80" s="637">
        <v>40958</v>
      </c>
      <c r="D80" s="638">
        <v>5.21E-2</v>
      </c>
      <c r="E80" s="638">
        <v>5.7099999999999998E-2</v>
      </c>
      <c r="F80" s="638">
        <v>6.0400000000000002E-2</v>
      </c>
      <c r="G80" s="638">
        <v>3.5400000000000001E-2</v>
      </c>
      <c r="H80" s="503"/>
      <c r="I80" s="503"/>
    </row>
    <row r="81" spans="1:12">
      <c r="B81" s="637">
        <v>40945</v>
      </c>
      <c r="C81" s="637">
        <v>40951</v>
      </c>
      <c r="D81" s="638">
        <v>4.9500000000000002E-2</v>
      </c>
      <c r="E81" s="638">
        <v>5.74E-2</v>
      </c>
      <c r="F81" s="638">
        <v>5.8299999999999998E-2</v>
      </c>
      <c r="G81" s="638">
        <v>3.2899999999999999E-2</v>
      </c>
      <c r="H81" s="503"/>
      <c r="I81" s="503"/>
    </row>
    <row r="82" spans="1:12">
      <c r="B82" s="637">
        <v>40938</v>
      </c>
      <c r="C82" s="637">
        <v>40944</v>
      </c>
      <c r="D82" s="638">
        <v>5.1299999999999998E-2</v>
      </c>
      <c r="E82" s="638">
        <v>5.7099999999999998E-2</v>
      </c>
      <c r="F82" s="638">
        <v>5.9299999999999999E-2</v>
      </c>
      <c r="G82" s="638">
        <v>3.2899999999999999E-2</v>
      </c>
      <c r="H82" s="503"/>
      <c r="I82" s="503"/>
    </row>
    <row r="83" spans="1:12">
      <c r="B83" s="637">
        <v>40931</v>
      </c>
      <c r="C83" s="637">
        <v>40937</v>
      </c>
      <c r="D83" s="638">
        <v>5.21E-2</v>
      </c>
      <c r="E83" s="638">
        <v>5.6800000000000003E-2</v>
      </c>
      <c r="F83" s="638">
        <v>5.9700000000000003E-2</v>
      </c>
      <c r="G83" s="638">
        <v>5.4100000000000002E-2</v>
      </c>
      <c r="H83" s="503" t="s">
        <v>596</v>
      </c>
      <c r="I83" s="504">
        <f>AVERAGE(F83:F86)</f>
        <v>5.9499999999999997E-2</v>
      </c>
    </row>
    <row r="84" spans="1:12">
      <c r="B84" s="637">
        <v>40924</v>
      </c>
      <c r="C84" s="637">
        <v>40930</v>
      </c>
      <c r="D84" s="638">
        <v>5.1900000000000002E-2</v>
      </c>
      <c r="E84" s="638">
        <v>5.45E-2</v>
      </c>
      <c r="F84" s="638">
        <v>5.7200000000000001E-2</v>
      </c>
      <c r="G84" s="638">
        <v>3.2899999999999999E-2</v>
      </c>
      <c r="H84" s="503"/>
      <c r="I84" s="503"/>
    </row>
    <row r="85" spans="1:12">
      <c r="B85" s="637">
        <v>40917</v>
      </c>
      <c r="C85" s="637">
        <v>40923</v>
      </c>
      <c r="D85" s="638">
        <v>5.1200000000000002E-2</v>
      </c>
      <c r="E85" s="638">
        <v>5.5199999999999999E-2</v>
      </c>
      <c r="F85" s="638">
        <v>0.06</v>
      </c>
      <c r="G85" s="638">
        <v>3.2899999999999999E-2</v>
      </c>
      <c r="H85" s="503"/>
      <c r="I85" s="503"/>
    </row>
    <row r="86" spans="1:12">
      <c r="B86" s="637">
        <v>40910</v>
      </c>
      <c r="C86" s="637">
        <v>40916</v>
      </c>
      <c r="D86" s="638">
        <v>5.2200000000000003E-2</v>
      </c>
      <c r="E86" s="638">
        <v>5.5899999999999998E-2</v>
      </c>
      <c r="F86" s="638">
        <v>6.1100000000000002E-2</v>
      </c>
      <c r="G86" s="638">
        <v>4.6600000000000003E-2</v>
      </c>
      <c r="H86" s="503"/>
      <c r="I86" s="503"/>
    </row>
    <row r="87" spans="1:12">
      <c r="B87" s="719" t="s">
        <v>571</v>
      </c>
      <c r="C87" s="719"/>
      <c r="D87" s="514"/>
      <c r="E87" s="514"/>
      <c r="F87" s="507">
        <f>AVERAGE(F34:F86)</f>
        <v>6.1975471698113203E-2</v>
      </c>
      <c r="G87" s="514"/>
      <c r="H87" s="506" t="s">
        <v>571</v>
      </c>
      <c r="I87" s="507">
        <f>AVERAGE(I34:I86)</f>
        <v>6.1999166666666668E-2</v>
      </c>
    </row>
    <row r="89" spans="1:12" ht="31.5" customHeight="1">
      <c r="A89" s="641"/>
      <c r="B89" s="714" t="s">
        <v>653</v>
      </c>
      <c r="C89" s="714"/>
      <c r="D89" s="714"/>
      <c r="E89" s="714"/>
      <c r="F89" s="714"/>
      <c r="G89" s="714"/>
      <c r="H89" s="714"/>
      <c r="I89" s="714"/>
      <c r="J89" s="714"/>
      <c r="K89" s="714"/>
      <c r="L89" s="714"/>
    </row>
    <row r="91" spans="1:12" ht="31.5">
      <c r="H91" s="511" t="s">
        <v>584</v>
      </c>
      <c r="I91" s="512" t="s">
        <v>585</v>
      </c>
      <c r="J91" s="513" t="s">
        <v>586</v>
      </c>
    </row>
    <row r="92" spans="1:12">
      <c r="C92" s="462"/>
      <c r="D92" s="463"/>
      <c r="H92" s="503" t="s">
        <v>596</v>
      </c>
      <c r="I92" s="508">
        <v>13302.102727272724</v>
      </c>
      <c r="J92" s="509">
        <v>4.1067673979107737E-3</v>
      </c>
    </row>
    <row r="93" spans="1:12">
      <c r="C93" s="462"/>
      <c r="D93" s="463"/>
      <c r="H93" s="503" t="s">
        <v>597</v>
      </c>
      <c r="I93" s="508">
        <v>14372.49857142857</v>
      </c>
      <c r="J93" s="509">
        <v>3.5387419453155487E-3</v>
      </c>
    </row>
    <row r="94" spans="1:12">
      <c r="C94" s="462"/>
      <c r="D94" s="463"/>
      <c r="H94" s="503" t="s">
        <v>598</v>
      </c>
      <c r="I94" s="508">
        <v>15013.645238095234</v>
      </c>
      <c r="J94" s="509">
        <v>3.3508642112671055E-4</v>
      </c>
    </row>
    <row r="95" spans="1:12">
      <c r="C95" s="462"/>
      <c r="D95" s="463"/>
      <c r="H95" s="503" t="s">
        <v>599</v>
      </c>
      <c r="I95" s="508">
        <v>15034.354736842108</v>
      </c>
      <c r="J95" s="509">
        <v>6.1765404706213536E-4</v>
      </c>
    </row>
    <row r="96" spans="1:12">
      <c r="C96" s="462"/>
      <c r="D96" s="463"/>
      <c r="H96" s="503" t="s">
        <v>600</v>
      </c>
      <c r="I96" s="508">
        <v>14778.519523809526</v>
      </c>
      <c r="J96" s="509">
        <v>-2.0110383269881641E-3</v>
      </c>
    </row>
    <row r="97" spans="3:10">
      <c r="C97" s="462"/>
      <c r="D97" s="463"/>
      <c r="H97" s="503" t="s">
        <v>601</v>
      </c>
      <c r="I97" s="508">
        <v>13754.180526315789</v>
      </c>
      <c r="J97" s="509">
        <v>-4.3968774738469578E-3</v>
      </c>
    </row>
    <row r="98" spans="3:10">
      <c r="C98" s="462"/>
      <c r="D98" s="463"/>
      <c r="H98" s="503" t="s">
        <v>602</v>
      </c>
      <c r="I98" s="508">
        <v>13661.288500000001</v>
      </c>
      <c r="J98" s="509">
        <v>1.2909586248491833E-3</v>
      </c>
    </row>
    <row r="99" spans="3:10">
      <c r="C99" s="462"/>
      <c r="D99" s="463"/>
      <c r="H99" s="503" t="s">
        <v>603</v>
      </c>
      <c r="I99" s="508">
        <v>13949.149999999998</v>
      </c>
      <c r="J99" s="509">
        <v>1.0943113570452564E-3</v>
      </c>
    </row>
    <row r="100" spans="3:10">
      <c r="C100" s="462"/>
      <c r="D100" s="463"/>
      <c r="H100" s="503" t="s">
        <v>604</v>
      </c>
      <c r="I100" s="508">
        <v>14163.611999999999</v>
      </c>
      <c r="J100" s="509">
        <v>-1.1341224939005862E-4</v>
      </c>
    </row>
    <row r="101" spans="3:10">
      <c r="C101" s="462"/>
      <c r="D101" s="463"/>
      <c r="H101" s="503" t="s">
        <v>605</v>
      </c>
      <c r="I101" s="508">
        <v>14581.905909090909</v>
      </c>
      <c r="J101" s="509">
        <v>2.284853308553748E-3</v>
      </c>
    </row>
    <row r="102" spans="3:10">
      <c r="C102" s="462"/>
      <c r="D102" s="463"/>
      <c r="H102" s="503" t="s">
        <v>606</v>
      </c>
      <c r="I102" s="508">
        <v>14185.482857142861</v>
      </c>
      <c r="J102" s="509">
        <v>-2.0277744736623363E-3</v>
      </c>
    </row>
    <row r="103" spans="3:10">
      <c r="C103" s="462"/>
      <c r="D103" s="463"/>
      <c r="H103" s="514" t="s">
        <v>595</v>
      </c>
      <c r="I103" s="515">
        <v>14536.367894736841</v>
      </c>
      <c r="J103" s="516">
        <v>2.0078378658640447E-3</v>
      </c>
    </row>
    <row r="104" spans="3:10">
      <c r="H104" s="503"/>
      <c r="I104" s="503"/>
      <c r="J104" s="504"/>
    </row>
    <row r="105" spans="3:10">
      <c r="H105" s="503"/>
      <c r="I105" s="517" t="s">
        <v>629</v>
      </c>
      <c r="J105" s="518">
        <v>6.0986228769709127E-4</v>
      </c>
    </row>
    <row r="106" spans="3:10">
      <c r="H106" s="503"/>
      <c r="I106" s="510" t="s">
        <v>630</v>
      </c>
      <c r="J106" s="516">
        <v>0.16612384577083805</v>
      </c>
    </row>
    <row r="110" spans="3:10">
      <c r="I110" s="713" t="s">
        <v>627</v>
      </c>
      <c r="J110" s="713"/>
    </row>
    <row r="111" spans="3:10">
      <c r="I111" s="501" t="s">
        <v>609</v>
      </c>
      <c r="J111" s="501" t="s">
        <v>610</v>
      </c>
    </row>
    <row r="112" spans="3:10">
      <c r="I112" s="501" t="s">
        <v>611</v>
      </c>
      <c r="J112" s="501" t="s">
        <v>612</v>
      </c>
    </row>
    <row r="113" spans="9:10">
      <c r="I113" s="501" t="s">
        <v>613</v>
      </c>
      <c r="J113" s="501" t="s">
        <v>610</v>
      </c>
    </row>
    <row r="114" spans="9:10">
      <c r="I114" s="502" t="s">
        <v>614</v>
      </c>
      <c r="J114" s="502" t="s">
        <v>612</v>
      </c>
    </row>
  </sheetData>
  <sheetProtection formatCells="0" formatColumns="0" formatRows="0" insertColumns="0" insertRows="0" insertHyperlinks="0" deleteColumns="0" deleteRows="0" sort="0" autoFilter="0" pivotTables="0"/>
  <mergeCells count="9">
    <mergeCell ref="I110:J110"/>
    <mergeCell ref="B89:L89"/>
    <mergeCell ref="B5:C5"/>
    <mergeCell ref="D5:G5"/>
    <mergeCell ref="B1:G1"/>
    <mergeCell ref="B2:H2"/>
    <mergeCell ref="B87:C87"/>
    <mergeCell ref="H5:I5"/>
    <mergeCell ref="K5:L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2" tint="-0.249977111117893"/>
  </sheetPr>
  <dimension ref="A1:CD56"/>
  <sheetViews>
    <sheetView showGridLines="0" zoomScale="90" zoomScaleNormal="90" workbookViewId="0">
      <selection activeCell="B19" sqref="B19:B20"/>
    </sheetView>
  </sheetViews>
  <sheetFormatPr baseColWidth="10" defaultRowHeight="15"/>
  <cols>
    <col min="1" max="1" width="1.5703125" style="22" customWidth="1"/>
    <col min="2" max="2" width="70.140625" style="22" bestFit="1" customWidth="1"/>
    <col min="3" max="3" width="10.140625" style="22" bestFit="1" customWidth="1"/>
    <col min="4" max="8" width="16.5703125" style="22" bestFit="1" customWidth="1"/>
    <col min="9" max="9" width="16.5703125" bestFit="1" customWidth="1"/>
    <col min="10" max="10" width="5.28515625" customWidth="1"/>
    <col min="11" max="11" width="70.140625" bestFit="1" customWidth="1"/>
    <col min="12" max="12" width="12.28515625" bestFit="1" customWidth="1"/>
    <col min="13" max="18" width="13.85546875" bestFit="1" customWidth="1"/>
    <col min="19" max="20" width="15" bestFit="1" customWidth="1"/>
    <col min="21" max="21" width="16.7109375" bestFit="1" customWidth="1"/>
    <col min="22" max="22" width="15" bestFit="1" customWidth="1"/>
    <col min="23" max="23" width="16.42578125" bestFit="1" customWidth="1"/>
    <col min="24" max="24" width="15.7109375" bestFit="1" customWidth="1"/>
    <col min="25" max="25" width="16.5703125" bestFit="1" customWidth="1"/>
    <col min="26" max="27" width="13.85546875" bestFit="1" customWidth="1"/>
    <col min="28" max="33" width="15" bestFit="1" customWidth="1"/>
    <col min="34" max="34" width="16.7109375" bestFit="1" customWidth="1"/>
    <col min="35" max="35" width="15" bestFit="1" customWidth="1"/>
    <col min="36" max="36" width="16.42578125" bestFit="1" customWidth="1"/>
    <col min="37" max="37" width="15.7109375" bestFit="1" customWidth="1"/>
    <col min="38" max="38" width="20.5703125" bestFit="1" customWidth="1"/>
    <col min="39" max="46" width="15" bestFit="1" customWidth="1"/>
    <col min="47" max="47" width="16.7109375" bestFit="1" customWidth="1"/>
    <col min="48" max="48" width="15" bestFit="1" customWidth="1"/>
    <col min="49" max="49" width="16.42578125" bestFit="1" customWidth="1"/>
    <col min="50" max="50" width="15.7109375" bestFit="1" customWidth="1"/>
    <col min="51" max="51" width="16.5703125" bestFit="1" customWidth="1"/>
    <col min="52" max="59" width="15" bestFit="1" customWidth="1"/>
    <col min="60" max="60" width="16.7109375" bestFit="1" customWidth="1"/>
    <col min="61" max="61" width="15" bestFit="1" customWidth="1"/>
    <col min="62" max="62" width="16.42578125" bestFit="1" customWidth="1"/>
    <col min="63" max="63" width="15.7109375" bestFit="1" customWidth="1"/>
    <col min="64" max="64" width="16.5703125" bestFit="1" customWidth="1"/>
    <col min="65" max="72" width="15" bestFit="1" customWidth="1"/>
    <col min="73" max="73" width="16.7109375" bestFit="1" customWidth="1"/>
    <col min="74" max="74" width="15" bestFit="1" customWidth="1"/>
    <col min="75" max="75" width="16.42578125" bestFit="1" customWidth="1"/>
    <col min="76" max="76" width="15.7109375" bestFit="1" customWidth="1"/>
    <col min="77" max="77" width="16.5703125" bestFit="1" customWidth="1"/>
  </cols>
  <sheetData>
    <row r="1" spans="1:82">
      <c r="A1" s="21" t="s">
        <v>58</v>
      </c>
      <c r="B1" s="57"/>
    </row>
    <row r="2" spans="1:82">
      <c r="E2" s="46"/>
      <c r="F2" s="209"/>
    </row>
    <row r="3" spans="1:82">
      <c r="A3"/>
      <c r="B3" s="538" t="s">
        <v>129</v>
      </c>
      <c r="C3" s="538"/>
      <c r="D3" s="538"/>
      <c r="E3" s="538"/>
      <c r="F3" s="538"/>
      <c r="G3" s="538"/>
      <c r="H3" s="538"/>
      <c r="I3" s="538"/>
      <c r="K3" s="539" t="s">
        <v>259</v>
      </c>
      <c r="L3" s="539"/>
      <c r="M3" s="539"/>
      <c r="N3" s="539"/>
      <c r="O3" s="539"/>
      <c r="P3" s="539"/>
      <c r="Q3" s="539"/>
      <c r="R3" s="539"/>
      <c r="S3" s="539"/>
      <c r="T3" s="539"/>
      <c r="U3" s="539"/>
      <c r="V3" s="539"/>
      <c r="W3" s="539"/>
      <c r="X3" s="539"/>
      <c r="Y3" s="539"/>
      <c r="Z3" s="539"/>
      <c r="AA3" s="539"/>
      <c r="AB3" s="539"/>
      <c r="AC3" s="539"/>
      <c r="AD3" s="539"/>
      <c r="AE3" s="539"/>
      <c r="AF3" s="539"/>
      <c r="AG3" s="539"/>
      <c r="AH3" s="539"/>
      <c r="AI3" s="539"/>
      <c r="AJ3" s="539"/>
      <c r="AK3" s="539"/>
      <c r="AL3" s="539"/>
      <c r="AM3" s="539"/>
      <c r="AN3" s="539"/>
      <c r="AO3" s="539"/>
      <c r="AP3" s="539"/>
      <c r="AQ3" s="539"/>
      <c r="AR3" s="539"/>
      <c r="AS3" s="539"/>
      <c r="AT3" s="539"/>
      <c r="AU3" s="539"/>
      <c r="AV3" s="539"/>
      <c r="AW3" s="539"/>
      <c r="AX3" s="539"/>
      <c r="AY3" s="539"/>
      <c r="AZ3" s="539"/>
      <c r="BA3" s="539"/>
      <c r="BB3" s="539"/>
      <c r="BC3" s="539"/>
      <c r="BD3" s="539"/>
      <c r="BE3" s="539"/>
      <c r="BF3" s="539"/>
      <c r="BG3" s="539"/>
      <c r="BH3" s="539"/>
      <c r="BI3" s="539"/>
      <c r="BJ3" s="539"/>
      <c r="BK3" s="539"/>
      <c r="BL3" s="539"/>
      <c r="BM3" s="539"/>
      <c r="BN3" s="539"/>
      <c r="BO3" s="539"/>
      <c r="BP3" s="539"/>
      <c r="BQ3" s="539"/>
      <c r="BR3" s="539"/>
      <c r="BS3" s="539"/>
      <c r="BT3" s="539"/>
      <c r="BU3" s="539"/>
      <c r="BV3" s="539"/>
      <c r="BW3" s="539"/>
      <c r="BX3" s="539"/>
      <c r="BY3" s="539"/>
    </row>
    <row r="4" spans="1:82" s="48" customFormat="1">
      <c r="B4" s="550"/>
      <c r="C4" s="550"/>
      <c r="D4" s="550"/>
      <c r="E4" s="550"/>
      <c r="F4" s="550"/>
      <c r="G4" s="550"/>
      <c r="H4" s="550"/>
      <c r="I4" s="550"/>
      <c r="K4" s="563"/>
      <c r="L4" s="563"/>
      <c r="M4" s="563"/>
      <c r="N4" s="563"/>
      <c r="O4" s="563"/>
      <c r="P4" s="563"/>
      <c r="Q4" s="563"/>
      <c r="R4" s="563"/>
      <c r="S4" s="563"/>
      <c r="T4" s="563"/>
      <c r="U4" s="563"/>
      <c r="V4" s="563"/>
      <c r="W4" s="563"/>
      <c r="X4" s="563"/>
      <c r="Y4" s="563"/>
      <c r="Z4" s="563"/>
      <c r="AA4" s="563"/>
      <c r="AB4" s="563"/>
      <c r="AC4" s="563"/>
      <c r="AD4" s="563"/>
      <c r="AE4" s="563"/>
      <c r="AF4" s="563"/>
      <c r="AG4" s="563"/>
      <c r="AH4" s="563"/>
      <c r="AI4" s="563"/>
      <c r="AJ4" s="563"/>
      <c r="AK4" s="563"/>
      <c r="AL4" s="563"/>
      <c r="AM4" s="563"/>
      <c r="AN4" s="563"/>
      <c r="AO4" s="563"/>
      <c r="AP4" s="563"/>
      <c r="AQ4" s="563"/>
      <c r="AR4" s="563"/>
      <c r="AS4" s="563"/>
      <c r="AT4" s="563"/>
      <c r="AU4" s="563"/>
      <c r="AV4" s="563"/>
      <c r="AW4" s="563"/>
      <c r="AX4" s="563"/>
      <c r="AY4" s="563"/>
      <c r="AZ4" s="563"/>
      <c r="BA4" s="563"/>
      <c r="BB4" s="563"/>
      <c r="BC4" s="563"/>
      <c r="BD4" s="563"/>
      <c r="BE4" s="563"/>
      <c r="BF4" s="563"/>
      <c r="BG4" s="563"/>
      <c r="BH4" s="563"/>
      <c r="BI4" s="563"/>
      <c r="BJ4" s="563"/>
      <c r="BK4" s="563"/>
      <c r="BL4" s="563"/>
      <c r="BM4" s="563"/>
      <c r="BN4" s="563"/>
      <c r="BO4" s="563"/>
      <c r="BP4" s="563"/>
      <c r="BQ4" s="563"/>
      <c r="BR4" s="563"/>
      <c r="BS4" s="563"/>
      <c r="BT4" s="563"/>
      <c r="BU4" s="563"/>
      <c r="BV4" s="563"/>
      <c r="BW4" s="563"/>
      <c r="BX4" s="563"/>
      <c r="BY4" s="563"/>
    </row>
    <row r="5" spans="1:82">
      <c r="A5"/>
      <c r="B5" s="551" t="s">
        <v>59</v>
      </c>
      <c r="C5" s="551" t="s">
        <v>60</v>
      </c>
      <c r="D5" s="551" t="s">
        <v>6</v>
      </c>
      <c r="E5" s="551" t="s">
        <v>12</v>
      </c>
      <c r="F5" s="551" t="s">
        <v>13</v>
      </c>
      <c r="G5" s="551" t="s">
        <v>14</v>
      </c>
      <c r="H5" s="551" t="s">
        <v>15</v>
      </c>
      <c r="I5" s="551" t="s">
        <v>57</v>
      </c>
      <c r="J5" s="28"/>
      <c r="K5" s="541" t="s">
        <v>61</v>
      </c>
      <c r="L5" s="541" t="s">
        <v>130</v>
      </c>
      <c r="M5" s="541" t="s">
        <v>131</v>
      </c>
      <c r="N5" s="541" t="s">
        <v>132</v>
      </c>
      <c r="O5" s="541" t="s">
        <v>133</v>
      </c>
      <c r="P5" s="541" t="s">
        <v>134</v>
      </c>
      <c r="Q5" s="541" t="s">
        <v>135</v>
      </c>
      <c r="R5" s="541" t="s">
        <v>136</v>
      </c>
      <c r="S5" s="541" t="s">
        <v>137</v>
      </c>
      <c r="T5" s="541" t="s">
        <v>138</v>
      </c>
      <c r="U5" s="541" t="s">
        <v>139</v>
      </c>
      <c r="V5" s="541" t="s">
        <v>140</v>
      </c>
      <c r="W5" s="541" t="s">
        <v>141</v>
      </c>
      <c r="X5" s="541" t="s">
        <v>142</v>
      </c>
      <c r="Y5" s="541" t="s">
        <v>143</v>
      </c>
      <c r="Z5" s="541" t="s">
        <v>144</v>
      </c>
      <c r="AA5" s="541" t="s">
        <v>145</v>
      </c>
      <c r="AB5" s="541" t="s">
        <v>146</v>
      </c>
      <c r="AC5" s="541" t="s">
        <v>147</v>
      </c>
      <c r="AD5" s="541" t="s">
        <v>148</v>
      </c>
      <c r="AE5" s="541" t="s">
        <v>149</v>
      </c>
      <c r="AF5" s="541" t="s">
        <v>150</v>
      </c>
      <c r="AG5" s="541" t="s">
        <v>151</v>
      </c>
      <c r="AH5" s="541" t="s">
        <v>152</v>
      </c>
      <c r="AI5" s="541" t="s">
        <v>153</v>
      </c>
      <c r="AJ5" s="541" t="s">
        <v>154</v>
      </c>
      <c r="AK5" s="541" t="s">
        <v>155</v>
      </c>
      <c r="AL5" s="541" t="s">
        <v>156</v>
      </c>
      <c r="AM5" s="541" t="s">
        <v>157</v>
      </c>
      <c r="AN5" s="541" t="s">
        <v>158</v>
      </c>
      <c r="AO5" s="541" t="s">
        <v>159</v>
      </c>
      <c r="AP5" s="541" t="s">
        <v>160</v>
      </c>
      <c r="AQ5" s="541" t="s">
        <v>161</v>
      </c>
      <c r="AR5" s="541" t="s">
        <v>162</v>
      </c>
      <c r="AS5" s="541" t="s">
        <v>163</v>
      </c>
      <c r="AT5" s="541" t="s">
        <v>164</v>
      </c>
      <c r="AU5" s="541" t="s">
        <v>165</v>
      </c>
      <c r="AV5" s="541" t="s">
        <v>166</v>
      </c>
      <c r="AW5" s="541" t="s">
        <v>167</v>
      </c>
      <c r="AX5" s="541" t="s">
        <v>168</v>
      </c>
      <c r="AY5" s="541" t="s">
        <v>169</v>
      </c>
      <c r="AZ5" s="541" t="s">
        <v>170</v>
      </c>
      <c r="BA5" s="541" t="s">
        <v>171</v>
      </c>
      <c r="BB5" s="541" t="s">
        <v>172</v>
      </c>
      <c r="BC5" s="541" t="s">
        <v>173</v>
      </c>
      <c r="BD5" s="541" t="s">
        <v>174</v>
      </c>
      <c r="BE5" s="541" t="s">
        <v>175</v>
      </c>
      <c r="BF5" s="541" t="s">
        <v>176</v>
      </c>
      <c r="BG5" s="541" t="s">
        <v>177</v>
      </c>
      <c r="BH5" s="541" t="s">
        <v>178</v>
      </c>
      <c r="BI5" s="541" t="s">
        <v>179</v>
      </c>
      <c r="BJ5" s="541" t="s">
        <v>180</v>
      </c>
      <c r="BK5" s="541" t="s">
        <v>181</v>
      </c>
      <c r="BL5" s="541" t="s">
        <v>182</v>
      </c>
      <c r="BM5" s="541" t="s">
        <v>183</v>
      </c>
      <c r="BN5" s="541" t="s">
        <v>184</v>
      </c>
      <c r="BO5" s="541" t="s">
        <v>185</v>
      </c>
      <c r="BP5" s="541" t="s">
        <v>186</v>
      </c>
      <c r="BQ5" s="541" t="s">
        <v>187</v>
      </c>
      <c r="BR5" s="541" t="s">
        <v>188</v>
      </c>
      <c r="BS5" s="541" t="s">
        <v>189</v>
      </c>
      <c r="BT5" s="541" t="s">
        <v>190</v>
      </c>
      <c r="BU5" s="541" t="s">
        <v>191</v>
      </c>
      <c r="BV5" s="541" t="s">
        <v>192</v>
      </c>
      <c r="BW5" s="541" t="s">
        <v>193</v>
      </c>
      <c r="BX5" s="541" t="s">
        <v>194</v>
      </c>
      <c r="BY5" s="541" t="s">
        <v>195</v>
      </c>
    </row>
    <row r="6" spans="1:82" s="49" customFormat="1">
      <c r="B6" s="552" t="s">
        <v>196</v>
      </c>
      <c r="C6" s="553">
        <v>66097.600000000006</v>
      </c>
      <c r="D6" s="553">
        <v>68707.799999999988</v>
      </c>
      <c r="E6" s="553">
        <v>71318</v>
      </c>
      <c r="F6" s="553">
        <v>73928.2</v>
      </c>
      <c r="G6" s="553">
        <v>76538.399999999994</v>
      </c>
      <c r="H6" s="553">
        <v>79148.600000000006</v>
      </c>
      <c r="I6" s="554">
        <v>72623.099999999991</v>
      </c>
      <c r="J6" s="50"/>
      <c r="K6" s="542" t="s">
        <v>196</v>
      </c>
      <c r="L6" s="543">
        <v>66097.600000000006</v>
      </c>
      <c r="M6" s="543">
        <v>5725.6499999999987</v>
      </c>
      <c r="N6" s="543">
        <v>5725.6499999999987</v>
      </c>
      <c r="O6" s="543">
        <v>5725.6499999999987</v>
      </c>
      <c r="P6" s="543">
        <v>5725.6499999999987</v>
      </c>
      <c r="Q6" s="543">
        <v>5725.6499999999987</v>
      </c>
      <c r="R6" s="543">
        <v>5725.6499999999987</v>
      </c>
      <c r="S6" s="543">
        <v>5725.6499999999987</v>
      </c>
      <c r="T6" s="543">
        <v>5725.6499999999987</v>
      </c>
      <c r="U6" s="543">
        <v>5725.6499999999987</v>
      </c>
      <c r="V6" s="543">
        <v>5725.6499999999987</v>
      </c>
      <c r="W6" s="543">
        <v>5725.6499999999987</v>
      </c>
      <c r="X6" s="543">
        <v>5725.6499999999987</v>
      </c>
      <c r="Y6" s="543">
        <v>68707.799999999988</v>
      </c>
      <c r="Z6" s="543">
        <v>5943.166666666667</v>
      </c>
      <c r="AA6" s="543">
        <v>5943.166666666667</v>
      </c>
      <c r="AB6" s="543">
        <v>5943.166666666667</v>
      </c>
      <c r="AC6" s="543">
        <v>5943.166666666667</v>
      </c>
      <c r="AD6" s="543">
        <v>5943.166666666667</v>
      </c>
      <c r="AE6" s="543">
        <v>5943.166666666667</v>
      </c>
      <c r="AF6" s="543">
        <v>5943.166666666667</v>
      </c>
      <c r="AG6" s="543">
        <v>5943.166666666667</v>
      </c>
      <c r="AH6" s="543">
        <v>5943.166666666667</v>
      </c>
      <c r="AI6" s="543">
        <v>5943.166666666667</v>
      </c>
      <c r="AJ6" s="543">
        <v>5943.166666666667</v>
      </c>
      <c r="AK6" s="543">
        <v>5943.166666666667</v>
      </c>
      <c r="AL6" s="543">
        <v>71318</v>
      </c>
      <c r="AM6" s="543">
        <v>6160.6833333333334</v>
      </c>
      <c r="AN6" s="543">
        <v>6160.6833333333334</v>
      </c>
      <c r="AO6" s="543">
        <v>6160.6833333333334</v>
      </c>
      <c r="AP6" s="543">
        <v>6160.6833333333334</v>
      </c>
      <c r="AQ6" s="543">
        <v>6160.6833333333334</v>
      </c>
      <c r="AR6" s="543">
        <v>6160.6833333333334</v>
      </c>
      <c r="AS6" s="543">
        <v>6160.6833333333334</v>
      </c>
      <c r="AT6" s="543">
        <v>6160.6833333333334</v>
      </c>
      <c r="AU6" s="543">
        <v>6160.6833333333334</v>
      </c>
      <c r="AV6" s="543">
        <v>6160.6833333333334</v>
      </c>
      <c r="AW6" s="543">
        <v>6160.6833333333334</v>
      </c>
      <c r="AX6" s="543">
        <v>6160.6833333333334</v>
      </c>
      <c r="AY6" s="543">
        <v>73928.2</v>
      </c>
      <c r="AZ6" s="543">
        <v>6378.2</v>
      </c>
      <c r="BA6" s="543">
        <v>6378.2</v>
      </c>
      <c r="BB6" s="543">
        <v>6378.2</v>
      </c>
      <c r="BC6" s="543">
        <v>6378.2</v>
      </c>
      <c r="BD6" s="543">
        <v>6378.2</v>
      </c>
      <c r="BE6" s="543">
        <v>6378.2</v>
      </c>
      <c r="BF6" s="543">
        <v>6378.2</v>
      </c>
      <c r="BG6" s="543">
        <v>6378.2</v>
      </c>
      <c r="BH6" s="543">
        <v>6378.2</v>
      </c>
      <c r="BI6" s="543">
        <v>6378.2</v>
      </c>
      <c r="BJ6" s="543">
        <v>6378.2</v>
      </c>
      <c r="BK6" s="543">
        <v>6378.2</v>
      </c>
      <c r="BL6" s="543">
        <v>76538.399999999994</v>
      </c>
      <c r="BM6" s="543">
        <v>6595.7166666666672</v>
      </c>
      <c r="BN6" s="543">
        <v>6595.7166666666672</v>
      </c>
      <c r="BO6" s="543">
        <v>6595.7166666666672</v>
      </c>
      <c r="BP6" s="543">
        <v>6595.7166666666672</v>
      </c>
      <c r="BQ6" s="543">
        <v>6595.7166666666672</v>
      </c>
      <c r="BR6" s="543">
        <v>6595.7166666666672</v>
      </c>
      <c r="BS6" s="543">
        <v>6595.7166666666672</v>
      </c>
      <c r="BT6" s="543">
        <v>6595.7166666666672</v>
      </c>
      <c r="BU6" s="543">
        <v>6595.7166666666672</v>
      </c>
      <c r="BV6" s="543">
        <v>6595.7166666666672</v>
      </c>
      <c r="BW6" s="543">
        <v>6595.7166666666672</v>
      </c>
      <c r="BX6" s="543">
        <v>6595.7166666666672</v>
      </c>
      <c r="BY6" s="543">
        <v>79148.600000000006</v>
      </c>
    </row>
    <row r="7" spans="1:82" s="51" customFormat="1">
      <c r="B7" s="552" t="s">
        <v>197</v>
      </c>
      <c r="C7" s="555"/>
      <c r="D7" s="555">
        <v>3.9490087385926E-2</v>
      </c>
      <c r="E7" s="555">
        <v>3.7989864323992505E-2</v>
      </c>
      <c r="F7" s="555">
        <v>3.6599455957822671E-2</v>
      </c>
      <c r="G7" s="555">
        <v>3.5307230529080878E-2</v>
      </c>
      <c r="H7" s="555">
        <v>3.4103142997502063E-2</v>
      </c>
      <c r="I7" s="555">
        <v>3.6697956238864821E-2</v>
      </c>
      <c r="J7" s="52"/>
      <c r="K7" s="542" t="s">
        <v>197</v>
      </c>
      <c r="L7" s="564"/>
      <c r="M7" s="564">
        <v>3.2908406154938332E-3</v>
      </c>
      <c r="N7" s="564">
        <v>3.2908406154938332E-3</v>
      </c>
      <c r="O7" s="564">
        <v>3.2908406154938332E-3</v>
      </c>
      <c r="P7" s="564">
        <v>3.2908406154938332E-3</v>
      </c>
      <c r="Q7" s="564">
        <v>3.2908406154938332E-3</v>
      </c>
      <c r="R7" s="564">
        <v>3.2908406154938332E-3</v>
      </c>
      <c r="S7" s="564">
        <v>3.2908406154938332E-3</v>
      </c>
      <c r="T7" s="564">
        <v>3.2908406154938332E-3</v>
      </c>
      <c r="U7" s="564">
        <v>3.2908406154938332E-3</v>
      </c>
      <c r="V7" s="564">
        <v>3.2908406154938332E-3</v>
      </c>
      <c r="W7" s="564">
        <v>3.2908406154938332E-3</v>
      </c>
      <c r="X7" s="564">
        <v>3.2908406154938332E-3</v>
      </c>
      <c r="Y7" s="564">
        <v>3.9490087385926E-2</v>
      </c>
      <c r="Z7" s="564">
        <v>3.1658220269993754E-3</v>
      </c>
      <c r="AA7" s="564">
        <v>3.1658220269993754E-3</v>
      </c>
      <c r="AB7" s="564">
        <v>3.1658220269993754E-3</v>
      </c>
      <c r="AC7" s="564">
        <v>3.1658220269993754E-3</v>
      </c>
      <c r="AD7" s="564">
        <v>3.1658220269993754E-3</v>
      </c>
      <c r="AE7" s="564">
        <v>3.1658220269993754E-3</v>
      </c>
      <c r="AF7" s="564">
        <v>3.1658220269993754E-3</v>
      </c>
      <c r="AG7" s="564">
        <v>3.1658220269993754E-3</v>
      </c>
      <c r="AH7" s="564">
        <v>3.1658220269993754E-3</v>
      </c>
      <c r="AI7" s="564">
        <v>3.1658220269993754E-3</v>
      </c>
      <c r="AJ7" s="564">
        <v>3.1658220269993754E-3</v>
      </c>
      <c r="AK7" s="564">
        <v>3.1658220269993754E-3</v>
      </c>
      <c r="AL7" s="564">
        <v>3.7989864323992505E-2</v>
      </c>
      <c r="AM7" s="564">
        <v>3.0499546631518894E-3</v>
      </c>
      <c r="AN7" s="564">
        <v>3.0499546631518894E-3</v>
      </c>
      <c r="AO7" s="564">
        <v>3.0499546631518894E-3</v>
      </c>
      <c r="AP7" s="564">
        <v>3.0499546631518894E-3</v>
      </c>
      <c r="AQ7" s="564">
        <v>3.0499546631518894E-3</v>
      </c>
      <c r="AR7" s="564">
        <v>3.0499546631518894E-3</v>
      </c>
      <c r="AS7" s="564">
        <v>3.0499546631518894E-3</v>
      </c>
      <c r="AT7" s="564">
        <v>3.0499546631518894E-3</v>
      </c>
      <c r="AU7" s="564">
        <v>3.0499546631518894E-3</v>
      </c>
      <c r="AV7" s="564">
        <v>3.0499546631518894E-3</v>
      </c>
      <c r="AW7" s="564">
        <v>3.0499546631518894E-3</v>
      </c>
      <c r="AX7" s="564">
        <v>3.0499546631518894E-3</v>
      </c>
      <c r="AY7" s="564">
        <v>3.6599455957822671E-2</v>
      </c>
      <c r="AZ7" s="564">
        <v>2.9422692107567397E-3</v>
      </c>
      <c r="BA7" s="564">
        <v>2.9422692107567397E-3</v>
      </c>
      <c r="BB7" s="564">
        <v>2.9422692107567397E-3</v>
      </c>
      <c r="BC7" s="564">
        <v>2.9422692107567397E-3</v>
      </c>
      <c r="BD7" s="564">
        <v>2.9422692107567397E-3</v>
      </c>
      <c r="BE7" s="564">
        <v>2.9422692107567397E-3</v>
      </c>
      <c r="BF7" s="564">
        <v>2.9422692107567397E-3</v>
      </c>
      <c r="BG7" s="564">
        <v>2.9422692107567397E-3</v>
      </c>
      <c r="BH7" s="564">
        <v>2.9422692107567397E-3</v>
      </c>
      <c r="BI7" s="564">
        <v>2.9422692107567397E-3</v>
      </c>
      <c r="BJ7" s="564">
        <v>2.9422692107567397E-3</v>
      </c>
      <c r="BK7" s="564">
        <v>2.9422692107567397E-3</v>
      </c>
      <c r="BL7" s="564">
        <v>3.5307230529080878E-2</v>
      </c>
      <c r="BM7" s="564">
        <v>2.8419285831251719E-3</v>
      </c>
      <c r="BN7" s="564">
        <v>2.8419285831251719E-3</v>
      </c>
      <c r="BO7" s="564">
        <v>2.8419285831251719E-3</v>
      </c>
      <c r="BP7" s="564">
        <v>2.8419285831251719E-3</v>
      </c>
      <c r="BQ7" s="564">
        <v>2.8419285831251719E-3</v>
      </c>
      <c r="BR7" s="564">
        <v>2.8419285831251719E-3</v>
      </c>
      <c r="BS7" s="564">
        <v>2.8419285831251719E-3</v>
      </c>
      <c r="BT7" s="564">
        <v>2.8419285831251719E-3</v>
      </c>
      <c r="BU7" s="564">
        <v>2.8419285831251719E-3</v>
      </c>
      <c r="BV7" s="564">
        <v>2.8419285831251719E-3</v>
      </c>
      <c r="BW7" s="564">
        <v>2.8419285831251719E-3</v>
      </c>
      <c r="BX7" s="564">
        <v>2.8419285831251719E-3</v>
      </c>
      <c r="BY7" s="564">
        <v>3.4103142997502063E-2</v>
      </c>
    </row>
    <row r="8" spans="1:82">
      <c r="A8"/>
      <c r="B8" s="552" t="s">
        <v>198</v>
      </c>
      <c r="C8" s="553">
        <v>38931.486400000002</v>
      </c>
      <c r="D8" s="553">
        <v>40468.894199999995</v>
      </c>
      <c r="E8" s="553">
        <v>42006.301999999996</v>
      </c>
      <c r="F8" s="553">
        <v>43543.709799999997</v>
      </c>
      <c r="G8" s="553">
        <v>45081.117599999998</v>
      </c>
      <c r="H8" s="553">
        <v>46618.525400000013</v>
      </c>
      <c r="I8" s="556">
        <v>42775.005900000004</v>
      </c>
      <c r="J8" s="28"/>
      <c r="K8" s="542" t="s">
        <v>198</v>
      </c>
      <c r="L8" s="543">
        <v>38931.486400000002</v>
      </c>
      <c r="M8" s="543">
        <v>3372.4078499999996</v>
      </c>
      <c r="N8" s="543">
        <v>3372.4078499999996</v>
      </c>
      <c r="O8" s="543">
        <v>3372.4078499999996</v>
      </c>
      <c r="P8" s="543">
        <v>3372.4078499999996</v>
      </c>
      <c r="Q8" s="543">
        <v>3372.4078499999996</v>
      </c>
      <c r="R8" s="543">
        <v>3372.4078499999996</v>
      </c>
      <c r="S8" s="543">
        <v>3372.4078499999996</v>
      </c>
      <c r="T8" s="543">
        <v>3372.4078499999996</v>
      </c>
      <c r="U8" s="543">
        <v>3372.4078499999996</v>
      </c>
      <c r="V8" s="543">
        <v>3372.4078499999996</v>
      </c>
      <c r="W8" s="543">
        <v>3372.4078499999996</v>
      </c>
      <c r="X8" s="543">
        <v>3372.4078499999996</v>
      </c>
      <c r="Y8" s="543">
        <v>40468.894199999995</v>
      </c>
      <c r="Z8" s="543">
        <v>3500.5251666666663</v>
      </c>
      <c r="AA8" s="543">
        <v>3500.5251666666663</v>
      </c>
      <c r="AB8" s="543">
        <v>3500.5251666666663</v>
      </c>
      <c r="AC8" s="543">
        <v>3500.5251666666663</v>
      </c>
      <c r="AD8" s="543">
        <v>3500.5251666666663</v>
      </c>
      <c r="AE8" s="543">
        <v>3500.5251666666663</v>
      </c>
      <c r="AF8" s="543">
        <v>3500.5251666666663</v>
      </c>
      <c r="AG8" s="543">
        <v>3500.5251666666663</v>
      </c>
      <c r="AH8" s="543">
        <v>3500.5251666666663</v>
      </c>
      <c r="AI8" s="543">
        <v>3500.5251666666663</v>
      </c>
      <c r="AJ8" s="543">
        <v>3500.5251666666663</v>
      </c>
      <c r="AK8" s="543">
        <v>3500.5251666666663</v>
      </c>
      <c r="AL8" s="543">
        <v>42006.301999999996</v>
      </c>
      <c r="AM8" s="543">
        <v>3628.6424833333331</v>
      </c>
      <c r="AN8" s="543">
        <v>3628.6424833333331</v>
      </c>
      <c r="AO8" s="543">
        <v>3628.6424833333331</v>
      </c>
      <c r="AP8" s="543">
        <v>3628.6424833333331</v>
      </c>
      <c r="AQ8" s="543">
        <v>3628.6424833333331</v>
      </c>
      <c r="AR8" s="543">
        <v>3628.6424833333331</v>
      </c>
      <c r="AS8" s="543">
        <v>3628.6424833333331</v>
      </c>
      <c r="AT8" s="543">
        <v>3628.6424833333331</v>
      </c>
      <c r="AU8" s="543">
        <v>3628.6424833333331</v>
      </c>
      <c r="AV8" s="543">
        <v>3628.6424833333331</v>
      </c>
      <c r="AW8" s="543">
        <v>3628.6424833333331</v>
      </c>
      <c r="AX8" s="543">
        <v>3628.6424833333331</v>
      </c>
      <c r="AY8" s="543">
        <v>43543.709799999997</v>
      </c>
      <c r="AZ8" s="543">
        <v>3756.7597999999998</v>
      </c>
      <c r="BA8" s="543">
        <v>3756.7597999999998</v>
      </c>
      <c r="BB8" s="543">
        <v>3756.7597999999998</v>
      </c>
      <c r="BC8" s="543">
        <v>3756.7597999999998</v>
      </c>
      <c r="BD8" s="543">
        <v>3756.7597999999998</v>
      </c>
      <c r="BE8" s="543">
        <v>3756.7597999999998</v>
      </c>
      <c r="BF8" s="543">
        <v>3756.7597999999998</v>
      </c>
      <c r="BG8" s="543">
        <v>3756.7597999999998</v>
      </c>
      <c r="BH8" s="543">
        <v>3756.7597999999998</v>
      </c>
      <c r="BI8" s="543">
        <v>3756.7597999999998</v>
      </c>
      <c r="BJ8" s="543">
        <v>3756.7597999999998</v>
      </c>
      <c r="BK8" s="543">
        <v>3756.7597999999998</v>
      </c>
      <c r="BL8" s="543">
        <v>45081.117599999998</v>
      </c>
      <c r="BM8" s="543">
        <v>3884.8771166666666</v>
      </c>
      <c r="BN8" s="543">
        <v>3884.8771166666666</v>
      </c>
      <c r="BO8" s="543">
        <v>3884.8771166666666</v>
      </c>
      <c r="BP8" s="543">
        <v>3884.8771166666666</v>
      </c>
      <c r="BQ8" s="543">
        <v>3884.8771166666666</v>
      </c>
      <c r="BR8" s="543">
        <v>3884.8771166666666</v>
      </c>
      <c r="BS8" s="543">
        <v>3884.8771166666666</v>
      </c>
      <c r="BT8" s="543">
        <v>3884.8771166666666</v>
      </c>
      <c r="BU8" s="543">
        <v>3884.8771166666666</v>
      </c>
      <c r="BV8" s="543">
        <v>3884.8771166666666</v>
      </c>
      <c r="BW8" s="543">
        <v>3884.8771166666666</v>
      </c>
      <c r="BX8" s="543">
        <v>3884.8771166666666</v>
      </c>
      <c r="BY8" s="543">
        <v>46618.525400000013</v>
      </c>
    </row>
    <row r="9" spans="1:82">
      <c r="A9"/>
      <c r="B9" s="557" t="s">
        <v>199</v>
      </c>
      <c r="C9" s="558"/>
      <c r="D9" s="555">
        <v>3.9490087385926104E-2</v>
      </c>
      <c r="E9" s="555">
        <v>3.7989864323992352E-2</v>
      </c>
      <c r="F9" s="555">
        <v>3.6599455957822734E-2</v>
      </c>
      <c r="G9" s="555">
        <v>3.5307230529080941E-2</v>
      </c>
      <c r="H9" s="555">
        <v>3.410314299750225E-2</v>
      </c>
      <c r="I9" s="555">
        <v>3.6697956238864876E-2</v>
      </c>
      <c r="J9" s="28"/>
      <c r="K9" s="565" t="s">
        <v>199</v>
      </c>
      <c r="L9" s="566"/>
      <c r="M9" s="564">
        <v>3.2908406154938418E-3</v>
      </c>
      <c r="N9" s="564">
        <v>3.2908406154938418E-3</v>
      </c>
      <c r="O9" s="564">
        <v>3.2908406154938418E-3</v>
      </c>
      <c r="P9" s="564">
        <v>3.2908406154938418E-3</v>
      </c>
      <c r="Q9" s="564">
        <v>3.2908406154938418E-3</v>
      </c>
      <c r="R9" s="564">
        <v>3.2908406154938418E-3</v>
      </c>
      <c r="S9" s="564">
        <v>3.2908406154938418E-3</v>
      </c>
      <c r="T9" s="564">
        <v>3.2908406154938418E-3</v>
      </c>
      <c r="U9" s="564">
        <v>3.2908406154938418E-3</v>
      </c>
      <c r="V9" s="564">
        <v>3.2908406154938418E-3</v>
      </c>
      <c r="W9" s="564">
        <v>3.2908406154938418E-3</v>
      </c>
      <c r="X9" s="564">
        <v>3.2908406154938418E-3</v>
      </c>
      <c r="Y9" s="564">
        <v>3.9490087385926104E-2</v>
      </c>
      <c r="Z9" s="564">
        <v>3.1658220269993628E-3</v>
      </c>
      <c r="AA9" s="564">
        <v>3.1658220269993628E-3</v>
      </c>
      <c r="AB9" s="564">
        <v>3.1658220269993628E-3</v>
      </c>
      <c r="AC9" s="564">
        <v>3.1658220269993628E-3</v>
      </c>
      <c r="AD9" s="564">
        <v>3.1658220269993628E-3</v>
      </c>
      <c r="AE9" s="564">
        <v>3.1658220269993628E-3</v>
      </c>
      <c r="AF9" s="564">
        <v>3.1658220269993628E-3</v>
      </c>
      <c r="AG9" s="564">
        <v>3.1658220269993628E-3</v>
      </c>
      <c r="AH9" s="564">
        <v>3.1658220269993628E-3</v>
      </c>
      <c r="AI9" s="564">
        <v>3.1658220269993628E-3</v>
      </c>
      <c r="AJ9" s="564">
        <v>3.1658220269993628E-3</v>
      </c>
      <c r="AK9" s="564">
        <v>3.1658220269993628E-3</v>
      </c>
      <c r="AL9" s="564">
        <v>3.7989864323992352E-2</v>
      </c>
      <c r="AM9" s="564">
        <v>3.0499546631518946E-3</v>
      </c>
      <c r="AN9" s="564">
        <v>3.0499546631518946E-3</v>
      </c>
      <c r="AO9" s="564">
        <v>3.0499546631518946E-3</v>
      </c>
      <c r="AP9" s="564">
        <v>3.0499546631518946E-3</v>
      </c>
      <c r="AQ9" s="564">
        <v>3.0499546631518946E-3</v>
      </c>
      <c r="AR9" s="564">
        <v>3.0499546631518946E-3</v>
      </c>
      <c r="AS9" s="564">
        <v>3.0499546631518946E-3</v>
      </c>
      <c r="AT9" s="564">
        <v>3.0499546631518946E-3</v>
      </c>
      <c r="AU9" s="564">
        <v>3.0499546631518946E-3</v>
      </c>
      <c r="AV9" s="564">
        <v>3.0499546631518946E-3</v>
      </c>
      <c r="AW9" s="564">
        <v>3.0499546631518946E-3</v>
      </c>
      <c r="AX9" s="564">
        <v>3.0499546631518946E-3</v>
      </c>
      <c r="AY9" s="564">
        <v>3.6599455957822734E-2</v>
      </c>
      <c r="AZ9" s="564">
        <v>2.9422692107567449E-3</v>
      </c>
      <c r="BA9" s="564">
        <v>2.9422692107567449E-3</v>
      </c>
      <c r="BB9" s="564">
        <v>2.9422692107567449E-3</v>
      </c>
      <c r="BC9" s="564">
        <v>2.9422692107567449E-3</v>
      </c>
      <c r="BD9" s="564">
        <v>2.9422692107567449E-3</v>
      </c>
      <c r="BE9" s="564">
        <v>2.9422692107567449E-3</v>
      </c>
      <c r="BF9" s="564">
        <v>2.9422692107567449E-3</v>
      </c>
      <c r="BG9" s="564">
        <v>2.9422692107567449E-3</v>
      </c>
      <c r="BH9" s="564">
        <v>2.9422692107567449E-3</v>
      </c>
      <c r="BI9" s="564">
        <v>2.9422692107567449E-3</v>
      </c>
      <c r="BJ9" s="564">
        <v>2.9422692107567449E-3</v>
      </c>
      <c r="BK9" s="564">
        <v>2.9422692107567449E-3</v>
      </c>
      <c r="BL9" s="564">
        <v>3.5307230529080941E-2</v>
      </c>
      <c r="BM9" s="564">
        <v>2.8419285831251875E-3</v>
      </c>
      <c r="BN9" s="564">
        <v>2.8419285831251875E-3</v>
      </c>
      <c r="BO9" s="564">
        <v>2.8419285831251875E-3</v>
      </c>
      <c r="BP9" s="564">
        <v>2.8419285831251875E-3</v>
      </c>
      <c r="BQ9" s="564">
        <v>2.8419285831251875E-3</v>
      </c>
      <c r="BR9" s="564">
        <v>2.8419285831251875E-3</v>
      </c>
      <c r="BS9" s="564">
        <v>2.8419285831251875E-3</v>
      </c>
      <c r="BT9" s="564">
        <v>2.8419285831251875E-3</v>
      </c>
      <c r="BU9" s="564">
        <v>2.8419285831251875E-3</v>
      </c>
      <c r="BV9" s="564">
        <v>2.8419285831251875E-3</v>
      </c>
      <c r="BW9" s="564">
        <v>2.8419285831251875E-3</v>
      </c>
      <c r="BX9" s="564">
        <v>2.8419285831251875E-3</v>
      </c>
      <c r="BY9" s="564">
        <v>3.410314299750225E-2</v>
      </c>
    </row>
    <row r="10" spans="1:82">
      <c r="A10"/>
      <c r="B10" s="559" t="s">
        <v>260</v>
      </c>
      <c r="C10" s="553">
        <v>0</v>
      </c>
      <c r="D10" s="553">
        <v>1661.5384615384612</v>
      </c>
      <c r="E10" s="553">
        <v>2584.578113206795</v>
      </c>
      <c r="F10" s="553">
        <v>2682.4674725167893</v>
      </c>
      <c r="G10" s="553">
        <v>2780.3564348474933</v>
      </c>
      <c r="H10" s="553">
        <v>2878.2450407715037</v>
      </c>
      <c r="I10" s="556">
        <v>2517.4371045762086</v>
      </c>
      <c r="J10" s="28"/>
      <c r="K10" s="567" t="s">
        <v>260</v>
      </c>
      <c r="L10" s="543"/>
      <c r="M10" s="543">
        <v>65.934065934065927</v>
      </c>
      <c r="N10" s="543">
        <v>79.12087912087911</v>
      </c>
      <c r="O10" s="543">
        <v>92.307692307692292</v>
      </c>
      <c r="P10" s="543">
        <v>105.49450549450549</v>
      </c>
      <c r="Q10" s="543">
        <v>118.68131868131867</v>
      </c>
      <c r="R10" s="543">
        <v>131.86813186813185</v>
      </c>
      <c r="S10" s="543">
        <v>145.05494505494505</v>
      </c>
      <c r="T10" s="543">
        <v>158.24175824175822</v>
      </c>
      <c r="U10" s="543">
        <v>171.42857142857142</v>
      </c>
      <c r="V10" s="543">
        <v>184.61538461538458</v>
      </c>
      <c r="W10" s="543">
        <v>197.80219780219778</v>
      </c>
      <c r="X10" s="543">
        <v>210.98901098901098</v>
      </c>
      <c r="Y10" s="543">
        <v>1661.5384615384612</v>
      </c>
      <c r="Z10" s="543">
        <v>126.99417878847289</v>
      </c>
      <c r="AA10" s="543">
        <v>127.39621975698215</v>
      </c>
      <c r="AB10" s="543">
        <v>212.99922252607544</v>
      </c>
      <c r="AC10" s="543">
        <v>213.67354015648226</v>
      </c>
      <c r="AD10" s="543">
        <v>214.3499925564966</v>
      </c>
      <c r="AE10" s="543">
        <v>215.02858648441912</v>
      </c>
      <c r="AF10" s="543">
        <v>215.70932871994606</v>
      </c>
      <c r="AG10" s="543">
        <v>216.39222606423692</v>
      </c>
      <c r="AH10" s="543">
        <v>217.07728533998252</v>
      </c>
      <c r="AI10" s="543">
        <v>217.76451339147309</v>
      </c>
      <c r="AJ10" s="543">
        <v>303.11670294364859</v>
      </c>
      <c r="AK10" s="543">
        <v>304.07631647857903</v>
      </c>
      <c r="AL10" s="543">
        <v>2584.578113206795</v>
      </c>
      <c r="AM10" s="543">
        <v>183.00224127478614</v>
      </c>
      <c r="AN10" s="543">
        <v>183.56038981392945</v>
      </c>
      <c r="AO10" s="543">
        <v>221.15677669519346</v>
      </c>
      <c r="AP10" s="543">
        <v>221.83129483756261</v>
      </c>
      <c r="AQ10" s="543">
        <v>222.50787022968547</v>
      </c>
      <c r="AR10" s="543">
        <v>223.18650914608051</v>
      </c>
      <c r="AS10" s="543">
        <v>223.86721788040319</v>
      </c>
      <c r="AT10" s="543">
        <v>224.55000274550437</v>
      </c>
      <c r="AU10" s="543">
        <v>225.23487007348879</v>
      </c>
      <c r="AV10" s="543">
        <v>225.92182621577385</v>
      </c>
      <c r="AW10" s="543">
        <v>263.42252342534067</v>
      </c>
      <c r="AX10" s="543">
        <v>264.22595017904104</v>
      </c>
      <c r="AY10" s="543">
        <v>2682.4674725167893</v>
      </c>
      <c r="AZ10" s="543">
        <v>159.00202443416148</v>
      </c>
      <c r="BA10" s="543">
        <v>159.46985119510211</v>
      </c>
      <c r="BB10" s="543">
        <v>229.31429075827594</v>
      </c>
      <c r="BC10" s="543">
        <v>229.98899513556054</v>
      </c>
      <c r="BD10" s="543">
        <v>230.6656846747608</v>
      </c>
      <c r="BE10" s="543">
        <v>231.3443652167575</v>
      </c>
      <c r="BF10" s="543">
        <v>232.02504261961684</v>
      </c>
      <c r="BG10" s="543">
        <v>232.70772275864107</v>
      </c>
      <c r="BH10" s="543">
        <v>233.39241152641915</v>
      </c>
      <c r="BI10" s="543">
        <v>234.07911483287762</v>
      </c>
      <c r="BJ10" s="543">
        <v>303.73662838272554</v>
      </c>
      <c r="BK10" s="543">
        <v>304.63030331259512</v>
      </c>
      <c r="BL10" s="543">
        <v>2780.3564348474933</v>
      </c>
      <c r="BM10" s="543">
        <v>183.29762452731913</v>
      </c>
      <c r="BN10" s="543">
        <v>183.81854328568227</v>
      </c>
      <c r="BO10" s="543">
        <v>237.47176875877602</v>
      </c>
      <c r="BP10" s="543">
        <v>238.14664656609688</v>
      </c>
      <c r="BQ10" s="543">
        <v>238.82344232794847</v>
      </c>
      <c r="BR10" s="543">
        <v>239.5021614950206</v>
      </c>
      <c r="BS10" s="543">
        <v>240.18280953349355</v>
      </c>
      <c r="BT10" s="543">
        <v>240.86539192508209</v>
      </c>
      <c r="BU10" s="543">
        <v>241.54991416707963</v>
      </c>
      <c r="BV10" s="543">
        <v>242.2363817724025</v>
      </c>
      <c r="BW10" s="543">
        <v>295.75492102447163</v>
      </c>
      <c r="BX10" s="543">
        <v>296.59543538813102</v>
      </c>
      <c r="BY10" s="543">
        <v>2878.2450407715037</v>
      </c>
    </row>
    <row r="11" spans="1:82">
      <c r="A11"/>
      <c r="B11" s="559" t="s">
        <v>261</v>
      </c>
      <c r="C11" s="553">
        <v>0</v>
      </c>
      <c r="D11" s="553">
        <v>1161413723.0769229</v>
      </c>
      <c r="E11" s="553">
        <v>1863478235.0439858</v>
      </c>
      <c r="F11" s="553">
        <v>1990388182.1399853</v>
      </c>
      <c r="G11" s="553">
        <v>2118628822.9973555</v>
      </c>
      <c r="H11" s="553">
        <v>2253662988.6790466</v>
      </c>
      <c r="I11" s="556">
        <v>1877514390.3874593</v>
      </c>
      <c r="J11" s="28"/>
      <c r="K11" s="567" t="s">
        <v>261</v>
      </c>
      <c r="L11" s="543"/>
      <c r="M11" s="543">
        <v>46087846.153846152</v>
      </c>
      <c r="N11" s="543">
        <v>55305415.384615377</v>
      </c>
      <c r="O11" s="543">
        <v>64522984.615384601</v>
      </c>
      <c r="P11" s="543">
        <v>73740553.84615384</v>
      </c>
      <c r="Q11" s="543">
        <v>82958123.076923072</v>
      </c>
      <c r="R11" s="543">
        <v>92175692.307692304</v>
      </c>
      <c r="S11" s="543">
        <v>101393261.53846154</v>
      </c>
      <c r="T11" s="543">
        <v>110610830.76923075</v>
      </c>
      <c r="U11" s="543">
        <v>119828399.99999999</v>
      </c>
      <c r="V11" s="543">
        <v>129045969.2307692</v>
      </c>
      <c r="W11" s="543">
        <v>138263538.46153843</v>
      </c>
      <c r="X11" s="543">
        <v>147481107.69230768</v>
      </c>
      <c r="Y11" s="543">
        <v>1161413723.0769229</v>
      </c>
      <c r="Z11" s="543">
        <v>91562675.912310168</v>
      </c>
      <c r="AA11" s="543">
        <v>91852547.048564374</v>
      </c>
      <c r="AB11" s="543">
        <v>153572226.44207788</v>
      </c>
      <c r="AC11" s="543">
        <v>154058408.77928355</v>
      </c>
      <c r="AD11" s="543">
        <v>154546130.28324148</v>
      </c>
      <c r="AE11" s="543">
        <v>155035395.82667971</v>
      </c>
      <c r="AF11" s="543">
        <v>155526210.29775238</v>
      </c>
      <c r="AG11" s="543">
        <v>156018578.60008875</v>
      </c>
      <c r="AH11" s="543">
        <v>156512505.65284204</v>
      </c>
      <c r="AI11" s="543">
        <v>157007996.3907387</v>
      </c>
      <c r="AJ11" s="543">
        <v>218546839.7056677</v>
      </c>
      <c r="AK11" s="543">
        <v>219238720.10473901</v>
      </c>
      <c r="AL11" s="543">
        <v>1863478235.0439858</v>
      </c>
      <c r="AM11" s="543">
        <v>135787480.02365005</v>
      </c>
      <c r="AN11" s="543">
        <v>136201625.68154582</v>
      </c>
      <c r="AO11" s="543">
        <v>164098107.15105686</v>
      </c>
      <c r="AP11" s="543">
        <v>164598598.93817663</v>
      </c>
      <c r="AQ11" s="543">
        <v>165100617.20255637</v>
      </c>
      <c r="AR11" s="543">
        <v>165604166.5998826</v>
      </c>
      <c r="AS11" s="543">
        <v>166109251.80004129</v>
      </c>
      <c r="AT11" s="543">
        <v>166615877.48716149</v>
      </c>
      <c r="AU11" s="543">
        <v>167124048.3596586</v>
      </c>
      <c r="AV11" s="543">
        <v>167633769.13027799</v>
      </c>
      <c r="AW11" s="543">
        <v>195459248.95907936</v>
      </c>
      <c r="AX11" s="543">
        <v>196055390.80689827</v>
      </c>
      <c r="AY11" s="543">
        <v>1990388182.1399853</v>
      </c>
      <c r="AZ11" s="543">
        <v>121159383.61680661</v>
      </c>
      <c r="BA11" s="543">
        <v>121515867.14081661</v>
      </c>
      <c r="BB11" s="543">
        <v>174737260.24351552</v>
      </c>
      <c r="BC11" s="543">
        <v>175251384.30430201</v>
      </c>
      <c r="BD11" s="543">
        <v>175767021.05648306</v>
      </c>
      <c r="BE11" s="543">
        <v>176284174.950804</v>
      </c>
      <c r="BF11" s="543">
        <v>176802850.45110542</v>
      </c>
      <c r="BG11" s="543">
        <v>177323052.03436175</v>
      </c>
      <c r="BH11" s="543">
        <v>177844784.19071987</v>
      </c>
      <c r="BI11" s="543">
        <v>178368051.42353791</v>
      </c>
      <c r="BJ11" s="543">
        <v>231447007.09100848</v>
      </c>
      <c r="BK11" s="543">
        <v>232127986.49389416</v>
      </c>
      <c r="BL11" s="543">
        <v>2118628822.9973555</v>
      </c>
      <c r="BM11" s="543">
        <v>143521856.70726636</v>
      </c>
      <c r="BN11" s="543">
        <v>143929735.57414594</v>
      </c>
      <c r="BO11" s="543">
        <v>185940157.46635288</v>
      </c>
      <c r="BP11" s="543">
        <v>186468586.11460727</v>
      </c>
      <c r="BQ11" s="543">
        <v>186998516.51934132</v>
      </c>
      <c r="BR11" s="543">
        <v>187529952.94843963</v>
      </c>
      <c r="BS11" s="543">
        <v>188062899.68191591</v>
      </c>
      <c r="BT11" s="543">
        <v>188597361.01194736</v>
      </c>
      <c r="BU11" s="543">
        <v>189133341.24290919</v>
      </c>
      <c r="BV11" s="543">
        <v>189670844.69140938</v>
      </c>
      <c r="BW11" s="543">
        <v>231575807.40724027</v>
      </c>
      <c r="BX11" s="543">
        <v>232233929.3134712</v>
      </c>
      <c r="BY11" s="543">
        <v>2253662988.6790466</v>
      </c>
    </row>
    <row r="12" spans="1:82">
      <c r="A12"/>
      <c r="B12" s="559" t="s">
        <v>262</v>
      </c>
      <c r="C12" s="553">
        <v>0</v>
      </c>
      <c r="D12" s="553">
        <v>696848233.84615374</v>
      </c>
      <c r="E12" s="553">
        <v>1118086941.0263915</v>
      </c>
      <c r="F12" s="553">
        <v>1194232909.2839911</v>
      </c>
      <c r="G12" s="553">
        <v>1271177293.7984133</v>
      </c>
      <c r="H12" s="553">
        <v>1352197793.207428</v>
      </c>
      <c r="I12" s="556">
        <v>1126508634.2324755</v>
      </c>
      <c r="J12" s="28"/>
      <c r="K12" s="567" t="s">
        <v>262</v>
      </c>
      <c r="L12" s="543"/>
      <c r="M12" s="543">
        <v>27652707.692307692</v>
      </c>
      <c r="N12" s="543">
        <v>33183249.230769224</v>
      </c>
      <c r="O12" s="543">
        <v>38713790.769230761</v>
      </c>
      <c r="P12" s="543">
        <v>44244332.307692304</v>
      </c>
      <c r="Q12" s="543">
        <v>49774873.84615384</v>
      </c>
      <c r="R12" s="543">
        <v>55305415.384615384</v>
      </c>
      <c r="S12" s="543">
        <v>60835956.92307692</v>
      </c>
      <c r="T12" s="543">
        <v>66366498.461538449</v>
      </c>
      <c r="U12" s="543">
        <v>71897039.999999985</v>
      </c>
      <c r="V12" s="543">
        <v>77427581.538461521</v>
      </c>
      <c r="W12" s="543">
        <v>82958123.076923057</v>
      </c>
      <c r="X12" s="543">
        <v>88488664.615384609</v>
      </c>
      <c r="Y12" s="543">
        <v>696848233.84615374</v>
      </c>
      <c r="Z12" s="543">
        <v>54937605.547386102</v>
      </c>
      <c r="AA12" s="543">
        <v>55111528.22913862</v>
      </c>
      <c r="AB12" s="543">
        <v>92143335.865246728</v>
      </c>
      <c r="AC12" s="543">
        <v>92435045.267570123</v>
      </c>
      <c r="AD12" s="543">
        <v>92727678.169944882</v>
      </c>
      <c r="AE12" s="543">
        <v>93021237.496007815</v>
      </c>
      <c r="AF12" s="543">
        <v>93315726.178651422</v>
      </c>
      <c r="AG12" s="543">
        <v>93611147.160053238</v>
      </c>
      <c r="AH12" s="543">
        <v>93907503.39170523</v>
      </c>
      <c r="AI12" s="543">
        <v>94204797.834443212</v>
      </c>
      <c r="AJ12" s="543">
        <v>131128103.82340062</v>
      </c>
      <c r="AK12" s="543">
        <v>131543232.0628434</v>
      </c>
      <c r="AL12" s="543">
        <v>1118086941.0263915</v>
      </c>
      <c r="AM12" s="543">
        <v>81472488.014190033</v>
      </c>
      <c r="AN12" s="543">
        <v>81720975.408927485</v>
      </c>
      <c r="AO12" s="543">
        <v>98458864.290634111</v>
      </c>
      <c r="AP12" s="543">
        <v>98759159.362905979</v>
      </c>
      <c r="AQ12" s="543">
        <v>99060370.321533814</v>
      </c>
      <c r="AR12" s="543">
        <v>99362499.959929556</v>
      </c>
      <c r="AS12" s="543">
        <v>99665551.080024764</v>
      </c>
      <c r="AT12" s="543">
        <v>99969526.492296889</v>
      </c>
      <c r="AU12" s="543">
        <v>100274429.01579516</v>
      </c>
      <c r="AV12" s="543">
        <v>100580261.47816679</v>
      </c>
      <c r="AW12" s="543">
        <v>117275549.37544762</v>
      </c>
      <c r="AX12" s="543">
        <v>117633234.48413895</v>
      </c>
      <c r="AY12" s="543">
        <v>1194232909.2839911</v>
      </c>
      <c r="AZ12" s="543">
        <v>72695630.17008397</v>
      </c>
      <c r="BA12" s="543">
        <v>72909520.284489959</v>
      </c>
      <c r="BB12" s="543">
        <v>104842356.14610931</v>
      </c>
      <c r="BC12" s="543">
        <v>105150830.58258121</v>
      </c>
      <c r="BD12" s="543">
        <v>105460212.63388984</v>
      </c>
      <c r="BE12" s="543">
        <v>105770504.97048239</v>
      </c>
      <c r="BF12" s="543">
        <v>106081710.27066325</v>
      </c>
      <c r="BG12" s="543">
        <v>106393831.22061704</v>
      </c>
      <c r="BH12" s="543">
        <v>106706870.51443192</v>
      </c>
      <c r="BI12" s="543">
        <v>107020830.85412274</v>
      </c>
      <c r="BJ12" s="543">
        <v>138868204.25460508</v>
      </c>
      <c r="BK12" s="543">
        <v>139276791.8963365</v>
      </c>
      <c r="BL12" s="543">
        <v>1271177293.7984133</v>
      </c>
      <c r="BM12" s="543">
        <v>86113114.024359807</v>
      </c>
      <c r="BN12" s="543">
        <v>86357841.344487563</v>
      </c>
      <c r="BO12" s="543">
        <v>111564094.47981173</v>
      </c>
      <c r="BP12" s="543">
        <v>111881151.66876437</v>
      </c>
      <c r="BQ12" s="543">
        <v>112199109.91160479</v>
      </c>
      <c r="BR12" s="543">
        <v>112517971.76906377</v>
      </c>
      <c r="BS12" s="543">
        <v>112837739.80914955</v>
      </c>
      <c r="BT12" s="543">
        <v>113158416.60716842</v>
      </c>
      <c r="BU12" s="543">
        <v>113480004.74574551</v>
      </c>
      <c r="BV12" s="543">
        <v>113802506.81484562</v>
      </c>
      <c r="BW12" s="543">
        <v>138945484.44434416</v>
      </c>
      <c r="BX12" s="543">
        <v>139340357.5880827</v>
      </c>
      <c r="BY12" s="543">
        <v>1352197793.207428</v>
      </c>
    </row>
    <row r="13" spans="1:82">
      <c r="A13"/>
      <c r="B13" s="559" t="s">
        <v>263</v>
      </c>
      <c r="C13" s="553">
        <v>0</v>
      </c>
      <c r="D13" s="553">
        <v>464565489.23076916</v>
      </c>
      <c r="E13" s="553">
        <v>745391294.01759446</v>
      </c>
      <c r="F13" s="553">
        <v>796155272.85599411</v>
      </c>
      <c r="G13" s="553">
        <v>847451529.19894218</v>
      </c>
      <c r="H13" s="553">
        <v>901465195.47161877</v>
      </c>
      <c r="I13" s="556">
        <v>751005756.15498376</v>
      </c>
      <c r="J13" s="28"/>
      <c r="K13" s="567" t="s">
        <v>263</v>
      </c>
      <c r="L13" s="543"/>
      <c r="M13" s="543">
        <v>18435138.46153846</v>
      </c>
      <c r="N13" s="543">
        <v>22122166.153846152</v>
      </c>
      <c r="O13" s="543">
        <v>25809193.84615384</v>
      </c>
      <c r="P13" s="543">
        <v>29496221.538461536</v>
      </c>
      <c r="Q13" s="543">
        <v>33183249.230769232</v>
      </c>
      <c r="R13" s="543">
        <v>36870276.92307692</v>
      </c>
      <c r="S13" s="543">
        <v>40557304.615384616</v>
      </c>
      <c r="T13" s="543">
        <v>44244332.307692304</v>
      </c>
      <c r="U13" s="543">
        <v>47931360</v>
      </c>
      <c r="V13" s="543">
        <v>51618387.692307681</v>
      </c>
      <c r="W13" s="543">
        <v>55305415.384615377</v>
      </c>
      <c r="X13" s="543">
        <v>58992443.076923072</v>
      </c>
      <c r="Y13" s="543">
        <v>464565489.23076916</v>
      </c>
      <c r="Z13" s="543">
        <v>36625070.364924066</v>
      </c>
      <c r="AA13" s="543">
        <v>36741018.819425754</v>
      </c>
      <c r="AB13" s="543">
        <v>61428890.576831155</v>
      </c>
      <c r="AC13" s="543">
        <v>61623363.511713423</v>
      </c>
      <c r="AD13" s="543">
        <v>61818452.113296598</v>
      </c>
      <c r="AE13" s="543">
        <v>62014158.330671884</v>
      </c>
      <c r="AF13" s="543">
        <v>62210484.119100958</v>
      </c>
      <c r="AG13" s="543">
        <v>62407431.4400355</v>
      </c>
      <c r="AH13" s="543">
        <v>62605002.261136822</v>
      </c>
      <c r="AI13" s="543">
        <v>62803198.556295484</v>
      </c>
      <c r="AJ13" s="543">
        <v>87418735.882267088</v>
      </c>
      <c r="AK13" s="543">
        <v>87695488.041895613</v>
      </c>
      <c r="AL13" s="543">
        <v>745391294.01759446</v>
      </c>
      <c r="AM13" s="543">
        <v>54314992.009460025</v>
      </c>
      <c r="AN13" s="543">
        <v>54480650.272618331</v>
      </c>
      <c r="AO13" s="543">
        <v>65639242.860422745</v>
      </c>
      <c r="AP13" s="543">
        <v>65839439.575270653</v>
      </c>
      <c r="AQ13" s="543">
        <v>66040246.88102255</v>
      </c>
      <c r="AR13" s="543">
        <v>66241666.639953047</v>
      </c>
      <c r="AS13" s="543">
        <v>66443700.720016517</v>
      </c>
      <c r="AT13" s="543">
        <v>66646350.994864598</v>
      </c>
      <c r="AU13" s="543">
        <v>66849619.343863443</v>
      </c>
      <c r="AV13" s="543">
        <v>67053507.652111202</v>
      </c>
      <c r="AW13" s="543">
        <v>78183699.583631739</v>
      </c>
      <c r="AX13" s="543">
        <v>78422156.322759315</v>
      </c>
      <c r="AY13" s="543">
        <v>796155272.85599411</v>
      </c>
      <c r="AZ13" s="543">
        <v>48463753.446722649</v>
      </c>
      <c r="BA13" s="543">
        <v>48606346.856326647</v>
      </c>
      <c r="BB13" s="543">
        <v>69894904.097406209</v>
      </c>
      <c r="BC13" s="543">
        <v>70100553.7217208</v>
      </c>
      <c r="BD13" s="543">
        <v>70306808.422593221</v>
      </c>
      <c r="BE13" s="543">
        <v>70513669.980321601</v>
      </c>
      <c r="BF13" s="543">
        <v>70721140.180442169</v>
      </c>
      <c r="BG13" s="543">
        <v>70929220.813744709</v>
      </c>
      <c r="BH13" s="543">
        <v>71137913.676287949</v>
      </c>
      <c r="BI13" s="543">
        <v>71347220.569415167</v>
      </c>
      <c r="BJ13" s="543">
        <v>92578802.8364034</v>
      </c>
      <c r="BK13" s="543">
        <v>92851194.597557664</v>
      </c>
      <c r="BL13" s="543">
        <v>847451529.19894218</v>
      </c>
      <c r="BM13" s="543">
        <v>57408742.682906546</v>
      </c>
      <c r="BN13" s="543">
        <v>57571894.22965838</v>
      </c>
      <c r="BO13" s="543">
        <v>74376062.986541152</v>
      </c>
      <c r="BP13" s="543">
        <v>74587434.445842907</v>
      </c>
      <c r="BQ13" s="543">
        <v>74799406.607736528</v>
      </c>
      <c r="BR13" s="543">
        <v>75011981.179375857</v>
      </c>
      <c r="BS13" s="543">
        <v>75225159.872766361</v>
      </c>
      <c r="BT13" s="543">
        <v>75438944.404778942</v>
      </c>
      <c r="BU13" s="543">
        <v>75653336.497163683</v>
      </c>
      <c r="BV13" s="543">
        <v>75868337.876563758</v>
      </c>
      <c r="BW13" s="543">
        <v>92630322.962896109</v>
      </c>
      <c r="BX13" s="543">
        <v>92893571.725388482</v>
      </c>
      <c r="BY13" s="543">
        <v>901465195.47161877</v>
      </c>
    </row>
    <row r="14" spans="1:82">
      <c r="A14"/>
      <c r="B14" s="560" t="s">
        <v>264</v>
      </c>
      <c r="C14" s="553">
        <v>0</v>
      </c>
      <c r="D14" s="553">
        <v>0</v>
      </c>
      <c r="E14" s="553">
        <v>1661.5384615384612</v>
      </c>
      <c r="F14" s="553">
        <v>4246.1165747452551</v>
      </c>
      <c r="G14" s="553">
        <v>6928.5840472620457</v>
      </c>
      <c r="H14" s="553">
        <v>9708.9404821095377</v>
      </c>
      <c r="I14" s="556">
        <v>4509.0359131310597</v>
      </c>
      <c r="J14" s="28"/>
      <c r="K14" s="568" t="s">
        <v>264</v>
      </c>
      <c r="L14" s="543"/>
      <c r="M14" s="543">
        <v>0</v>
      </c>
      <c r="N14" s="543">
        <v>0</v>
      </c>
      <c r="O14" s="543">
        <v>0</v>
      </c>
      <c r="P14" s="543">
        <v>0</v>
      </c>
      <c r="Q14" s="543">
        <v>0</v>
      </c>
      <c r="R14" s="543">
        <v>0</v>
      </c>
      <c r="S14" s="543">
        <v>0</v>
      </c>
      <c r="T14" s="543">
        <v>0</v>
      </c>
      <c r="U14" s="543">
        <v>0</v>
      </c>
      <c r="V14" s="543">
        <v>0</v>
      </c>
      <c r="W14" s="543">
        <v>0</v>
      </c>
      <c r="X14" s="543">
        <v>0</v>
      </c>
      <c r="Y14" s="543">
        <v>0</v>
      </c>
      <c r="Z14" s="543">
        <v>65.934065934065927</v>
      </c>
      <c r="AA14" s="543">
        <v>79.12087912087911</v>
      </c>
      <c r="AB14" s="543">
        <v>92.307692307692292</v>
      </c>
      <c r="AC14" s="543">
        <v>105.49450549450549</v>
      </c>
      <c r="AD14" s="543">
        <v>118.68131868131867</v>
      </c>
      <c r="AE14" s="543">
        <v>131.86813186813185</v>
      </c>
      <c r="AF14" s="543">
        <v>145.05494505494505</v>
      </c>
      <c r="AG14" s="543">
        <v>158.24175824175822</v>
      </c>
      <c r="AH14" s="543">
        <v>171.42857142857142</v>
      </c>
      <c r="AI14" s="543">
        <v>184.61538461538458</v>
      </c>
      <c r="AJ14" s="543">
        <v>197.80219780219778</v>
      </c>
      <c r="AK14" s="543">
        <v>210.98901098901098</v>
      </c>
      <c r="AL14" s="543">
        <v>1661.5384615384612</v>
      </c>
      <c r="AM14" s="543">
        <v>192.92824472253881</v>
      </c>
      <c r="AN14" s="543">
        <v>206.51709887786126</v>
      </c>
      <c r="AO14" s="543">
        <v>305.30691483376773</v>
      </c>
      <c r="AP14" s="543">
        <v>319.16804565098778</v>
      </c>
      <c r="AQ14" s="543">
        <v>333.03131123781526</v>
      </c>
      <c r="AR14" s="543">
        <v>346.89671835255098</v>
      </c>
      <c r="AS14" s="543">
        <v>360.76427377489108</v>
      </c>
      <c r="AT14" s="543">
        <v>374.63398430599511</v>
      </c>
      <c r="AU14" s="543">
        <v>388.50585676855394</v>
      </c>
      <c r="AV14" s="543">
        <v>402.37989800685767</v>
      </c>
      <c r="AW14" s="543">
        <v>500.91890074584637</v>
      </c>
      <c r="AX14" s="543">
        <v>515.06532746759001</v>
      </c>
      <c r="AY14" s="543">
        <v>4246.1165747452551</v>
      </c>
      <c r="AZ14" s="543">
        <v>375.93048599732492</v>
      </c>
      <c r="BA14" s="543">
        <v>390.07748869179068</v>
      </c>
      <c r="BB14" s="543">
        <v>526.46369152896114</v>
      </c>
      <c r="BC14" s="543">
        <v>540.99934048855039</v>
      </c>
      <c r="BD14" s="543">
        <v>555.53918146750073</v>
      </c>
      <c r="BE14" s="543">
        <v>570.08322749863146</v>
      </c>
      <c r="BF14" s="543">
        <v>584.63149165529421</v>
      </c>
      <c r="BG14" s="543">
        <v>599.18398705149946</v>
      </c>
      <c r="BH14" s="543">
        <v>613.7407268420427</v>
      </c>
      <c r="BI14" s="543">
        <v>628.30172422263149</v>
      </c>
      <c r="BJ14" s="543">
        <v>764.3414241711871</v>
      </c>
      <c r="BK14" s="543">
        <v>779.29127764663099</v>
      </c>
      <c r="BL14" s="543">
        <v>6928.5840472620457</v>
      </c>
      <c r="BM14" s="543">
        <v>534.93251043148643</v>
      </c>
      <c r="BN14" s="543">
        <v>549.54733988689281</v>
      </c>
      <c r="BO14" s="543">
        <v>755.77798228723714</v>
      </c>
      <c r="BP14" s="543">
        <v>770.98833562411096</v>
      </c>
      <c r="BQ14" s="543">
        <v>786.20486614226149</v>
      </c>
      <c r="BR14" s="543">
        <v>801.42759271538898</v>
      </c>
      <c r="BS14" s="543">
        <v>816.65653427491111</v>
      </c>
      <c r="BT14" s="543">
        <v>831.89170981014058</v>
      </c>
      <c r="BU14" s="543">
        <v>847.13313836846191</v>
      </c>
      <c r="BV14" s="543">
        <v>862.38083905550911</v>
      </c>
      <c r="BW14" s="543">
        <v>1068.0780525539126</v>
      </c>
      <c r="BX14" s="543">
        <v>1083.921580959226</v>
      </c>
      <c r="BY14" s="543">
        <v>9708.9404821095377</v>
      </c>
      <c r="BZ14" s="28"/>
      <c r="CA14" s="28"/>
      <c r="CB14" s="28"/>
      <c r="CC14" s="28"/>
      <c r="CD14" s="28"/>
    </row>
    <row r="15" spans="1:82" s="53" customFormat="1">
      <c r="B15" s="559" t="s">
        <v>265</v>
      </c>
      <c r="C15" s="553">
        <v>0</v>
      </c>
      <c r="D15" s="553">
        <v>0</v>
      </c>
      <c r="E15" s="553">
        <v>149536800</v>
      </c>
      <c r="F15" s="553">
        <v>394884595.33473408</v>
      </c>
      <c r="G15" s="553">
        <v>678994308.04763317</v>
      </c>
      <c r="H15" s="553">
        <v>1000011160.7168002</v>
      </c>
      <c r="I15" s="556">
        <v>444685372.81983346</v>
      </c>
      <c r="J15" s="30"/>
      <c r="K15" s="567" t="s">
        <v>265</v>
      </c>
      <c r="L15" s="543"/>
      <c r="M15" s="543">
        <v>0</v>
      </c>
      <c r="N15" s="543">
        <v>0</v>
      </c>
      <c r="O15" s="543">
        <v>0</v>
      </c>
      <c r="P15" s="543">
        <v>0</v>
      </c>
      <c r="Q15" s="543">
        <v>0</v>
      </c>
      <c r="R15" s="543">
        <v>0</v>
      </c>
      <c r="S15" s="543">
        <v>0</v>
      </c>
      <c r="T15" s="543">
        <v>0</v>
      </c>
      <c r="U15" s="543">
        <v>0</v>
      </c>
      <c r="V15" s="543">
        <v>0</v>
      </c>
      <c r="W15" s="543">
        <v>0</v>
      </c>
      <c r="X15" s="543">
        <v>0</v>
      </c>
      <c r="Y15" s="543">
        <v>0</v>
      </c>
      <c r="Z15" s="543">
        <v>5933999.9999999991</v>
      </c>
      <c r="AA15" s="543">
        <v>7120799.9999999991</v>
      </c>
      <c r="AB15" s="543">
        <v>8307599.9999999991</v>
      </c>
      <c r="AC15" s="543">
        <v>9494400</v>
      </c>
      <c r="AD15" s="543">
        <v>10681200</v>
      </c>
      <c r="AE15" s="543">
        <v>11867999.999999998</v>
      </c>
      <c r="AF15" s="543">
        <v>13054800</v>
      </c>
      <c r="AG15" s="543">
        <v>14241599.999999998</v>
      </c>
      <c r="AH15" s="543">
        <v>15428399.999999998</v>
      </c>
      <c r="AI15" s="543">
        <v>16615199.999999998</v>
      </c>
      <c r="AJ15" s="543">
        <v>17802000</v>
      </c>
      <c r="AK15" s="543">
        <v>18988800</v>
      </c>
      <c r="AL15" s="543">
        <v>149536800</v>
      </c>
      <c r="AM15" s="543">
        <v>17942133.830951385</v>
      </c>
      <c r="AN15" s="543">
        <v>19205883.678542219</v>
      </c>
      <c r="AO15" s="543">
        <v>28393237.772625566</v>
      </c>
      <c r="AP15" s="543">
        <v>29682309.077496212</v>
      </c>
      <c r="AQ15" s="543">
        <v>30971578.913805582</v>
      </c>
      <c r="AR15" s="543">
        <v>32261047.910068888</v>
      </c>
      <c r="AS15" s="543">
        <v>33550716.696791094</v>
      </c>
      <c r="AT15" s="543">
        <v>34840585.906473242</v>
      </c>
      <c r="AU15" s="543">
        <v>36130656.173618749</v>
      </c>
      <c r="AV15" s="543">
        <v>37420928.134739757</v>
      </c>
      <c r="AW15" s="543">
        <v>46584956.850462966</v>
      </c>
      <c r="AX15" s="543">
        <v>47900560.389158405</v>
      </c>
      <c r="AY15" s="543">
        <v>394884595.33473408</v>
      </c>
      <c r="AZ15" s="543">
        <v>36840811.697251841</v>
      </c>
      <c r="BA15" s="543">
        <v>38227203.814306796</v>
      </c>
      <c r="BB15" s="543">
        <v>51592915.306146659</v>
      </c>
      <c r="BC15" s="543">
        <v>53017394.368537448</v>
      </c>
      <c r="BD15" s="543">
        <v>54442284.2446336</v>
      </c>
      <c r="BE15" s="543">
        <v>55867586.211638384</v>
      </c>
      <c r="BF15" s="543">
        <v>57293301.550727181</v>
      </c>
      <c r="BG15" s="543">
        <v>58719431.547059894</v>
      </c>
      <c r="BH15" s="543">
        <v>60145977.489793345</v>
      </c>
      <c r="BI15" s="543">
        <v>61572940.672093667</v>
      </c>
      <c r="BJ15" s="543">
        <v>74904695.227352157</v>
      </c>
      <c r="BK15" s="543">
        <v>76369765.918092191</v>
      </c>
      <c r="BL15" s="543">
        <v>678994308.04763317</v>
      </c>
      <c r="BM15" s="543">
        <v>55097513.641932674</v>
      </c>
      <c r="BN15" s="543">
        <v>56602826.461010076</v>
      </c>
      <c r="BO15" s="543">
        <v>77844376.397603139</v>
      </c>
      <c r="BP15" s="543">
        <v>79411027.580947801</v>
      </c>
      <c r="BQ15" s="543">
        <v>80978315.007786795</v>
      </c>
      <c r="BR15" s="543">
        <v>82546240.622092351</v>
      </c>
      <c r="BS15" s="543">
        <v>84114806.373781577</v>
      </c>
      <c r="BT15" s="543">
        <v>85684014.218734667</v>
      </c>
      <c r="BU15" s="543">
        <v>87253866.118813202</v>
      </c>
      <c r="BV15" s="543">
        <v>88824364.041878387</v>
      </c>
      <c r="BW15" s="543">
        <v>110010971.33500044</v>
      </c>
      <c r="BX15" s="543">
        <v>111642838.91721933</v>
      </c>
      <c r="BY15" s="543">
        <v>1000011160.7168002</v>
      </c>
      <c r="BZ15" s="30"/>
      <c r="CA15" s="30"/>
      <c r="CB15" s="30"/>
      <c r="CC15" s="30"/>
      <c r="CD15" s="30"/>
    </row>
    <row r="16" spans="1:82">
      <c r="A16"/>
      <c r="B16" s="559" t="s">
        <v>266</v>
      </c>
      <c r="C16" s="553">
        <v>0</v>
      </c>
      <c r="D16" s="553">
        <v>0</v>
      </c>
      <c r="E16" s="553">
        <v>89722080</v>
      </c>
      <c r="F16" s="553">
        <v>236930757.20084041</v>
      </c>
      <c r="G16" s="553">
        <v>407396584.8285799</v>
      </c>
      <c r="H16" s="553">
        <v>600006696.43008018</v>
      </c>
      <c r="I16" s="556">
        <v>266811223.6919001</v>
      </c>
      <c r="J16" s="28"/>
      <c r="K16" s="567" t="s">
        <v>266</v>
      </c>
      <c r="L16" s="543"/>
      <c r="M16" s="543">
        <v>0</v>
      </c>
      <c r="N16" s="543">
        <v>0</v>
      </c>
      <c r="O16" s="543">
        <v>0</v>
      </c>
      <c r="P16" s="543">
        <v>0</v>
      </c>
      <c r="Q16" s="543">
        <v>0</v>
      </c>
      <c r="R16" s="543">
        <v>0</v>
      </c>
      <c r="S16" s="543">
        <v>0</v>
      </c>
      <c r="T16" s="543">
        <v>0</v>
      </c>
      <c r="U16" s="543">
        <v>0</v>
      </c>
      <c r="V16" s="543">
        <v>0</v>
      </c>
      <c r="W16" s="543">
        <v>0</v>
      </c>
      <c r="X16" s="543">
        <v>0</v>
      </c>
      <c r="Y16" s="543">
        <v>0</v>
      </c>
      <c r="Z16" s="543">
        <v>3560399.9999999995</v>
      </c>
      <c r="AA16" s="543">
        <v>4272479.9999999991</v>
      </c>
      <c r="AB16" s="543">
        <v>4984559.9999999991</v>
      </c>
      <c r="AC16" s="543">
        <v>5696640</v>
      </c>
      <c r="AD16" s="543">
        <v>6408720</v>
      </c>
      <c r="AE16" s="543">
        <v>7120799.9999999991</v>
      </c>
      <c r="AF16" s="543">
        <v>7832880</v>
      </c>
      <c r="AG16" s="543">
        <v>8544959.9999999981</v>
      </c>
      <c r="AH16" s="543">
        <v>9257039.9999999981</v>
      </c>
      <c r="AI16" s="543">
        <v>9969119.9999999981</v>
      </c>
      <c r="AJ16" s="543">
        <v>10681200</v>
      </c>
      <c r="AK16" s="543">
        <v>11393280</v>
      </c>
      <c r="AL16" s="543">
        <v>89722080</v>
      </c>
      <c r="AM16" s="543">
        <v>10765280.29857083</v>
      </c>
      <c r="AN16" s="543">
        <v>11523530.20712533</v>
      </c>
      <c r="AO16" s="543">
        <v>17035942.66357534</v>
      </c>
      <c r="AP16" s="543">
        <v>17809385.446497727</v>
      </c>
      <c r="AQ16" s="543">
        <v>18582947.348283347</v>
      </c>
      <c r="AR16" s="543">
        <v>19356628.746041331</v>
      </c>
      <c r="AS16" s="543">
        <v>20130430.018074654</v>
      </c>
      <c r="AT16" s="543">
        <v>20904351.543883946</v>
      </c>
      <c r="AU16" s="543">
        <v>21678393.704171248</v>
      </c>
      <c r="AV16" s="543">
        <v>22452556.880843852</v>
      </c>
      <c r="AW16" s="543">
        <v>27950974.110277779</v>
      </c>
      <c r="AX16" s="543">
        <v>28740336.233495042</v>
      </c>
      <c r="AY16" s="543">
        <v>236930757.20084041</v>
      </c>
      <c r="AZ16" s="543">
        <v>22104487.018351104</v>
      </c>
      <c r="BA16" s="543">
        <v>22936322.288584076</v>
      </c>
      <c r="BB16" s="543">
        <v>30955749.183687992</v>
      </c>
      <c r="BC16" s="543">
        <v>31810436.621122468</v>
      </c>
      <c r="BD16" s="543">
        <v>32665370.546780158</v>
      </c>
      <c r="BE16" s="543">
        <v>33520551.726983029</v>
      </c>
      <c r="BF16" s="543">
        <v>34375980.930436306</v>
      </c>
      <c r="BG16" s="543">
        <v>35231658.928235933</v>
      </c>
      <c r="BH16" s="543">
        <v>36087586.493876003</v>
      </c>
      <c r="BI16" s="543">
        <v>36943764.4032562</v>
      </c>
      <c r="BJ16" s="543">
        <v>44942817.136411294</v>
      </c>
      <c r="BK16" s="543">
        <v>45821859.550855316</v>
      </c>
      <c r="BL16" s="543">
        <v>407396584.8285799</v>
      </c>
      <c r="BM16" s="543">
        <v>33058508.185159601</v>
      </c>
      <c r="BN16" s="543">
        <v>33961695.876606047</v>
      </c>
      <c r="BO16" s="543">
        <v>46706625.838561885</v>
      </c>
      <c r="BP16" s="543">
        <v>47646616.548568681</v>
      </c>
      <c r="BQ16" s="543">
        <v>48586989.004672073</v>
      </c>
      <c r="BR16" s="543">
        <v>49527744.373255409</v>
      </c>
      <c r="BS16" s="543">
        <v>50468883.824268945</v>
      </c>
      <c r="BT16" s="543">
        <v>51410408.531240799</v>
      </c>
      <c r="BU16" s="543">
        <v>52352319.671287917</v>
      </c>
      <c r="BV16" s="543">
        <v>53294618.425127029</v>
      </c>
      <c r="BW16" s="543">
        <v>66006582.80100026</v>
      </c>
      <c r="BX16" s="543">
        <v>66985703.35033159</v>
      </c>
      <c r="BY16" s="543">
        <v>600006696.43008018</v>
      </c>
      <c r="BZ16" s="28"/>
      <c r="CA16" s="28"/>
      <c r="CB16" s="28"/>
      <c r="CC16" s="28"/>
      <c r="CD16" s="28"/>
    </row>
    <row r="17" spans="1:77">
      <c r="A17"/>
      <c r="B17" s="559" t="s">
        <v>267</v>
      </c>
      <c r="C17" s="553">
        <v>0</v>
      </c>
      <c r="D17" s="553">
        <v>0</v>
      </c>
      <c r="E17" s="553">
        <v>59814720</v>
      </c>
      <c r="F17" s="553">
        <v>157953838.13389367</v>
      </c>
      <c r="G17" s="553">
        <v>271597723.21905333</v>
      </c>
      <c r="H17" s="553">
        <v>400004464.28672016</v>
      </c>
      <c r="I17" s="556">
        <v>177874149.12793344</v>
      </c>
      <c r="J17" s="28"/>
      <c r="K17" s="567" t="s">
        <v>267</v>
      </c>
      <c r="L17" s="543"/>
      <c r="M17" s="543">
        <v>0</v>
      </c>
      <c r="N17" s="543">
        <v>0</v>
      </c>
      <c r="O17" s="543">
        <v>0</v>
      </c>
      <c r="P17" s="543">
        <v>0</v>
      </c>
      <c r="Q17" s="543">
        <v>0</v>
      </c>
      <c r="R17" s="543">
        <v>0</v>
      </c>
      <c r="S17" s="543">
        <v>0</v>
      </c>
      <c r="T17" s="543">
        <v>0</v>
      </c>
      <c r="U17" s="543">
        <v>0</v>
      </c>
      <c r="V17" s="543">
        <v>0</v>
      </c>
      <c r="W17" s="543">
        <v>0</v>
      </c>
      <c r="X17" s="543">
        <v>0</v>
      </c>
      <c r="Y17" s="543">
        <v>0</v>
      </c>
      <c r="Z17" s="543">
        <v>2373599.9999999995</v>
      </c>
      <c r="AA17" s="543">
        <v>2848320</v>
      </c>
      <c r="AB17" s="543">
        <v>3323040</v>
      </c>
      <c r="AC17" s="543">
        <v>3797760</v>
      </c>
      <c r="AD17" s="543">
        <v>4272480</v>
      </c>
      <c r="AE17" s="543">
        <v>4747199.9999999991</v>
      </c>
      <c r="AF17" s="543">
        <v>5221920</v>
      </c>
      <c r="AG17" s="543">
        <v>5696640</v>
      </c>
      <c r="AH17" s="543">
        <v>6171360</v>
      </c>
      <c r="AI17" s="543">
        <v>6646080</v>
      </c>
      <c r="AJ17" s="543">
        <v>7120800</v>
      </c>
      <c r="AK17" s="543">
        <v>7595520</v>
      </c>
      <c r="AL17" s="543">
        <v>59814720</v>
      </c>
      <c r="AM17" s="543">
        <v>7176853.5323805548</v>
      </c>
      <c r="AN17" s="543">
        <v>7682353.4714168878</v>
      </c>
      <c r="AO17" s="543">
        <v>11357295.109050227</v>
      </c>
      <c r="AP17" s="543">
        <v>11872923.630998485</v>
      </c>
      <c r="AQ17" s="543">
        <v>12388631.565522233</v>
      </c>
      <c r="AR17" s="543">
        <v>12904419.164027557</v>
      </c>
      <c r="AS17" s="543">
        <v>13420286.678716438</v>
      </c>
      <c r="AT17" s="543">
        <v>13936234.362589298</v>
      </c>
      <c r="AU17" s="543">
        <v>14452262.469447501</v>
      </c>
      <c r="AV17" s="543">
        <v>14968371.253895903</v>
      </c>
      <c r="AW17" s="543">
        <v>18633982.740185186</v>
      </c>
      <c r="AX17" s="543">
        <v>19160224.155663364</v>
      </c>
      <c r="AY17" s="543">
        <v>157953838.13389367</v>
      </c>
      <c r="AZ17" s="543">
        <v>14736324.678900737</v>
      </c>
      <c r="BA17" s="543">
        <v>15290881.52572272</v>
      </c>
      <c r="BB17" s="543">
        <v>20637166.122458667</v>
      </c>
      <c r="BC17" s="543">
        <v>21206957.74741498</v>
      </c>
      <c r="BD17" s="543">
        <v>21776913.697853442</v>
      </c>
      <c r="BE17" s="543">
        <v>22347034.484655354</v>
      </c>
      <c r="BF17" s="543">
        <v>22917320.620290875</v>
      </c>
      <c r="BG17" s="543">
        <v>23487772.61882396</v>
      </c>
      <c r="BH17" s="543">
        <v>24058390.995917339</v>
      </c>
      <c r="BI17" s="543">
        <v>24629176.268837467</v>
      </c>
      <c r="BJ17" s="543">
        <v>29961878.090940863</v>
      </c>
      <c r="BK17" s="543">
        <v>30547906.367236879</v>
      </c>
      <c r="BL17" s="543">
        <v>271597723.21905333</v>
      </c>
      <c r="BM17" s="543">
        <v>22039005.456773072</v>
      </c>
      <c r="BN17" s="543">
        <v>22641130.584404033</v>
      </c>
      <c r="BO17" s="543">
        <v>31137750.559041258</v>
      </c>
      <c r="BP17" s="543">
        <v>31764411.032379121</v>
      </c>
      <c r="BQ17" s="543">
        <v>32391326.003114719</v>
      </c>
      <c r="BR17" s="543">
        <v>33018496.248836942</v>
      </c>
      <c r="BS17" s="543">
        <v>33645922.549512632</v>
      </c>
      <c r="BT17" s="543">
        <v>34273605.687493868</v>
      </c>
      <c r="BU17" s="543">
        <v>34901546.447525285</v>
      </c>
      <c r="BV17" s="543">
        <v>35529745.616751358</v>
      </c>
      <c r="BW17" s="543">
        <v>44004388.534000181</v>
      </c>
      <c r="BX17" s="543">
        <v>44657135.566887736</v>
      </c>
      <c r="BY17" s="543">
        <v>400004464.28672016</v>
      </c>
    </row>
    <row r="18" spans="1:77">
      <c r="A18"/>
      <c r="B18" s="561" t="s">
        <v>268</v>
      </c>
      <c r="C18" s="562">
        <v>0</v>
      </c>
      <c r="D18" s="562">
        <v>1161413723.0769229</v>
      </c>
      <c r="E18" s="562">
        <v>2013015035.0439858</v>
      </c>
      <c r="F18" s="562">
        <v>2385272777.4747195</v>
      </c>
      <c r="G18" s="562">
        <v>2797623131.0449886</v>
      </c>
      <c r="H18" s="562">
        <v>3253674149.3958473</v>
      </c>
      <c r="I18" s="562">
        <v>2322199763.207293</v>
      </c>
      <c r="J18" s="28"/>
      <c r="K18" s="569" t="s">
        <v>268</v>
      </c>
      <c r="L18" s="570"/>
      <c r="M18" s="570">
        <v>46087846.153846152</v>
      </c>
      <c r="N18" s="570">
        <v>55305415.384615377</v>
      </c>
      <c r="O18" s="570">
        <v>64522984.615384601</v>
      </c>
      <c r="P18" s="570">
        <v>73740553.84615384</v>
      </c>
      <c r="Q18" s="570">
        <v>82958123.076923072</v>
      </c>
      <c r="R18" s="570">
        <v>92175692.307692304</v>
      </c>
      <c r="S18" s="570">
        <v>101393261.53846154</v>
      </c>
      <c r="T18" s="570">
        <v>110610830.76923075</v>
      </c>
      <c r="U18" s="570">
        <v>119828399.99999999</v>
      </c>
      <c r="V18" s="570">
        <v>129045969.2307692</v>
      </c>
      <c r="W18" s="570">
        <v>138263538.46153843</v>
      </c>
      <c r="X18" s="570">
        <v>147481107.69230768</v>
      </c>
      <c r="Y18" s="570">
        <v>1161413723.0769229</v>
      </c>
      <c r="Z18" s="570">
        <v>97496675.912310168</v>
      </c>
      <c r="AA18" s="570">
        <v>98973347.048564374</v>
      </c>
      <c r="AB18" s="570">
        <v>161879826.44207788</v>
      </c>
      <c r="AC18" s="570">
        <v>163552808.77928355</v>
      </c>
      <c r="AD18" s="570">
        <v>165227330.28324148</v>
      </c>
      <c r="AE18" s="570">
        <v>166903395.82667971</v>
      </c>
      <c r="AF18" s="570">
        <v>168581010.29775238</v>
      </c>
      <c r="AG18" s="570">
        <v>170260178.60008875</v>
      </c>
      <c r="AH18" s="570">
        <v>171940905.65284204</v>
      </c>
      <c r="AI18" s="570">
        <v>173623196.3907387</v>
      </c>
      <c r="AJ18" s="570">
        <v>236348839.7056677</v>
      </c>
      <c r="AK18" s="570">
        <v>238227520.10473901</v>
      </c>
      <c r="AL18" s="570">
        <v>2013015035.0439858</v>
      </c>
      <c r="AM18" s="570">
        <v>153729613.85460144</v>
      </c>
      <c r="AN18" s="570">
        <v>155407509.36008805</v>
      </c>
      <c r="AO18" s="570">
        <v>192491344.92368242</v>
      </c>
      <c r="AP18" s="570">
        <v>194280908.01567283</v>
      </c>
      <c r="AQ18" s="570">
        <v>196072196.11636195</v>
      </c>
      <c r="AR18" s="570">
        <v>197865214.5099515</v>
      </c>
      <c r="AS18" s="570">
        <v>199659968.49683237</v>
      </c>
      <c r="AT18" s="570">
        <v>201456463.39363474</v>
      </c>
      <c r="AU18" s="570">
        <v>203254704.53327733</v>
      </c>
      <c r="AV18" s="570">
        <v>205054697.26501775</v>
      </c>
      <c r="AW18" s="570">
        <v>242044205.80954233</v>
      </c>
      <c r="AX18" s="570">
        <v>243955951.19605666</v>
      </c>
      <c r="AY18" s="570">
        <v>2385272777.4747195</v>
      </c>
      <c r="AZ18" s="570">
        <v>158000195.31405845</v>
      </c>
      <c r="BA18" s="570">
        <v>159743070.95512342</v>
      </c>
      <c r="BB18" s="570">
        <v>226330175.54966217</v>
      </c>
      <c r="BC18" s="570">
        <v>228268778.67283946</v>
      </c>
      <c r="BD18" s="570">
        <v>230209305.30111665</v>
      </c>
      <c r="BE18" s="570">
        <v>232151761.16244239</v>
      </c>
      <c r="BF18" s="570">
        <v>234096152.0018326</v>
      </c>
      <c r="BG18" s="570">
        <v>236042483.58142164</v>
      </c>
      <c r="BH18" s="570">
        <v>237990761.6805132</v>
      </c>
      <c r="BI18" s="570">
        <v>239940992.09563157</v>
      </c>
      <c r="BJ18" s="570">
        <v>306351702.31836063</v>
      </c>
      <c r="BK18" s="570">
        <v>308497752.41198635</v>
      </c>
      <c r="BL18" s="570">
        <v>2797623131.0449886</v>
      </c>
      <c r="BM18" s="570">
        <v>198619370.34919903</v>
      </c>
      <c r="BN18" s="570">
        <v>200532562.03515601</v>
      </c>
      <c r="BO18" s="570">
        <v>263784533.86395603</v>
      </c>
      <c r="BP18" s="570">
        <v>265879613.69555509</v>
      </c>
      <c r="BQ18" s="570">
        <v>267976831.5271281</v>
      </c>
      <c r="BR18" s="570">
        <v>270076193.57053196</v>
      </c>
      <c r="BS18" s="570">
        <v>272177706.0556975</v>
      </c>
      <c r="BT18" s="570">
        <v>274281375.23068202</v>
      </c>
      <c r="BU18" s="570">
        <v>276387207.36172241</v>
      </c>
      <c r="BV18" s="570">
        <v>278495208.73328775</v>
      </c>
      <c r="BW18" s="570">
        <v>341586778.74224073</v>
      </c>
      <c r="BX18" s="570">
        <v>343876768.23069054</v>
      </c>
      <c r="BY18" s="570">
        <v>3253674149.3958473</v>
      </c>
    </row>
    <row r="19" spans="1:77">
      <c r="A19"/>
      <c r="B19" s="54"/>
      <c r="C19" s="47"/>
      <c r="D19" s="47"/>
      <c r="E19" s="47"/>
      <c r="F19" s="47"/>
      <c r="G19" s="47"/>
      <c r="H19" s="47"/>
      <c r="I19" s="47"/>
      <c r="J19" s="28"/>
      <c r="X19" s="29"/>
      <c r="Z19" s="29"/>
    </row>
    <row r="20" spans="1:77">
      <c r="A20"/>
      <c r="B20" s="54"/>
      <c r="C20" s="47"/>
      <c r="D20" s="47"/>
      <c r="E20" s="47"/>
      <c r="F20" s="47"/>
      <c r="G20" s="47"/>
      <c r="H20" s="47"/>
      <c r="I20" s="47"/>
      <c r="J20" s="28"/>
      <c r="K20" s="541" t="s">
        <v>65</v>
      </c>
      <c r="L20" s="542"/>
      <c r="Y20" s="29"/>
      <c r="AA20" s="55"/>
      <c r="AB20" s="55"/>
      <c r="AL20" s="29"/>
      <c r="AY20" s="29"/>
    </row>
    <row r="21" spans="1:77">
      <c r="A21"/>
      <c r="B21" s="54"/>
      <c r="C21" s="47"/>
      <c r="D21" s="47"/>
      <c r="E21" s="47"/>
      <c r="F21" s="47"/>
      <c r="G21" s="47"/>
      <c r="H21" s="47"/>
      <c r="I21" s="47"/>
      <c r="J21" s="28"/>
      <c r="K21" s="571" t="s">
        <v>63</v>
      </c>
      <c r="L21" s="572">
        <v>0.6</v>
      </c>
      <c r="Z21" s="55"/>
      <c r="AL21" s="29"/>
    </row>
    <row r="22" spans="1:77">
      <c r="A22"/>
      <c r="B22" s="54"/>
      <c r="C22" s="47"/>
      <c r="D22" s="47"/>
      <c r="E22" s="47"/>
      <c r="F22" s="47"/>
      <c r="G22" s="47"/>
      <c r="H22" s="47"/>
      <c r="I22" s="47"/>
      <c r="K22" s="573" t="s">
        <v>64</v>
      </c>
      <c r="L22" s="574">
        <v>0.4</v>
      </c>
      <c r="Z22" s="29"/>
      <c r="AA22" s="29"/>
      <c r="AB22" s="29"/>
      <c r="AC22" s="29"/>
      <c r="AD22" s="29"/>
      <c r="AE22" s="29"/>
      <c r="AF22" s="29"/>
      <c r="AG22" s="29"/>
      <c r="AH22" s="29"/>
      <c r="AI22" s="29"/>
      <c r="AJ22" s="29"/>
      <c r="AK22" s="29"/>
      <c r="AL22" s="56"/>
    </row>
    <row r="25" spans="1:77">
      <c r="A25"/>
      <c r="B25" s="539" t="s">
        <v>402</v>
      </c>
      <c r="C25" s="539"/>
      <c r="D25" s="539"/>
      <c r="E25" s="539"/>
      <c r="F25" s="539"/>
      <c r="G25" s="539"/>
      <c r="H25" s="539"/>
      <c r="I25" s="539"/>
      <c r="K25" s="539" t="s">
        <v>403</v>
      </c>
      <c r="L25" s="539"/>
      <c r="M25" s="539"/>
      <c r="N25" s="539"/>
      <c r="O25" s="539"/>
      <c r="P25" s="539"/>
      <c r="Q25" s="539"/>
      <c r="R25" s="539"/>
      <c r="S25" s="539"/>
      <c r="T25" s="539"/>
      <c r="U25" s="539"/>
      <c r="V25" s="539"/>
      <c r="W25" s="539"/>
      <c r="X25" s="539"/>
      <c r="Y25" s="539"/>
      <c r="Z25" s="539"/>
      <c r="AA25" s="539"/>
      <c r="AB25" s="539"/>
      <c r="AC25" s="539"/>
      <c r="AD25" s="539"/>
      <c r="AE25" s="539"/>
      <c r="AF25" s="539"/>
      <c r="AG25" s="539"/>
      <c r="AH25" s="539"/>
      <c r="AI25" s="539"/>
      <c r="AJ25" s="539"/>
      <c r="AK25" s="539"/>
      <c r="AL25" s="539"/>
      <c r="AM25" s="539"/>
      <c r="AN25" s="539"/>
      <c r="AO25" s="539"/>
      <c r="AP25" s="539"/>
      <c r="AQ25" s="539"/>
      <c r="AR25" s="539"/>
      <c r="AS25" s="539"/>
      <c r="AT25" s="539"/>
      <c r="AU25" s="539"/>
      <c r="AV25" s="539"/>
      <c r="AW25" s="539"/>
      <c r="AX25" s="539"/>
      <c r="AY25" s="539"/>
      <c r="AZ25" s="539"/>
      <c r="BA25" s="539"/>
      <c r="BB25" s="539"/>
      <c r="BC25" s="539"/>
      <c r="BD25" s="539"/>
      <c r="BE25" s="539"/>
      <c r="BF25" s="539"/>
      <c r="BG25" s="539"/>
      <c r="BH25" s="539"/>
      <c r="BI25" s="539"/>
      <c r="BJ25" s="539"/>
      <c r="BK25" s="539"/>
      <c r="BL25" s="539"/>
      <c r="BM25" s="539"/>
      <c r="BN25" s="539"/>
      <c r="BO25" s="539"/>
      <c r="BP25" s="539"/>
      <c r="BQ25" s="539"/>
      <c r="BR25" s="539"/>
      <c r="BS25" s="539"/>
      <c r="BT25" s="539"/>
      <c r="BU25" s="539"/>
      <c r="BV25" s="539"/>
      <c r="BW25" s="539"/>
      <c r="BX25" s="539"/>
      <c r="BY25" s="539"/>
    </row>
    <row r="26" spans="1:77" s="48" customFormat="1">
      <c r="B26" s="540"/>
      <c r="C26" s="540"/>
      <c r="D26" s="540"/>
      <c r="E26" s="540"/>
      <c r="F26" s="540"/>
      <c r="G26" s="540"/>
      <c r="H26" s="540"/>
      <c r="I26" s="540"/>
      <c r="K26" s="540"/>
      <c r="L26" s="540"/>
      <c r="M26" s="540"/>
      <c r="N26" s="540"/>
      <c r="O26" s="540"/>
      <c r="P26" s="540"/>
      <c r="Q26" s="540"/>
      <c r="R26" s="540"/>
      <c r="S26" s="540"/>
      <c r="T26" s="540"/>
      <c r="U26" s="540"/>
      <c r="V26" s="540"/>
      <c r="W26" s="540"/>
      <c r="X26" s="540"/>
      <c r="Y26" s="540"/>
      <c r="Z26" s="540"/>
      <c r="AA26" s="540"/>
      <c r="AB26" s="540"/>
      <c r="AC26" s="540"/>
      <c r="AD26" s="540"/>
      <c r="AE26" s="540"/>
      <c r="AF26" s="540"/>
      <c r="AG26" s="540"/>
      <c r="AH26" s="540"/>
      <c r="AI26" s="540"/>
      <c r="AJ26" s="540"/>
      <c r="AK26" s="540"/>
      <c r="AL26" s="540"/>
      <c r="AM26" s="540"/>
      <c r="AN26" s="540"/>
      <c r="AO26" s="540"/>
      <c r="AP26" s="540"/>
      <c r="AQ26" s="540"/>
      <c r="AR26" s="540"/>
      <c r="AS26" s="540"/>
      <c r="AT26" s="540"/>
      <c r="AU26" s="540"/>
      <c r="AV26" s="540"/>
      <c r="AW26" s="540"/>
      <c r="AX26" s="540"/>
      <c r="AY26" s="540"/>
      <c r="AZ26" s="540"/>
      <c r="BA26" s="540"/>
      <c r="BB26" s="540"/>
      <c r="BC26" s="540"/>
      <c r="BD26" s="540"/>
      <c r="BE26" s="540"/>
      <c r="BF26" s="540"/>
      <c r="BG26" s="540"/>
      <c r="BH26" s="540"/>
      <c r="BI26" s="540"/>
      <c r="BJ26" s="540"/>
      <c r="BK26" s="540"/>
      <c r="BL26" s="540"/>
      <c r="BM26" s="540"/>
      <c r="BN26" s="540"/>
      <c r="BO26" s="540"/>
      <c r="BP26" s="540"/>
      <c r="BQ26" s="540"/>
      <c r="BR26" s="540"/>
      <c r="BS26" s="540"/>
      <c r="BT26" s="540"/>
      <c r="BU26" s="540"/>
      <c r="BV26" s="540"/>
      <c r="BW26" s="540"/>
      <c r="BX26" s="540"/>
      <c r="BY26" s="540"/>
    </row>
    <row r="27" spans="1:77">
      <c r="A27"/>
      <c r="B27" s="541" t="s">
        <v>59</v>
      </c>
      <c r="C27" s="541" t="s">
        <v>60</v>
      </c>
      <c r="D27" s="541" t="s">
        <v>6</v>
      </c>
      <c r="E27" s="541" t="s">
        <v>12</v>
      </c>
      <c r="F27" s="541" t="s">
        <v>13</v>
      </c>
      <c r="G27" s="541" t="s">
        <v>14</v>
      </c>
      <c r="H27" s="541" t="s">
        <v>15</v>
      </c>
      <c r="I27" s="541" t="s">
        <v>57</v>
      </c>
      <c r="J27" s="28"/>
      <c r="K27" s="541" t="s">
        <v>61</v>
      </c>
      <c r="L27" s="541" t="s">
        <v>130</v>
      </c>
      <c r="M27" s="541" t="s">
        <v>131</v>
      </c>
      <c r="N27" s="541" t="s">
        <v>132</v>
      </c>
      <c r="O27" s="541" t="s">
        <v>133</v>
      </c>
      <c r="P27" s="541" t="s">
        <v>134</v>
      </c>
      <c r="Q27" s="541" t="s">
        <v>135</v>
      </c>
      <c r="R27" s="541" t="s">
        <v>136</v>
      </c>
      <c r="S27" s="541" t="s">
        <v>137</v>
      </c>
      <c r="T27" s="541" t="s">
        <v>138</v>
      </c>
      <c r="U27" s="541" t="s">
        <v>139</v>
      </c>
      <c r="V27" s="541" t="s">
        <v>140</v>
      </c>
      <c r="W27" s="541" t="s">
        <v>141</v>
      </c>
      <c r="X27" s="541" t="s">
        <v>142</v>
      </c>
      <c r="Y27" s="541" t="s">
        <v>143</v>
      </c>
      <c r="Z27" s="541" t="s">
        <v>144</v>
      </c>
      <c r="AA27" s="541" t="s">
        <v>145</v>
      </c>
      <c r="AB27" s="541" t="s">
        <v>146</v>
      </c>
      <c r="AC27" s="541" t="s">
        <v>147</v>
      </c>
      <c r="AD27" s="541" t="s">
        <v>148</v>
      </c>
      <c r="AE27" s="541" t="s">
        <v>149</v>
      </c>
      <c r="AF27" s="541" t="s">
        <v>150</v>
      </c>
      <c r="AG27" s="541" t="s">
        <v>151</v>
      </c>
      <c r="AH27" s="541" t="s">
        <v>152</v>
      </c>
      <c r="AI27" s="541" t="s">
        <v>153</v>
      </c>
      <c r="AJ27" s="541" t="s">
        <v>154</v>
      </c>
      <c r="AK27" s="541" t="s">
        <v>155</v>
      </c>
      <c r="AL27" s="541" t="s">
        <v>156</v>
      </c>
      <c r="AM27" s="541" t="s">
        <v>157</v>
      </c>
      <c r="AN27" s="541" t="s">
        <v>158</v>
      </c>
      <c r="AO27" s="541" t="s">
        <v>159</v>
      </c>
      <c r="AP27" s="541" t="s">
        <v>160</v>
      </c>
      <c r="AQ27" s="541" t="s">
        <v>161</v>
      </c>
      <c r="AR27" s="541" t="s">
        <v>162</v>
      </c>
      <c r="AS27" s="541" t="s">
        <v>163</v>
      </c>
      <c r="AT27" s="541" t="s">
        <v>164</v>
      </c>
      <c r="AU27" s="541" t="s">
        <v>165</v>
      </c>
      <c r="AV27" s="541" t="s">
        <v>166</v>
      </c>
      <c r="AW27" s="541" t="s">
        <v>167</v>
      </c>
      <c r="AX27" s="541" t="s">
        <v>168</v>
      </c>
      <c r="AY27" s="541" t="s">
        <v>169</v>
      </c>
      <c r="AZ27" s="541" t="s">
        <v>170</v>
      </c>
      <c r="BA27" s="541" t="s">
        <v>171</v>
      </c>
      <c r="BB27" s="541" t="s">
        <v>172</v>
      </c>
      <c r="BC27" s="541" t="s">
        <v>173</v>
      </c>
      <c r="BD27" s="541" t="s">
        <v>174</v>
      </c>
      <c r="BE27" s="541" t="s">
        <v>175</v>
      </c>
      <c r="BF27" s="541" t="s">
        <v>176</v>
      </c>
      <c r="BG27" s="541" t="s">
        <v>177</v>
      </c>
      <c r="BH27" s="541" t="s">
        <v>178</v>
      </c>
      <c r="BI27" s="541" t="s">
        <v>179</v>
      </c>
      <c r="BJ27" s="541" t="s">
        <v>180</v>
      </c>
      <c r="BK27" s="541" t="s">
        <v>181</v>
      </c>
      <c r="BL27" s="541" t="s">
        <v>182</v>
      </c>
      <c r="BM27" s="541" t="s">
        <v>183</v>
      </c>
      <c r="BN27" s="541" t="s">
        <v>184</v>
      </c>
      <c r="BO27" s="541" t="s">
        <v>185</v>
      </c>
      <c r="BP27" s="541" t="s">
        <v>186</v>
      </c>
      <c r="BQ27" s="541" t="s">
        <v>187</v>
      </c>
      <c r="BR27" s="541" t="s">
        <v>188</v>
      </c>
      <c r="BS27" s="541" t="s">
        <v>189</v>
      </c>
      <c r="BT27" s="541" t="s">
        <v>190</v>
      </c>
      <c r="BU27" s="541" t="s">
        <v>191</v>
      </c>
      <c r="BV27" s="541" t="s">
        <v>192</v>
      </c>
      <c r="BW27" s="541" t="s">
        <v>193</v>
      </c>
      <c r="BX27" s="541" t="s">
        <v>194</v>
      </c>
      <c r="BY27" s="541" t="s">
        <v>195</v>
      </c>
    </row>
    <row r="28" spans="1:77">
      <c r="A28"/>
      <c r="B28" s="542" t="s">
        <v>260</v>
      </c>
      <c r="C28" s="543">
        <v>0</v>
      </c>
      <c r="D28" s="543">
        <v>1661.5384615384612</v>
      </c>
      <c r="E28" s="543">
        <v>2584.578113206795</v>
      </c>
      <c r="F28" s="543">
        <v>2682.4674725167893</v>
      </c>
      <c r="G28" s="543">
        <v>2780.3564348474933</v>
      </c>
      <c r="H28" s="543">
        <v>2878.2450407715037</v>
      </c>
      <c r="I28" s="544">
        <v>2517.4371045762086</v>
      </c>
      <c r="J28" s="28"/>
      <c r="K28" s="542" t="s">
        <v>260</v>
      </c>
      <c r="L28" s="543"/>
      <c r="M28" s="543">
        <v>65.934065934065927</v>
      </c>
      <c r="N28" s="543">
        <v>79.12087912087911</v>
      </c>
      <c r="O28" s="543">
        <v>92.307692307692292</v>
      </c>
      <c r="P28" s="543">
        <v>105.49450549450549</v>
      </c>
      <c r="Q28" s="543">
        <v>118.68131868131867</v>
      </c>
      <c r="R28" s="543">
        <v>131.86813186813185</v>
      </c>
      <c r="S28" s="543">
        <v>145.05494505494505</v>
      </c>
      <c r="T28" s="543">
        <v>158.24175824175822</v>
      </c>
      <c r="U28" s="543">
        <v>171.42857142857142</v>
      </c>
      <c r="V28" s="543">
        <v>184.61538461538458</v>
      </c>
      <c r="W28" s="543">
        <v>197.80219780219778</v>
      </c>
      <c r="X28" s="543">
        <v>210.98901098901098</v>
      </c>
      <c r="Y28" s="543">
        <v>1661.5384615384612</v>
      </c>
      <c r="Z28" s="543">
        <v>126.99417878847289</v>
      </c>
      <c r="AA28" s="543">
        <v>127.39621975698215</v>
      </c>
      <c r="AB28" s="543">
        <v>212.99922252607544</v>
      </c>
      <c r="AC28" s="543">
        <v>213.67354015648226</v>
      </c>
      <c r="AD28" s="543">
        <v>214.3499925564966</v>
      </c>
      <c r="AE28" s="543">
        <v>215.02858648441912</v>
      </c>
      <c r="AF28" s="543">
        <v>215.70932871994606</v>
      </c>
      <c r="AG28" s="543">
        <v>216.39222606423692</v>
      </c>
      <c r="AH28" s="543">
        <v>217.07728533998252</v>
      </c>
      <c r="AI28" s="543">
        <v>217.76451339147309</v>
      </c>
      <c r="AJ28" s="543">
        <v>303.11670294364859</v>
      </c>
      <c r="AK28" s="543">
        <v>304.07631647857903</v>
      </c>
      <c r="AL28" s="543">
        <v>2584.578113206795</v>
      </c>
      <c r="AM28" s="543">
        <v>183.00224127478614</v>
      </c>
      <c r="AN28" s="543">
        <v>183.56038981392945</v>
      </c>
      <c r="AO28" s="543">
        <v>221.15677669519346</v>
      </c>
      <c r="AP28" s="543">
        <v>221.83129483756261</v>
      </c>
      <c r="AQ28" s="543">
        <v>222.50787022968547</v>
      </c>
      <c r="AR28" s="543">
        <v>223.18650914608051</v>
      </c>
      <c r="AS28" s="543">
        <v>223.86721788040319</v>
      </c>
      <c r="AT28" s="543">
        <v>224.55000274550437</v>
      </c>
      <c r="AU28" s="543">
        <v>225.23487007348879</v>
      </c>
      <c r="AV28" s="543">
        <v>225.92182621577385</v>
      </c>
      <c r="AW28" s="543">
        <v>263.42252342534067</v>
      </c>
      <c r="AX28" s="543">
        <v>264.22595017904104</v>
      </c>
      <c r="AY28" s="543">
        <v>2682.4674725167893</v>
      </c>
      <c r="AZ28" s="543">
        <v>159.00202443416148</v>
      </c>
      <c r="BA28" s="543">
        <v>159.46985119510211</v>
      </c>
      <c r="BB28" s="543">
        <v>229.31429075827594</v>
      </c>
      <c r="BC28" s="543">
        <v>229.98899513556054</v>
      </c>
      <c r="BD28" s="543">
        <v>230.6656846747608</v>
      </c>
      <c r="BE28" s="543">
        <v>231.3443652167575</v>
      </c>
      <c r="BF28" s="543">
        <v>232.02504261961684</v>
      </c>
      <c r="BG28" s="543">
        <v>232.70772275864107</v>
      </c>
      <c r="BH28" s="543">
        <v>233.39241152641915</v>
      </c>
      <c r="BI28" s="543">
        <v>234.07911483287762</v>
      </c>
      <c r="BJ28" s="543">
        <v>303.73662838272554</v>
      </c>
      <c r="BK28" s="543">
        <v>304.63030331259512</v>
      </c>
      <c r="BL28" s="543">
        <v>2780.3564348474933</v>
      </c>
      <c r="BM28" s="543">
        <v>183.29762452731913</v>
      </c>
      <c r="BN28" s="543">
        <v>183.81854328568227</v>
      </c>
      <c r="BO28" s="543">
        <v>237.47176875877602</v>
      </c>
      <c r="BP28" s="543">
        <v>238.14664656609688</v>
      </c>
      <c r="BQ28" s="543">
        <v>238.82344232794847</v>
      </c>
      <c r="BR28" s="543">
        <v>239.5021614950206</v>
      </c>
      <c r="BS28" s="543">
        <v>240.18280953349355</v>
      </c>
      <c r="BT28" s="543">
        <v>240.86539192508209</v>
      </c>
      <c r="BU28" s="543">
        <v>241.54991416707963</v>
      </c>
      <c r="BV28" s="543">
        <v>242.2363817724025</v>
      </c>
      <c r="BW28" s="543">
        <v>295.75492102447163</v>
      </c>
      <c r="BX28" s="543">
        <v>296.59543538813102</v>
      </c>
      <c r="BY28" s="543">
        <v>2878.2450407715037</v>
      </c>
    </row>
    <row r="29" spans="1:77">
      <c r="A29"/>
      <c r="B29" s="542" t="s">
        <v>404</v>
      </c>
      <c r="C29" s="543">
        <v>0</v>
      </c>
      <c r="D29" s="543">
        <v>1589.6086806810981</v>
      </c>
      <c r="E29" s="543">
        <v>2472.6889565034558</v>
      </c>
      <c r="F29" s="543">
        <v>2566.3405805299008</v>
      </c>
      <c r="G29" s="543">
        <v>2659.9918247627152</v>
      </c>
      <c r="H29" s="543">
        <v>2753.6427280180624</v>
      </c>
      <c r="I29" s="544">
        <v>2408.4545540990466</v>
      </c>
      <c r="J29" s="28"/>
      <c r="K29" s="542" t="s">
        <v>404</v>
      </c>
      <c r="L29" s="543"/>
      <c r="M29" s="543">
        <v>63.079709550837229</v>
      </c>
      <c r="N29" s="543">
        <v>75.695651461004672</v>
      </c>
      <c r="O29" s="543">
        <v>88.311593371172108</v>
      </c>
      <c r="P29" s="543">
        <v>100.92753528133957</v>
      </c>
      <c r="Q29" s="543">
        <v>113.54347719150701</v>
      </c>
      <c r="R29" s="543">
        <v>126.15941910167446</v>
      </c>
      <c r="S29" s="543">
        <v>138.77536101184191</v>
      </c>
      <c r="T29" s="543">
        <v>151.39130292200934</v>
      </c>
      <c r="U29" s="543">
        <v>164.00724483217678</v>
      </c>
      <c r="V29" s="543">
        <v>176.62318674234422</v>
      </c>
      <c r="W29" s="543">
        <v>189.23912865251168</v>
      </c>
      <c r="X29" s="543">
        <v>201.85507056267915</v>
      </c>
      <c r="Y29" s="543">
        <v>1589.6086806810981</v>
      </c>
      <c r="Z29" s="543">
        <v>121.4964646747968</v>
      </c>
      <c r="AA29" s="543">
        <v>121.88110085886683</v>
      </c>
      <c r="AB29" s="543">
        <v>203.77825788773461</v>
      </c>
      <c r="AC29" s="543">
        <v>204.42338358517921</v>
      </c>
      <c r="AD29" s="543">
        <v>205.07055163576692</v>
      </c>
      <c r="AE29" s="543">
        <v>205.71976850522435</v>
      </c>
      <c r="AF29" s="543">
        <v>206.37104067974741</v>
      </c>
      <c r="AG29" s="543">
        <v>207.02437466606617</v>
      </c>
      <c r="AH29" s="543">
        <v>207.67977699150978</v>
      </c>
      <c r="AI29" s="543">
        <v>208.33725420407183</v>
      </c>
      <c r="AJ29" s="543">
        <v>289.99445598900689</v>
      </c>
      <c r="AK29" s="543">
        <v>290.91252682548463</v>
      </c>
      <c r="AL29" s="543">
        <v>2472.6889565034558</v>
      </c>
      <c r="AM29" s="543">
        <v>175.07987810594716</v>
      </c>
      <c r="AN29" s="543">
        <v>175.6138637966005</v>
      </c>
      <c r="AO29" s="543">
        <v>211.5826627935046</v>
      </c>
      <c r="AP29" s="543">
        <v>212.22798032253377</v>
      </c>
      <c r="AQ29" s="543">
        <v>212.87526604076979</v>
      </c>
      <c r="AR29" s="543">
        <v>213.52452595110054</v>
      </c>
      <c r="AS29" s="543">
        <v>214.17576607472242</v>
      </c>
      <c r="AT29" s="543">
        <v>214.82899245119614</v>
      </c>
      <c r="AU29" s="543">
        <v>215.4842111385029</v>
      </c>
      <c r="AV29" s="543">
        <v>216.14142821310037</v>
      </c>
      <c r="AW29" s="543">
        <v>252.01868004675646</v>
      </c>
      <c r="AX29" s="543">
        <v>252.78732559516644</v>
      </c>
      <c r="AY29" s="543">
        <v>2566.3405805299008</v>
      </c>
      <c r="AZ29" s="543">
        <v>152.11865637608082</v>
      </c>
      <c r="BA29" s="543">
        <v>152.56623041511784</v>
      </c>
      <c r="BB29" s="543">
        <v>219.38702932947234</v>
      </c>
      <c r="BC29" s="543">
        <v>220.03252503110784</v>
      </c>
      <c r="BD29" s="543">
        <v>220.67991995487193</v>
      </c>
      <c r="BE29" s="543">
        <v>221.32921968878745</v>
      </c>
      <c r="BF29" s="543">
        <v>221.98042983731858</v>
      </c>
      <c r="BG29" s="543">
        <v>222.63355602141948</v>
      </c>
      <c r="BH29" s="543">
        <v>223.28860387858262</v>
      </c>
      <c r="BI29" s="543">
        <v>223.94557906288745</v>
      </c>
      <c r="BJ29" s="543">
        <v>290.58754419138251</v>
      </c>
      <c r="BK29" s="543">
        <v>291.44253097568622</v>
      </c>
      <c r="BL29" s="543">
        <v>2659.9918247627152</v>
      </c>
      <c r="BM29" s="543">
        <v>175.36247390088261</v>
      </c>
      <c r="BN29" s="543">
        <v>175.86084152786907</v>
      </c>
      <c r="BO29" s="543">
        <v>227.19136136404549</v>
      </c>
      <c r="BP29" s="543">
        <v>227.83702298774509</v>
      </c>
      <c r="BQ29" s="543">
        <v>228.48451953566808</v>
      </c>
      <c r="BR29" s="543">
        <v>229.13385622253813</v>
      </c>
      <c r="BS29" s="543">
        <v>229.78503827789865</v>
      </c>
      <c r="BT29" s="543">
        <v>230.43807094615511</v>
      </c>
      <c r="BU29" s="543">
        <v>231.09295948661722</v>
      </c>
      <c r="BV29" s="543">
        <v>231.74970917354122</v>
      </c>
      <c r="BW29" s="543">
        <v>282.95137349955951</v>
      </c>
      <c r="BX29" s="543">
        <v>283.75550109554246</v>
      </c>
      <c r="BY29" s="543">
        <v>2753.6427280180624</v>
      </c>
    </row>
    <row r="30" spans="1:77">
      <c r="A30"/>
      <c r="B30" s="542" t="s">
        <v>405</v>
      </c>
      <c r="C30" s="543">
        <v>0</v>
      </c>
      <c r="D30" s="543">
        <v>71.929780857363212</v>
      </c>
      <c r="E30" s="543">
        <v>111.8891567033392</v>
      </c>
      <c r="F30" s="543">
        <v>116.12689198688844</v>
      </c>
      <c r="G30" s="543">
        <v>120.36461008477865</v>
      </c>
      <c r="H30" s="543">
        <v>124.6023127534411</v>
      </c>
      <c r="I30" s="544">
        <v>108.98255047716211</v>
      </c>
      <c r="J30" s="28"/>
      <c r="K30" s="542" t="s">
        <v>405</v>
      </c>
      <c r="L30" s="543"/>
      <c r="M30" s="543">
        <v>2.8543563832286991</v>
      </c>
      <c r="N30" s="543">
        <v>3.4252276598744387</v>
      </c>
      <c r="O30" s="543">
        <v>3.9960989365201787</v>
      </c>
      <c r="P30" s="543">
        <v>4.5669702131659191</v>
      </c>
      <c r="Q30" s="543">
        <v>5.1378414898116587</v>
      </c>
      <c r="R30" s="543">
        <v>5.7087127664573982</v>
      </c>
      <c r="S30" s="543">
        <v>6.2795840431031387</v>
      </c>
      <c r="T30" s="543">
        <v>6.8504553197488773</v>
      </c>
      <c r="U30" s="543">
        <v>7.4213265963946178</v>
      </c>
      <c r="V30" s="543">
        <v>7.9921978730403573</v>
      </c>
      <c r="W30" s="543">
        <v>8.5630691496860969</v>
      </c>
      <c r="X30" s="543">
        <v>9.1339404263318382</v>
      </c>
      <c r="Y30" s="543">
        <v>71.929780857363212</v>
      </c>
      <c r="Z30" s="543">
        <v>5.4977141136760919</v>
      </c>
      <c r="AA30" s="543">
        <v>5.5151188981153139</v>
      </c>
      <c r="AB30" s="543">
        <v>9.2209646383408135</v>
      </c>
      <c r="AC30" s="543">
        <v>9.2501565713030569</v>
      </c>
      <c r="AD30" s="543">
        <v>9.2794409207296802</v>
      </c>
      <c r="AE30" s="543">
        <v>9.3088179791947674</v>
      </c>
      <c r="AF30" s="543">
        <v>9.3382880401986306</v>
      </c>
      <c r="AG30" s="543">
        <v>9.3678513981707567</v>
      </c>
      <c r="AH30" s="543">
        <v>9.3975083484727424</v>
      </c>
      <c r="AI30" s="543">
        <v>9.4272591874012495</v>
      </c>
      <c r="AJ30" s="543">
        <v>13.122246954641687</v>
      </c>
      <c r="AK30" s="543">
        <v>13.163789653094417</v>
      </c>
      <c r="AL30" s="543">
        <v>111.8891567033392</v>
      </c>
      <c r="AM30" s="543">
        <v>7.9223631688389737</v>
      </c>
      <c r="AN30" s="543">
        <v>7.9465260173289574</v>
      </c>
      <c r="AO30" s="543">
        <v>9.574113901688845</v>
      </c>
      <c r="AP30" s="543">
        <v>9.6033145150288473</v>
      </c>
      <c r="AQ30" s="543">
        <v>9.6326041889156748</v>
      </c>
      <c r="AR30" s="543">
        <v>9.6619831949799551</v>
      </c>
      <c r="AS30" s="543">
        <v>9.6914518056807797</v>
      </c>
      <c r="AT30" s="543">
        <v>9.7210102943082273</v>
      </c>
      <c r="AU30" s="543">
        <v>9.7506589349859016</v>
      </c>
      <c r="AV30" s="543">
        <v>9.7803980026734649</v>
      </c>
      <c r="AW30" s="543">
        <v>11.403843378584213</v>
      </c>
      <c r="AX30" s="543">
        <v>11.43862458387458</v>
      </c>
      <c r="AY30" s="543">
        <v>116.12689198688844</v>
      </c>
      <c r="AZ30" s="543">
        <v>6.8833680580806726</v>
      </c>
      <c r="BA30" s="543">
        <v>6.9036207799842702</v>
      </c>
      <c r="BB30" s="543">
        <v>9.927261428803611</v>
      </c>
      <c r="BC30" s="543">
        <v>9.9564701044527126</v>
      </c>
      <c r="BD30" s="543">
        <v>9.9857647198888646</v>
      </c>
      <c r="BE30" s="543">
        <v>10.015145527970056</v>
      </c>
      <c r="BF30" s="543">
        <v>10.044612782298252</v>
      </c>
      <c r="BG30" s="543">
        <v>10.074166737221582</v>
      </c>
      <c r="BH30" s="543">
        <v>10.10380764783654</v>
      </c>
      <c r="BI30" s="543">
        <v>10.133535769990178</v>
      </c>
      <c r="BJ30" s="543">
        <v>13.149084191343039</v>
      </c>
      <c r="BK30" s="543">
        <v>13.187772336908877</v>
      </c>
      <c r="BL30" s="543">
        <v>120.36461008477865</v>
      </c>
      <c r="BM30" s="543">
        <v>7.9351506264365304</v>
      </c>
      <c r="BN30" s="543">
        <v>7.9577017578132043</v>
      </c>
      <c r="BO30" s="543">
        <v>10.280407394730533</v>
      </c>
      <c r="BP30" s="543">
        <v>10.30962357835179</v>
      </c>
      <c r="BQ30" s="543">
        <v>10.338922792280368</v>
      </c>
      <c r="BR30" s="543">
        <v>10.368305272482473</v>
      </c>
      <c r="BS30" s="543">
        <v>10.397771255594909</v>
      </c>
      <c r="BT30" s="543">
        <v>10.42732097892698</v>
      </c>
      <c r="BU30" s="543">
        <v>10.456954680462415</v>
      </c>
      <c r="BV30" s="543">
        <v>10.486672598861265</v>
      </c>
      <c r="BW30" s="543">
        <v>12.803547524912091</v>
      </c>
      <c r="BX30" s="543">
        <v>12.839934292588541</v>
      </c>
      <c r="BY30" s="543">
        <v>124.6023127534411</v>
      </c>
    </row>
    <row r="31" spans="1:77">
      <c r="A31"/>
      <c r="B31" s="542" t="s">
        <v>261</v>
      </c>
      <c r="C31" s="543">
        <v>0</v>
      </c>
      <c r="D31" s="543">
        <v>1161413723.0769229</v>
      </c>
      <c r="E31" s="543">
        <v>1863478235.0439858</v>
      </c>
      <c r="F31" s="543">
        <v>1990388182.1399853</v>
      </c>
      <c r="G31" s="543">
        <v>2118628822.9973555</v>
      </c>
      <c r="H31" s="543">
        <v>2253662988.6790466</v>
      </c>
      <c r="I31" s="544">
        <v>1877514390.3874593</v>
      </c>
      <c r="J31" s="20"/>
      <c r="K31" s="542" t="s">
        <v>261</v>
      </c>
      <c r="L31" s="543"/>
      <c r="M31" s="543">
        <v>46087846.153846152</v>
      </c>
      <c r="N31" s="543">
        <v>55305415.384615377</v>
      </c>
      <c r="O31" s="543">
        <v>64522984.615384601</v>
      </c>
      <c r="P31" s="543">
        <v>73740553.84615384</v>
      </c>
      <c r="Q31" s="543">
        <v>82958123.076923072</v>
      </c>
      <c r="R31" s="543">
        <v>92175692.307692304</v>
      </c>
      <c r="S31" s="543">
        <v>101393261.53846154</v>
      </c>
      <c r="T31" s="543">
        <v>110610830.76923075</v>
      </c>
      <c r="U31" s="543">
        <v>119828399.99999999</v>
      </c>
      <c r="V31" s="543">
        <v>129045969.2307692</v>
      </c>
      <c r="W31" s="543">
        <v>138263538.46153843</v>
      </c>
      <c r="X31" s="543">
        <v>147481107.69230768</v>
      </c>
      <c r="Y31" s="543">
        <v>1161413723.0769229</v>
      </c>
      <c r="Z31" s="543">
        <v>91562675.912310168</v>
      </c>
      <c r="AA31" s="543">
        <v>91852547.048564374</v>
      </c>
      <c r="AB31" s="543">
        <v>153572226.44207788</v>
      </c>
      <c r="AC31" s="543">
        <v>154058408.77928355</v>
      </c>
      <c r="AD31" s="543">
        <v>154546130.28324148</v>
      </c>
      <c r="AE31" s="543">
        <v>155035395.82667971</v>
      </c>
      <c r="AF31" s="543">
        <v>155526210.29775238</v>
      </c>
      <c r="AG31" s="543">
        <v>156018578.60008875</v>
      </c>
      <c r="AH31" s="543">
        <v>156512505.65284204</v>
      </c>
      <c r="AI31" s="543">
        <v>157007996.3907387</v>
      </c>
      <c r="AJ31" s="543">
        <v>218546839.7056677</v>
      </c>
      <c r="AK31" s="543">
        <v>219238720.10473901</v>
      </c>
      <c r="AL31" s="543">
        <v>1863478235.0439858</v>
      </c>
      <c r="AM31" s="543">
        <v>135787480.02365005</v>
      </c>
      <c r="AN31" s="543">
        <v>136201625.68154582</v>
      </c>
      <c r="AO31" s="543">
        <v>164098107.15105686</v>
      </c>
      <c r="AP31" s="543">
        <v>164598598.93817663</v>
      </c>
      <c r="AQ31" s="543">
        <v>165100617.20255637</v>
      </c>
      <c r="AR31" s="543">
        <v>165604166.5998826</v>
      </c>
      <c r="AS31" s="543">
        <v>166109251.80004129</v>
      </c>
      <c r="AT31" s="543">
        <v>166615877.48716149</v>
      </c>
      <c r="AU31" s="543">
        <v>167124048.3596586</v>
      </c>
      <c r="AV31" s="543">
        <v>167633769.13027799</v>
      </c>
      <c r="AW31" s="543">
        <v>195459248.95907936</v>
      </c>
      <c r="AX31" s="543">
        <v>196055390.80689827</v>
      </c>
      <c r="AY31" s="543">
        <v>1990388182.1399853</v>
      </c>
      <c r="AZ31" s="543">
        <v>121159383.61680661</v>
      </c>
      <c r="BA31" s="543">
        <v>121515867.14081661</v>
      </c>
      <c r="BB31" s="543">
        <v>174737260.24351552</v>
      </c>
      <c r="BC31" s="543">
        <v>175251384.30430201</v>
      </c>
      <c r="BD31" s="543">
        <v>175767021.05648306</v>
      </c>
      <c r="BE31" s="543">
        <v>176284174.950804</v>
      </c>
      <c r="BF31" s="543">
        <v>176802850.45110542</v>
      </c>
      <c r="BG31" s="543">
        <v>177323052.03436175</v>
      </c>
      <c r="BH31" s="543">
        <v>177844784.19071987</v>
      </c>
      <c r="BI31" s="543">
        <v>178368051.42353791</v>
      </c>
      <c r="BJ31" s="543">
        <v>231447007.09100848</v>
      </c>
      <c r="BK31" s="543">
        <v>232127986.49389416</v>
      </c>
      <c r="BL31" s="543">
        <v>2118628822.9973555</v>
      </c>
      <c r="BM31" s="543">
        <v>143521856.70726636</v>
      </c>
      <c r="BN31" s="543">
        <v>143929735.57414594</v>
      </c>
      <c r="BO31" s="543">
        <v>185940157.46635288</v>
      </c>
      <c r="BP31" s="543">
        <v>186468586.11460727</v>
      </c>
      <c r="BQ31" s="543">
        <v>186998516.51934132</v>
      </c>
      <c r="BR31" s="543">
        <v>187529952.94843963</v>
      </c>
      <c r="BS31" s="543">
        <v>188062899.68191591</v>
      </c>
      <c r="BT31" s="543">
        <v>188597361.01194736</v>
      </c>
      <c r="BU31" s="543">
        <v>189133341.24290919</v>
      </c>
      <c r="BV31" s="543">
        <v>189670844.69140938</v>
      </c>
      <c r="BW31" s="543">
        <v>231575807.40724027</v>
      </c>
      <c r="BX31" s="543">
        <v>232233929.3134712</v>
      </c>
      <c r="BY31" s="543">
        <v>2253662988.6790466</v>
      </c>
    </row>
    <row r="32" spans="1:77">
      <c r="A32"/>
      <c r="B32" s="542" t="s">
        <v>406</v>
      </c>
      <c r="C32" s="543">
        <v>0</v>
      </c>
      <c r="D32" s="543">
        <v>1111134878.1874068</v>
      </c>
      <c r="E32" s="543">
        <v>1782806264.9500346</v>
      </c>
      <c r="F32" s="543">
        <v>1904222144.4126062</v>
      </c>
      <c r="G32" s="543">
        <v>2026911110.4773638</v>
      </c>
      <c r="H32" s="543">
        <v>2156099502.3954148</v>
      </c>
      <c r="I32" s="544">
        <v>1796234780.0845654</v>
      </c>
      <c r="J32" s="20"/>
      <c r="K32" s="542" t="s">
        <v>406</v>
      </c>
      <c r="L32" s="543"/>
      <c r="M32" s="543">
        <v>44092653.89632567</v>
      </c>
      <c r="N32" s="543">
        <v>52911184.675590806</v>
      </c>
      <c r="O32" s="543">
        <v>61729715.454855934</v>
      </c>
      <c r="P32" s="543">
        <v>70548246.234121069</v>
      </c>
      <c r="Q32" s="543">
        <v>79366777.013386205</v>
      </c>
      <c r="R32" s="543">
        <v>88185307.79265134</v>
      </c>
      <c r="S32" s="543">
        <v>97003838.571916476</v>
      </c>
      <c r="T32" s="543">
        <v>105822369.35118161</v>
      </c>
      <c r="U32" s="543">
        <v>114640900.13044675</v>
      </c>
      <c r="V32" s="543">
        <v>123459430.90971187</v>
      </c>
      <c r="W32" s="543">
        <v>132277961.688977</v>
      </c>
      <c r="X32" s="543">
        <v>141096492.46824214</v>
      </c>
      <c r="Y32" s="543">
        <v>1111134878.1874068</v>
      </c>
      <c r="Z32" s="543">
        <v>87598829.534063816</v>
      </c>
      <c r="AA32" s="543">
        <v>87876151.838142127</v>
      </c>
      <c r="AB32" s="543">
        <v>146923920.15879878</v>
      </c>
      <c r="AC32" s="543">
        <v>147389055.1415306</v>
      </c>
      <c r="AD32" s="543">
        <v>147855662.65883631</v>
      </c>
      <c r="AE32" s="543">
        <v>148323747.37249824</v>
      </c>
      <c r="AF32" s="543">
        <v>148793313.95905721</v>
      </c>
      <c r="AG32" s="543">
        <v>149264367.10985902</v>
      </c>
      <c r="AH32" s="543">
        <v>149736911.53110155</v>
      </c>
      <c r="AI32" s="543">
        <v>150210951.94388157</v>
      </c>
      <c r="AJ32" s="543">
        <v>209085712.77361801</v>
      </c>
      <c r="AK32" s="543">
        <v>209747640.92864758</v>
      </c>
      <c r="AL32" s="543">
        <v>1782806264.9500346</v>
      </c>
      <c r="AM32" s="543">
        <v>129909094.47473469</v>
      </c>
      <c r="AN32" s="543">
        <v>130305311.32321376</v>
      </c>
      <c r="AO32" s="543">
        <v>156994124.21011764</v>
      </c>
      <c r="AP32" s="543">
        <v>157472949.17133975</v>
      </c>
      <c r="AQ32" s="543">
        <v>157953234.52698514</v>
      </c>
      <c r="AR32" s="543">
        <v>158434984.73119068</v>
      </c>
      <c r="AS32" s="543">
        <v>158918204.25167796</v>
      </c>
      <c r="AT32" s="543">
        <v>159402897.56979507</v>
      </c>
      <c r="AU32" s="543">
        <v>159889069.180558</v>
      </c>
      <c r="AV32" s="543">
        <v>160376723.59269229</v>
      </c>
      <c r="AW32" s="543">
        <v>186997608.57601324</v>
      </c>
      <c r="AX32" s="543">
        <v>187567942.80428791</v>
      </c>
      <c r="AY32" s="543">
        <v>1904222144.4126062</v>
      </c>
      <c r="AZ32" s="543">
        <v>115914264.0399172</v>
      </c>
      <c r="BA32" s="543">
        <v>116255315.01008938</v>
      </c>
      <c r="BB32" s="543">
        <v>167172696.96202859</v>
      </c>
      <c r="BC32" s="543">
        <v>167664564.04117915</v>
      </c>
      <c r="BD32" s="543">
        <v>168157878.32569247</v>
      </c>
      <c r="BE32" s="543">
        <v>168652644.07363632</v>
      </c>
      <c r="BF32" s="543">
        <v>169148865.55560693</v>
      </c>
      <c r="BG32" s="543">
        <v>169646547.05476564</v>
      </c>
      <c r="BH32" s="543">
        <v>170145692.86687607</v>
      </c>
      <c r="BI32" s="543">
        <v>170646307.30034116</v>
      </c>
      <c r="BJ32" s="543">
        <v>221427418.08628929</v>
      </c>
      <c r="BK32" s="543">
        <v>222078917.16094193</v>
      </c>
      <c r="BL32" s="543">
        <v>2026911110.4773638</v>
      </c>
      <c r="BM32" s="543">
        <v>137308641.70191717</v>
      </c>
      <c r="BN32" s="543">
        <v>137698863.05547994</v>
      </c>
      <c r="BO32" s="543">
        <v>177890608.75668627</v>
      </c>
      <c r="BP32" s="543">
        <v>178396161.16238141</v>
      </c>
      <c r="BQ32" s="543">
        <v>178903150.31190857</v>
      </c>
      <c r="BR32" s="543">
        <v>179411580.28839111</v>
      </c>
      <c r="BS32" s="543">
        <v>179921455.18655634</v>
      </c>
      <c r="BT32" s="543">
        <v>180432779.1127685</v>
      </c>
      <c r="BU32" s="543">
        <v>180945556.18506181</v>
      </c>
      <c r="BV32" s="543">
        <v>181459790.53317359</v>
      </c>
      <c r="BW32" s="543">
        <v>221550642.49878162</v>
      </c>
      <c r="BX32" s="543">
        <v>222180273.60230866</v>
      </c>
      <c r="BY32" s="543">
        <v>2156099502.3954148</v>
      </c>
    </row>
    <row r="33" spans="1:77">
      <c r="A33"/>
      <c r="B33" s="542" t="s">
        <v>407</v>
      </c>
      <c r="C33" s="543">
        <v>0</v>
      </c>
      <c r="D33" s="543">
        <v>50278844.889516026</v>
      </c>
      <c r="E33" s="543">
        <v>80671970.093950853</v>
      </c>
      <c r="F33" s="543">
        <v>86166037.727379218</v>
      </c>
      <c r="G33" s="543">
        <v>91717712.519991249</v>
      </c>
      <c r="H33" s="543">
        <v>97563486.283631623</v>
      </c>
      <c r="I33" s="544">
        <v>81279610.302893788</v>
      </c>
      <c r="J33" s="20"/>
      <c r="K33" s="542" t="s">
        <v>407</v>
      </c>
      <c r="L33" s="543"/>
      <c r="M33" s="543">
        <v>1995192.2575204775</v>
      </c>
      <c r="N33" s="543">
        <v>2394230.7090245727</v>
      </c>
      <c r="O33" s="543">
        <v>2793269.1605286682</v>
      </c>
      <c r="P33" s="543">
        <v>3192307.6120327641</v>
      </c>
      <c r="Q33" s="543">
        <v>3591346.0635368596</v>
      </c>
      <c r="R33" s="543">
        <v>3990384.515040955</v>
      </c>
      <c r="S33" s="543">
        <v>4389422.966545051</v>
      </c>
      <c r="T33" s="543">
        <v>4788461.4180491455</v>
      </c>
      <c r="U33" s="543">
        <v>5187499.8695532409</v>
      </c>
      <c r="V33" s="543">
        <v>5586538.3210573364</v>
      </c>
      <c r="W33" s="543">
        <v>5985576.7725614319</v>
      </c>
      <c r="X33" s="543">
        <v>6384615.2240655283</v>
      </c>
      <c r="Y33" s="543">
        <v>50278844.889516026</v>
      </c>
      <c r="Z33" s="543">
        <v>3963846.3782463488</v>
      </c>
      <c r="AA33" s="543">
        <v>3976395.210422243</v>
      </c>
      <c r="AB33" s="543">
        <v>6648306.2832790883</v>
      </c>
      <c r="AC33" s="543">
        <v>6669353.6377529325</v>
      </c>
      <c r="AD33" s="543">
        <v>6690467.6244051792</v>
      </c>
      <c r="AE33" s="543">
        <v>6711648.4541814476</v>
      </c>
      <c r="AF33" s="543">
        <v>6732896.3386951722</v>
      </c>
      <c r="AG33" s="543">
        <v>6754211.4902297165</v>
      </c>
      <c r="AH33" s="543">
        <v>6775594.1217404986</v>
      </c>
      <c r="AI33" s="543">
        <v>6797044.4468571125</v>
      </c>
      <c r="AJ33" s="543">
        <v>9461126.932049701</v>
      </c>
      <c r="AK33" s="543">
        <v>9491079.1760914214</v>
      </c>
      <c r="AL33" s="543">
        <v>80671970.093950853</v>
      </c>
      <c r="AM33" s="543">
        <v>5878385.5489153499</v>
      </c>
      <c r="AN33" s="543">
        <v>5896314.3583320687</v>
      </c>
      <c r="AO33" s="543">
        <v>7103982.9409392215</v>
      </c>
      <c r="AP33" s="543">
        <v>7125649.766836891</v>
      </c>
      <c r="AQ33" s="543">
        <v>7147382.6755712414</v>
      </c>
      <c r="AR33" s="543">
        <v>7169181.8686919324</v>
      </c>
      <c r="AS33" s="543">
        <v>7191047.5483633326</v>
      </c>
      <c r="AT33" s="543">
        <v>7212979.9173664106</v>
      </c>
      <c r="AU33" s="543">
        <v>7234979.1791006029</v>
      </c>
      <c r="AV33" s="543">
        <v>7257045.5375857092</v>
      </c>
      <c r="AW33" s="543">
        <v>8461640.3830661085</v>
      </c>
      <c r="AX33" s="543">
        <v>8487448.0026103556</v>
      </c>
      <c r="AY33" s="543">
        <v>86166037.727379218</v>
      </c>
      <c r="AZ33" s="543">
        <v>5245119.5768894143</v>
      </c>
      <c r="BA33" s="543">
        <v>5260552.1307272334</v>
      </c>
      <c r="BB33" s="543">
        <v>7564563.2814869238</v>
      </c>
      <c r="BC33" s="543">
        <v>7586820.2631228631</v>
      </c>
      <c r="BD33" s="543">
        <v>7609142.7307905955</v>
      </c>
      <c r="BE33" s="543">
        <v>7631530.8771676552</v>
      </c>
      <c r="BF33" s="543">
        <v>7653984.8954984853</v>
      </c>
      <c r="BG33" s="543">
        <v>7676504.9795961082</v>
      </c>
      <c r="BH33" s="543">
        <v>7699091.3238437949</v>
      </c>
      <c r="BI33" s="543">
        <v>7721744.1231967453</v>
      </c>
      <c r="BJ33" s="543">
        <v>10019589.004719205</v>
      </c>
      <c r="BK33" s="543">
        <v>10049069.332952227</v>
      </c>
      <c r="BL33" s="543">
        <v>91717712.519991249</v>
      </c>
      <c r="BM33" s="543">
        <v>6213215.0053491769</v>
      </c>
      <c r="BN33" s="543">
        <v>6230872.5186659815</v>
      </c>
      <c r="BO33" s="543">
        <v>8049548.7096666135</v>
      </c>
      <c r="BP33" s="543">
        <v>8072424.9522258723</v>
      </c>
      <c r="BQ33" s="543">
        <v>8095366.2074327357</v>
      </c>
      <c r="BR33" s="543">
        <v>8118372.6600485044</v>
      </c>
      <c r="BS33" s="543">
        <v>8141444.4953595577</v>
      </c>
      <c r="BT33" s="543">
        <v>8164581.8991788477</v>
      </c>
      <c r="BU33" s="543">
        <v>8187785.05784739</v>
      </c>
      <c r="BV33" s="543">
        <v>8211054.1582357716</v>
      </c>
      <c r="BW33" s="543">
        <v>10025164.908458643</v>
      </c>
      <c r="BX33" s="543">
        <v>10053655.711162534</v>
      </c>
      <c r="BY33" s="543">
        <v>97563486.283631623</v>
      </c>
    </row>
    <row r="34" spans="1:77">
      <c r="A34"/>
      <c r="B34" s="545" t="s">
        <v>408</v>
      </c>
      <c r="C34" s="546">
        <v>0</v>
      </c>
      <c r="D34" s="546">
        <v>2513942.2444758019</v>
      </c>
      <c r="E34" s="546">
        <v>4033598.5046975436</v>
      </c>
      <c r="F34" s="546">
        <v>4308301.8863689611</v>
      </c>
      <c r="G34" s="546">
        <v>4585885.6259995624</v>
      </c>
      <c r="H34" s="546">
        <v>4878174.3141815811</v>
      </c>
      <c r="I34" s="547">
        <v>4063980.5151446899</v>
      </c>
      <c r="J34" s="20"/>
      <c r="K34" s="545" t="s">
        <v>408</v>
      </c>
      <c r="L34" s="546"/>
      <c r="M34" s="546">
        <v>99759.612876023879</v>
      </c>
      <c r="N34" s="546">
        <v>119711.53545122864</v>
      </c>
      <c r="O34" s="546">
        <v>139663.45802643342</v>
      </c>
      <c r="P34" s="546">
        <v>159615.38060163823</v>
      </c>
      <c r="Q34" s="546">
        <v>179567.30317684298</v>
      </c>
      <c r="R34" s="546">
        <v>199519.22575204776</v>
      </c>
      <c r="S34" s="546">
        <v>219471.14832725257</v>
      </c>
      <c r="T34" s="546">
        <v>239423.07090245729</v>
      </c>
      <c r="U34" s="546">
        <v>259374.99347766206</v>
      </c>
      <c r="V34" s="546">
        <v>279326.91605286684</v>
      </c>
      <c r="W34" s="546">
        <v>299278.83862807159</v>
      </c>
      <c r="X34" s="546">
        <v>319230.76120327646</v>
      </c>
      <c r="Y34" s="546">
        <v>2513942.2444758019</v>
      </c>
      <c r="Z34" s="546">
        <v>198192.31891231745</v>
      </c>
      <c r="AA34" s="546">
        <v>198819.76052111216</v>
      </c>
      <c r="AB34" s="546">
        <v>332415.31416395446</v>
      </c>
      <c r="AC34" s="546">
        <v>333467.68188764667</v>
      </c>
      <c r="AD34" s="546">
        <v>334523.38122025901</v>
      </c>
      <c r="AE34" s="546">
        <v>335582.42270907242</v>
      </c>
      <c r="AF34" s="546">
        <v>336644.81693475862</v>
      </c>
      <c r="AG34" s="546">
        <v>337710.57451148587</v>
      </c>
      <c r="AH34" s="546">
        <v>338779.70608702494</v>
      </c>
      <c r="AI34" s="546">
        <v>339852.22234285565</v>
      </c>
      <c r="AJ34" s="546">
        <v>473056.34660248505</v>
      </c>
      <c r="AK34" s="546">
        <v>474553.95880457107</v>
      </c>
      <c r="AL34" s="546">
        <v>4033598.5046975436</v>
      </c>
      <c r="AM34" s="546">
        <v>293919.27744576748</v>
      </c>
      <c r="AN34" s="546">
        <v>294815.71791660343</v>
      </c>
      <c r="AO34" s="546">
        <v>355199.14704696112</v>
      </c>
      <c r="AP34" s="546">
        <v>356282.48834184458</v>
      </c>
      <c r="AQ34" s="546">
        <v>357369.13377856207</v>
      </c>
      <c r="AR34" s="546">
        <v>358459.09343459667</v>
      </c>
      <c r="AS34" s="546">
        <v>359552.37741816667</v>
      </c>
      <c r="AT34" s="546">
        <v>360648.99586832058</v>
      </c>
      <c r="AU34" s="546">
        <v>361748.95895503019</v>
      </c>
      <c r="AV34" s="546">
        <v>362852.27687928546</v>
      </c>
      <c r="AW34" s="546">
        <v>423082.01915330545</v>
      </c>
      <c r="AX34" s="546">
        <v>424372.40013051778</v>
      </c>
      <c r="AY34" s="546">
        <v>4308301.8863689611</v>
      </c>
      <c r="AZ34" s="546">
        <v>262255.97884447075</v>
      </c>
      <c r="BA34" s="546">
        <v>263027.60653636168</v>
      </c>
      <c r="BB34" s="546">
        <v>378228.16407434619</v>
      </c>
      <c r="BC34" s="546">
        <v>379341.01315614319</v>
      </c>
      <c r="BD34" s="546">
        <v>380457.13653952978</v>
      </c>
      <c r="BE34" s="546">
        <v>381576.54385838279</v>
      </c>
      <c r="BF34" s="546">
        <v>382699.2447749243</v>
      </c>
      <c r="BG34" s="546">
        <v>383825.24897980544</v>
      </c>
      <c r="BH34" s="546">
        <v>384954.56619218976</v>
      </c>
      <c r="BI34" s="546">
        <v>386087.20615983731</v>
      </c>
      <c r="BJ34" s="546">
        <v>500979.45023596031</v>
      </c>
      <c r="BK34" s="546">
        <v>502453.46664761141</v>
      </c>
      <c r="BL34" s="546">
        <v>4585885.6259995624</v>
      </c>
      <c r="BM34" s="546">
        <v>310660.75026745885</v>
      </c>
      <c r="BN34" s="546">
        <v>311543.62593329907</v>
      </c>
      <c r="BO34" s="546">
        <v>402477.43548333069</v>
      </c>
      <c r="BP34" s="546">
        <v>403621.24761129363</v>
      </c>
      <c r="BQ34" s="546">
        <v>404768.31037163682</v>
      </c>
      <c r="BR34" s="546">
        <v>405918.63300242525</v>
      </c>
      <c r="BS34" s="546">
        <v>407072.2247679779</v>
      </c>
      <c r="BT34" s="546">
        <v>408229.09495894238</v>
      </c>
      <c r="BU34" s="546">
        <v>409389.25289236952</v>
      </c>
      <c r="BV34" s="546">
        <v>410552.7079117886</v>
      </c>
      <c r="BW34" s="546">
        <v>501258.24542293214</v>
      </c>
      <c r="BX34" s="546">
        <v>502682.78555812669</v>
      </c>
      <c r="BY34" s="546">
        <v>4878174.3141815811</v>
      </c>
    </row>
    <row r="36" spans="1:77">
      <c r="D36" s="46"/>
      <c r="E36" s="46"/>
      <c r="F36" s="46"/>
      <c r="G36" s="46"/>
      <c r="H36" s="46"/>
      <c r="I36" s="46"/>
    </row>
    <row r="37" spans="1:77">
      <c r="B37" s="206"/>
      <c r="C37" s="206"/>
      <c r="D37" s="206"/>
      <c r="E37" s="206"/>
      <c r="F37" s="206"/>
      <c r="G37" s="206"/>
      <c r="H37" s="206"/>
      <c r="I37" s="28"/>
      <c r="J37" s="28"/>
    </row>
    <row r="38" spans="1:77">
      <c r="B38" s="206"/>
      <c r="C38" s="206"/>
      <c r="D38" s="206"/>
      <c r="E38" s="206"/>
      <c r="F38" s="206"/>
      <c r="G38" s="206"/>
      <c r="H38" s="206"/>
      <c r="I38" s="28"/>
      <c r="J38" s="28"/>
    </row>
    <row r="39" spans="1:77">
      <c r="B39" s="206"/>
      <c r="C39" s="206"/>
      <c r="D39" s="206"/>
      <c r="E39" s="206"/>
      <c r="F39" s="206"/>
      <c r="G39" s="206"/>
      <c r="H39" s="206"/>
      <c r="I39" s="28"/>
      <c r="J39" s="28"/>
    </row>
    <row r="40" spans="1:77">
      <c r="B40" s="206"/>
      <c r="C40" s="206"/>
      <c r="D40" s="206"/>
      <c r="E40" s="206"/>
      <c r="F40" s="206"/>
      <c r="G40" s="206"/>
      <c r="H40" s="206"/>
      <c r="I40" s="28"/>
      <c r="J40" s="28"/>
    </row>
    <row r="41" spans="1:77">
      <c r="B41" s="206"/>
      <c r="C41" s="206"/>
      <c r="D41" s="206"/>
      <c r="E41" s="206"/>
      <c r="F41" s="206"/>
      <c r="G41" s="206"/>
      <c r="H41" s="206"/>
      <c r="I41" s="28"/>
      <c r="J41" s="28"/>
    </row>
    <row r="42" spans="1:77">
      <c r="B42" s="206"/>
      <c r="C42" s="206"/>
      <c r="D42" s="206"/>
      <c r="E42" s="206"/>
      <c r="F42" s="206"/>
      <c r="G42" s="206"/>
      <c r="H42" s="206"/>
      <c r="I42" s="28"/>
      <c r="J42" s="28"/>
    </row>
    <row r="43" spans="1:77">
      <c r="B43" s="206"/>
      <c r="C43" s="206"/>
      <c r="D43" s="206"/>
      <c r="E43" s="206"/>
      <c r="F43" s="206"/>
      <c r="G43" s="206"/>
      <c r="H43" s="206"/>
      <c r="I43" s="28"/>
      <c r="J43" s="28"/>
    </row>
    <row r="44" spans="1:77">
      <c r="B44" s="206"/>
      <c r="C44" s="206"/>
      <c r="D44" s="206"/>
      <c r="E44" s="206"/>
      <c r="F44" s="206"/>
      <c r="G44" s="206"/>
      <c r="H44" s="206"/>
      <c r="I44" s="28"/>
      <c r="J44" s="28"/>
    </row>
    <row r="45" spans="1:77">
      <c r="B45" s="206"/>
      <c r="C45" s="206"/>
      <c r="D45" s="206"/>
      <c r="E45" s="206"/>
      <c r="F45" s="206"/>
      <c r="G45" s="206"/>
      <c r="H45" s="206"/>
      <c r="I45" s="28"/>
      <c r="J45" s="28"/>
    </row>
    <row r="46" spans="1:77">
      <c r="B46" s="206"/>
      <c r="C46" s="206"/>
      <c r="D46" s="206"/>
      <c r="E46" s="206"/>
      <c r="F46" s="206"/>
      <c r="G46" s="206"/>
      <c r="H46" s="206"/>
      <c r="I46" s="28"/>
      <c r="J46" s="28"/>
    </row>
    <row r="47" spans="1:77">
      <c r="B47" s="206"/>
      <c r="C47" s="207"/>
      <c r="D47" s="207"/>
      <c r="E47" s="207"/>
      <c r="F47" s="207"/>
      <c r="G47" s="207"/>
      <c r="H47" s="207"/>
      <c r="I47" s="207"/>
      <c r="J47" s="28"/>
    </row>
    <row r="48" spans="1:77">
      <c r="B48" s="206"/>
      <c r="C48" s="207"/>
      <c r="D48" s="207"/>
      <c r="E48" s="207"/>
      <c r="F48" s="207"/>
      <c r="G48" s="207"/>
      <c r="H48" s="207"/>
      <c r="I48" s="207"/>
      <c r="J48" s="28"/>
    </row>
    <row r="49" spans="2:10">
      <c r="B49" s="206"/>
      <c r="C49" s="207"/>
      <c r="D49" s="207"/>
      <c r="E49" s="207"/>
      <c r="F49" s="207"/>
      <c r="G49" s="207"/>
      <c r="H49" s="207"/>
      <c r="I49" s="207"/>
      <c r="J49" s="28"/>
    </row>
    <row r="50" spans="2:10">
      <c r="B50" s="206"/>
      <c r="C50" s="207"/>
      <c r="D50" s="207"/>
      <c r="E50" s="207"/>
      <c r="F50" s="207"/>
      <c r="G50" s="207"/>
      <c r="H50" s="207"/>
      <c r="I50" s="207"/>
      <c r="J50" s="28"/>
    </row>
    <row r="51" spans="2:10">
      <c r="B51" s="206"/>
      <c r="C51" s="207"/>
      <c r="D51" s="207"/>
      <c r="E51" s="207"/>
      <c r="F51" s="207"/>
      <c r="G51" s="207"/>
      <c r="H51" s="207"/>
      <c r="I51" s="207"/>
      <c r="J51" s="28"/>
    </row>
    <row r="52" spans="2:10">
      <c r="B52" s="206"/>
      <c r="C52" s="207"/>
      <c r="D52" s="207"/>
      <c r="E52" s="207"/>
      <c r="F52" s="207"/>
      <c r="G52" s="207"/>
      <c r="H52" s="207"/>
      <c r="I52" s="207"/>
      <c r="J52" s="28"/>
    </row>
    <row r="53" spans="2:10">
      <c r="B53" s="206"/>
      <c r="C53" s="207"/>
      <c r="D53" s="207"/>
      <c r="E53" s="207"/>
      <c r="F53" s="207"/>
      <c r="G53" s="207"/>
      <c r="H53" s="207"/>
      <c r="I53" s="207"/>
      <c r="J53" s="28"/>
    </row>
    <row r="54" spans="2:10">
      <c r="B54" s="206"/>
      <c r="C54" s="206"/>
      <c r="D54" s="206"/>
      <c r="E54" s="206"/>
      <c r="F54" s="206"/>
      <c r="G54" s="206"/>
      <c r="H54" s="206"/>
      <c r="I54" s="28"/>
      <c r="J54" s="28"/>
    </row>
    <row r="55" spans="2:10">
      <c r="B55" s="206"/>
      <c r="C55" s="206"/>
      <c r="D55" s="206"/>
      <c r="E55" s="206"/>
      <c r="F55" s="206"/>
      <c r="G55" s="206"/>
      <c r="H55" s="206"/>
      <c r="I55" s="28"/>
      <c r="J55" s="28"/>
    </row>
    <row r="56" spans="2:10">
      <c r="B56" s="206"/>
      <c r="C56" s="206"/>
      <c r="D56" s="206"/>
      <c r="E56" s="206"/>
      <c r="F56" s="206"/>
      <c r="G56" s="206"/>
      <c r="H56" s="206"/>
      <c r="I56" s="28"/>
      <c r="J56" s="28"/>
    </row>
  </sheetData>
  <sheetProtection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2" tint="-0.249977111117893"/>
  </sheetPr>
  <dimension ref="A2:CP282"/>
  <sheetViews>
    <sheetView showGridLines="0" zoomScale="90" zoomScaleNormal="90" workbookViewId="0">
      <selection activeCell="B29" sqref="B29"/>
    </sheetView>
  </sheetViews>
  <sheetFormatPr baseColWidth="10" defaultRowHeight="15"/>
  <cols>
    <col min="1" max="1" width="2.28515625" style="20" customWidth="1"/>
    <col min="2" max="2" width="76" style="23" customWidth="1"/>
    <col min="3" max="3" width="21" style="23" customWidth="1"/>
    <col min="4" max="4" width="19.28515625" style="23" customWidth="1"/>
    <col min="5" max="5" width="20.28515625" style="23" bestFit="1" customWidth="1"/>
    <col min="6" max="6" width="21.5703125" style="23" bestFit="1" customWidth="1"/>
    <col min="7" max="8" width="22" style="23" bestFit="1" customWidth="1"/>
    <col min="9" max="9" width="21.42578125" style="23" bestFit="1" customWidth="1"/>
    <col min="10" max="10" width="11.42578125" style="20"/>
    <col min="11" max="11" width="78.7109375" style="20" customWidth="1"/>
    <col min="12" max="12" width="16.42578125" style="20" bestFit="1" customWidth="1"/>
    <col min="13" max="14" width="18.42578125" style="20" bestFit="1" customWidth="1"/>
    <col min="15" max="15" width="18" style="20" bestFit="1" customWidth="1"/>
    <col min="16" max="16" width="18.42578125" style="20" bestFit="1" customWidth="1"/>
    <col min="17" max="17" width="18" style="20" bestFit="1" customWidth="1"/>
    <col min="18" max="18" width="18.42578125" style="20" bestFit="1" customWidth="1"/>
    <col min="19" max="19" width="18.28515625" style="20" bestFit="1" customWidth="1"/>
    <col min="20" max="20" width="18.42578125" style="20" bestFit="1" customWidth="1"/>
    <col min="21" max="21" width="21.28515625" style="20" bestFit="1" customWidth="1"/>
    <col min="22" max="22" width="18" style="20" bestFit="1" customWidth="1"/>
    <col min="23" max="23" width="20.28515625" style="20" bestFit="1" customWidth="1"/>
    <col min="24" max="24" width="19.42578125" style="20" bestFit="1" customWidth="1"/>
    <col min="25" max="25" width="19.7109375" style="20" bestFit="1" customWidth="1"/>
    <col min="26" max="26" width="17.85546875" style="20" bestFit="1" customWidth="1"/>
    <col min="27" max="29" width="18.28515625" style="20" bestFit="1" customWidth="1"/>
    <col min="30" max="30" width="17.85546875" style="20" bestFit="1" customWidth="1"/>
    <col min="31" max="31" width="18.28515625" style="20" bestFit="1" customWidth="1"/>
    <col min="32" max="32" width="17.85546875" style="20" bestFit="1" customWidth="1"/>
    <col min="33" max="33" width="18.28515625" style="20" bestFit="1" customWidth="1"/>
    <col min="34" max="34" width="21.5703125" style="20" bestFit="1" customWidth="1"/>
    <col min="35" max="35" width="18.28515625" style="20" bestFit="1" customWidth="1"/>
    <col min="36" max="36" width="20.5703125" style="20" bestFit="1" customWidth="1"/>
    <col min="37" max="38" width="19.7109375" style="20" bestFit="1" customWidth="1"/>
    <col min="39" max="41" width="17.85546875" style="20" bestFit="1" customWidth="1"/>
    <col min="42" max="43" width="18.28515625" style="20" bestFit="1" customWidth="1"/>
    <col min="44" max="44" width="17.85546875" style="20" bestFit="1" customWidth="1"/>
    <col min="45" max="45" width="18.28515625" style="20" bestFit="1" customWidth="1"/>
    <col min="46" max="46" width="17.85546875" style="20" bestFit="1" customWidth="1"/>
    <col min="47" max="47" width="21.5703125" style="20" bestFit="1" customWidth="1"/>
    <col min="48" max="48" width="18.28515625" style="20" bestFit="1" customWidth="1"/>
    <col min="49" max="49" width="20.5703125" style="20" bestFit="1" customWidth="1"/>
    <col min="50" max="51" width="19.7109375" style="20" bestFit="1" customWidth="1"/>
    <col min="52" max="52" width="17.85546875" style="20" bestFit="1" customWidth="1"/>
    <col min="53" max="53" width="17.42578125" style="20" bestFit="1" customWidth="1"/>
    <col min="54" max="54" width="17.85546875" style="20" bestFit="1" customWidth="1"/>
    <col min="55" max="56" width="18.28515625" style="20" bestFit="1" customWidth="1"/>
    <col min="57" max="57" width="17.85546875" style="20" bestFit="1" customWidth="1"/>
    <col min="58" max="59" width="18.28515625" style="20" bestFit="1" customWidth="1"/>
    <col min="60" max="60" width="21.5703125" style="20" bestFit="1" customWidth="1"/>
    <col min="61" max="61" width="17.85546875" style="20" bestFit="1" customWidth="1"/>
    <col min="62" max="62" width="20.5703125" style="20" bestFit="1" customWidth="1"/>
    <col min="63" max="64" width="19.7109375" style="20" bestFit="1" customWidth="1"/>
    <col min="65" max="65" width="17.85546875" style="20" bestFit="1" customWidth="1"/>
    <col min="66" max="66" width="18.28515625" style="20" bestFit="1" customWidth="1"/>
    <col min="67" max="67" width="17.85546875" style="20" bestFit="1" customWidth="1"/>
    <col min="68" max="70" width="18.28515625" style="20" bestFit="1" customWidth="1"/>
    <col min="71" max="71" width="17.85546875" style="20" bestFit="1" customWidth="1"/>
    <col min="72" max="72" width="18.28515625" style="20" bestFit="1" customWidth="1"/>
    <col min="73" max="73" width="21.5703125" style="20" bestFit="1" customWidth="1"/>
    <col min="74" max="74" width="17.85546875" style="20" bestFit="1" customWidth="1"/>
    <col min="75" max="75" width="20.5703125" style="20" bestFit="1" customWidth="1"/>
    <col min="76" max="76" width="19.7109375" style="20" bestFit="1" customWidth="1"/>
    <col min="77" max="77" width="19.28515625" style="20" bestFit="1" customWidth="1"/>
    <col min="78" max="16384" width="11.42578125" style="20"/>
  </cols>
  <sheetData>
    <row r="2" spans="1:94">
      <c r="B2" s="21" t="s">
        <v>58</v>
      </c>
    </row>
    <row r="3" spans="1:94" ht="15.75" thickBot="1"/>
    <row r="4" spans="1:94" customFormat="1">
      <c r="A4" s="48"/>
      <c r="B4" s="539" t="s">
        <v>269</v>
      </c>
      <c r="C4" s="539"/>
      <c r="D4" s="539"/>
      <c r="E4" s="539"/>
      <c r="F4" s="539"/>
      <c r="G4" s="539"/>
      <c r="H4" s="539"/>
      <c r="I4" s="539"/>
      <c r="K4" s="539" t="s">
        <v>270</v>
      </c>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9"/>
      <c r="AO4" s="539"/>
      <c r="AP4" s="539"/>
      <c r="AQ4" s="539"/>
      <c r="AR4" s="539"/>
      <c r="AS4" s="539"/>
      <c r="AT4" s="539"/>
      <c r="AU4" s="539"/>
      <c r="AV4" s="539"/>
      <c r="AW4" s="539"/>
      <c r="AX4" s="539"/>
      <c r="AY4" s="539"/>
      <c r="AZ4" s="539"/>
      <c r="BA4" s="539"/>
      <c r="BB4" s="539"/>
      <c r="BC4" s="539"/>
      <c r="BD4" s="539"/>
      <c r="BE4" s="539"/>
      <c r="BF4" s="539"/>
      <c r="BG4" s="539"/>
      <c r="BH4" s="539"/>
      <c r="BI4" s="539"/>
      <c r="BJ4" s="539"/>
      <c r="BK4" s="539"/>
      <c r="BL4" s="539"/>
      <c r="BM4" s="539"/>
      <c r="BN4" s="539"/>
      <c r="BO4" s="539"/>
      <c r="BP4" s="539"/>
      <c r="BQ4" s="539"/>
      <c r="BR4" s="539"/>
      <c r="BS4" s="539"/>
      <c r="BT4" s="539"/>
      <c r="BU4" s="539"/>
      <c r="BV4" s="539"/>
      <c r="BW4" s="539"/>
      <c r="BX4" s="539"/>
      <c r="BY4" s="539"/>
      <c r="CA4" s="63"/>
      <c r="CB4" s="28"/>
      <c r="CC4" s="28"/>
      <c r="CD4" s="28"/>
      <c r="CE4" s="28"/>
      <c r="CF4" s="28"/>
      <c r="CG4" s="28"/>
      <c r="CH4" s="28"/>
      <c r="CI4" s="28"/>
      <c r="CJ4" s="28"/>
      <c r="CK4" s="28"/>
      <c r="CL4" s="28"/>
      <c r="CM4" s="28"/>
      <c r="CN4" s="28"/>
      <c r="CO4" s="28"/>
      <c r="CP4" s="28"/>
    </row>
    <row r="5" spans="1:94" s="48" customFormat="1">
      <c r="B5" s="563"/>
      <c r="C5" s="563"/>
      <c r="D5" s="58"/>
      <c r="E5" s="58"/>
      <c r="F5" s="58"/>
      <c r="G5" s="58"/>
      <c r="H5" s="58"/>
      <c r="I5" s="58"/>
      <c r="K5" s="563"/>
      <c r="L5" s="563"/>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c r="AZ5" s="578"/>
      <c r="BA5" s="578"/>
      <c r="BB5" s="578"/>
      <c r="BC5" s="578"/>
      <c r="BD5" s="578"/>
      <c r="BE5" s="578"/>
      <c r="BF5" s="578"/>
      <c r="BG5" s="578"/>
      <c r="BH5" s="578"/>
      <c r="BI5" s="578"/>
      <c r="BJ5" s="578"/>
      <c r="BK5" s="578"/>
      <c r="BL5" s="578"/>
      <c r="BM5" s="578"/>
      <c r="BN5" s="578"/>
      <c r="BO5" s="578"/>
      <c r="BP5" s="578"/>
      <c r="BQ5" s="578"/>
      <c r="BR5" s="578"/>
      <c r="BS5" s="578"/>
      <c r="BT5" s="578"/>
      <c r="BU5" s="578"/>
      <c r="BV5" s="578"/>
      <c r="BW5" s="578"/>
      <c r="BX5" s="578"/>
      <c r="BY5" s="578"/>
      <c r="CA5" s="64"/>
      <c r="CB5" s="28"/>
      <c r="CC5" s="28"/>
      <c r="CD5" s="28"/>
      <c r="CE5" s="28"/>
      <c r="CF5" s="28"/>
      <c r="CG5" s="28"/>
      <c r="CH5" s="28"/>
      <c r="CI5" s="28"/>
      <c r="CJ5" s="28"/>
      <c r="CK5" s="28"/>
      <c r="CL5" s="28"/>
      <c r="CM5" s="28"/>
      <c r="CN5" s="28"/>
      <c r="CO5" s="28"/>
      <c r="CP5" s="28"/>
    </row>
    <row r="6" spans="1:94" customFormat="1">
      <c r="A6" s="48"/>
      <c r="B6" s="541" t="s">
        <v>59</v>
      </c>
      <c r="C6" s="541" t="s">
        <v>60</v>
      </c>
      <c r="D6" s="541" t="s">
        <v>6</v>
      </c>
      <c r="E6" s="541" t="s">
        <v>12</v>
      </c>
      <c r="F6" s="541" t="s">
        <v>13</v>
      </c>
      <c r="G6" s="541" t="s">
        <v>14</v>
      </c>
      <c r="H6" s="541" t="s">
        <v>15</v>
      </c>
      <c r="I6" s="541" t="s">
        <v>57</v>
      </c>
      <c r="K6" s="541" t="s">
        <v>61</v>
      </c>
      <c r="L6" s="541" t="s">
        <v>130</v>
      </c>
      <c r="M6" s="541" t="s">
        <v>131</v>
      </c>
      <c r="N6" s="541" t="s">
        <v>132</v>
      </c>
      <c r="O6" s="541" t="s">
        <v>133</v>
      </c>
      <c r="P6" s="541" t="s">
        <v>134</v>
      </c>
      <c r="Q6" s="541" t="s">
        <v>135</v>
      </c>
      <c r="R6" s="541" t="s">
        <v>136</v>
      </c>
      <c r="S6" s="541" t="s">
        <v>137</v>
      </c>
      <c r="T6" s="541" t="s">
        <v>138</v>
      </c>
      <c r="U6" s="541" t="s">
        <v>139</v>
      </c>
      <c r="V6" s="541" t="s">
        <v>140</v>
      </c>
      <c r="W6" s="541" t="s">
        <v>141</v>
      </c>
      <c r="X6" s="541" t="s">
        <v>142</v>
      </c>
      <c r="Y6" s="541" t="s">
        <v>143</v>
      </c>
      <c r="Z6" s="541" t="s">
        <v>144</v>
      </c>
      <c r="AA6" s="541" t="s">
        <v>145</v>
      </c>
      <c r="AB6" s="541" t="s">
        <v>146</v>
      </c>
      <c r="AC6" s="541" t="s">
        <v>147</v>
      </c>
      <c r="AD6" s="541" t="s">
        <v>148</v>
      </c>
      <c r="AE6" s="541" t="s">
        <v>149</v>
      </c>
      <c r="AF6" s="541" t="s">
        <v>150</v>
      </c>
      <c r="AG6" s="541" t="s">
        <v>151</v>
      </c>
      <c r="AH6" s="541" t="s">
        <v>152</v>
      </c>
      <c r="AI6" s="541" t="s">
        <v>153</v>
      </c>
      <c r="AJ6" s="541" t="s">
        <v>154</v>
      </c>
      <c r="AK6" s="541" t="s">
        <v>155</v>
      </c>
      <c r="AL6" s="541" t="s">
        <v>156</v>
      </c>
      <c r="AM6" s="541" t="s">
        <v>157</v>
      </c>
      <c r="AN6" s="541" t="s">
        <v>158</v>
      </c>
      <c r="AO6" s="541" t="s">
        <v>159</v>
      </c>
      <c r="AP6" s="541" t="s">
        <v>160</v>
      </c>
      <c r="AQ6" s="541" t="s">
        <v>161</v>
      </c>
      <c r="AR6" s="541" t="s">
        <v>162</v>
      </c>
      <c r="AS6" s="541" t="s">
        <v>163</v>
      </c>
      <c r="AT6" s="541" t="s">
        <v>164</v>
      </c>
      <c r="AU6" s="541" t="s">
        <v>165</v>
      </c>
      <c r="AV6" s="541" t="s">
        <v>166</v>
      </c>
      <c r="AW6" s="541" t="s">
        <v>167</v>
      </c>
      <c r="AX6" s="541" t="s">
        <v>168</v>
      </c>
      <c r="AY6" s="541" t="s">
        <v>169</v>
      </c>
      <c r="AZ6" s="541" t="s">
        <v>170</v>
      </c>
      <c r="BA6" s="541" t="s">
        <v>171</v>
      </c>
      <c r="BB6" s="541" t="s">
        <v>172</v>
      </c>
      <c r="BC6" s="541" t="s">
        <v>173</v>
      </c>
      <c r="BD6" s="541" t="s">
        <v>174</v>
      </c>
      <c r="BE6" s="541" t="s">
        <v>175</v>
      </c>
      <c r="BF6" s="541" t="s">
        <v>176</v>
      </c>
      <c r="BG6" s="541" t="s">
        <v>177</v>
      </c>
      <c r="BH6" s="541" t="s">
        <v>178</v>
      </c>
      <c r="BI6" s="541" t="s">
        <v>179</v>
      </c>
      <c r="BJ6" s="541" t="s">
        <v>180</v>
      </c>
      <c r="BK6" s="541" t="s">
        <v>181</v>
      </c>
      <c r="BL6" s="541" t="s">
        <v>182</v>
      </c>
      <c r="BM6" s="541" t="s">
        <v>183</v>
      </c>
      <c r="BN6" s="541" t="s">
        <v>184</v>
      </c>
      <c r="BO6" s="541" t="s">
        <v>185</v>
      </c>
      <c r="BP6" s="541" t="s">
        <v>186</v>
      </c>
      <c r="BQ6" s="541" t="s">
        <v>187</v>
      </c>
      <c r="BR6" s="541" t="s">
        <v>188</v>
      </c>
      <c r="BS6" s="541" t="s">
        <v>189</v>
      </c>
      <c r="BT6" s="541" t="s">
        <v>190</v>
      </c>
      <c r="BU6" s="541" t="s">
        <v>191</v>
      </c>
      <c r="BV6" s="541" t="s">
        <v>192</v>
      </c>
      <c r="BW6" s="541" t="s">
        <v>193</v>
      </c>
      <c r="BX6" s="541" t="s">
        <v>194</v>
      </c>
      <c r="BY6" s="541" t="s">
        <v>195</v>
      </c>
      <c r="CA6" s="64"/>
      <c r="CB6" s="28"/>
      <c r="CC6" s="28"/>
      <c r="CD6" s="28"/>
      <c r="CE6" s="28"/>
      <c r="CF6" s="28"/>
      <c r="CG6" s="28"/>
      <c r="CH6" s="28"/>
      <c r="CI6" s="28"/>
      <c r="CJ6" s="28"/>
      <c r="CK6" s="28"/>
      <c r="CL6" s="28"/>
      <c r="CM6" s="28"/>
      <c r="CN6" s="28"/>
      <c r="CO6" s="28"/>
      <c r="CP6" s="28"/>
    </row>
    <row r="7" spans="1:94" customFormat="1">
      <c r="A7" s="48"/>
      <c r="B7" s="575" t="s">
        <v>271</v>
      </c>
      <c r="C7" s="575"/>
      <c r="D7" s="576"/>
      <c r="E7" s="576"/>
      <c r="F7" s="576"/>
      <c r="G7" s="576"/>
      <c r="H7" s="576"/>
      <c r="I7" s="576"/>
      <c r="J7" s="28"/>
      <c r="K7" s="575" t="s">
        <v>271</v>
      </c>
      <c r="L7" s="575"/>
      <c r="M7" s="576"/>
      <c r="N7" s="576"/>
      <c r="O7" s="576"/>
      <c r="P7" s="576"/>
      <c r="Q7" s="576"/>
      <c r="R7" s="576"/>
      <c r="S7" s="576"/>
      <c r="T7" s="576"/>
      <c r="U7" s="576"/>
      <c r="V7" s="576"/>
      <c r="W7" s="576"/>
      <c r="X7" s="576"/>
      <c r="Y7" s="576"/>
      <c r="Z7" s="576"/>
      <c r="AA7" s="576"/>
      <c r="AB7" s="576"/>
      <c r="AC7" s="576"/>
      <c r="AD7" s="576"/>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6"/>
      <c r="BF7" s="576"/>
      <c r="BG7" s="576"/>
      <c r="BH7" s="576"/>
      <c r="BI7" s="576"/>
      <c r="BJ7" s="576"/>
      <c r="BK7" s="576"/>
      <c r="BL7" s="576"/>
      <c r="BM7" s="576"/>
      <c r="BN7" s="576"/>
      <c r="BO7" s="576"/>
      <c r="BP7" s="576"/>
      <c r="BQ7" s="576"/>
      <c r="BR7" s="576"/>
      <c r="BS7" s="576"/>
      <c r="BT7" s="576"/>
      <c r="BU7" s="576"/>
      <c r="BV7" s="576"/>
      <c r="BW7" s="576"/>
      <c r="BX7" s="576"/>
      <c r="BY7" s="576"/>
      <c r="CA7" s="64"/>
      <c r="CB7" s="28"/>
      <c r="CC7" s="28"/>
      <c r="CD7" s="28"/>
      <c r="CE7" s="28"/>
      <c r="CF7" s="28"/>
      <c r="CG7" s="28"/>
      <c r="CH7" s="28"/>
      <c r="CI7" s="28"/>
      <c r="CJ7" s="28"/>
      <c r="CK7" s="28"/>
      <c r="CL7" s="28"/>
      <c r="CM7" s="28"/>
      <c r="CN7" s="28"/>
      <c r="CO7" s="28"/>
      <c r="CP7" s="28"/>
    </row>
    <row r="8" spans="1:94" s="59" customFormat="1">
      <c r="A8" s="48"/>
      <c r="B8" s="542" t="s">
        <v>66</v>
      </c>
      <c r="C8" s="542"/>
      <c r="D8" s="577">
        <v>1661.5384615384619</v>
      </c>
      <c r="E8" s="577">
        <v>2584.5781132067937</v>
      </c>
      <c r="F8" s="577">
        <v>2682.4674725167893</v>
      </c>
      <c r="G8" s="577">
        <v>2780.3564348474933</v>
      </c>
      <c r="H8" s="577">
        <v>2878.2450407715037</v>
      </c>
      <c r="I8" s="577">
        <v>2517.4371045762086</v>
      </c>
      <c r="J8" s="28"/>
      <c r="K8" s="542" t="s">
        <v>66</v>
      </c>
      <c r="L8" s="542"/>
      <c r="M8" s="577">
        <v>65.934065934065941</v>
      </c>
      <c r="N8" s="577">
        <v>79.120879120879124</v>
      </c>
      <c r="O8" s="577">
        <v>92.307692307692307</v>
      </c>
      <c r="P8" s="577">
        <v>105.49450549450552</v>
      </c>
      <c r="Q8" s="577">
        <v>118.6813186813187</v>
      </c>
      <c r="R8" s="577">
        <v>131.86813186813188</v>
      </c>
      <c r="S8" s="577">
        <v>145.05494505494508</v>
      </c>
      <c r="T8" s="577">
        <v>158.24175824175825</v>
      </c>
      <c r="U8" s="577">
        <v>171.42857142857144</v>
      </c>
      <c r="V8" s="577">
        <v>184.61538461538461</v>
      </c>
      <c r="W8" s="577">
        <v>197.80219780219784</v>
      </c>
      <c r="X8" s="577">
        <v>210.98901098901104</v>
      </c>
      <c r="Y8" s="577">
        <v>1661.5384615384619</v>
      </c>
      <c r="Z8" s="577">
        <v>126.99417878847288</v>
      </c>
      <c r="AA8" s="577">
        <v>127.39621975698213</v>
      </c>
      <c r="AB8" s="577">
        <v>212.99922252607541</v>
      </c>
      <c r="AC8" s="577">
        <v>213.67354015648223</v>
      </c>
      <c r="AD8" s="577">
        <v>214.34999255649657</v>
      </c>
      <c r="AE8" s="577">
        <v>215.02858648441909</v>
      </c>
      <c r="AF8" s="577">
        <v>215.70932871994603</v>
      </c>
      <c r="AG8" s="577">
        <v>216.39222606423689</v>
      </c>
      <c r="AH8" s="577">
        <v>217.0772853399825</v>
      </c>
      <c r="AI8" s="577">
        <v>217.76451339147306</v>
      </c>
      <c r="AJ8" s="577">
        <v>303.11670294364853</v>
      </c>
      <c r="AK8" s="577">
        <v>304.07631647857897</v>
      </c>
      <c r="AL8" s="577">
        <v>2584.5781132067937</v>
      </c>
      <c r="AM8" s="577">
        <v>183.00224127478612</v>
      </c>
      <c r="AN8" s="577">
        <v>183.56038981392942</v>
      </c>
      <c r="AO8" s="577">
        <v>221.15677669519343</v>
      </c>
      <c r="AP8" s="577">
        <v>221.83129483756258</v>
      </c>
      <c r="AQ8" s="577">
        <v>222.50787022968544</v>
      </c>
      <c r="AR8" s="577">
        <v>223.18650914608048</v>
      </c>
      <c r="AS8" s="577">
        <v>223.86721788040316</v>
      </c>
      <c r="AT8" s="577">
        <v>224.55000274550434</v>
      </c>
      <c r="AU8" s="577">
        <v>225.23487007348876</v>
      </c>
      <c r="AV8" s="577">
        <v>225.92182621577382</v>
      </c>
      <c r="AW8" s="577">
        <v>263.42252342534061</v>
      </c>
      <c r="AX8" s="577">
        <v>264.22595017904098</v>
      </c>
      <c r="AY8" s="577">
        <v>2682.4674725167893</v>
      </c>
      <c r="AZ8" s="577">
        <v>159.00202443416146</v>
      </c>
      <c r="BA8" s="577">
        <v>159.46985119510208</v>
      </c>
      <c r="BB8" s="577">
        <v>229.31429075827592</v>
      </c>
      <c r="BC8" s="577">
        <v>229.98899513556051</v>
      </c>
      <c r="BD8" s="577">
        <v>230.66568467476077</v>
      </c>
      <c r="BE8" s="577">
        <v>231.34436521675747</v>
      </c>
      <c r="BF8" s="577">
        <v>232.02504261961681</v>
      </c>
      <c r="BG8" s="577">
        <v>232.70772275864104</v>
      </c>
      <c r="BH8" s="577">
        <v>233.39241152641912</v>
      </c>
      <c r="BI8" s="577">
        <v>234.07911483287759</v>
      </c>
      <c r="BJ8" s="577">
        <v>303.73662838272548</v>
      </c>
      <c r="BK8" s="577">
        <v>304.63030331259506</v>
      </c>
      <c r="BL8" s="577">
        <v>2780.3564348474933</v>
      </c>
      <c r="BM8" s="577">
        <v>183.2976245273191</v>
      </c>
      <c r="BN8" s="577">
        <v>183.81854328568224</v>
      </c>
      <c r="BO8" s="577">
        <v>237.47176875877599</v>
      </c>
      <c r="BP8" s="577">
        <v>238.14664656609685</v>
      </c>
      <c r="BQ8" s="577">
        <v>238.82344232794844</v>
      </c>
      <c r="BR8" s="577">
        <v>239.50216149502057</v>
      </c>
      <c r="BS8" s="577">
        <v>240.18280953349353</v>
      </c>
      <c r="BT8" s="577">
        <v>240.86539192508206</v>
      </c>
      <c r="BU8" s="577">
        <v>241.54991416707961</v>
      </c>
      <c r="BV8" s="577">
        <v>242.23638177240247</v>
      </c>
      <c r="BW8" s="577">
        <v>295.75492102447157</v>
      </c>
      <c r="BX8" s="577">
        <v>296.59543538813097</v>
      </c>
      <c r="BY8" s="577">
        <v>2878.2450407715037</v>
      </c>
      <c r="BZ8" s="28"/>
      <c r="CA8" s="64"/>
      <c r="CB8" s="28"/>
      <c r="CC8" s="28"/>
      <c r="CD8" s="28"/>
      <c r="CE8" s="28"/>
      <c r="CF8" s="28"/>
      <c r="CG8" s="28"/>
      <c r="CH8" s="28"/>
      <c r="CI8" s="28"/>
      <c r="CJ8" s="28"/>
      <c r="CK8" s="28"/>
      <c r="CL8" s="28"/>
      <c r="CM8" s="28"/>
      <c r="CN8" s="28"/>
      <c r="CO8" s="28"/>
      <c r="CP8" s="28"/>
    </row>
    <row r="9" spans="1:94" s="48" customFormat="1">
      <c r="B9" s="542" t="s">
        <v>67</v>
      </c>
      <c r="C9" s="542"/>
      <c r="D9" s="577">
        <v>11622.838775676977</v>
      </c>
      <c r="E9" s="577">
        <v>18079.710706865633</v>
      </c>
      <c r="F9" s="577">
        <v>18764.469000128916</v>
      </c>
      <c r="G9" s="577">
        <v>19449.224516431936</v>
      </c>
      <c r="H9" s="577">
        <v>20133.977539589207</v>
      </c>
      <c r="I9" s="577">
        <v>17610.044107738533</v>
      </c>
      <c r="J9" s="28"/>
      <c r="K9" s="542" t="s">
        <v>67</v>
      </c>
      <c r="L9" s="542"/>
      <c r="M9" s="577">
        <v>461.22376093956251</v>
      </c>
      <c r="N9" s="577">
        <v>553.46851312747503</v>
      </c>
      <c r="O9" s="577">
        <v>645.7132653153875</v>
      </c>
      <c r="P9" s="577">
        <v>737.95801750330008</v>
      </c>
      <c r="Q9" s="577">
        <v>830.20276969121255</v>
      </c>
      <c r="R9" s="577">
        <v>922.44752187912502</v>
      </c>
      <c r="S9" s="577">
        <v>1014.6922740670377</v>
      </c>
      <c r="T9" s="577">
        <v>1106.9370262549501</v>
      </c>
      <c r="U9" s="577">
        <v>1199.1817784428627</v>
      </c>
      <c r="V9" s="577">
        <v>1291.426530630775</v>
      </c>
      <c r="W9" s="577">
        <v>1383.6712828186876</v>
      </c>
      <c r="X9" s="577">
        <v>1475.9160350066002</v>
      </c>
      <c r="Y9" s="577">
        <v>11622.838775676977</v>
      </c>
      <c r="Z9" s="577">
        <v>888.35311350013535</v>
      </c>
      <c r="AA9" s="577">
        <v>891.16548135460766</v>
      </c>
      <c r="AB9" s="577">
        <v>1489.9779211086361</v>
      </c>
      <c r="AC9" s="577">
        <v>1494.6949260310248</v>
      </c>
      <c r="AD9" s="577">
        <v>1499.426864151498</v>
      </c>
      <c r="AE9" s="577">
        <v>1504.1737827459035</v>
      </c>
      <c r="AF9" s="577">
        <v>1508.9357292397556</v>
      </c>
      <c r="AG9" s="577">
        <v>1513.7127512087093</v>
      </c>
      <c r="AH9" s="577">
        <v>1518.5048963790357</v>
      </c>
      <c r="AI9" s="577">
        <v>1523.3122126280989</v>
      </c>
      <c r="AJ9" s="577">
        <v>2120.370156984925</v>
      </c>
      <c r="AK9" s="577">
        <v>2127.0828715333</v>
      </c>
      <c r="AL9" s="577">
        <v>18079.710706865633</v>
      </c>
      <c r="AM9" s="577">
        <v>1280.1422267137459</v>
      </c>
      <c r="AN9" s="577">
        <v>1284.0466024676093</v>
      </c>
      <c r="AO9" s="577">
        <v>1547.0418646201931</v>
      </c>
      <c r="AP9" s="577">
        <v>1551.7602721692826</v>
      </c>
      <c r="AQ9" s="577">
        <v>1556.4930706474793</v>
      </c>
      <c r="AR9" s="577">
        <v>1561.2403039464643</v>
      </c>
      <c r="AS9" s="577">
        <v>1566.0020160917866</v>
      </c>
      <c r="AT9" s="577">
        <v>1570.7782512432711</v>
      </c>
      <c r="AU9" s="577">
        <v>1575.569053695428</v>
      </c>
      <c r="AV9" s="577">
        <v>1580.3744678778642</v>
      </c>
      <c r="AW9" s="577">
        <v>1842.7003590514555</v>
      </c>
      <c r="AX9" s="577">
        <v>1848.3205116043362</v>
      </c>
      <c r="AY9" s="577">
        <v>18764.469000128916</v>
      </c>
      <c r="AZ9" s="577">
        <v>1112.2552608823439</v>
      </c>
      <c r="BA9" s="577">
        <v>1115.5278152909402</v>
      </c>
      <c r="BB9" s="577">
        <v>1604.105527580926</v>
      </c>
      <c r="BC9" s="577">
        <v>1608.825237885532</v>
      </c>
      <c r="BD9" s="577">
        <v>1613.5588348484512</v>
      </c>
      <c r="BE9" s="577">
        <v>1618.3063593279705</v>
      </c>
      <c r="BF9" s="577">
        <v>1623.0678523025931</v>
      </c>
      <c r="BG9" s="577">
        <v>1627.8433548713922</v>
      </c>
      <c r="BH9" s="577">
        <v>1632.6329082543655</v>
      </c>
      <c r="BI9" s="577">
        <v>1637.4365537927906</v>
      </c>
      <c r="BJ9" s="577">
        <v>2124.7066761797082</v>
      </c>
      <c r="BK9" s="577">
        <v>2130.9581352149212</v>
      </c>
      <c r="BL9" s="577">
        <v>19449.224516431936</v>
      </c>
      <c r="BM9" s="577">
        <v>1282.2084996292986</v>
      </c>
      <c r="BN9" s="577">
        <v>1285.8524446139211</v>
      </c>
      <c r="BO9" s="577">
        <v>1661.1689382757072</v>
      </c>
      <c r="BP9" s="577">
        <v>1665.8898617627926</v>
      </c>
      <c r="BQ9" s="577">
        <v>1670.6242017772747</v>
      </c>
      <c r="BR9" s="577">
        <v>1675.3719964479662</v>
      </c>
      <c r="BS9" s="577">
        <v>1680.133284012039</v>
      </c>
      <c r="BT9" s="577">
        <v>1684.9081028153328</v>
      </c>
      <c r="BU9" s="577">
        <v>1689.6964913126631</v>
      </c>
      <c r="BV9" s="577">
        <v>1694.4984880681307</v>
      </c>
      <c r="BW9" s="577">
        <v>2068.8728210345666</v>
      </c>
      <c r="BX9" s="577">
        <v>2074.7524098395156</v>
      </c>
      <c r="BY9" s="577">
        <v>20133.977539589207</v>
      </c>
      <c r="BZ9" s="28"/>
      <c r="CA9" s="64"/>
      <c r="CB9" s="28"/>
      <c r="CC9" s="28"/>
      <c r="CD9" s="28"/>
      <c r="CE9" s="28"/>
      <c r="CF9" s="28"/>
      <c r="CG9" s="28"/>
      <c r="CH9" s="28"/>
      <c r="CI9" s="28"/>
      <c r="CJ9" s="28"/>
      <c r="CK9" s="28"/>
      <c r="CL9" s="28"/>
      <c r="CM9" s="28"/>
      <c r="CN9" s="28"/>
      <c r="CO9" s="28"/>
      <c r="CP9" s="28"/>
    </row>
    <row r="10" spans="1:94" s="59" customFormat="1">
      <c r="A10" s="48"/>
      <c r="B10" s="542" t="s">
        <v>68</v>
      </c>
      <c r="C10" s="542"/>
      <c r="D10" s="577">
        <v>3288.4056975642102</v>
      </c>
      <c r="E10" s="577">
        <v>5115.2239866896634</v>
      </c>
      <c r="F10" s="577">
        <v>5308.9600537969154</v>
      </c>
      <c r="G10" s="577">
        <v>5502.6953352293312</v>
      </c>
      <c r="H10" s="577">
        <v>5696.4299112854751</v>
      </c>
      <c r="I10" s="577">
        <v>4982.3429969131194</v>
      </c>
      <c r="J10" s="28"/>
      <c r="K10" s="542" t="s">
        <v>68</v>
      </c>
      <c r="L10" s="542"/>
      <c r="M10" s="577">
        <v>130.49228958588137</v>
      </c>
      <c r="N10" s="577">
        <v>156.59074750305763</v>
      </c>
      <c r="O10" s="577">
        <v>182.68920542023389</v>
      </c>
      <c r="P10" s="577">
        <v>208.78766333741018</v>
      </c>
      <c r="Q10" s="577">
        <v>234.88612125458647</v>
      </c>
      <c r="R10" s="577">
        <v>260.98457917176273</v>
      </c>
      <c r="S10" s="577">
        <v>287.08303708893902</v>
      </c>
      <c r="T10" s="577">
        <v>313.18149500611526</v>
      </c>
      <c r="U10" s="577">
        <v>339.27995292329155</v>
      </c>
      <c r="V10" s="577">
        <v>365.37841084046778</v>
      </c>
      <c r="W10" s="577">
        <v>391.47686875764407</v>
      </c>
      <c r="X10" s="577">
        <v>417.57532667482036</v>
      </c>
      <c r="Y10" s="577">
        <v>3288.4056975642102</v>
      </c>
      <c r="Z10" s="577">
        <v>251.33837750516332</v>
      </c>
      <c r="AA10" s="577">
        <v>252.13407007689949</v>
      </c>
      <c r="AB10" s="577">
        <v>421.55380278284326</v>
      </c>
      <c r="AC10" s="577">
        <v>422.88836709725859</v>
      </c>
      <c r="AD10" s="577">
        <v>424.22715640477691</v>
      </c>
      <c r="AE10" s="577">
        <v>425.57018408097451</v>
      </c>
      <c r="AF10" s="577">
        <v>426.91746354377227</v>
      </c>
      <c r="AG10" s="577">
        <v>428.26900825356984</v>
      </c>
      <c r="AH10" s="577">
        <v>429.62483171338022</v>
      </c>
      <c r="AI10" s="577">
        <v>430.98494746896438</v>
      </c>
      <c r="AJ10" s="577">
        <v>599.90828744574242</v>
      </c>
      <c r="AK10" s="577">
        <v>601.80749031631763</v>
      </c>
      <c r="AL10" s="577">
        <v>5115.2239866896634</v>
      </c>
      <c r="AM10" s="577">
        <v>362.18578552663655</v>
      </c>
      <c r="AN10" s="577">
        <v>363.29043575213092</v>
      </c>
      <c r="AO10" s="577">
        <v>437.69868791723735</v>
      </c>
      <c r="AP10" s="577">
        <v>439.03364907150603</v>
      </c>
      <c r="AQ10" s="577">
        <v>440.37268179677227</v>
      </c>
      <c r="AR10" s="577">
        <v>441.71579851114308</v>
      </c>
      <c r="AS10" s="577">
        <v>443.06301167059996</v>
      </c>
      <c r="AT10" s="577">
        <v>444.41433376911488</v>
      </c>
      <c r="AU10" s="577">
        <v>445.76977733876555</v>
      </c>
      <c r="AV10" s="577">
        <v>447.12935494985209</v>
      </c>
      <c r="AW10" s="577">
        <v>521.3482245223247</v>
      </c>
      <c r="AX10" s="577">
        <v>522.9383129708325</v>
      </c>
      <c r="AY10" s="577">
        <v>5308.9600537969154</v>
      </c>
      <c r="AZ10" s="577">
        <v>314.68616296092705</v>
      </c>
      <c r="BA10" s="577">
        <v>315.61205436925815</v>
      </c>
      <c r="BB10" s="577">
        <v>453.84349367645069</v>
      </c>
      <c r="BC10" s="577">
        <v>455.17882341439719</v>
      </c>
      <c r="BD10" s="577">
        <v>456.51808205191787</v>
      </c>
      <c r="BE10" s="577">
        <v>457.861281148893</v>
      </c>
      <c r="BF10" s="577">
        <v>459.20843229921508</v>
      </c>
      <c r="BG10" s="577">
        <v>460.55954713088892</v>
      </c>
      <c r="BH10" s="577">
        <v>461.91463730613225</v>
      </c>
      <c r="BI10" s="577">
        <v>463.27371452147599</v>
      </c>
      <c r="BJ10" s="577">
        <v>601.13520237616069</v>
      </c>
      <c r="BK10" s="577">
        <v>602.90390397361409</v>
      </c>
      <c r="BL10" s="577">
        <v>5502.6953352293312</v>
      </c>
      <c r="BM10" s="577">
        <v>362.77038828671658</v>
      </c>
      <c r="BN10" s="577">
        <v>363.80135582230002</v>
      </c>
      <c r="BO10" s="577">
        <v>469.98822806301501</v>
      </c>
      <c r="BP10" s="577">
        <v>471.32390104207963</v>
      </c>
      <c r="BQ10" s="577">
        <v>472.66336990836118</v>
      </c>
      <c r="BR10" s="577">
        <v>474.00664544949996</v>
      </c>
      <c r="BS10" s="577">
        <v>475.35373848379419</v>
      </c>
      <c r="BT10" s="577">
        <v>476.70465986028665</v>
      </c>
      <c r="BU10" s="577">
        <v>478.05942045885257</v>
      </c>
      <c r="BV10" s="577">
        <v>479.41803119028685</v>
      </c>
      <c r="BW10" s="577">
        <v>585.33834147841799</v>
      </c>
      <c r="BX10" s="577">
        <v>587.00183124186469</v>
      </c>
      <c r="BY10" s="577">
        <v>5696.4299112854751</v>
      </c>
      <c r="BZ10" s="28"/>
      <c r="CA10" s="64"/>
      <c r="CB10" s="28"/>
      <c r="CC10" s="28"/>
      <c r="CD10" s="28"/>
      <c r="CE10" s="28"/>
      <c r="CF10" s="28"/>
      <c r="CG10" s="28"/>
      <c r="CH10" s="28"/>
      <c r="CI10" s="28"/>
      <c r="CJ10" s="28"/>
      <c r="CK10" s="28"/>
      <c r="CL10" s="28"/>
      <c r="CM10" s="28"/>
      <c r="CN10" s="28"/>
      <c r="CO10" s="28"/>
      <c r="CP10" s="28"/>
    </row>
    <row r="11" spans="1:94" s="48" customFormat="1">
      <c r="B11" s="542" t="s">
        <v>69</v>
      </c>
      <c r="C11" s="542"/>
      <c r="D11" s="577">
        <v>1661.5384615384619</v>
      </c>
      <c r="E11" s="577">
        <v>2584.5781132067937</v>
      </c>
      <c r="F11" s="577">
        <v>2682.4674725167893</v>
      </c>
      <c r="G11" s="577">
        <v>2780.3564348474933</v>
      </c>
      <c r="H11" s="577">
        <v>2878.2450407715037</v>
      </c>
      <c r="I11" s="577">
        <v>2517.4371045762086</v>
      </c>
      <c r="J11" s="28"/>
      <c r="K11" s="542" t="s">
        <v>69</v>
      </c>
      <c r="L11" s="542"/>
      <c r="M11" s="577">
        <v>65.934065934065941</v>
      </c>
      <c r="N11" s="577">
        <v>79.120879120879124</v>
      </c>
      <c r="O11" s="577">
        <v>92.307692307692307</v>
      </c>
      <c r="P11" s="577">
        <v>105.49450549450552</v>
      </c>
      <c r="Q11" s="577">
        <v>118.6813186813187</v>
      </c>
      <c r="R11" s="577">
        <v>131.86813186813188</v>
      </c>
      <c r="S11" s="577">
        <v>145.05494505494508</v>
      </c>
      <c r="T11" s="577">
        <v>158.24175824175825</v>
      </c>
      <c r="U11" s="577">
        <v>171.42857142857144</v>
      </c>
      <c r="V11" s="577">
        <v>184.61538461538461</v>
      </c>
      <c r="W11" s="577">
        <v>197.80219780219784</v>
      </c>
      <c r="X11" s="577">
        <v>210.98901098901104</v>
      </c>
      <c r="Y11" s="577">
        <v>1661.5384615384619</v>
      </c>
      <c r="Z11" s="577">
        <v>126.99417878847288</v>
      </c>
      <c r="AA11" s="577">
        <v>127.39621975698213</v>
      </c>
      <c r="AB11" s="577">
        <v>212.99922252607541</v>
      </c>
      <c r="AC11" s="577">
        <v>213.67354015648223</v>
      </c>
      <c r="AD11" s="577">
        <v>214.34999255649657</v>
      </c>
      <c r="AE11" s="577">
        <v>215.02858648441909</v>
      </c>
      <c r="AF11" s="577">
        <v>215.70932871994603</v>
      </c>
      <c r="AG11" s="577">
        <v>216.39222606423689</v>
      </c>
      <c r="AH11" s="577">
        <v>217.0772853399825</v>
      </c>
      <c r="AI11" s="577">
        <v>217.76451339147306</v>
      </c>
      <c r="AJ11" s="577">
        <v>303.11670294364853</v>
      </c>
      <c r="AK11" s="577">
        <v>304.07631647857897</v>
      </c>
      <c r="AL11" s="577">
        <v>2584.5781132067937</v>
      </c>
      <c r="AM11" s="577">
        <v>183.00224127478612</v>
      </c>
      <c r="AN11" s="577">
        <v>183.56038981392942</v>
      </c>
      <c r="AO11" s="577">
        <v>221.15677669519343</v>
      </c>
      <c r="AP11" s="577">
        <v>221.83129483756258</v>
      </c>
      <c r="AQ11" s="577">
        <v>222.50787022968544</v>
      </c>
      <c r="AR11" s="577">
        <v>223.18650914608048</v>
      </c>
      <c r="AS11" s="577">
        <v>223.86721788040316</v>
      </c>
      <c r="AT11" s="577">
        <v>224.55000274550434</v>
      </c>
      <c r="AU11" s="577">
        <v>225.23487007348876</v>
      </c>
      <c r="AV11" s="577">
        <v>225.92182621577382</v>
      </c>
      <c r="AW11" s="577">
        <v>263.42252342534061</v>
      </c>
      <c r="AX11" s="577">
        <v>264.22595017904098</v>
      </c>
      <c r="AY11" s="577">
        <v>2682.4674725167893</v>
      </c>
      <c r="AZ11" s="577">
        <v>159.00202443416146</v>
      </c>
      <c r="BA11" s="577">
        <v>159.46985119510208</v>
      </c>
      <c r="BB11" s="577">
        <v>229.31429075827592</v>
      </c>
      <c r="BC11" s="577">
        <v>229.98899513556051</v>
      </c>
      <c r="BD11" s="577">
        <v>230.66568467476077</v>
      </c>
      <c r="BE11" s="577">
        <v>231.34436521675747</v>
      </c>
      <c r="BF11" s="577">
        <v>232.02504261961681</v>
      </c>
      <c r="BG11" s="577">
        <v>232.70772275864104</v>
      </c>
      <c r="BH11" s="577">
        <v>233.39241152641912</v>
      </c>
      <c r="BI11" s="577">
        <v>234.07911483287759</v>
      </c>
      <c r="BJ11" s="577">
        <v>303.73662838272548</v>
      </c>
      <c r="BK11" s="577">
        <v>304.63030331259506</v>
      </c>
      <c r="BL11" s="577">
        <v>2780.3564348474933</v>
      </c>
      <c r="BM11" s="577">
        <v>183.2976245273191</v>
      </c>
      <c r="BN11" s="577">
        <v>183.81854328568224</v>
      </c>
      <c r="BO11" s="577">
        <v>237.47176875877599</v>
      </c>
      <c r="BP11" s="577">
        <v>238.14664656609685</v>
      </c>
      <c r="BQ11" s="577">
        <v>238.82344232794844</v>
      </c>
      <c r="BR11" s="577">
        <v>239.50216149502057</v>
      </c>
      <c r="BS11" s="577">
        <v>240.18280953349353</v>
      </c>
      <c r="BT11" s="577">
        <v>240.86539192508206</v>
      </c>
      <c r="BU11" s="577">
        <v>241.54991416707961</v>
      </c>
      <c r="BV11" s="577">
        <v>242.23638177240247</v>
      </c>
      <c r="BW11" s="577">
        <v>295.75492102447157</v>
      </c>
      <c r="BX11" s="577">
        <v>296.59543538813097</v>
      </c>
      <c r="BY11" s="577">
        <v>2878.2450407715037</v>
      </c>
      <c r="BZ11" s="28"/>
      <c r="CA11" s="64"/>
      <c r="CB11" s="28"/>
      <c r="CC11" s="28"/>
      <c r="CD11" s="28"/>
      <c r="CE11" s="28"/>
      <c r="CF11" s="28"/>
      <c r="CG11" s="28"/>
      <c r="CH11" s="28"/>
      <c r="CI11" s="28"/>
      <c r="CJ11" s="28"/>
      <c r="CK11" s="28"/>
      <c r="CL11" s="28"/>
      <c r="CM11" s="28"/>
      <c r="CN11" s="28"/>
      <c r="CO11" s="28"/>
      <c r="CP11" s="28"/>
    </row>
    <row r="12" spans="1:94" s="59" customFormat="1">
      <c r="A12" s="48"/>
      <c r="B12" s="542" t="s">
        <v>70</v>
      </c>
      <c r="C12" s="542"/>
      <c r="D12" s="577">
        <v>1730.8809125638875</v>
      </c>
      <c r="E12" s="577">
        <v>2692.442592654646</v>
      </c>
      <c r="F12" s="577">
        <v>2794.4172549901141</v>
      </c>
      <c r="G12" s="577">
        <v>2896.3915037788051</v>
      </c>
      <c r="H12" s="577">
        <v>2998.3653812865659</v>
      </c>
      <c r="I12" s="577">
        <v>2622.499529054804</v>
      </c>
      <c r="J12" s="28"/>
      <c r="K12" s="542" t="s">
        <v>70</v>
      </c>
      <c r="L12" s="542"/>
      <c r="M12" s="577">
        <v>68.685750498566975</v>
      </c>
      <c r="N12" s="577">
        <v>82.422900598280364</v>
      </c>
      <c r="O12" s="577">
        <v>96.160050697993753</v>
      </c>
      <c r="P12" s="577">
        <v>109.89720079770716</v>
      </c>
      <c r="Q12" s="577">
        <v>123.63435089742055</v>
      </c>
      <c r="R12" s="577">
        <v>137.37150099713395</v>
      </c>
      <c r="S12" s="577">
        <v>151.10865109684735</v>
      </c>
      <c r="T12" s="577">
        <v>164.84580119656073</v>
      </c>
      <c r="U12" s="577">
        <v>178.58295129627413</v>
      </c>
      <c r="V12" s="577">
        <v>192.32010139598751</v>
      </c>
      <c r="W12" s="577">
        <v>206.05725149570091</v>
      </c>
      <c r="X12" s="577">
        <v>219.79440159541431</v>
      </c>
      <c r="Y12" s="577">
        <v>1730.8809125638875</v>
      </c>
      <c r="Z12" s="577">
        <v>132.29413893203773</v>
      </c>
      <c r="AA12" s="577">
        <v>132.71295863111169</v>
      </c>
      <c r="AB12" s="577">
        <v>221.88850706469054</v>
      </c>
      <c r="AC12" s="577">
        <v>222.59096658789397</v>
      </c>
      <c r="AD12" s="577">
        <v>223.29564997292903</v>
      </c>
      <c r="AE12" s="577">
        <v>224.0025642601465</v>
      </c>
      <c r="AF12" s="577">
        <v>224.71171651218563</v>
      </c>
      <c r="AG12" s="577">
        <v>225.42311381404474</v>
      </c>
      <c r="AH12" s="577">
        <v>226.13676327315207</v>
      </c>
      <c r="AI12" s="577">
        <v>226.85267201943657</v>
      </c>
      <c r="AJ12" s="577">
        <v>315.76693982675789</v>
      </c>
      <c r="AK12" s="577">
        <v>316.76660176025962</v>
      </c>
      <c r="AL12" s="577">
        <v>2692.442592654646</v>
      </c>
      <c r="AM12" s="577">
        <v>190.63963532065748</v>
      </c>
      <c r="AN12" s="577">
        <v>191.22107756538529</v>
      </c>
      <c r="AO12" s="577">
        <v>230.38650764149241</v>
      </c>
      <c r="AP12" s="577">
        <v>231.08917604480087</v>
      </c>
      <c r="AQ12" s="577">
        <v>231.79398755488265</v>
      </c>
      <c r="AR12" s="577">
        <v>232.50094870811625</v>
      </c>
      <c r="AS12" s="577">
        <v>233.21006606081582</v>
      </c>
      <c r="AT12" s="577">
        <v>233.92134618929197</v>
      </c>
      <c r="AU12" s="577">
        <v>234.63479568991278</v>
      </c>
      <c r="AV12" s="577">
        <v>235.35042117916493</v>
      </c>
      <c r="AW12" s="577">
        <v>274.4161680820539</v>
      </c>
      <c r="AX12" s="577">
        <v>275.25312495354001</v>
      </c>
      <c r="AY12" s="577">
        <v>2794.4172549901141</v>
      </c>
      <c r="AZ12" s="577">
        <v>165.63779624895326</v>
      </c>
      <c r="BA12" s="577">
        <v>166.12514723699417</v>
      </c>
      <c r="BB12" s="577">
        <v>238.88446643847817</v>
      </c>
      <c r="BC12" s="577">
        <v>239.58732884900817</v>
      </c>
      <c r="BD12" s="577">
        <v>240.29225926996807</v>
      </c>
      <c r="BE12" s="577">
        <v>240.99926378600131</v>
      </c>
      <c r="BF12" s="577">
        <v>241.70834849965391</v>
      </c>
      <c r="BG12" s="577">
        <v>242.41951953142731</v>
      </c>
      <c r="BH12" s="577">
        <v>243.13278301983109</v>
      </c>
      <c r="BI12" s="577">
        <v>243.84814512143598</v>
      </c>
      <c r="BJ12" s="577">
        <v>316.41273716130621</v>
      </c>
      <c r="BK12" s="577">
        <v>317.34370861574723</v>
      </c>
      <c r="BL12" s="577">
        <v>2896.3915037788051</v>
      </c>
      <c r="BM12" s="577">
        <v>190.94734606316231</v>
      </c>
      <c r="BN12" s="577">
        <v>191.49000478381112</v>
      </c>
      <c r="BO12" s="577">
        <v>247.38238766784997</v>
      </c>
      <c r="BP12" s="577">
        <v>248.08543074632496</v>
      </c>
      <c r="BQ12" s="577">
        <v>248.79047182301986</v>
      </c>
      <c r="BR12" s="577">
        <v>249.4975165761029</v>
      </c>
      <c r="BS12" s="577">
        <v>250.20657069987925</v>
      </c>
      <c r="BT12" s="577">
        <v>250.91763990483696</v>
      </c>
      <c r="BU12" s="577">
        <v>251.63072991769283</v>
      </c>
      <c r="BV12" s="577">
        <v>252.3458464814386</v>
      </c>
      <c r="BW12" s="577">
        <v>308.09792216552188</v>
      </c>
      <c r="BX12" s="577">
        <v>308.97351445692561</v>
      </c>
      <c r="BY12" s="577">
        <v>2998.3653812865659</v>
      </c>
      <c r="BZ12" s="28"/>
      <c r="CA12" s="64"/>
      <c r="CB12" s="28"/>
      <c r="CC12" s="28"/>
      <c r="CD12" s="28"/>
      <c r="CE12" s="28"/>
      <c r="CF12" s="28"/>
      <c r="CG12" s="28"/>
      <c r="CH12" s="28"/>
      <c r="CI12" s="28"/>
      <c r="CJ12" s="28"/>
      <c r="CK12" s="28"/>
      <c r="CL12" s="28"/>
      <c r="CM12" s="28"/>
      <c r="CN12" s="28"/>
      <c r="CO12" s="28"/>
      <c r="CP12" s="28"/>
    </row>
    <row r="13" spans="1:94" s="48" customFormat="1">
      <c r="B13" s="542" t="s">
        <v>71</v>
      </c>
      <c r="C13" s="542"/>
      <c r="D13" s="577">
        <v>3323.0769230769238</v>
      </c>
      <c r="E13" s="577">
        <v>5169.1562264135873</v>
      </c>
      <c r="F13" s="577">
        <v>5364.9349450335785</v>
      </c>
      <c r="G13" s="577">
        <v>5560.7128696949867</v>
      </c>
      <c r="H13" s="577">
        <v>5756.4900815430074</v>
      </c>
      <c r="I13" s="577">
        <v>5034.8742091524173</v>
      </c>
      <c r="J13" s="28"/>
      <c r="K13" s="542" t="s">
        <v>71</v>
      </c>
      <c r="L13" s="542"/>
      <c r="M13" s="577">
        <v>131.86813186813188</v>
      </c>
      <c r="N13" s="577">
        <v>158.24175824175825</v>
      </c>
      <c r="O13" s="577">
        <v>184.61538461538461</v>
      </c>
      <c r="P13" s="577">
        <v>210.98901098901104</v>
      </c>
      <c r="Q13" s="577">
        <v>237.3626373626374</v>
      </c>
      <c r="R13" s="577">
        <v>263.73626373626377</v>
      </c>
      <c r="S13" s="577">
        <v>290.10989010989016</v>
      </c>
      <c r="T13" s="577">
        <v>316.4835164835165</v>
      </c>
      <c r="U13" s="577">
        <v>342.85714285714289</v>
      </c>
      <c r="V13" s="577">
        <v>369.23076923076923</v>
      </c>
      <c r="W13" s="577">
        <v>395.60439560439568</v>
      </c>
      <c r="X13" s="577">
        <v>421.97802197802207</v>
      </c>
      <c r="Y13" s="577">
        <v>3323.0769230769238</v>
      </c>
      <c r="Z13" s="577">
        <v>253.98835757694576</v>
      </c>
      <c r="AA13" s="577">
        <v>254.79243951396427</v>
      </c>
      <c r="AB13" s="577">
        <v>425.99844505215083</v>
      </c>
      <c r="AC13" s="577">
        <v>427.34708031296447</v>
      </c>
      <c r="AD13" s="577">
        <v>428.69998511299315</v>
      </c>
      <c r="AE13" s="577">
        <v>430.05717296883819</v>
      </c>
      <c r="AF13" s="577">
        <v>431.41865743989206</v>
      </c>
      <c r="AG13" s="577">
        <v>432.78445212847379</v>
      </c>
      <c r="AH13" s="577">
        <v>434.15457067996499</v>
      </c>
      <c r="AI13" s="577">
        <v>435.52902678294612</v>
      </c>
      <c r="AJ13" s="577">
        <v>606.23340588729707</v>
      </c>
      <c r="AK13" s="577">
        <v>608.15263295715795</v>
      </c>
      <c r="AL13" s="577">
        <v>5169.1562264135873</v>
      </c>
      <c r="AM13" s="577">
        <v>366.00448254957223</v>
      </c>
      <c r="AN13" s="577">
        <v>367.12077962785884</v>
      </c>
      <c r="AO13" s="577">
        <v>442.31355339038686</v>
      </c>
      <c r="AP13" s="577">
        <v>443.66258967512516</v>
      </c>
      <c r="AQ13" s="577">
        <v>445.01574045937087</v>
      </c>
      <c r="AR13" s="577">
        <v>446.37301829216096</v>
      </c>
      <c r="AS13" s="577">
        <v>447.73443576080632</v>
      </c>
      <c r="AT13" s="577">
        <v>449.10000549100869</v>
      </c>
      <c r="AU13" s="577">
        <v>450.46974014697753</v>
      </c>
      <c r="AV13" s="577">
        <v>451.84365243154764</v>
      </c>
      <c r="AW13" s="577">
        <v>526.84504685068123</v>
      </c>
      <c r="AX13" s="577">
        <v>528.45190035808196</v>
      </c>
      <c r="AY13" s="577">
        <v>5364.9349450335785</v>
      </c>
      <c r="AZ13" s="577">
        <v>318.00404886832291</v>
      </c>
      <c r="BA13" s="577">
        <v>318.93970239020416</v>
      </c>
      <c r="BB13" s="577">
        <v>458.62858151655183</v>
      </c>
      <c r="BC13" s="577">
        <v>459.97799027112103</v>
      </c>
      <c r="BD13" s="577">
        <v>461.33136934952154</v>
      </c>
      <c r="BE13" s="577">
        <v>462.68873043351493</v>
      </c>
      <c r="BF13" s="577">
        <v>464.05008523923362</v>
      </c>
      <c r="BG13" s="577">
        <v>465.41544551728208</v>
      </c>
      <c r="BH13" s="577">
        <v>466.78482305283825</v>
      </c>
      <c r="BI13" s="577">
        <v>468.15822966575519</v>
      </c>
      <c r="BJ13" s="577">
        <v>607.47325676545097</v>
      </c>
      <c r="BK13" s="577">
        <v>609.26060662519012</v>
      </c>
      <c r="BL13" s="577">
        <v>5560.7128696949867</v>
      </c>
      <c r="BM13" s="577">
        <v>366.5952490546382</v>
      </c>
      <c r="BN13" s="577">
        <v>367.63708657136448</v>
      </c>
      <c r="BO13" s="577">
        <v>474.94353751755199</v>
      </c>
      <c r="BP13" s="577">
        <v>476.2932931321937</v>
      </c>
      <c r="BQ13" s="577">
        <v>477.64688465589688</v>
      </c>
      <c r="BR13" s="577">
        <v>479.00432299004115</v>
      </c>
      <c r="BS13" s="577">
        <v>480.36561906698705</v>
      </c>
      <c r="BT13" s="577">
        <v>481.73078385016413</v>
      </c>
      <c r="BU13" s="577">
        <v>483.09982833415921</v>
      </c>
      <c r="BV13" s="577">
        <v>484.47276354480493</v>
      </c>
      <c r="BW13" s="577">
        <v>591.50984204894314</v>
      </c>
      <c r="BX13" s="577">
        <v>593.19087077626193</v>
      </c>
      <c r="BY13" s="577">
        <v>5756.4900815430074</v>
      </c>
      <c r="BZ13" s="28"/>
      <c r="CA13" s="64"/>
      <c r="CB13" s="28"/>
      <c r="CC13" s="28"/>
      <c r="CD13" s="28"/>
      <c r="CE13" s="28"/>
      <c r="CF13" s="28"/>
      <c r="CG13" s="28"/>
      <c r="CH13" s="28"/>
      <c r="CI13" s="28"/>
      <c r="CJ13" s="28"/>
      <c r="CK13" s="28"/>
      <c r="CL13" s="28"/>
      <c r="CM13" s="28"/>
      <c r="CN13" s="28"/>
      <c r="CO13" s="28"/>
      <c r="CP13" s="28"/>
    </row>
    <row r="14" spans="1:94" s="59" customFormat="1">
      <c r="A14" s="48"/>
      <c r="B14" s="542" t="s">
        <v>72</v>
      </c>
      <c r="C14" s="542"/>
      <c r="D14" s="577">
        <v>11000.760702722248</v>
      </c>
      <c r="E14" s="577">
        <v>17112.047658863758</v>
      </c>
      <c r="F14" s="577">
        <v>17760.156289533046</v>
      </c>
      <c r="G14" s="577">
        <v>18408.262291870655</v>
      </c>
      <c r="H14" s="577">
        <v>19056.365934500769</v>
      </c>
      <c r="I14" s="577">
        <v>16667.518575498096</v>
      </c>
      <c r="J14" s="28"/>
      <c r="K14" s="542" t="s">
        <v>72</v>
      </c>
      <c r="L14" s="542"/>
      <c r="M14" s="577">
        <v>436.53812312389874</v>
      </c>
      <c r="N14" s="577">
        <v>523.84574774867849</v>
      </c>
      <c r="O14" s="577">
        <v>611.15337237345818</v>
      </c>
      <c r="P14" s="577">
        <v>698.46099699823799</v>
      </c>
      <c r="Q14" s="577">
        <v>785.76862162301779</v>
      </c>
      <c r="R14" s="577">
        <v>873.07624624779749</v>
      </c>
      <c r="S14" s="577">
        <v>960.38387087257729</v>
      </c>
      <c r="T14" s="577">
        <v>1047.691495497357</v>
      </c>
      <c r="U14" s="577">
        <v>1134.9991201221367</v>
      </c>
      <c r="V14" s="577">
        <v>1222.3067447469164</v>
      </c>
      <c r="W14" s="577">
        <v>1309.6143693716963</v>
      </c>
      <c r="X14" s="577">
        <v>1396.921993996476</v>
      </c>
      <c r="Y14" s="577">
        <v>11000.760702722248</v>
      </c>
      <c r="Z14" s="577">
        <v>840.80664024904195</v>
      </c>
      <c r="AA14" s="577">
        <v>843.46848443118972</v>
      </c>
      <c r="AB14" s="577">
        <v>1410.2312592304697</v>
      </c>
      <c r="AC14" s="577">
        <v>1414.695800414105</v>
      </c>
      <c r="AD14" s="577">
        <v>1419.1744755405593</v>
      </c>
      <c r="AE14" s="577">
        <v>1423.6673293553811</v>
      </c>
      <c r="AF14" s="577">
        <v>1428.1744067457739</v>
      </c>
      <c r="AG14" s="577">
        <v>1432.6957527410466</v>
      </c>
      <c r="AH14" s="577">
        <v>1437.2314125130627</v>
      </c>
      <c r="AI14" s="577">
        <v>1441.7814313766921</v>
      </c>
      <c r="AJ14" s="577">
        <v>2006.8836149562912</v>
      </c>
      <c r="AK14" s="577">
        <v>2013.2370513101441</v>
      </c>
      <c r="AL14" s="577">
        <v>17112.047658863758</v>
      </c>
      <c r="AM14" s="577">
        <v>1211.6263998256904</v>
      </c>
      <c r="AN14" s="577">
        <v>1215.321805413837</v>
      </c>
      <c r="AO14" s="577">
        <v>1464.2410239222058</v>
      </c>
      <c r="AP14" s="577">
        <v>1468.7068926610957</v>
      </c>
      <c r="AQ14" s="577">
        <v>1473.1863820971707</v>
      </c>
      <c r="AR14" s="577">
        <v>1477.6795337729402</v>
      </c>
      <c r="AS14" s="577">
        <v>1482.1863893576149</v>
      </c>
      <c r="AT14" s="577">
        <v>1486.7069906474965</v>
      </c>
      <c r="AU14" s="577">
        <v>1491.2413795663624</v>
      </c>
      <c r="AV14" s="577">
        <v>1495.789598165856</v>
      </c>
      <c r="AW14" s="577">
        <v>1744.0752717973351</v>
      </c>
      <c r="AX14" s="577">
        <v>1749.3946223054413</v>
      </c>
      <c r="AY14" s="577">
        <v>17760.156289533046</v>
      </c>
      <c r="AZ14" s="577">
        <v>1052.7250873440687</v>
      </c>
      <c r="BA14" s="577">
        <v>1055.8224879559523</v>
      </c>
      <c r="BB14" s="577">
        <v>1518.2505230787708</v>
      </c>
      <c r="BC14" s="577">
        <v>1522.717624847041</v>
      </c>
      <c r="BD14" s="577">
        <v>1527.197870031305</v>
      </c>
      <c r="BE14" s="577">
        <v>1531.6912973030317</v>
      </c>
      <c r="BF14" s="577">
        <v>1536.1979454474706</v>
      </c>
      <c r="BG14" s="577">
        <v>1540.7178533639885</v>
      </c>
      <c r="BH14" s="577">
        <v>1545.2510600664045</v>
      </c>
      <c r="BI14" s="577">
        <v>1549.7976046833273</v>
      </c>
      <c r="BJ14" s="577">
        <v>2010.9880347856711</v>
      </c>
      <c r="BK14" s="577">
        <v>2016.9049029636212</v>
      </c>
      <c r="BL14" s="577">
        <v>18408.262291870655</v>
      </c>
      <c r="BM14" s="577">
        <v>1213.582081594079</v>
      </c>
      <c r="BN14" s="577">
        <v>1217.0309951997299</v>
      </c>
      <c r="BO14" s="577">
        <v>1572.2597834711733</v>
      </c>
      <c r="BP14" s="577">
        <v>1576.7280334899183</v>
      </c>
      <c r="BQ14" s="577">
        <v>1581.2089819561079</v>
      </c>
      <c r="BR14" s="577">
        <v>1585.7026649578231</v>
      </c>
      <c r="BS14" s="577">
        <v>1590.2091186857047</v>
      </c>
      <c r="BT14" s="577">
        <v>1594.7283794332436</v>
      </c>
      <c r="BU14" s="577">
        <v>1599.260483597076</v>
      </c>
      <c r="BV14" s="577">
        <v>1603.8054676772731</v>
      </c>
      <c r="BW14" s="577">
        <v>1958.1425216183093</v>
      </c>
      <c r="BX14" s="577">
        <v>1963.7074228203294</v>
      </c>
      <c r="BY14" s="577">
        <v>19056.365934500769</v>
      </c>
      <c r="BZ14" s="70"/>
      <c r="CA14" s="64"/>
      <c r="CB14" s="28"/>
      <c r="CC14" s="28"/>
      <c r="CD14" s="28"/>
      <c r="CE14" s="28"/>
      <c r="CF14" s="28"/>
      <c r="CG14" s="28"/>
      <c r="CH14" s="28"/>
      <c r="CI14" s="28"/>
      <c r="CJ14" s="28"/>
      <c r="CK14" s="28"/>
      <c r="CL14" s="28"/>
      <c r="CM14" s="28"/>
      <c r="CN14" s="28"/>
      <c r="CO14" s="28"/>
      <c r="CP14" s="28"/>
    </row>
    <row r="15" spans="1:94" s="48" customFormat="1">
      <c r="B15" s="542" t="s">
        <v>73</v>
      </c>
      <c r="C15" s="542"/>
      <c r="D15" s="577">
        <v>1661.5384615384619</v>
      </c>
      <c r="E15" s="577">
        <v>2584.5781132067937</v>
      </c>
      <c r="F15" s="577">
        <v>2682.4674725167893</v>
      </c>
      <c r="G15" s="577">
        <v>2780.3564348474933</v>
      </c>
      <c r="H15" s="577">
        <v>2878.2450407715037</v>
      </c>
      <c r="I15" s="577">
        <v>2517.4371045762086</v>
      </c>
      <c r="J15" s="28"/>
      <c r="K15" s="542" t="s">
        <v>73</v>
      </c>
      <c r="L15" s="542"/>
      <c r="M15" s="577">
        <v>65.934065934065941</v>
      </c>
      <c r="N15" s="577">
        <v>79.120879120879124</v>
      </c>
      <c r="O15" s="577">
        <v>92.307692307692307</v>
      </c>
      <c r="P15" s="577">
        <v>105.49450549450552</v>
      </c>
      <c r="Q15" s="577">
        <v>118.6813186813187</v>
      </c>
      <c r="R15" s="577">
        <v>131.86813186813188</v>
      </c>
      <c r="S15" s="577">
        <v>145.05494505494508</v>
      </c>
      <c r="T15" s="577">
        <v>158.24175824175825</v>
      </c>
      <c r="U15" s="577">
        <v>171.42857142857144</v>
      </c>
      <c r="V15" s="577">
        <v>184.61538461538461</v>
      </c>
      <c r="W15" s="577">
        <v>197.80219780219784</v>
      </c>
      <c r="X15" s="577">
        <v>210.98901098901104</v>
      </c>
      <c r="Y15" s="577">
        <v>1661.5384615384619</v>
      </c>
      <c r="Z15" s="577">
        <v>126.99417878847288</v>
      </c>
      <c r="AA15" s="577">
        <v>127.39621975698213</v>
      </c>
      <c r="AB15" s="577">
        <v>212.99922252607541</v>
      </c>
      <c r="AC15" s="577">
        <v>213.67354015648223</v>
      </c>
      <c r="AD15" s="577">
        <v>214.34999255649657</v>
      </c>
      <c r="AE15" s="577">
        <v>215.02858648441909</v>
      </c>
      <c r="AF15" s="577">
        <v>215.70932871994603</v>
      </c>
      <c r="AG15" s="577">
        <v>216.39222606423689</v>
      </c>
      <c r="AH15" s="577">
        <v>217.0772853399825</v>
      </c>
      <c r="AI15" s="577">
        <v>217.76451339147306</v>
      </c>
      <c r="AJ15" s="577">
        <v>303.11670294364853</v>
      </c>
      <c r="AK15" s="577">
        <v>304.07631647857897</v>
      </c>
      <c r="AL15" s="577">
        <v>2584.5781132067937</v>
      </c>
      <c r="AM15" s="577">
        <v>183.00224127478612</v>
      </c>
      <c r="AN15" s="577">
        <v>183.56038981392942</v>
      </c>
      <c r="AO15" s="577">
        <v>221.15677669519343</v>
      </c>
      <c r="AP15" s="577">
        <v>221.83129483756258</v>
      </c>
      <c r="AQ15" s="577">
        <v>222.50787022968544</v>
      </c>
      <c r="AR15" s="577">
        <v>223.18650914608048</v>
      </c>
      <c r="AS15" s="577">
        <v>223.86721788040316</v>
      </c>
      <c r="AT15" s="577">
        <v>224.55000274550434</v>
      </c>
      <c r="AU15" s="577">
        <v>225.23487007348876</v>
      </c>
      <c r="AV15" s="577">
        <v>225.92182621577382</v>
      </c>
      <c r="AW15" s="577">
        <v>263.42252342534061</v>
      </c>
      <c r="AX15" s="577">
        <v>264.22595017904098</v>
      </c>
      <c r="AY15" s="577">
        <v>2682.4674725167893</v>
      </c>
      <c r="AZ15" s="577">
        <v>159.00202443416146</v>
      </c>
      <c r="BA15" s="577">
        <v>159.46985119510208</v>
      </c>
      <c r="BB15" s="577">
        <v>229.31429075827592</v>
      </c>
      <c r="BC15" s="577">
        <v>229.98899513556051</v>
      </c>
      <c r="BD15" s="577">
        <v>230.66568467476077</v>
      </c>
      <c r="BE15" s="577">
        <v>231.34436521675747</v>
      </c>
      <c r="BF15" s="577">
        <v>232.02504261961681</v>
      </c>
      <c r="BG15" s="577">
        <v>232.70772275864104</v>
      </c>
      <c r="BH15" s="577">
        <v>233.39241152641912</v>
      </c>
      <c r="BI15" s="577">
        <v>234.07911483287759</v>
      </c>
      <c r="BJ15" s="577">
        <v>303.73662838272548</v>
      </c>
      <c r="BK15" s="577">
        <v>304.63030331259506</v>
      </c>
      <c r="BL15" s="577">
        <v>2780.3564348474933</v>
      </c>
      <c r="BM15" s="577">
        <v>183.2976245273191</v>
      </c>
      <c r="BN15" s="577">
        <v>183.81854328568224</v>
      </c>
      <c r="BO15" s="577">
        <v>237.47176875877599</v>
      </c>
      <c r="BP15" s="577">
        <v>238.14664656609685</v>
      </c>
      <c r="BQ15" s="577">
        <v>238.82344232794844</v>
      </c>
      <c r="BR15" s="577">
        <v>239.50216149502057</v>
      </c>
      <c r="BS15" s="577">
        <v>240.18280953349353</v>
      </c>
      <c r="BT15" s="577">
        <v>240.86539192508206</v>
      </c>
      <c r="BU15" s="577">
        <v>241.54991416707961</v>
      </c>
      <c r="BV15" s="577">
        <v>242.23638177240247</v>
      </c>
      <c r="BW15" s="577">
        <v>295.75492102447157</v>
      </c>
      <c r="BX15" s="577">
        <v>296.59543538813097</v>
      </c>
      <c r="BY15" s="577">
        <v>2878.2450407715037</v>
      </c>
      <c r="BZ15" s="28"/>
      <c r="CA15" s="64"/>
      <c r="CB15" s="28"/>
      <c r="CC15" s="28"/>
      <c r="CD15" s="28"/>
      <c r="CE15" s="28"/>
      <c r="CF15" s="28"/>
      <c r="CG15" s="28"/>
      <c r="CH15" s="28"/>
      <c r="CI15" s="28"/>
      <c r="CJ15" s="28"/>
      <c r="CK15" s="28"/>
      <c r="CL15" s="28"/>
      <c r="CM15" s="28"/>
      <c r="CN15" s="28"/>
      <c r="CO15" s="28"/>
      <c r="CP15" s="28"/>
    </row>
    <row r="16" spans="1:94" s="59" customFormat="1">
      <c r="A16" s="48"/>
      <c r="B16" s="542" t="s">
        <v>74</v>
      </c>
      <c r="C16" s="542"/>
      <c r="D16" s="577">
        <v>1661.5384615384619</v>
      </c>
      <c r="E16" s="577">
        <v>2584.5781132067937</v>
      </c>
      <c r="F16" s="577">
        <v>2682.4674725167893</v>
      </c>
      <c r="G16" s="577">
        <v>2780.3564348474933</v>
      </c>
      <c r="H16" s="577">
        <v>2878.2450407715037</v>
      </c>
      <c r="I16" s="577">
        <v>2517.4371045762086</v>
      </c>
      <c r="J16" s="28"/>
      <c r="K16" s="542" t="s">
        <v>74</v>
      </c>
      <c r="L16" s="542"/>
      <c r="M16" s="577">
        <v>65.934065934065941</v>
      </c>
      <c r="N16" s="577">
        <v>79.120879120879124</v>
      </c>
      <c r="O16" s="577">
        <v>92.307692307692307</v>
      </c>
      <c r="P16" s="577">
        <v>105.49450549450552</v>
      </c>
      <c r="Q16" s="577">
        <v>118.6813186813187</v>
      </c>
      <c r="R16" s="577">
        <v>131.86813186813188</v>
      </c>
      <c r="S16" s="577">
        <v>145.05494505494508</v>
      </c>
      <c r="T16" s="577">
        <v>158.24175824175825</v>
      </c>
      <c r="U16" s="577">
        <v>171.42857142857144</v>
      </c>
      <c r="V16" s="577">
        <v>184.61538461538461</v>
      </c>
      <c r="W16" s="577">
        <v>197.80219780219784</v>
      </c>
      <c r="X16" s="577">
        <v>210.98901098901104</v>
      </c>
      <c r="Y16" s="577">
        <v>1661.5384615384619</v>
      </c>
      <c r="Z16" s="577">
        <v>126.99417878847288</v>
      </c>
      <c r="AA16" s="577">
        <v>127.39621975698213</v>
      </c>
      <c r="AB16" s="577">
        <v>212.99922252607541</v>
      </c>
      <c r="AC16" s="577">
        <v>213.67354015648223</v>
      </c>
      <c r="AD16" s="577">
        <v>214.34999255649657</v>
      </c>
      <c r="AE16" s="577">
        <v>215.02858648441909</v>
      </c>
      <c r="AF16" s="577">
        <v>215.70932871994603</v>
      </c>
      <c r="AG16" s="577">
        <v>216.39222606423689</v>
      </c>
      <c r="AH16" s="577">
        <v>217.0772853399825</v>
      </c>
      <c r="AI16" s="577">
        <v>217.76451339147306</v>
      </c>
      <c r="AJ16" s="577">
        <v>303.11670294364853</v>
      </c>
      <c r="AK16" s="577">
        <v>304.07631647857897</v>
      </c>
      <c r="AL16" s="577">
        <v>2584.5781132067937</v>
      </c>
      <c r="AM16" s="577">
        <v>183.00224127478612</v>
      </c>
      <c r="AN16" s="577">
        <v>183.56038981392942</v>
      </c>
      <c r="AO16" s="577">
        <v>221.15677669519343</v>
      </c>
      <c r="AP16" s="577">
        <v>221.83129483756258</v>
      </c>
      <c r="AQ16" s="577">
        <v>222.50787022968544</v>
      </c>
      <c r="AR16" s="577">
        <v>223.18650914608048</v>
      </c>
      <c r="AS16" s="577">
        <v>223.86721788040316</v>
      </c>
      <c r="AT16" s="577">
        <v>224.55000274550434</v>
      </c>
      <c r="AU16" s="577">
        <v>225.23487007348876</v>
      </c>
      <c r="AV16" s="577">
        <v>225.92182621577382</v>
      </c>
      <c r="AW16" s="577">
        <v>263.42252342534061</v>
      </c>
      <c r="AX16" s="577">
        <v>264.22595017904098</v>
      </c>
      <c r="AY16" s="577">
        <v>2682.4674725167893</v>
      </c>
      <c r="AZ16" s="577">
        <v>159.00202443416146</v>
      </c>
      <c r="BA16" s="577">
        <v>159.46985119510208</v>
      </c>
      <c r="BB16" s="577">
        <v>229.31429075827592</v>
      </c>
      <c r="BC16" s="577">
        <v>229.98899513556051</v>
      </c>
      <c r="BD16" s="577">
        <v>230.66568467476077</v>
      </c>
      <c r="BE16" s="577">
        <v>231.34436521675747</v>
      </c>
      <c r="BF16" s="577">
        <v>232.02504261961681</v>
      </c>
      <c r="BG16" s="577">
        <v>232.70772275864104</v>
      </c>
      <c r="BH16" s="577">
        <v>233.39241152641912</v>
      </c>
      <c r="BI16" s="577">
        <v>234.07911483287759</v>
      </c>
      <c r="BJ16" s="577">
        <v>303.73662838272548</v>
      </c>
      <c r="BK16" s="577">
        <v>304.63030331259506</v>
      </c>
      <c r="BL16" s="577">
        <v>2780.3564348474933</v>
      </c>
      <c r="BM16" s="577">
        <v>183.2976245273191</v>
      </c>
      <c r="BN16" s="577">
        <v>183.81854328568224</v>
      </c>
      <c r="BO16" s="577">
        <v>237.47176875877599</v>
      </c>
      <c r="BP16" s="577">
        <v>238.14664656609685</v>
      </c>
      <c r="BQ16" s="577">
        <v>238.82344232794844</v>
      </c>
      <c r="BR16" s="577">
        <v>239.50216149502057</v>
      </c>
      <c r="BS16" s="577">
        <v>240.18280953349353</v>
      </c>
      <c r="BT16" s="577">
        <v>240.86539192508206</v>
      </c>
      <c r="BU16" s="577">
        <v>241.54991416707961</v>
      </c>
      <c r="BV16" s="577">
        <v>242.23638177240247</v>
      </c>
      <c r="BW16" s="577">
        <v>295.75492102447157</v>
      </c>
      <c r="BX16" s="577">
        <v>296.59543538813097</v>
      </c>
      <c r="BY16" s="577">
        <v>2878.2450407715037</v>
      </c>
      <c r="BZ16" s="28"/>
      <c r="CA16" s="64"/>
      <c r="CB16" s="28"/>
      <c r="CC16" s="28"/>
      <c r="CD16" s="28"/>
      <c r="CE16" s="28"/>
      <c r="CF16" s="28"/>
      <c r="CG16" s="28"/>
      <c r="CH16" s="28"/>
      <c r="CI16" s="28"/>
      <c r="CJ16" s="28"/>
      <c r="CK16" s="28"/>
      <c r="CL16" s="28"/>
      <c r="CM16" s="28"/>
      <c r="CN16" s="28"/>
      <c r="CO16" s="28"/>
      <c r="CP16" s="28"/>
    </row>
    <row r="17" spans="1:94" s="48" customFormat="1">
      <c r="B17" s="542" t="s">
        <v>75</v>
      </c>
      <c r="C17" s="542"/>
      <c r="D17" s="577">
        <v>1661.5384615384619</v>
      </c>
      <c r="E17" s="577">
        <v>2584.5781132067937</v>
      </c>
      <c r="F17" s="577">
        <v>2682.4674725167893</v>
      </c>
      <c r="G17" s="577">
        <v>2780.3564348474933</v>
      </c>
      <c r="H17" s="577">
        <v>2878.2450407715037</v>
      </c>
      <c r="I17" s="577">
        <v>2517.4371045762086</v>
      </c>
      <c r="J17" s="28"/>
      <c r="K17" s="542" t="s">
        <v>75</v>
      </c>
      <c r="L17" s="542"/>
      <c r="M17" s="577">
        <v>65.934065934065941</v>
      </c>
      <c r="N17" s="577">
        <v>79.120879120879124</v>
      </c>
      <c r="O17" s="577">
        <v>92.307692307692307</v>
      </c>
      <c r="P17" s="577">
        <v>105.49450549450552</v>
      </c>
      <c r="Q17" s="577">
        <v>118.6813186813187</v>
      </c>
      <c r="R17" s="577">
        <v>131.86813186813188</v>
      </c>
      <c r="S17" s="577">
        <v>145.05494505494508</v>
      </c>
      <c r="T17" s="577">
        <v>158.24175824175825</v>
      </c>
      <c r="U17" s="577">
        <v>171.42857142857144</v>
      </c>
      <c r="V17" s="577">
        <v>184.61538461538461</v>
      </c>
      <c r="W17" s="577">
        <v>197.80219780219784</v>
      </c>
      <c r="X17" s="577">
        <v>210.98901098901104</v>
      </c>
      <c r="Y17" s="577">
        <v>1661.5384615384619</v>
      </c>
      <c r="Z17" s="577">
        <v>126.99417878847288</v>
      </c>
      <c r="AA17" s="577">
        <v>127.39621975698213</v>
      </c>
      <c r="AB17" s="577">
        <v>212.99922252607541</v>
      </c>
      <c r="AC17" s="577">
        <v>213.67354015648223</v>
      </c>
      <c r="AD17" s="577">
        <v>214.34999255649657</v>
      </c>
      <c r="AE17" s="577">
        <v>215.02858648441909</v>
      </c>
      <c r="AF17" s="577">
        <v>215.70932871994603</v>
      </c>
      <c r="AG17" s="577">
        <v>216.39222606423689</v>
      </c>
      <c r="AH17" s="577">
        <v>217.0772853399825</v>
      </c>
      <c r="AI17" s="577">
        <v>217.76451339147306</v>
      </c>
      <c r="AJ17" s="577">
        <v>303.11670294364853</v>
      </c>
      <c r="AK17" s="577">
        <v>304.07631647857897</v>
      </c>
      <c r="AL17" s="577">
        <v>2584.5781132067937</v>
      </c>
      <c r="AM17" s="577">
        <v>183.00224127478612</v>
      </c>
      <c r="AN17" s="577">
        <v>183.56038981392942</v>
      </c>
      <c r="AO17" s="577">
        <v>221.15677669519343</v>
      </c>
      <c r="AP17" s="577">
        <v>221.83129483756258</v>
      </c>
      <c r="AQ17" s="577">
        <v>222.50787022968544</v>
      </c>
      <c r="AR17" s="577">
        <v>223.18650914608048</v>
      </c>
      <c r="AS17" s="577">
        <v>223.86721788040316</v>
      </c>
      <c r="AT17" s="577">
        <v>224.55000274550434</v>
      </c>
      <c r="AU17" s="577">
        <v>225.23487007348876</v>
      </c>
      <c r="AV17" s="577">
        <v>225.92182621577382</v>
      </c>
      <c r="AW17" s="577">
        <v>263.42252342534061</v>
      </c>
      <c r="AX17" s="577">
        <v>264.22595017904098</v>
      </c>
      <c r="AY17" s="577">
        <v>2682.4674725167893</v>
      </c>
      <c r="AZ17" s="577">
        <v>159.00202443416146</v>
      </c>
      <c r="BA17" s="577">
        <v>159.46985119510208</v>
      </c>
      <c r="BB17" s="577">
        <v>229.31429075827592</v>
      </c>
      <c r="BC17" s="577">
        <v>229.98899513556051</v>
      </c>
      <c r="BD17" s="577">
        <v>230.66568467476077</v>
      </c>
      <c r="BE17" s="577">
        <v>231.34436521675747</v>
      </c>
      <c r="BF17" s="577">
        <v>232.02504261961681</v>
      </c>
      <c r="BG17" s="577">
        <v>232.70772275864104</v>
      </c>
      <c r="BH17" s="577">
        <v>233.39241152641912</v>
      </c>
      <c r="BI17" s="577">
        <v>234.07911483287759</v>
      </c>
      <c r="BJ17" s="577">
        <v>303.73662838272548</v>
      </c>
      <c r="BK17" s="577">
        <v>304.63030331259506</v>
      </c>
      <c r="BL17" s="577">
        <v>2780.3564348474933</v>
      </c>
      <c r="BM17" s="577">
        <v>183.2976245273191</v>
      </c>
      <c r="BN17" s="577">
        <v>183.81854328568224</v>
      </c>
      <c r="BO17" s="577">
        <v>237.47176875877599</v>
      </c>
      <c r="BP17" s="577">
        <v>238.14664656609685</v>
      </c>
      <c r="BQ17" s="577">
        <v>238.82344232794844</v>
      </c>
      <c r="BR17" s="577">
        <v>239.50216149502057</v>
      </c>
      <c r="BS17" s="577">
        <v>240.18280953349353</v>
      </c>
      <c r="BT17" s="577">
        <v>240.86539192508206</v>
      </c>
      <c r="BU17" s="577">
        <v>241.54991416707961</v>
      </c>
      <c r="BV17" s="577">
        <v>242.23638177240247</v>
      </c>
      <c r="BW17" s="577">
        <v>295.75492102447157</v>
      </c>
      <c r="BX17" s="577">
        <v>296.59543538813097</v>
      </c>
      <c r="BY17" s="577">
        <v>2878.2450407715037</v>
      </c>
      <c r="BZ17" s="28"/>
      <c r="CA17" s="64"/>
      <c r="CB17" s="28"/>
      <c r="CC17" s="28"/>
      <c r="CD17" s="28"/>
      <c r="CE17" s="28"/>
      <c r="CF17" s="28"/>
      <c r="CG17" s="28"/>
      <c r="CH17" s="28"/>
      <c r="CI17" s="28"/>
      <c r="CJ17" s="28"/>
      <c r="CK17" s="28"/>
      <c r="CL17" s="28"/>
      <c r="CM17" s="28"/>
      <c r="CN17" s="28"/>
      <c r="CO17" s="28"/>
      <c r="CP17" s="28"/>
    </row>
    <row r="18" spans="1:94" customFormat="1">
      <c r="A18" s="48"/>
      <c r="B18" s="575" t="s">
        <v>272</v>
      </c>
      <c r="C18" s="575"/>
      <c r="D18" s="576">
        <v>587841309.3197794</v>
      </c>
      <c r="E18" s="576">
        <v>942661792.92869067</v>
      </c>
      <c r="F18" s="576">
        <v>1007226302.013566</v>
      </c>
      <c r="G18" s="576">
        <v>1073422435.4712288</v>
      </c>
      <c r="H18" s="576">
        <v>1141217445.1524129</v>
      </c>
      <c r="I18" s="576">
        <v>950473856.97713542</v>
      </c>
      <c r="J18" s="31"/>
      <c r="K18" s="575" t="s">
        <v>272</v>
      </c>
      <c r="L18" s="575"/>
      <c r="M18" s="576">
        <v>23327036.084118228</v>
      </c>
      <c r="N18" s="576">
        <v>27992443.300941873</v>
      </c>
      <c r="O18" s="576">
        <v>32657850.517765522</v>
      </c>
      <c r="P18" s="576">
        <v>37323257.734589167</v>
      </c>
      <c r="Q18" s="576">
        <v>41988664.951412819</v>
      </c>
      <c r="R18" s="576">
        <v>46654072.168236457</v>
      </c>
      <c r="S18" s="576">
        <v>51319479.385060102</v>
      </c>
      <c r="T18" s="576">
        <v>55984886.601883747</v>
      </c>
      <c r="U18" s="576">
        <v>60650293.818707392</v>
      </c>
      <c r="V18" s="576">
        <v>65315701.035531044</v>
      </c>
      <c r="W18" s="576">
        <v>69981108.252354696</v>
      </c>
      <c r="X18" s="576">
        <v>74646515.469178334</v>
      </c>
      <c r="Y18" s="576">
        <v>587841309.3197794</v>
      </c>
      <c r="Z18" s="576">
        <v>46318027.556039371</v>
      </c>
      <c r="AA18" s="576">
        <v>46464662.187923439</v>
      </c>
      <c r="AB18" s="576">
        <v>77686268.398258433</v>
      </c>
      <c r="AC18" s="576">
        <v>77932209.297949046</v>
      </c>
      <c r="AD18" s="576">
        <v>78178928.802757233</v>
      </c>
      <c r="AE18" s="576">
        <v>78426429.377608225</v>
      </c>
      <c r="AF18" s="576">
        <v>78674713.495230749</v>
      </c>
      <c r="AG18" s="576">
        <v>78923783.636181846</v>
      </c>
      <c r="AH18" s="576">
        <v>79173642.288871408</v>
      </c>
      <c r="AI18" s="576">
        <v>79424291.949587286</v>
      </c>
      <c r="AJ18" s="576">
        <v>110554420.15987971</v>
      </c>
      <c r="AK18" s="576">
        <v>110904415.77840398</v>
      </c>
      <c r="AL18" s="576">
        <v>942661792.92869067</v>
      </c>
      <c r="AM18" s="576">
        <v>68714596.776249826</v>
      </c>
      <c r="AN18" s="576">
        <v>68924173.181114182</v>
      </c>
      <c r="AO18" s="576">
        <v>83041052.55261226</v>
      </c>
      <c r="AP18" s="576">
        <v>83294323.998078153</v>
      </c>
      <c r="AQ18" s="576">
        <v>83548367.909970179</v>
      </c>
      <c r="AR18" s="576">
        <v>83803186.644275904</v>
      </c>
      <c r="AS18" s="576">
        <v>84058782.564168617</v>
      </c>
      <c r="AT18" s="576">
        <v>84315158.040029079</v>
      </c>
      <c r="AU18" s="576">
        <v>84572315.449467659</v>
      </c>
      <c r="AV18" s="576">
        <v>84830257.177346319</v>
      </c>
      <c r="AW18" s="576">
        <v>98911206.512356773</v>
      </c>
      <c r="AX18" s="576">
        <v>99212881.207897082</v>
      </c>
      <c r="AY18" s="576">
        <v>1007226302.013566</v>
      </c>
      <c r="AZ18" s="576">
        <v>61386496.41240523</v>
      </c>
      <c r="BA18" s="576">
        <v>61567112.010755666</v>
      </c>
      <c r="BB18" s="576">
        <v>88532211.693788737</v>
      </c>
      <c r="BC18" s="576">
        <v>88792697.294415578</v>
      </c>
      <c r="BD18" s="576">
        <v>89053949.313804984</v>
      </c>
      <c r="BE18" s="576">
        <v>89315970.006967291</v>
      </c>
      <c r="BF18" s="576">
        <v>89578761.635547668</v>
      </c>
      <c r="BG18" s="576">
        <v>89842326.467845663</v>
      </c>
      <c r="BH18" s="576">
        <v>90106666.77883476</v>
      </c>
      <c r="BI18" s="576">
        <v>90371784.850182042</v>
      </c>
      <c r="BJ18" s="576">
        <v>117264717.31970164</v>
      </c>
      <c r="BK18" s="576">
        <v>117609741.6869795</v>
      </c>
      <c r="BL18" s="576">
        <v>1073422435.4712288</v>
      </c>
      <c r="BM18" s="576">
        <v>72677080.582931429</v>
      </c>
      <c r="BN18" s="576">
        <v>72883623.655578181</v>
      </c>
      <c r="BO18" s="576">
        <v>94157002.409382224</v>
      </c>
      <c r="BP18" s="576">
        <v>94424589.885830835</v>
      </c>
      <c r="BQ18" s="576">
        <v>94692937.826777235</v>
      </c>
      <c r="BR18" s="576">
        <v>94962048.393407255</v>
      </c>
      <c r="BS18" s="576">
        <v>95231923.753048614</v>
      </c>
      <c r="BT18" s="576">
        <v>95502566.079188392</v>
      </c>
      <c r="BU18" s="576">
        <v>95773977.55149065</v>
      </c>
      <c r="BV18" s="576">
        <v>96046160.355813816</v>
      </c>
      <c r="BW18" s="576">
        <v>117266136.33713752</v>
      </c>
      <c r="BX18" s="576">
        <v>117599398.32182671</v>
      </c>
      <c r="BY18" s="576">
        <v>1141217445.1524129</v>
      </c>
      <c r="BZ18" s="28"/>
      <c r="CA18" s="64"/>
      <c r="CB18" s="28"/>
      <c r="CC18" s="28"/>
      <c r="CD18" s="28"/>
      <c r="CE18" s="28"/>
      <c r="CF18" s="28"/>
      <c r="CG18" s="28"/>
      <c r="CH18" s="28"/>
      <c r="CI18" s="28"/>
      <c r="CJ18" s="28"/>
      <c r="CK18" s="28"/>
      <c r="CL18" s="28"/>
      <c r="CM18" s="28"/>
      <c r="CN18" s="28"/>
      <c r="CO18" s="28"/>
      <c r="CP18" s="28"/>
    </row>
    <row r="19" spans="1:94" s="59" customFormat="1">
      <c r="A19" s="48"/>
      <c r="B19" s="542" t="s">
        <v>66</v>
      </c>
      <c r="C19" s="542"/>
      <c r="D19" s="577">
        <v>128319714.0051529</v>
      </c>
      <c r="E19" s="577">
        <v>205773377.53307191</v>
      </c>
      <c r="F19" s="577">
        <v>219867146.05410555</v>
      </c>
      <c r="G19" s="577">
        <v>234317081.40036988</v>
      </c>
      <c r="H19" s="577">
        <v>249116034.98757637</v>
      </c>
      <c r="I19" s="577">
        <v>207478670.79605532</v>
      </c>
      <c r="J19" s="32"/>
      <c r="K19" s="542" t="s">
        <v>66</v>
      </c>
      <c r="L19" s="542"/>
      <c r="M19" s="577">
        <v>5092052.143061623</v>
      </c>
      <c r="N19" s="577">
        <v>6110462.5716739474</v>
      </c>
      <c r="O19" s="577">
        <v>7128873.0002862718</v>
      </c>
      <c r="P19" s="577">
        <v>8147283.4288985981</v>
      </c>
      <c r="Q19" s="577">
        <v>9165693.8575109225</v>
      </c>
      <c r="R19" s="577">
        <v>10184104.286123246</v>
      </c>
      <c r="S19" s="577">
        <v>11202514.714735571</v>
      </c>
      <c r="T19" s="577">
        <v>12220925.143347895</v>
      </c>
      <c r="U19" s="577">
        <v>13239335.57196022</v>
      </c>
      <c r="V19" s="577">
        <v>14257746.000572544</v>
      </c>
      <c r="W19" s="577">
        <v>15276156.429184871</v>
      </c>
      <c r="X19" s="577">
        <v>16294566.857797196</v>
      </c>
      <c r="Y19" s="577">
        <v>128319714.0051529</v>
      </c>
      <c r="Z19" s="577">
        <v>10110749.202282676</v>
      </c>
      <c r="AA19" s="577">
        <v>10142758.034816731</v>
      </c>
      <c r="AB19" s="577">
        <v>16958113.66936313</v>
      </c>
      <c r="AC19" s="577">
        <v>17011800.039153963</v>
      </c>
      <c r="AD19" s="577">
        <v>17065656.370436825</v>
      </c>
      <c r="AE19" s="577">
        <v>17119683.201279558</v>
      </c>
      <c r="AF19" s="577">
        <v>17173881.071453422</v>
      </c>
      <c r="AG19" s="577">
        <v>17228250.522438496</v>
      </c>
      <c r="AH19" s="577">
        <v>17282792.097429097</v>
      </c>
      <c r="AI19" s="577">
        <v>17337506.34133919</v>
      </c>
      <c r="AJ19" s="577">
        <v>24132893.268996298</v>
      </c>
      <c r="AK19" s="577">
        <v>24209293.714082513</v>
      </c>
      <c r="AL19" s="577">
        <v>205773377.53307191</v>
      </c>
      <c r="AM19" s="577">
        <v>14999689.995435808</v>
      </c>
      <c r="AN19" s="577">
        <v>15045438.369883223</v>
      </c>
      <c r="AO19" s="577">
        <v>18127007.995692652</v>
      </c>
      <c r="AP19" s="577">
        <v>18182294.548258107</v>
      </c>
      <c r="AQ19" s="577">
        <v>18237749.72230237</v>
      </c>
      <c r="AR19" s="577">
        <v>18293374.032113306</v>
      </c>
      <c r="AS19" s="577">
        <v>18349167.993547332</v>
      </c>
      <c r="AT19" s="577">
        <v>18405132.124034207</v>
      </c>
      <c r="AU19" s="577">
        <v>18461266.942581832</v>
      </c>
      <c r="AV19" s="577">
        <v>18517572.969781052</v>
      </c>
      <c r="AW19" s="577">
        <v>21591299.438035555</v>
      </c>
      <c r="AX19" s="577">
        <v>21657151.9224401</v>
      </c>
      <c r="AY19" s="577">
        <v>219867146.05410555</v>
      </c>
      <c r="AZ19" s="577">
        <v>13400041.028986491</v>
      </c>
      <c r="BA19" s="577">
        <v>13439467.557128955</v>
      </c>
      <c r="BB19" s="577">
        <v>19325671.579522617</v>
      </c>
      <c r="BC19" s="577">
        <v>19382532.907988243</v>
      </c>
      <c r="BD19" s="577">
        <v>19439561.5377899</v>
      </c>
      <c r="BE19" s="577">
        <v>19496757.961173151</v>
      </c>
      <c r="BF19" s="577">
        <v>19554122.671831887</v>
      </c>
      <c r="BG19" s="577">
        <v>19611656.164912581</v>
      </c>
      <c r="BH19" s="577">
        <v>19669358.937018551</v>
      </c>
      <c r="BI19" s="577">
        <v>19727231.486214265</v>
      </c>
      <c r="BJ19" s="577">
        <v>25597682.147876415</v>
      </c>
      <c r="BK19" s="577">
        <v>25672997.419926848</v>
      </c>
      <c r="BL19" s="577">
        <v>234317081.40036988</v>
      </c>
      <c r="BM19" s="577">
        <v>15864659.470636185</v>
      </c>
      <c r="BN19" s="577">
        <v>15909745.699847335</v>
      </c>
      <c r="BO19" s="577">
        <v>20553505.562130939</v>
      </c>
      <c r="BP19" s="577">
        <v>20611917.157071382</v>
      </c>
      <c r="BQ19" s="577">
        <v>20670494.753593072</v>
      </c>
      <c r="BR19" s="577">
        <v>20729238.823460646</v>
      </c>
      <c r="BS19" s="577">
        <v>20788149.839779466</v>
      </c>
      <c r="BT19" s="577">
        <v>20847228.276999421</v>
      </c>
      <c r="BU19" s="577">
        <v>20906474.610918764</v>
      </c>
      <c r="BV19" s="577">
        <v>20965889.318687916</v>
      </c>
      <c r="BW19" s="577">
        <v>25597991.90479321</v>
      </c>
      <c r="BX19" s="577">
        <v>25670739.569658052</v>
      </c>
      <c r="BY19" s="577">
        <v>249116034.98757637</v>
      </c>
      <c r="BZ19" s="28"/>
      <c r="CA19" s="64"/>
      <c r="CB19" s="28"/>
      <c r="CC19" s="28"/>
      <c r="CD19" s="28"/>
      <c r="CE19" s="28"/>
      <c r="CF19" s="28"/>
      <c r="CG19" s="28"/>
      <c r="CH19" s="28"/>
      <c r="CI19" s="28"/>
      <c r="CJ19" s="28"/>
      <c r="CK19" s="28"/>
      <c r="CL19" s="28"/>
      <c r="CM19" s="28"/>
      <c r="CN19" s="28"/>
      <c r="CO19" s="28"/>
      <c r="CP19" s="28"/>
    </row>
    <row r="20" spans="1:94" s="48" customFormat="1">
      <c r="B20" s="542" t="s">
        <v>67</v>
      </c>
      <c r="C20" s="542"/>
      <c r="D20" s="577">
        <v>58114193.878384896</v>
      </c>
      <c r="E20" s="577">
        <v>93191868.838538915</v>
      </c>
      <c r="F20" s="577">
        <v>99574738.397268876</v>
      </c>
      <c r="G20" s="577">
        <v>106118910.90227631</v>
      </c>
      <c r="H20" s="577">
        <v>112821148.86026928</v>
      </c>
      <c r="I20" s="577">
        <v>93964172.175347656</v>
      </c>
      <c r="J20" s="28"/>
      <c r="K20" s="542" t="s">
        <v>67</v>
      </c>
      <c r="L20" s="542"/>
      <c r="M20" s="577">
        <v>2306118.8046978135</v>
      </c>
      <c r="N20" s="577">
        <v>2767342.5656373762</v>
      </c>
      <c r="O20" s="577">
        <v>3228566.3265769389</v>
      </c>
      <c r="P20" s="577">
        <v>3689790.0875165015</v>
      </c>
      <c r="Q20" s="577">
        <v>4151013.8484560642</v>
      </c>
      <c r="R20" s="577">
        <v>4612237.6093956269</v>
      </c>
      <c r="S20" s="577">
        <v>5073461.3703351906</v>
      </c>
      <c r="T20" s="577">
        <v>5534685.1312747523</v>
      </c>
      <c r="U20" s="577">
        <v>5995908.892214315</v>
      </c>
      <c r="V20" s="577">
        <v>6457132.6531538777</v>
      </c>
      <c r="W20" s="577">
        <v>6918356.4140934404</v>
      </c>
      <c r="X20" s="577">
        <v>7379580.1750330031</v>
      </c>
      <c r="Y20" s="577">
        <v>58114193.878384896</v>
      </c>
      <c r="Z20" s="577">
        <v>4579016.1235364489</v>
      </c>
      <c r="AA20" s="577">
        <v>4593512.4736423269</v>
      </c>
      <c r="AB20" s="577">
        <v>7680091.1943544671</v>
      </c>
      <c r="AC20" s="577">
        <v>7704404.9962269198</v>
      </c>
      <c r="AD20" s="577">
        <v>7728795.7712688986</v>
      </c>
      <c r="AE20" s="577">
        <v>7753263.7631637622</v>
      </c>
      <c r="AF20" s="577">
        <v>7777809.2163663227</v>
      </c>
      <c r="AG20" s="577">
        <v>7802432.3761052946</v>
      </c>
      <c r="AH20" s="577">
        <v>7827133.4883857425</v>
      </c>
      <c r="AI20" s="577">
        <v>7851912.7999915387</v>
      </c>
      <c r="AJ20" s="577">
        <v>10929447.9741788</v>
      </c>
      <c r="AK20" s="577">
        <v>10964048.661318399</v>
      </c>
      <c r="AL20" s="577">
        <v>93191868.838538915</v>
      </c>
      <c r="AM20" s="577">
        <v>6793148.6542700892</v>
      </c>
      <c r="AN20" s="577">
        <v>6813867.4496856648</v>
      </c>
      <c r="AO20" s="577">
        <v>8209466.9962747404</v>
      </c>
      <c r="AP20" s="577">
        <v>8234505.4984220201</v>
      </c>
      <c r="AQ20" s="577">
        <v>8259620.3668656824</v>
      </c>
      <c r="AR20" s="577">
        <v>8284811.8345194701</v>
      </c>
      <c r="AS20" s="577">
        <v>8310080.1350074988</v>
      </c>
      <c r="AT20" s="577">
        <v>8335425.5026664315</v>
      </c>
      <c r="AU20" s="577">
        <v>8360848.172547644</v>
      </c>
      <c r="AV20" s="577">
        <v>8386348.3804194108</v>
      </c>
      <c r="AW20" s="577">
        <v>9778395.871252289</v>
      </c>
      <c r="AX20" s="577">
        <v>9808219.5353379603</v>
      </c>
      <c r="AY20" s="577">
        <v>99574738.397268876</v>
      </c>
      <c r="AZ20" s="577">
        <v>6068690.1336575774</v>
      </c>
      <c r="BA20" s="577">
        <v>6086545.8537874613</v>
      </c>
      <c r="BB20" s="577">
        <v>8752324.8762639146</v>
      </c>
      <c r="BC20" s="577">
        <v>8778076.5722698849</v>
      </c>
      <c r="BD20" s="577">
        <v>8803904.0366981402</v>
      </c>
      <c r="BE20" s="577">
        <v>8829807.492479777</v>
      </c>
      <c r="BF20" s="577">
        <v>8855787.1632018089</v>
      </c>
      <c r="BG20" s="577">
        <v>8881843.2731091138</v>
      </c>
      <c r="BH20" s="577">
        <v>8907976.0471063498</v>
      </c>
      <c r="BI20" s="577">
        <v>8934185.7107599098</v>
      </c>
      <c r="BJ20" s="577">
        <v>11592830.257704798</v>
      </c>
      <c r="BK20" s="577">
        <v>11626939.485237572</v>
      </c>
      <c r="BL20" s="577">
        <v>106118910.90227631</v>
      </c>
      <c r="BM20" s="577">
        <v>7184881.1652906565</v>
      </c>
      <c r="BN20" s="577">
        <v>7205300.0844406532</v>
      </c>
      <c r="BO20" s="577">
        <v>9308393.6196286641</v>
      </c>
      <c r="BP20" s="577">
        <v>9334847.4095192663</v>
      </c>
      <c r="BQ20" s="577">
        <v>9361376.3791914918</v>
      </c>
      <c r="BR20" s="577">
        <v>9387980.742300909</v>
      </c>
      <c r="BS20" s="577">
        <v>9414660.7131102812</v>
      </c>
      <c r="BT20" s="577">
        <v>9441416.506491296</v>
      </c>
      <c r="BU20" s="577">
        <v>9468248.3379262835</v>
      </c>
      <c r="BV20" s="577">
        <v>9495156.4235099629</v>
      </c>
      <c r="BW20" s="577">
        <v>11592970.542256221</v>
      </c>
      <c r="BX20" s="577">
        <v>11625916.936603587</v>
      </c>
      <c r="BY20" s="577">
        <v>112821148.86026928</v>
      </c>
      <c r="BZ20" s="28"/>
      <c r="CA20" s="64"/>
      <c r="CB20" s="28"/>
      <c r="CC20" s="28"/>
      <c r="CD20" s="28"/>
      <c r="CE20" s="28"/>
      <c r="CF20" s="28"/>
      <c r="CG20" s="28"/>
      <c r="CH20" s="28"/>
      <c r="CI20" s="28"/>
      <c r="CJ20" s="28"/>
      <c r="CK20" s="28"/>
      <c r="CL20" s="28"/>
      <c r="CM20" s="28"/>
      <c r="CN20" s="28"/>
      <c r="CO20" s="28"/>
      <c r="CP20" s="28"/>
    </row>
    <row r="21" spans="1:94" s="59" customFormat="1">
      <c r="A21" s="48"/>
      <c r="B21" s="542" t="s">
        <v>68</v>
      </c>
      <c r="C21" s="542"/>
      <c r="D21" s="577">
        <v>32884056.975642115</v>
      </c>
      <c r="E21" s="577">
        <v>52732844.078783758</v>
      </c>
      <c r="F21" s="577">
        <v>56344606.235832907</v>
      </c>
      <c r="G21" s="577">
        <v>60047642.054645762</v>
      </c>
      <c r="H21" s="577">
        <v>63840119.59182325</v>
      </c>
      <c r="I21" s="577">
        <v>53169853.787345558</v>
      </c>
      <c r="J21" s="28"/>
      <c r="K21" s="542" t="s">
        <v>68</v>
      </c>
      <c r="L21" s="542"/>
      <c r="M21" s="577">
        <v>1304922.8958588142</v>
      </c>
      <c r="N21" s="577">
        <v>1565907.4750305768</v>
      </c>
      <c r="O21" s="577">
        <v>1826892.0542023396</v>
      </c>
      <c r="P21" s="577">
        <v>2087876.6333741026</v>
      </c>
      <c r="Q21" s="577">
        <v>2348861.2125458657</v>
      </c>
      <c r="R21" s="577">
        <v>2609845.7917176285</v>
      </c>
      <c r="S21" s="577">
        <v>2870830.3708893913</v>
      </c>
      <c r="T21" s="577">
        <v>3131814.9500611536</v>
      </c>
      <c r="U21" s="577">
        <v>3392799.5292329169</v>
      </c>
      <c r="V21" s="577">
        <v>3653784.1084046792</v>
      </c>
      <c r="W21" s="577">
        <v>3914768.687576442</v>
      </c>
      <c r="X21" s="577">
        <v>4175753.2667482053</v>
      </c>
      <c r="Y21" s="577">
        <v>32884056.975642115</v>
      </c>
      <c r="Z21" s="577">
        <v>2591047.3337007295</v>
      </c>
      <c r="AA21" s="577">
        <v>2599250.1284227576</v>
      </c>
      <c r="AB21" s="577">
        <v>4345798.1528883325</v>
      </c>
      <c r="AC21" s="577">
        <v>4359556.1764056403</v>
      </c>
      <c r="AD21" s="577">
        <v>4373357.7553768465</v>
      </c>
      <c r="AE21" s="577">
        <v>4387203.0276907682</v>
      </c>
      <c r="AF21" s="577">
        <v>4401092.1316727502</v>
      </c>
      <c r="AG21" s="577">
        <v>4415025.2060860526</v>
      </c>
      <c r="AH21" s="577">
        <v>4429002.3901332384</v>
      </c>
      <c r="AI21" s="577">
        <v>4443023.8234575549</v>
      </c>
      <c r="AJ21" s="577">
        <v>6184454.5352781611</v>
      </c>
      <c r="AK21" s="577">
        <v>6204033.4176709205</v>
      </c>
      <c r="AL21" s="577">
        <v>52732844.078783758</v>
      </c>
      <c r="AM21" s="577">
        <v>3843919.5742524238</v>
      </c>
      <c r="AN21" s="577">
        <v>3855643.3546826965</v>
      </c>
      <c r="AO21" s="577">
        <v>4645346.7290640967</v>
      </c>
      <c r="AP21" s="577">
        <v>4659514.8259823639</v>
      </c>
      <c r="AQ21" s="577">
        <v>4673726.1349538937</v>
      </c>
      <c r="AR21" s="577">
        <v>4687980.7877734918</v>
      </c>
      <c r="AS21" s="577">
        <v>4702278.9166379273</v>
      </c>
      <c r="AT21" s="577">
        <v>4716620.6541471686</v>
      </c>
      <c r="AU21" s="577">
        <v>4731006.1333056036</v>
      </c>
      <c r="AV21" s="577">
        <v>4745435.4875232792</v>
      </c>
      <c r="AW21" s="577">
        <v>5533128.9225753667</v>
      </c>
      <c r="AX21" s="577">
        <v>5550004.7149345959</v>
      </c>
      <c r="AY21" s="577">
        <v>56344606.235832907</v>
      </c>
      <c r="AZ21" s="577">
        <v>3433982.9705000659</v>
      </c>
      <c r="BA21" s="577">
        <v>3444086.672864431</v>
      </c>
      <c r="BB21" s="577">
        <v>4952524.1716798833</v>
      </c>
      <c r="BC21" s="577">
        <v>4967095.8310657451</v>
      </c>
      <c r="BD21" s="577">
        <v>4981710.3641963685</v>
      </c>
      <c r="BE21" s="577">
        <v>4996367.8972178521</v>
      </c>
      <c r="BF21" s="577">
        <v>5011068.5566474497</v>
      </c>
      <c r="BG21" s="577">
        <v>5025812.4693746651</v>
      </c>
      <c r="BH21" s="577">
        <v>5040599.7626623437</v>
      </c>
      <c r="BI21" s="577">
        <v>5055430.5641477732</v>
      </c>
      <c r="BJ21" s="577">
        <v>6559831.0027510123</v>
      </c>
      <c r="BK21" s="577">
        <v>6579131.7915381743</v>
      </c>
      <c r="BL21" s="577">
        <v>60047642.054645762</v>
      </c>
      <c r="BM21" s="577">
        <v>4065582.3618077198</v>
      </c>
      <c r="BN21" s="577">
        <v>4077136.4565287908</v>
      </c>
      <c r="BO21" s="577">
        <v>5267177.0132463807</v>
      </c>
      <c r="BP21" s="577">
        <v>5282145.9541527051</v>
      </c>
      <c r="BQ21" s="577">
        <v>5297157.4357200507</v>
      </c>
      <c r="BR21" s="577">
        <v>5312211.5788459368</v>
      </c>
      <c r="BS21" s="577">
        <v>5327308.5047714682</v>
      </c>
      <c r="BT21" s="577">
        <v>5342448.3350823037</v>
      </c>
      <c r="BU21" s="577">
        <v>5357631.1917096432</v>
      </c>
      <c r="BV21" s="577">
        <v>5372857.1969312066</v>
      </c>
      <c r="BW21" s="577">
        <v>6559910.3831032785</v>
      </c>
      <c r="BX21" s="577">
        <v>6578553.1799237607</v>
      </c>
      <c r="BY21" s="577">
        <v>63840119.59182325</v>
      </c>
      <c r="BZ21" s="28"/>
      <c r="CA21" s="64"/>
      <c r="CB21" s="28"/>
      <c r="CC21" s="28"/>
      <c r="CD21" s="28"/>
      <c r="CE21" s="28"/>
      <c r="CF21" s="28"/>
      <c r="CG21" s="28"/>
      <c r="CH21" s="28"/>
      <c r="CI21" s="28"/>
      <c r="CJ21" s="28"/>
      <c r="CK21" s="28"/>
      <c r="CL21" s="28"/>
      <c r="CM21" s="28"/>
      <c r="CN21" s="28"/>
      <c r="CO21" s="28"/>
      <c r="CP21" s="28"/>
    </row>
    <row r="22" spans="1:94" s="48" customFormat="1">
      <c r="B22" s="542" t="s">
        <v>69</v>
      </c>
      <c r="C22" s="542"/>
      <c r="D22" s="577">
        <v>45692307.692307711</v>
      </c>
      <c r="E22" s="577">
        <v>73272143.364884317</v>
      </c>
      <c r="F22" s="577">
        <v>78290677.054737851</v>
      </c>
      <c r="G22" s="577">
        <v>83436035.249262407</v>
      </c>
      <c r="H22" s="577">
        <v>88705672.468089655</v>
      </c>
      <c r="I22" s="577">
        <v>73879367.165856391</v>
      </c>
      <c r="J22" s="28"/>
      <c r="K22" s="542" t="s">
        <v>69</v>
      </c>
      <c r="L22" s="542"/>
      <c r="M22" s="577">
        <v>1813186.8131868136</v>
      </c>
      <c r="N22" s="577">
        <v>2175824.1758241761</v>
      </c>
      <c r="O22" s="577">
        <v>2538461.538461539</v>
      </c>
      <c r="P22" s="577">
        <v>2901098.9010989023</v>
      </c>
      <c r="Q22" s="577">
        <v>3263736.2637362648</v>
      </c>
      <c r="R22" s="577">
        <v>3626373.6263736272</v>
      </c>
      <c r="S22" s="577">
        <v>3989010.9890109901</v>
      </c>
      <c r="T22" s="577">
        <v>4351648.3516483521</v>
      </c>
      <c r="U22" s="577">
        <v>4714285.7142857155</v>
      </c>
      <c r="V22" s="577">
        <v>5076923.0769230779</v>
      </c>
      <c r="W22" s="577">
        <v>5439560.4395604413</v>
      </c>
      <c r="X22" s="577">
        <v>5802197.8021978047</v>
      </c>
      <c r="Y22" s="577">
        <v>45692307.692307711</v>
      </c>
      <c r="Z22" s="577">
        <v>3600253.2201085091</v>
      </c>
      <c r="AA22" s="577">
        <v>3611650.9810555042</v>
      </c>
      <c r="AB22" s="577">
        <v>6038474.7088086065</v>
      </c>
      <c r="AC22" s="577">
        <v>6057591.4450512324</v>
      </c>
      <c r="AD22" s="577">
        <v>6076768.701478539</v>
      </c>
      <c r="AE22" s="577">
        <v>6096006.6696866602</v>
      </c>
      <c r="AF22" s="577">
        <v>6115305.5418782895</v>
      </c>
      <c r="AG22" s="577">
        <v>6134665.5108645996</v>
      </c>
      <c r="AH22" s="577">
        <v>6154086.7700671684</v>
      </c>
      <c r="AI22" s="577">
        <v>6173569.513519913</v>
      </c>
      <c r="AJ22" s="577">
        <v>8593282.7492766995</v>
      </c>
      <c r="AK22" s="577">
        <v>8620487.5530885942</v>
      </c>
      <c r="AL22" s="577">
        <v>73272143.364884317</v>
      </c>
      <c r="AM22" s="577">
        <v>5341115.789372474</v>
      </c>
      <c r="AN22" s="577">
        <v>5357405.9503807062</v>
      </c>
      <c r="AO22" s="577">
        <v>6454696.6403529402</v>
      </c>
      <c r="AP22" s="577">
        <v>6474383.1724704159</v>
      </c>
      <c r="AQ22" s="577">
        <v>6494129.7476183241</v>
      </c>
      <c r="AR22" s="577">
        <v>6513936.5489251865</v>
      </c>
      <c r="AS22" s="577">
        <v>6533803.7600780567</v>
      </c>
      <c r="AT22" s="577">
        <v>6553731.5653242264</v>
      </c>
      <c r="AU22" s="577">
        <v>6573720.1494729323</v>
      </c>
      <c r="AV22" s="577">
        <v>6593769.6978970729</v>
      </c>
      <c r="AW22" s="577">
        <v>7688267.5826401385</v>
      </c>
      <c r="AX22" s="577">
        <v>7711716.4502053717</v>
      </c>
      <c r="AY22" s="577">
        <v>78290677.054737851</v>
      </c>
      <c r="AZ22" s="577">
        <v>4771509.9938689936</v>
      </c>
      <c r="BA22" s="577">
        <v>4785549.0608127732</v>
      </c>
      <c r="BB22" s="577">
        <v>6881518.8610580424</v>
      </c>
      <c r="BC22" s="577">
        <v>6901766.1421261756</v>
      </c>
      <c r="BD22" s="577">
        <v>6922072.9961459972</v>
      </c>
      <c r="BE22" s="577">
        <v>6942439.5983971693</v>
      </c>
      <c r="BF22" s="577">
        <v>6962866.1246750718</v>
      </c>
      <c r="BG22" s="577">
        <v>6983352.7512923246</v>
      </c>
      <c r="BH22" s="577">
        <v>7003899.6550803063</v>
      </c>
      <c r="BI22" s="577">
        <v>7024507.0133906789</v>
      </c>
      <c r="BJ22" s="577">
        <v>9114867.3294556513</v>
      </c>
      <c r="BK22" s="577">
        <v>9141685.7229592409</v>
      </c>
      <c r="BL22" s="577">
        <v>83436035.249262407</v>
      </c>
      <c r="BM22" s="577">
        <v>5649115.6295507532</v>
      </c>
      <c r="BN22" s="577">
        <v>5665170.0127277533</v>
      </c>
      <c r="BO22" s="577">
        <v>7318728.1282650921</v>
      </c>
      <c r="BP22" s="577">
        <v>7339527.4309249315</v>
      </c>
      <c r="BQ22" s="577">
        <v>7360385.843717508</v>
      </c>
      <c r="BR22" s="577">
        <v>7381303.5346295983</v>
      </c>
      <c r="BS22" s="577">
        <v>7402280.6721253842</v>
      </c>
      <c r="BT22" s="577">
        <v>7423317.4251478128</v>
      </c>
      <c r="BU22" s="577">
        <v>7444413.9631199511</v>
      </c>
      <c r="BV22" s="577">
        <v>7465570.4559463579</v>
      </c>
      <c r="BW22" s="577">
        <v>9114977.6282391381</v>
      </c>
      <c r="BX22" s="577">
        <v>9140881.7436953783</v>
      </c>
      <c r="BY22" s="577">
        <v>88705672.468089655</v>
      </c>
      <c r="BZ22" s="28"/>
      <c r="CA22" s="64"/>
      <c r="CB22" s="28"/>
      <c r="CC22" s="28"/>
      <c r="CD22" s="28"/>
      <c r="CE22" s="28"/>
      <c r="CF22" s="28"/>
      <c r="CG22" s="28"/>
      <c r="CH22" s="28"/>
      <c r="CI22" s="28"/>
      <c r="CJ22" s="28"/>
      <c r="CK22" s="28"/>
      <c r="CL22" s="28"/>
      <c r="CM22" s="28"/>
      <c r="CN22" s="28"/>
      <c r="CO22" s="28"/>
      <c r="CP22" s="28"/>
    </row>
    <row r="23" spans="1:94" s="59" customFormat="1">
      <c r="A23" s="48"/>
      <c r="B23" s="542" t="s">
        <v>70</v>
      </c>
      <c r="C23" s="542"/>
      <c r="D23" s="577">
        <v>43272022.814097203</v>
      </c>
      <c r="E23" s="577">
        <v>69390976.719191894</v>
      </c>
      <c r="F23" s="577">
        <v>74143682.706007615</v>
      </c>
      <c r="G23" s="577">
        <v>79016495.405236915</v>
      </c>
      <c r="H23" s="577">
        <v>84007004.168564186</v>
      </c>
      <c r="I23" s="577">
        <v>69966036.362619564</v>
      </c>
      <c r="J23" s="28"/>
      <c r="K23" s="542" t="s">
        <v>70</v>
      </c>
      <c r="L23" s="542"/>
      <c r="M23" s="577">
        <v>1717143.7624641748</v>
      </c>
      <c r="N23" s="577">
        <v>2060572.5149570098</v>
      </c>
      <c r="O23" s="577">
        <v>2404001.2674498446</v>
      </c>
      <c r="P23" s="577">
        <v>2747430.0199426799</v>
      </c>
      <c r="Q23" s="577">
        <v>3090858.7724355147</v>
      </c>
      <c r="R23" s="577">
        <v>3434287.5249283495</v>
      </c>
      <c r="S23" s="577">
        <v>3777716.2774211848</v>
      </c>
      <c r="T23" s="577">
        <v>4121145.0299140196</v>
      </c>
      <c r="U23" s="577">
        <v>4464573.7824068544</v>
      </c>
      <c r="V23" s="577">
        <v>4808002.5348996893</v>
      </c>
      <c r="W23" s="577">
        <v>5151431.2873925241</v>
      </c>
      <c r="X23" s="577">
        <v>5494860.0398853598</v>
      </c>
      <c r="Y23" s="577">
        <v>43272022.814097203</v>
      </c>
      <c r="Z23" s="577">
        <v>3409550.6956259431</v>
      </c>
      <c r="AA23" s="577">
        <v>3420344.7263203268</v>
      </c>
      <c r="AB23" s="577">
        <v>5718621.5483247386</v>
      </c>
      <c r="AC23" s="577">
        <v>5736725.6863864986</v>
      </c>
      <c r="AD23" s="577">
        <v>5754887.1389273154</v>
      </c>
      <c r="AE23" s="577">
        <v>5773106.0873946277</v>
      </c>
      <c r="AF23" s="577">
        <v>5791382.713810306</v>
      </c>
      <c r="AG23" s="577">
        <v>5809717.2007724699</v>
      </c>
      <c r="AH23" s="577">
        <v>5828109.7314573135</v>
      </c>
      <c r="AI23" s="577">
        <v>5846560.4896209305</v>
      </c>
      <c r="AJ23" s="577">
        <v>8138103.4566851202</v>
      </c>
      <c r="AK23" s="577">
        <v>8163867.2438662937</v>
      </c>
      <c r="AL23" s="577">
        <v>69390976.719191894</v>
      </c>
      <c r="AM23" s="577">
        <v>5058201.1713400455</v>
      </c>
      <c r="AN23" s="577">
        <v>5073628.455589734</v>
      </c>
      <c r="AO23" s="577">
        <v>6112796.5381019814</v>
      </c>
      <c r="AP23" s="577">
        <v>6131440.2904082639</v>
      </c>
      <c r="AQ23" s="577">
        <v>6150140.9053138327</v>
      </c>
      <c r="AR23" s="577">
        <v>6168898.5562470369</v>
      </c>
      <c r="AS23" s="577">
        <v>6187713.4171651732</v>
      </c>
      <c r="AT23" s="577">
        <v>6206585.6625561034</v>
      </c>
      <c r="AU23" s="577">
        <v>6225515.4674398685</v>
      </c>
      <c r="AV23" s="577">
        <v>6244503.0073703118</v>
      </c>
      <c r="AW23" s="577">
        <v>7281026.2173056314</v>
      </c>
      <c r="AX23" s="577">
        <v>7303233.0171696339</v>
      </c>
      <c r="AY23" s="577">
        <v>74143682.706007615</v>
      </c>
      <c r="AZ23" s="577">
        <v>4518766.9378132913</v>
      </c>
      <c r="BA23" s="577">
        <v>4532062.3666450055</v>
      </c>
      <c r="BB23" s="577">
        <v>6517010.328228063</v>
      </c>
      <c r="BC23" s="577">
        <v>6536185.1270629931</v>
      </c>
      <c r="BD23" s="577">
        <v>6555416.3433181569</v>
      </c>
      <c r="BE23" s="577">
        <v>6574704.1429887945</v>
      </c>
      <c r="BF23" s="577">
        <v>6594048.6925585447</v>
      </c>
      <c r="BG23" s="577">
        <v>6613450.1590008913</v>
      </c>
      <c r="BH23" s="577">
        <v>6632908.7097805943</v>
      </c>
      <c r="BI23" s="577">
        <v>6652424.5128551433</v>
      </c>
      <c r="BJ23" s="577">
        <v>8632060.1201342829</v>
      </c>
      <c r="BK23" s="577">
        <v>8657457.9648511577</v>
      </c>
      <c r="BL23" s="577">
        <v>79016495.405236915</v>
      </c>
      <c r="BM23" s="577">
        <v>5349886.5071011996</v>
      </c>
      <c r="BN23" s="577">
        <v>5365090.5024822066</v>
      </c>
      <c r="BO23" s="577">
        <v>6931060.9713367112</v>
      </c>
      <c r="BP23" s="577">
        <v>6950758.5516225351</v>
      </c>
      <c r="BQ23" s="577">
        <v>6970512.1110247932</v>
      </c>
      <c r="BR23" s="577">
        <v>6990321.8086321345</v>
      </c>
      <c r="BS23" s="577">
        <v>7010187.8039853293</v>
      </c>
      <c r="BT23" s="577">
        <v>7030110.2570785498</v>
      </c>
      <c r="BU23" s="577">
        <v>7050089.3283606637</v>
      </c>
      <c r="BV23" s="577">
        <v>7070125.1787365181</v>
      </c>
      <c r="BW23" s="577">
        <v>8632164.5764797051</v>
      </c>
      <c r="BX23" s="577">
        <v>8656696.5717238449</v>
      </c>
      <c r="BY23" s="577">
        <v>84007004.168564186</v>
      </c>
      <c r="BZ23" s="28"/>
      <c r="CA23" s="64"/>
      <c r="CB23" s="28"/>
      <c r="CC23" s="28"/>
      <c r="CD23" s="28"/>
      <c r="CE23" s="28"/>
      <c r="CF23" s="28"/>
      <c r="CG23" s="28"/>
      <c r="CH23" s="28"/>
      <c r="CI23" s="28"/>
      <c r="CJ23" s="28"/>
      <c r="CK23" s="28"/>
      <c r="CL23" s="28"/>
      <c r="CM23" s="28"/>
      <c r="CN23" s="28"/>
      <c r="CO23" s="28"/>
      <c r="CP23" s="28"/>
    </row>
    <row r="24" spans="1:94" s="48" customFormat="1">
      <c r="B24" s="542" t="s">
        <v>71</v>
      </c>
      <c r="C24" s="542"/>
      <c r="D24" s="577">
        <v>249230769.23076937</v>
      </c>
      <c r="E24" s="577">
        <v>399666236.53573281</v>
      </c>
      <c r="F24" s="577">
        <v>427040056.66220659</v>
      </c>
      <c r="G24" s="577">
        <v>455105646.81415886</v>
      </c>
      <c r="H24" s="577">
        <v>483849122.55321652</v>
      </c>
      <c r="I24" s="577">
        <v>402978366.35921681</v>
      </c>
      <c r="J24" s="28"/>
      <c r="K24" s="542" t="s">
        <v>71</v>
      </c>
      <c r="L24" s="542"/>
      <c r="M24" s="577">
        <v>9890109.8901098948</v>
      </c>
      <c r="N24" s="577">
        <v>11868131.868131874</v>
      </c>
      <c r="O24" s="577">
        <v>13846153.846153852</v>
      </c>
      <c r="P24" s="577">
        <v>15824175.824175835</v>
      </c>
      <c r="Q24" s="577">
        <v>17802197.80219781</v>
      </c>
      <c r="R24" s="577">
        <v>19780219.78021979</v>
      </c>
      <c r="S24" s="577">
        <v>21758241.758241769</v>
      </c>
      <c r="T24" s="577">
        <v>23736263.736263748</v>
      </c>
      <c r="U24" s="577">
        <v>25714285.714285728</v>
      </c>
      <c r="V24" s="577">
        <v>27692307.692307703</v>
      </c>
      <c r="W24" s="577">
        <v>29670329.670329686</v>
      </c>
      <c r="X24" s="577">
        <v>31648351.648351669</v>
      </c>
      <c r="Y24" s="577">
        <v>249230769.23076937</v>
      </c>
      <c r="Z24" s="577">
        <v>19637744.83695551</v>
      </c>
      <c r="AA24" s="577">
        <v>19699914.442120939</v>
      </c>
      <c r="AB24" s="577">
        <v>32937134.775319684</v>
      </c>
      <c r="AC24" s="577">
        <v>33041407.882097643</v>
      </c>
      <c r="AD24" s="577">
        <v>33146011.098973859</v>
      </c>
      <c r="AE24" s="577">
        <v>33250945.471018158</v>
      </c>
      <c r="AF24" s="577">
        <v>33356212.046608865</v>
      </c>
      <c r="AG24" s="577">
        <v>33461811.877443284</v>
      </c>
      <c r="AH24" s="577">
        <v>33567746.018548205</v>
      </c>
      <c r="AI24" s="577">
        <v>33674015.528290451</v>
      </c>
      <c r="AJ24" s="577">
        <v>46872451.359691106</v>
      </c>
      <c r="AK24" s="577">
        <v>47020841.198665075</v>
      </c>
      <c r="AL24" s="577">
        <v>399666236.53573281</v>
      </c>
      <c r="AM24" s="577">
        <v>29133358.851122595</v>
      </c>
      <c r="AN24" s="577">
        <v>29222214.274803858</v>
      </c>
      <c r="AO24" s="577">
        <v>35207436.220106959</v>
      </c>
      <c r="AP24" s="577">
        <v>35314817.304384097</v>
      </c>
      <c r="AQ24" s="577">
        <v>35422525.896099962</v>
      </c>
      <c r="AR24" s="577">
        <v>35530562.994137391</v>
      </c>
      <c r="AS24" s="577">
        <v>35638929.600425772</v>
      </c>
      <c r="AT24" s="577">
        <v>35747626.719950333</v>
      </c>
      <c r="AU24" s="577">
        <v>35856655.360761464</v>
      </c>
      <c r="AV24" s="577">
        <v>35966016.53398405</v>
      </c>
      <c r="AW24" s="577">
        <v>41936004.99621895</v>
      </c>
      <c r="AX24" s="577">
        <v>42063907.910211131</v>
      </c>
      <c r="AY24" s="577">
        <v>427040056.66220659</v>
      </c>
      <c r="AZ24" s="577">
        <v>26026418.148376342</v>
      </c>
      <c r="BA24" s="577">
        <v>26102994.87716059</v>
      </c>
      <c r="BB24" s="577">
        <v>37535557.423952974</v>
      </c>
      <c r="BC24" s="577">
        <v>37645997.138870068</v>
      </c>
      <c r="BD24" s="577">
        <v>37756761.79716</v>
      </c>
      <c r="BE24" s="577">
        <v>37867852.354893662</v>
      </c>
      <c r="BF24" s="577">
        <v>37979269.770954952</v>
      </c>
      <c r="BG24" s="577">
        <v>38091015.007049061</v>
      </c>
      <c r="BH24" s="577">
        <v>38203089.027710781</v>
      </c>
      <c r="BI24" s="577">
        <v>38315492.80031281</v>
      </c>
      <c r="BJ24" s="577">
        <v>49717458.160667211</v>
      </c>
      <c r="BK24" s="577">
        <v>49863740.307050429</v>
      </c>
      <c r="BL24" s="577">
        <v>455105646.81415886</v>
      </c>
      <c r="BM24" s="577">
        <v>30813357.979367759</v>
      </c>
      <c r="BN24" s="577">
        <v>30900927.342151392</v>
      </c>
      <c r="BO24" s="577">
        <v>39920335.245082334</v>
      </c>
      <c r="BP24" s="577">
        <v>40033785.986863278</v>
      </c>
      <c r="BQ24" s="577">
        <v>40147559.147550054</v>
      </c>
      <c r="BR24" s="577">
        <v>40261655.643434189</v>
      </c>
      <c r="BS24" s="577">
        <v>40376076.393411204</v>
      </c>
      <c r="BT24" s="577">
        <v>40490822.318988085</v>
      </c>
      <c r="BU24" s="577">
        <v>40605894.344290659</v>
      </c>
      <c r="BV24" s="577">
        <v>40721293.396071061</v>
      </c>
      <c r="BW24" s="577">
        <v>49718059.790395319</v>
      </c>
      <c r="BX24" s="577">
        <v>49859354.965611175</v>
      </c>
      <c r="BY24" s="577">
        <v>483849122.55321652</v>
      </c>
      <c r="BZ24" s="28"/>
      <c r="CA24" s="64"/>
      <c r="CB24" s="28"/>
      <c r="CC24" s="28"/>
      <c r="CD24" s="28"/>
      <c r="CE24" s="28"/>
      <c r="CF24" s="28"/>
      <c r="CG24" s="28"/>
      <c r="CH24" s="28"/>
      <c r="CI24" s="28"/>
      <c r="CJ24" s="28"/>
      <c r="CK24" s="28"/>
      <c r="CL24" s="28"/>
      <c r="CM24" s="28"/>
      <c r="CN24" s="28"/>
      <c r="CO24" s="28"/>
      <c r="CP24" s="28"/>
    </row>
    <row r="25" spans="1:94" s="59" customFormat="1">
      <c r="A25" s="48"/>
      <c r="B25" s="542" t="s">
        <v>72</v>
      </c>
      <c r="C25" s="542"/>
      <c r="D25" s="577">
        <v>16501141.054083373</v>
      </c>
      <c r="E25" s="577">
        <v>26461214.897283971</v>
      </c>
      <c r="F25" s="577">
        <v>28273588.499829851</v>
      </c>
      <c r="G25" s="577">
        <v>30131763.007306688</v>
      </c>
      <c r="H25" s="577">
        <v>32034819.154903159</v>
      </c>
      <c r="I25" s="577">
        <v>26680505.322681412</v>
      </c>
      <c r="J25" s="28"/>
      <c r="K25" s="542" t="s">
        <v>72</v>
      </c>
      <c r="L25" s="542"/>
      <c r="M25" s="577">
        <v>654807.18468584807</v>
      </c>
      <c r="N25" s="577">
        <v>785768.62162301771</v>
      </c>
      <c r="O25" s="577">
        <v>916730.05856018723</v>
      </c>
      <c r="P25" s="577">
        <v>1047691.495497357</v>
      </c>
      <c r="Q25" s="577">
        <v>1178652.9324345267</v>
      </c>
      <c r="R25" s="577">
        <v>1309614.3693716961</v>
      </c>
      <c r="S25" s="577">
        <v>1440575.806308866</v>
      </c>
      <c r="T25" s="577">
        <v>1571537.2432460354</v>
      </c>
      <c r="U25" s="577">
        <v>1702498.6801832051</v>
      </c>
      <c r="V25" s="577">
        <v>1833460.1171203745</v>
      </c>
      <c r="W25" s="577">
        <v>1964421.5540575443</v>
      </c>
      <c r="X25" s="577">
        <v>2095382.990994714</v>
      </c>
      <c r="Y25" s="577">
        <v>16501141.054083373</v>
      </c>
      <c r="Z25" s="577">
        <v>1300181.3481491059</v>
      </c>
      <c r="AA25" s="577">
        <v>1304297.4909001701</v>
      </c>
      <c r="AB25" s="577">
        <v>2180711.1077110367</v>
      </c>
      <c r="AC25" s="577">
        <v>2187614.8509703511</v>
      </c>
      <c r="AD25" s="577">
        <v>2194540.4502521437</v>
      </c>
      <c r="AE25" s="577">
        <v>2201487.9747486934</v>
      </c>
      <c r="AF25" s="577">
        <v>2208457.4938713275</v>
      </c>
      <c r="AG25" s="577">
        <v>2215449.0772511172</v>
      </c>
      <c r="AH25" s="577">
        <v>2222462.7947395742</v>
      </c>
      <c r="AI25" s="577">
        <v>2229498.716409348</v>
      </c>
      <c r="AJ25" s="577">
        <v>3103344.4779876606</v>
      </c>
      <c r="AK25" s="577">
        <v>3113169.1142934412</v>
      </c>
      <c r="AL25" s="577">
        <v>26461214.897283971</v>
      </c>
      <c r="AM25" s="577">
        <v>1928869.6386298849</v>
      </c>
      <c r="AN25" s="577">
        <v>1934752.6035788367</v>
      </c>
      <c r="AO25" s="577">
        <v>2331023.8660086952</v>
      </c>
      <c r="AP25" s="577">
        <v>2338133.3831187468</v>
      </c>
      <c r="AQ25" s="577">
        <v>2345264.5839336608</v>
      </c>
      <c r="AR25" s="577">
        <v>2352417.5345877549</v>
      </c>
      <c r="AS25" s="577">
        <v>2359592.3014170509</v>
      </c>
      <c r="AT25" s="577">
        <v>2366788.9509598953</v>
      </c>
      <c r="AU25" s="577">
        <v>2374007.5499575716</v>
      </c>
      <c r="AV25" s="577">
        <v>2381248.1653549229</v>
      </c>
      <c r="AW25" s="577">
        <v>2776510.8450418515</v>
      </c>
      <c r="AX25" s="577">
        <v>2784979.0772409788</v>
      </c>
      <c r="AY25" s="577">
        <v>28273588.499829851</v>
      </c>
      <c r="AZ25" s="577">
        <v>1723164.4324030471</v>
      </c>
      <c r="BA25" s="577">
        <v>1728234.4460575776</v>
      </c>
      <c r="BB25" s="577">
        <v>2485164.7712196982</v>
      </c>
      <c r="BC25" s="577">
        <v>2492476.7950097155</v>
      </c>
      <c r="BD25" s="577">
        <v>2499810.3327421984</v>
      </c>
      <c r="BE25" s="577">
        <v>2507165.4477169579</v>
      </c>
      <c r="BF25" s="577">
        <v>2514542.2034200486</v>
      </c>
      <c r="BG25" s="577">
        <v>2521940.6635243199</v>
      </c>
      <c r="BH25" s="577">
        <v>2529360.8918899628</v>
      </c>
      <c r="BI25" s="577">
        <v>2536802.9525650633</v>
      </c>
      <c r="BJ25" s="577">
        <v>3291707.4905788735</v>
      </c>
      <c r="BK25" s="577">
        <v>3301392.5801792215</v>
      </c>
      <c r="BL25" s="577">
        <v>30131763.007306688</v>
      </c>
      <c r="BM25" s="577">
        <v>2040099.4946844641</v>
      </c>
      <c r="BN25" s="577">
        <v>2045897.3117508271</v>
      </c>
      <c r="BO25" s="577">
        <v>2643056.8137253677</v>
      </c>
      <c r="BP25" s="577">
        <v>2650568.1924311174</v>
      </c>
      <c r="BQ25" s="577">
        <v>2658100.9179387097</v>
      </c>
      <c r="BR25" s="577">
        <v>2665655.0509142308</v>
      </c>
      <c r="BS25" s="577">
        <v>2673230.6521961764</v>
      </c>
      <c r="BT25" s="577">
        <v>2680827.7827959387</v>
      </c>
      <c r="BU25" s="577">
        <v>2688446.5038983026</v>
      </c>
      <c r="BV25" s="577">
        <v>2696086.8768619341</v>
      </c>
      <c r="BW25" s="577">
        <v>3291747.3234495763</v>
      </c>
      <c r="BX25" s="577">
        <v>3301102.2342565139</v>
      </c>
      <c r="BY25" s="577">
        <v>32034819.154903159</v>
      </c>
      <c r="BZ25" s="31"/>
      <c r="CA25" s="64"/>
      <c r="CB25" s="28"/>
      <c r="CC25" s="28"/>
      <c r="CD25" s="28"/>
      <c r="CE25" s="28"/>
      <c r="CF25" s="28"/>
      <c r="CG25" s="28"/>
      <c r="CH25" s="28"/>
      <c r="CI25" s="28"/>
      <c r="CJ25" s="28"/>
      <c r="CK25" s="28"/>
      <c r="CL25" s="28"/>
      <c r="CM25" s="28"/>
      <c r="CN25" s="28"/>
      <c r="CO25" s="28"/>
      <c r="CP25" s="28"/>
    </row>
    <row r="26" spans="1:94" s="48" customFormat="1">
      <c r="B26" s="542" t="s">
        <v>73</v>
      </c>
      <c r="C26" s="542"/>
      <c r="D26" s="577">
        <v>11645674.664436607</v>
      </c>
      <c r="E26" s="577">
        <v>18674993.378306728</v>
      </c>
      <c r="F26" s="577">
        <v>19954075.429450046</v>
      </c>
      <c r="G26" s="577">
        <v>21265481.453609206</v>
      </c>
      <c r="H26" s="577">
        <v>22608562.679957505</v>
      </c>
      <c r="I26" s="577">
        <v>18829757.52115202</v>
      </c>
      <c r="J26" s="28"/>
      <c r="K26" s="542" t="s">
        <v>73</v>
      </c>
      <c r="L26" s="542"/>
      <c r="M26" s="577">
        <v>462129.94700145256</v>
      </c>
      <c r="N26" s="577">
        <v>554555.93640174298</v>
      </c>
      <c r="O26" s="577">
        <v>646981.92580203351</v>
      </c>
      <c r="P26" s="577">
        <v>739407.91520232416</v>
      </c>
      <c r="Q26" s="577">
        <v>831833.90460261458</v>
      </c>
      <c r="R26" s="577">
        <v>924259.89400290512</v>
      </c>
      <c r="S26" s="577">
        <v>1016685.8834031957</v>
      </c>
      <c r="T26" s="577">
        <v>1109111.872803486</v>
      </c>
      <c r="U26" s="577">
        <v>1201537.8622037766</v>
      </c>
      <c r="V26" s="577">
        <v>1293963.851604067</v>
      </c>
      <c r="W26" s="577">
        <v>1386389.8410043577</v>
      </c>
      <c r="X26" s="577">
        <v>1478815.8304046483</v>
      </c>
      <c r="Y26" s="577">
        <v>11645674.664436607</v>
      </c>
      <c r="Z26" s="577">
        <v>917602.54249606293</v>
      </c>
      <c r="AA26" s="577">
        <v>920507.50883712771</v>
      </c>
      <c r="AB26" s="577">
        <v>1539036.1196410377</v>
      </c>
      <c r="AC26" s="577">
        <v>1543908.4340889452</v>
      </c>
      <c r="AD26" s="577">
        <v>1548796.1734172541</v>
      </c>
      <c r="AE26" s="577">
        <v>1553699.3864583909</v>
      </c>
      <c r="AF26" s="577">
        <v>1558618.1221993766</v>
      </c>
      <c r="AG26" s="577">
        <v>1563552.4297823159</v>
      </c>
      <c r="AH26" s="577">
        <v>1568502.3585048891</v>
      </c>
      <c r="AI26" s="577">
        <v>1573467.9578208444</v>
      </c>
      <c r="AJ26" s="577">
        <v>2190184.3056712002</v>
      </c>
      <c r="AK26" s="577">
        <v>2197118.0393892825</v>
      </c>
      <c r="AL26" s="577">
        <v>18674993.378306728</v>
      </c>
      <c r="AM26" s="577">
        <v>1361299.0888308506</v>
      </c>
      <c r="AN26" s="577">
        <v>1365450.9893347747</v>
      </c>
      <c r="AO26" s="577">
        <v>1645119.2974837874</v>
      </c>
      <c r="AP26" s="577">
        <v>1650136.8367565891</v>
      </c>
      <c r="AQ26" s="577">
        <v>1655169.6792966938</v>
      </c>
      <c r="AR26" s="577">
        <v>1660217.8717783724</v>
      </c>
      <c r="AS26" s="577">
        <v>1665281.461018251</v>
      </c>
      <c r="AT26" s="577">
        <v>1670360.4939757441</v>
      </c>
      <c r="AU26" s="577">
        <v>1675455.01775349</v>
      </c>
      <c r="AV26" s="577">
        <v>1680565.0795977886</v>
      </c>
      <c r="AW26" s="577">
        <v>1959521.5808203695</v>
      </c>
      <c r="AX26" s="577">
        <v>1965498.0328033394</v>
      </c>
      <c r="AY26" s="577">
        <v>19954075.429450046</v>
      </c>
      <c r="AZ26" s="577">
        <v>1216122.709776398</v>
      </c>
      <c r="BA26" s="577">
        <v>1219700.8701818751</v>
      </c>
      <c r="BB26" s="577">
        <v>1753904.1887034704</v>
      </c>
      <c r="BC26" s="577">
        <v>1759064.64699651</v>
      </c>
      <c r="BD26" s="577">
        <v>1764240.2887470985</v>
      </c>
      <c r="BE26" s="577">
        <v>1769431.1586290558</v>
      </c>
      <c r="BF26" s="577">
        <v>1774637.3014476439</v>
      </c>
      <c r="BG26" s="577">
        <v>1779858.7621399539</v>
      </c>
      <c r="BH26" s="577">
        <v>1785095.5857752941</v>
      </c>
      <c r="BI26" s="577">
        <v>1790347.8175555787</v>
      </c>
      <c r="BJ26" s="577">
        <v>2323121.4374889792</v>
      </c>
      <c r="BK26" s="577">
        <v>2329956.6861673519</v>
      </c>
      <c r="BL26" s="577">
        <v>21265481.453609206</v>
      </c>
      <c r="BM26" s="577">
        <v>1439799.521760802</v>
      </c>
      <c r="BN26" s="577">
        <v>1443891.3291756641</v>
      </c>
      <c r="BO26" s="577">
        <v>1865336.4437879997</v>
      </c>
      <c r="BP26" s="577">
        <v>1870637.596744746</v>
      </c>
      <c r="BQ26" s="577">
        <v>1875953.8151996033</v>
      </c>
      <c r="BR26" s="577">
        <v>1881285.1419676417</v>
      </c>
      <c r="BS26" s="577">
        <v>1886631.6199856082</v>
      </c>
      <c r="BT26" s="577">
        <v>1891993.2923122731</v>
      </c>
      <c r="BU26" s="577">
        <v>1897370.2021287763</v>
      </c>
      <c r="BV26" s="577">
        <v>1902762.3927389763</v>
      </c>
      <c r="BW26" s="577">
        <v>2323149.549523876</v>
      </c>
      <c r="BX26" s="577">
        <v>2329751.7746315426</v>
      </c>
      <c r="BY26" s="577">
        <v>22608562.679957505</v>
      </c>
      <c r="BZ26" s="28"/>
      <c r="CA26" s="64"/>
      <c r="CB26" s="28"/>
      <c r="CC26" s="28"/>
      <c r="CD26" s="28"/>
      <c r="CE26" s="28"/>
      <c r="CF26" s="28"/>
      <c r="CG26" s="28"/>
      <c r="CH26" s="28"/>
      <c r="CI26" s="28"/>
      <c r="CJ26" s="28"/>
      <c r="CK26" s="28"/>
      <c r="CL26" s="28"/>
      <c r="CM26" s="28"/>
      <c r="CN26" s="28"/>
      <c r="CO26" s="28"/>
      <c r="CP26" s="28"/>
    </row>
    <row r="27" spans="1:94" s="59" customFormat="1">
      <c r="A27" s="48"/>
      <c r="B27" s="542" t="s">
        <v>74</v>
      </c>
      <c r="C27" s="542"/>
      <c r="D27" s="577">
        <v>1349169.2307692312</v>
      </c>
      <c r="E27" s="577">
        <v>2163526.5604467662</v>
      </c>
      <c r="F27" s="577">
        <v>2311710.1733980775</v>
      </c>
      <c r="G27" s="577">
        <v>2463638.5680873124</v>
      </c>
      <c r="H27" s="577">
        <v>2619236.5834214115</v>
      </c>
      <c r="I27" s="577">
        <v>2181456.2232245598</v>
      </c>
      <c r="J27" s="28"/>
      <c r="K27" s="542" t="s">
        <v>74</v>
      </c>
      <c r="L27" s="542"/>
      <c r="M27" s="577">
        <v>53538.461538461554</v>
      </c>
      <c r="N27" s="577">
        <v>64246.153846153858</v>
      </c>
      <c r="O27" s="577">
        <v>74953.846153846171</v>
      </c>
      <c r="P27" s="577">
        <v>85661.538461538497</v>
      </c>
      <c r="Q27" s="577">
        <v>96369.230769230795</v>
      </c>
      <c r="R27" s="577">
        <v>107076.92307692311</v>
      </c>
      <c r="S27" s="577">
        <v>117784.61538461542</v>
      </c>
      <c r="T27" s="577">
        <v>128492.30769230772</v>
      </c>
      <c r="U27" s="577">
        <v>139200.00000000003</v>
      </c>
      <c r="V27" s="577">
        <v>149907.69230769234</v>
      </c>
      <c r="W27" s="577">
        <v>160615.38461538465</v>
      </c>
      <c r="X27" s="577">
        <v>171323.07692307699</v>
      </c>
      <c r="Y27" s="577">
        <v>1349169.2307692312</v>
      </c>
      <c r="Z27" s="577">
        <v>106305.6587173858</v>
      </c>
      <c r="AA27" s="577">
        <v>106642.20351334799</v>
      </c>
      <c r="AB27" s="577">
        <v>178299.68958373051</v>
      </c>
      <c r="AC27" s="577">
        <v>178864.15466842186</v>
      </c>
      <c r="AD27" s="577">
        <v>179430.40674911177</v>
      </c>
      <c r="AE27" s="577">
        <v>179998.45148311157</v>
      </c>
      <c r="AF27" s="577">
        <v>180568.29454564262</v>
      </c>
      <c r="AG27" s="577">
        <v>181139.94162989291</v>
      </c>
      <c r="AH27" s="577">
        <v>181713.39844707423</v>
      </c>
      <c r="AI27" s="577">
        <v>182288.67072647891</v>
      </c>
      <c r="AJ27" s="577">
        <v>253736.20336046114</v>
      </c>
      <c r="AK27" s="577">
        <v>254539.48702210688</v>
      </c>
      <c r="AL27" s="577">
        <v>2163526.5604467662</v>
      </c>
      <c r="AM27" s="577">
        <v>157708.58258074362</v>
      </c>
      <c r="AN27" s="577">
        <v>158189.58660760484</v>
      </c>
      <c r="AO27" s="577">
        <v>190589.58807151229</v>
      </c>
      <c r="AP27" s="577">
        <v>191170.87767439921</v>
      </c>
      <c r="AQ27" s="577">
        <v>191753.94018422108</v>
      </c>
      <c r="AR27" s="577">
        <v>192338.7810082637</v>
      </c>
      <c r="AS27" s="577">
        <v>192925.40557030481</v>
      </c>
      <c r="AT27" s="577">
        <v>193513.81931066443</v>
      </c>
      <c r="AU27" s="577">
        <v>194104.02768625534</v>
      </c>
      <c r="AV27" s="577">
        <v>194696.0361706336</v>
      </c>
      <c r="AW27" s="577">
        <v>227013.57371286521</v>
      </c>
      <c r="AX27" s="577">
        <v>227705.95482060954</v>
      </c>
      <c r="AY27" s="577">
        <v>2311710.1733980775</v>
      </c>
      <c r="AZ27" s="577">
        <v>140889.67690987722</v>
      </c>
      <c r="BA27" s="577">
        <v>141304.21226836261</v>
      </c>
      <c r="BB27" s="577">
        <v>203192.48418833205</v>
      </c>
      <c r="BC27" s="577">
        <v>203790.33117841656</v>
      </c>
      <c r="BD27" s="577">
        <v>204389.93719529273</v>
      </c>
      <c r="BE27" s="577">
        <v>204991.30741449096</v>
      </c>
      <c r="BF27" s="577">
        <v>205594.44702676943</v>
      </c>
      <c r="BG27" s="577">
        <v>206199.36123815883</v>
      </c>
      <c r="BH27" s="577">
        <v>206806.05527000761</v>
      </c>
      <c r="BI27" s="577">
        <v>207414.53435902661</v>
      </c>
      <c r="BJ27" s="577">
        <v>269137.17350974504</v>
      </c>
      <c r="BK27" s="577">
        <v>269929.04752883292</v>
      </c>
      <c r="BL27" s="577">
        <v>2463638.5680873124</v>
      </c>
      <c r="BM27" s="577">
        <v>166802.97786164409</v>
      </c>
      <c r="BN27" s="577">
        <v>167277.02001217948</v>
      </c>
      <c r="BO27" s="577">
        <v>216102.08146004565</v>
      </c>
      <c r="BP27" s="577">
        <v>216716.2281422198</v>
      </c>
      <c r="BQ27" s="577">
        <v>217332.12018540426</v>
      </c>
      <c r="BR27" s="577">
        <v>217949.76254979032</v>
      </c>
      <c r="BS27" s="577">
        <v>218569.16020966592</v>
      </c>
      <c r="BT27" s="577">
        <v>219190.31815345542</v>
      </c>
      <c r="BU27" s="577">
        <v>219813.24138376003</v>
      </c>
      <c r="BV27" s="577">
        <v>220437.93491739794</v>
      </c>
      <c r="BW27" s="577">
        <v>269140.4303320066</v>
      </c>
      <c r="BX27" s="577">
        <v>269905.30821384175</v>
      </c>
      <c r="BY27" s="577">
        <v>2619236.5834214115</v>
      </c>
      <c r="BZ27" s="28"/>
      <c r="CA27" s="64"/>
      <c r="CB27" s="28"/>
      <c r="CC27" s="28"/>
      <c r="CD27" s="28"/>
      <c r="CE27" s="28"/>
      <c r="CF27" s="28"/>
      <c r="CG27" s="28"/>
      <c r="CH27" s="28"/>
      <c r="CI27" s="28"/>
      <c r="CJ27" s="28"/>
      <c r="CK27" s="28"/>
      <c r="CL27" s="28"/>
      <c r="CM27" s="28"/>
      <c r="CN27" s="28"/>
      <c r="CO27" s="28"/>
      <c r="CP27" s="28"/>
    </row>
    <row r="28" spans="1:94" s="48" customFormat="1">
      <c r="B28" s="545" t="s">
        <v>75</v>
      </c>
      <c r="C28" s="545"/>
      <c r="D28" s="579">
        <v>832259.77413596818</v>
      </c>
      <c r="E28" s="579">
        <v>1334611.022449696</v>
      </c>
      <c r="F28" s="579">
        <v>1426020.8007287302</v>
      </c>
      <c r="G28" s="579">
        <v>1519740.6162753762</v>
      </c>
      <c r="H28" s="579">
        <v>1615724.1045914625</v>
      </c>
      <c r="I28" s="579">
        <v>1345671.2636362468</v>
      </c>
      <c r="J28" s="28"/>
      <c r="K28" s="545" t="s">
        <v>75</v>
      </c>
      <c r="L28" s="545"/>
      <c r="M28" s="579">
        <v>33026.181513332071</v>
      </c>
      <c r="N28" s="579">
        <v>39631.41781599848</v>
      </c>
      <c r="O28" s="579">
        <v>46236.65411866489</v>
      </c>
      <c r="P28" s="579">
        <v>52841.890421331314</v>
      </c>
      <c r="Q28" s="579">
        <v>59447.126723997724</v>
      </c>
      <c r="R28" s="579">
        <v>66052.363026664141</v>
      </c>
      <c r="S28" s="579">
        <v>72657.599329330551</v>
      </c>
      <c r="T28" s="579">
        <v>79262.835631996961</v>
      </c>
      <c r="U28" s="579">
        <v>85868.07193466337</v>
      </c>
      <c r="V28" s="579">
        <v>92473.30823732978</v>
      </c>
      <c r="W28" s="579">
        <v>99078.544539996219</v>
      </c>
      <c r="X28" s="579">
        <v>105683.78084266263</v>
      </c>
      <c r="Y28" s="579">
        <v>832259.77413596818</v>
      </c>
      <c r="Z28" s="579">
        <v>65576.594466998969</v>
      </c>
      <c r="AA28" s="579">
        <v>65784.198294218208</v>
      </c>
      <c r="AB28" s="579">
        <v>109987.43226367756</v>
      </c>
      <c r="AC28" s="579">
        <v>110335.63289943103</v>
      </c>
      <c r="AD28" s="579">
        <v>110684.93587642697</v>
      </c>
      <c r="AE28" s="579">
        <v>111035.34468448158</v>
      </c>
      <c r="AF28" s="579">
        <v>111386.8628244592</v>
      </c>
      <c r="AG28" s="579">
        <v>111739.49380830723</v>
      </c>
      <c r="AH28" s="579">
        <v>112093.24115909134</v>
      </c>
      <c r="AI28" s="579">
        <v>112448.10841103055</v>
      </c>
      <c r="AJ28" s="579">
        <v>156521.82875419859</v>
      </c>
      <c r="AK28" s="579">
        <v>157017.34900737487</v>
      </c>
      <c r="AL28" s="579">
        <v>1334611.022449696</v>
      </c>
      <c r="AM28" s="579">
        <v>97285.430414921604</v>
      </c>
      <c r="AN28" s="579">
        <v>97582.146567072341</v>
      </c>
      <c r="AO28" s="579">
        <v>117568.68145490282</v>
      </c>
      <c r="AP28" s="579">
        <v>117927.26060314682</v>
      </c>
      <c r="AQ28" s="579">
        <v>118286.93340153612</v>
      </c>
      <c r="AR28" s="579">
        <v>118647.70318565409</v>
      </c>
      <c r="AS28" s="579">
        <v>119009.57330125743</v>
      </c>
      <c r="AT28" s="579">
        <v>119372.54710430732</v>
      </c>
      <c r="AU28" s="579">
        <v>119736.62796100041</v>
      </c>
      <c r="AV28" s="579">
        <v>120101.81924780016</v>
      </c>
      <c r="AW28" s="579">
        <v>140037.48475374503</v>
      </c>
      <c r="AX28" s="579">
        <v>140464.5927333858</v>
      </c>
      <c r="AY28" s="579">
        <v>1426020.8007287302</v>
      </c>
      <c r="AZ28" s="579">
        <v>86910.380113138031</v>
      </c>
      <c r="BA28" s="579">
        <v>87166.093848640085</v>
      </c>
      <c r="BB28" s="579">
        <v>125343.00897174311</v>
      </c>
      <c r="BC28" s="579">
        <v>125711.80184782427</v>
      </c>
      <c r="BD28" s="579">
        <v>126081.67981182989</v>
      </c>
      <c r="BE28" s="579">
        <v>126452.64605638075</v>
      </c>
      <c r="BF28" s="579">
        <v>126824.70378349116</v>
      </c>
      <c r="BG28" s="579">
        <v>127197.85620459668</v>
      </c>
      <c r="BH28" s="579">
        <v>127572.10654058174</v>
      </c>
      <c r="BI28" s="579">
        <v>127947.45802180748</v>
      </c>
      <c r="BJ28" s="579">
        <v>166022.19953467499</v>
      </c>
      <c r="BK28" s="579">
        <v>166510.68154066801</v>
      </c>
      <c r="BL28" s="579">
        <v>1519740.6162753762</v>
      </c>
      <c r="BM28" s="579">
        <v>102895.47487025654</v>
      </c>
      <c r="BN28" s="579">
        <v>103187.89646136457</v>
      </c>
      <c r="BO28" s="579">
        <v>133306.53071869022</v>
      </c>
      <c r="BP28" s="579">
        <v>133685.37835865692</v>
      </c>
      <c r="BQ28" s="579">
        <v>134065.30265656029</v>
      </c>
      <c r="BR28" s="579">
        <v>134446.30667218528</v>
      </c>
      <c r="BS28" s="579">
        <v>134828.39347401258</v>
      </c>
      <c r="BT28" s="579">
        <v>135211.56613924322</v>
      </c>
      <c r="BU28" s="579">
        <v>135595.82775382345</v>
      </c>
      <c r="BV28" s="579">
        <v>135981.18141246957</v>
      </c>
      <c r="BW28" s="579">
        <v>166024.20856519387</v>
      </c>
      <c r="BX28" s="579">
        <v>166496.03750900604</v>
      </c>
      <c r="BY28" s="579">
        <v>1615724.1045914625</v>
      </c>
      <c r="BZ28" s="28"/>
      <c r="CA28" s="64"/>
      <c r="CB28" s="28"/>
      <c r="CC28" s="28"/>
      <c r="CD28" s="28"/>
      <c r="CE28" s="28"/>
      <c r="CF28" s="28"/>
      <c r="CG28" s="28"/>
      <c r="CH28" s="28"/>
      <c r="CI28" s="28"/>
      <c r="CJ28" s="28"/>
      <c r="CK28" s="28"/>
      <c r="CL28" s="28"/>
      <c r="CM28" s="28"/>
      <c r="CN28" s="28"/>
      <c r="CO28" s="28"/>
      <c r="CP28" s="28"/>
    </row>
    <row r="29" spans="1:94">
      <c r="CA29" s="61"/>
    </row>
    <row r="30" spans="1:94">
      <c r="B30" s="542" t="s">
        <v>200</v>
      </c>
      <c r="C30" s="542"/>
      <c r="D30" s="577">
        <f t="shared" ref="D30:I30" si="0">D18*$C$34</f>
        <v>352704785.59186763</v>
      </c>
      <c r="E30" s="577">
        <f t="shared" si="0"/>
        <v>565597075.75721443</v>
      </c>
      <c r="F30" s="577">
        <f t="shared" si="0"/>
        <v>604335781.20813954</v>
      </c>
      <c r="G30" s="577">
        <f t="shared" si="0"/>
        <v>644053461.28273726</v>
      </c>
      <c r="H30" s="577">
        <f t="shared" si="0"/>
        <v>684730467.09144771</v>
      </c>
      <c r="I30" s="577">
        <f t="shared" si="0"/>
        <v>570284314.1862812</v>
      </c>
      <c r="K30" s="542" t="s">
        <v>200</v>
      </c>
      <c r="L30" s="542">
        <f>L18*$C$34</f>
        <v>0</v>
      </c>
      <c r="M30" s="577">
        <f>M18*$C$34</f>
        <v>13996221.650470937</v>
      </c>
      <c r="N30" s="577">
        <f t="shared" ref="N30:BY30" si="1">N18*$C$34</f>
        <v>16795465.980565123</v>
      </c>
      <c r="O30" s="577">
        <f t="shared" si="1"/>
        <v>19594710.310659312</v>
      </c>
      <c r="P30" s="577">
        <f t="shared" si="1"/>
        <v>22393954.6407535</v>
      </c>
      <c r="Q30" s="577">
        <f t="shared" si="1"/>
        <v>25193198.970847692</v>
      </c>
      <c r="R30" s="577">
        <f t="shared" si="1"/>
        <v>27992443.300941873</v>
      </c>
      <c r="S30" s="577">
        <f t="shared" si="1"/>
        <v>30791687.631036058</v>
      </c>
      <c r="T30" s="577">
        <f t="shared" si="1"/>
        <v>33590931.961130247</v>
      </c>
      <c r="U30" s="577">
        <f t="shared" si="1"/>
        <v>36390176.291224435</v>
      </c>
      <c r="V30" s="577">
        <f t="shared" si="1"/>
        <v>39189420.621318623</v>
      </c>
      <c r="W30" s="577">
        <f t="shared" si="1"/>
        <v>41988664.951412819</v>
      </c>
      <c r="X30" s="577">
        <f t="shared" si="1"/>
        <v>44787909.281507</v>
      </c>
      <c r="Y30" s="577">
        <f t="shared" si="1"/>
        <v>352704785.59186763</v>
      </c>
      <c r="Z30" s="577">
        <f t="shared" si="1"/>
        <v>27790816.533623621</v>
      </c>
      <c r="AA30" s="577">
        <f t="shared" si="1"/>
        <v>27878797.312754061</v>
      </c>
      <c r="AB30" s="577">
        <f t="shared" si="1"/>
        <v>46611761.038955055</v>
      </c>
      <c r="AC30" s="577">
        <f t="shared" si="1"/>
        <v>46759325.578769423</v>
      </c>
      <c r="AD30" s="577">
        <f t="shared" si="1"/>
        <v>46907357.281654336</v>
      </c>
      <c r="AE30" s="577">
        <f t="shared" si="1"/>
        <v>47055857.626564935</v>
      </c>
      <c r="AF30" s="577">
        <f t="shared" si="1"/>
        <v>47204828.09713845</v>
      </c>
      <c r="AG30" s="577">
        <f t="shared" si="1"/>
        <v>47354270.181709103</v>
      </c>
      <c r="AH30" s="577">
        <f t="shared" si="1"/>
        <v>47504185.373322845</v>
      </c>
      <c r="AI30" s="577">
        <f t="shared" si="1"/>
        <v>47654575.169752367</v>
      </c>
      <c r="AJ30" s="577">
        <f t="shared" si="1"/>
        <v>66332652.095927827</v>
      </c>
      <c r="AK30" s="577">
        <f t="shared" si="1"/>
        <v>66542649.467042387</v>
      </c>
      <c r="AL30" s="577">
        <f t="shared" si="1"/>
        <v>565597075.75721443</v>
      </c>
      <c r="AM30" s="577">
        <f t="shared" si="1"/>
        <v>41228758.065749891</v>
      </c>
      <c r="AN30" s="577">
        <f t="shared" si="1"/>
        <v>41354503.908668511</v>
      </c>
      <c r="AO30" s="577">
        <f t="shared" si="1"/>
        <v>49824631.531567357</v>
      </c>
      <c r="AP30" s="577">
        <f t="shared" si="1"/>
        <v>49976594.398846887</v>
      </c>
      <c r="AQ30" s="577">
        <f t="shared" si="1"/>
        <v>50129020.745982103</v>
      </c>
      <c r="AR30" s="577">
        <f t="shared" si="1"/>
        <v>50281911.986565538</v>
      </c>
      <c r="AS30" s="577">
        <f t="shared" si="1"/>
        <v>50435269.538501166</v>
      </c>
      <c r="AT30" s="577">
        <f t="shared" si="1"/>
        <v>50589094.824017443</v>
      </c>
      <c r="AU30" s="577">
        <f t="shared" si="1"/>
        <v>50743389.269680597</v>
      </c>
      <c r="AV30" s="577">
        <f t="shared" si="1"/>
        <v>50898154.306407787</v>
      </c>
      <c r="AW30" s="577">
        <f t="shared" si="1"/>
        <v>59346723.907414064</v>
      </c>
      <c r="AX30" s="577">
        <f t="shared" si="1"/>
        <v>59527728.724738248</v>
      </c>
      <c r="AY30" s="577">
        <f t="shared" si="1"/>
        <v>604335781.20813954</v>
      </c>
      <c r="AZ30" s="577">
        <f t="shared" si="1"/>
        <v>36831897.847443134</v>
      </c>
      <c r="BA30" s="577">
        <f t="shared" si="1"/>
        <v>36940267.206453398</v>
      </c>
      <c r="BB30" s="577">
        <f t="shared" si="1"/>
        <v>53119327.016273238</v>
      </c>
      <c r="BC30" s="577">
        <f t="shared" si="1"/>
        <v>53275618.376649342</v>
      </c>
      <c r="BD30" s="577">
        <f t="shared" si="1"/>
        <v>53432369.588282987</v>
      </c>
      <c r="BE30" s="577">
        <f t="shared" si="1"/>
        <v>53589582.004180372</v>
      </c>
      <c r="BF30" s="577">
        <f t="shared" si="1"/>
        <v>53747256.981328599</v>
      </c>
      <c r="BG30" s="577">
        <f t="shared" si="1"/>
        <v>53905395.880707398</v>
      </c>
      <c r="BH30" s="577">
        <f t="shared" si="1"/>
        <v>54064000.067300856</v>
      </c>
      <c r="BI30" s="577">
        <f t="shared" si="1"/>
        <v>54223070.910109222</v>
      </c>
      <c r="BJ30" s="577">
        <f t="shared" si="1"/>
        <v>70358830.391820982</v>
      </c>
      <c r="BK30" s="577">
        <f t="shared" si="1"/>
        <v>70565845.012187704</v>
      </c>
      <c r="BL30" s="577">
        <f t="shared" si="1"/>
        <v>644053461.28273726</v>
      </c>
      <c r="BM30" s="577">
        <f t="shared" si="1"/>
        <v>43606248.349758856</v>
      </c>
      <c r="BN30" s="577">
        <f t="shared" si="1"/>
        <v>43730174.19334691</v>
      </c>
      <c r="BO30" s="577">
        <f t="shared" si="1"/>
        <v>56494201.445629336</v>
      </c>
      <c r="BP30" s="577">
        <f t="shared" si="1"/>
        <v>56654753.931498498</v>
      </c>
      <c r="BQ30" s="577">
        <f t="shared" si="1"/>
        <v>56815762.696066342</v>
      </c>
      <c r="BR30" s="577">
        <f t="shared" si="1"/>
        <v>56977229.036044352</v>
      </c>
      <c r="BS30" s="577">
        <f t="shared" si="1"/>
        <v>57139154.25182917</v>
      </c>
      <c r="BT30" s="577">
        <f t="shared" si="1"/>
        <v>57301539.647513032</v>
      </c>
      <c r="BU30" s="577">
        <f t="shared" si="1"/>
        <v>57464386.530894391</v>
      </c>
      <c r="BV30" s="577">
        <f t="shared" si="1"/>
        <v>57627696.213488288</v>
      </c>
      <c r="BW30" s="577">
        <f t="shared" si="1"/>
        <v>70359681.802282512</v>
      </c>
      <c r="BX30" s="577">
        <f t="shared" si="1"/>
        <v>70559638.993096024</v>
      </c>
      <c r="BY30" s="577">
        <f t="shared" si="1"/>
        <v>684730467.09144771</v>
      </c>
      <c r="CA30" s="61"/>
    </row>
    <row r="31" spans="1:94">
      <c r="B31" s="545" t="s">
        <v>106</v>
      </c>
      <c r="C31" s="545"/>
      <c r="D31" s="579">
        <f t="shared" ref="D31:I31" si="2">D18*$C$35</f>
        <v>235136523.72791177</v>
      </c>
      <c r="E31" s="579">
        <f t="shared" si="2"/>
        <v>377064717.1714763</v>
      </c>
      <c r="F31" s="579">
        <f t="shared" si="2"/>
        <v>402890520.80542642</v>
      </c>
      <c r="G31" s="579">
        <f t="shared" si="2"/>
        <v>429368974.18849158</v>
      </c>
      <c r="H31" s="579">
        <f t="shared" si="2"/>
        <v>456486978.06096518</v>
      </c>
      <c r="I31" s="579">
        <f t="shared" si="2"/>
        <v>380189542.79085422</v>
      </c>
      <c r="K31" s="545" t="s">
        <v>106</v>
      </c>
      <c r="L31" s="545">
        <f>L18*$C$35</f>
        <v>0</v>
      </c>
      <c r="M31" s="579">
        <f>M18*$C$35</f>
        <v>9330814.4336472917</v>
      </c>
      <c r="N31" s="579">
        <f t="shared" ref="N31:BY31" si="3">N18*$C$35</f>
        <v>11196977.32037675</v>
      </c>
      <c r="O31" s="579">
        <f t="shared" si="3"/>
        <v>13063140.20710621</v>
      </c>
      <c r="P31" s="579">
        <f t="shared" si="3"/>
        <v>14929303.093835667</v>
      </c>
      <c r="Q31" s="579">
        <f t="shared" si="3"/>
        <v>16795465.980565127</v>
      </c>
      <c r="R31" s="579">
        <f t="shared" si="3"/>
        <v>18661628.867294583</v>
      </c>
      <c r="S31" s="579">
        <f t="shared" si="3"/>
        <v>20527791.754024044</v>
      </c>
      <c r="T31" s="579">
        <f t="shared" si="3"/>
        <v>22393954.6407535</v>
      </c>
      <c r="U31" s="579">
        <f t="shared" si="3"/>
        <v>24260117.527482957</v>
      </c>
      <c r="V31" s="579">
        <f t="shared" si="3"/>
        <v>26126280.414212421</v>
      </c>
      <c r="W31" s="579">
        <f t="shared" si="3"/>
        <v>27992443.300941881</v>
      </c>
      <c r="X31" s="579">
        <f t="shared" si="3"/>
        <v>29858606.187671334</v>
      </c>
      <c r="Y31" s="579">
        <f t="shared" si="3"/>
        <v>235136523.72791177</v>
      </c>
      <c r="Z31" s="579">
        <f t="shared" si="3"/>
        <v>18527211.02241575</v>
      </c>
      <c r="AA31" s="579">
        <f t="shared" si="3"/>
        <v>18585864.875169378</v>
      </c>
      <c r="AB31" s="579">
        <f t="shared" si="3"/>
        <v>31074507.359303374</v>
      </c>
      <c r="AC31" s="579">
        <f t="shared" si="3"/>
        <v>31172883.719179619</v>
      </c>
      <c r="AD31" s="579">
        <f t="shared" si="3"/>
        <v>31271571.521102894</v>
      </c>
      <c r="AE31" s="579">
        <f t="shared" si="3"/>
        <v>31370571.75104329</v>
      </c>
      <c r="AF31" s="579">
        <f t="shared" si="3"/>
        <v>31469885.3980923</v>
      </c>
      <c r="AG31" s="579">
        <f t="shared" si="3"/>
        <v>31569513.454472739</v>
      </c>
      <c r="AH31" s="579">
        <f t="shared" si="3"/>
        <v>31669456.915548563</v>
      </c>
      <c r="AI31" s="579">
        <f t="shared" si="3"/>
        <v>31769716.779834915</v>
      </c>
      <c r="AJ31" s="579">
        <f t="shared" si="3"/>
        <v>44221768.063951887</v>
      </c>
      <c r="AK31" s="579">
        <f t="shared" si="3"/>
        <v>44361766.311361596</v>
      </c>
      <c r="AL31" s="579">
        <f t="shared" si="3"/>
        <v>377064717.1714763</v>
      </c>
      <c r="AM31" s="579">
        <f t="shared" si="3"/>
        <v>27485838.710499931</v>
      </c>
      <c r="AN31" s="579">
        <f t="shared" si="3"/>
        <v>27569669.272445675</v>
      </c>
      <c r="AO31" s="579">
        <f t="shared" si="3"/>
        <v>33216421.021044906</v>
      </c>
      <c r="AP31" s="579">
        <f t="shared" si="3"/>
        <v>33317729.599231262</v>
      </c>
      <c r="AQ31" s="579">
        <f t="shared" si="3"/>
        <v>33419347.163988072</v>
      </c>
      <c r="AR31" s="579">
        <f t="shared" si="3"/>
        <v>33521274.657710362</v>
      </c>
      <c r="AS31" s="579">
        <f t="shared" si="3"/>
        <v>33623513.025667451</v>
      </c>
      <c r="AT31" s="579">
        <f t="shared" si="3"/>
        <v>33726063.216011636</v>
      </c>
      <c r="AU31" s="579">
        <f t="shared" si="3"/>
        <v>33828926.179787062</v>
      </c>
      <c r="AV31" s="579">
        <f t="shared" si="3"/>
        <v>33932102.870938532</v>
      </c>
      <c r="AW31" s="579">
        <f t="shared" si="3"/>
        <v>39564482.604942709</v>
      </c>
      <c r="AX31" s="579">
        <f t="shared" si="3"/>
        <v>39685152.483158834</v>
      </c>
      <c r="AY31" s="579">
        <f t="shared" si="3"/>
        <v>402890520.80542642</v>
      </c>
      <c r="AZ31" s="579">
        <f t="shared" si="3"/>
        <v>24554598.564962093</v>
      </c>
      <c r="BA31" s="579">
        <f t="shared" si="3"/>
        <v>24626844.804302268</v>
      </c>
      <c r="BB31" s="579">
        <f t="shared" si="3"/>
        <v>35412884.677515499</v>
      </c>
      <c r="BC31" s="579">
        <f t="shared" si="3"/>
        <v>35517078.917766236</v>
      </c>
      <c r="BD31" s="579">
        <f t="shared" si="3"/>
        <v>35621579.725521997</v>
      </c>
      <c r="BE31" s="579">
        <f t="shared" si="3"/>
        <v>35726388.002786919</v>
      </c>
      <c r="BF31" s="579">
        <f t="shared" si="3"/>
        <v>35831504.654219069</v>
      </c>
      <c r="BG31" s="579">
        <f t="shared" si="3"/>
        <v>35936930.587138265</v>
      </c>
      <c r="BH31" s="579">
        <f t="shared" si="3"/>
        <v>36042666.711533904</v>
      </c>
      <c r="BI31" s="579">
        <f t="shared" si="3"/>
        <v>36148713.94007282</v>
      </c>
      <c r="BJ31" s="579">
        <f t="shared" si="3"/>
        <v>46905886.92788066</v>
      </c>
      <c r="BK31" s="579">
        <f t="shared" si="3"/>
        <v>47043896.674791805</v>
      </c>
      <c r="BL31" s="579">
        <f t="shared" si="3"/>
        <v>429368974.18849158</v>
      </c>
      <c r="BM31" s="579">
        <f t="shared" si="3"/>
        <v>29070832.233172573</v>
      </c>
      <c r="BN31" s="579">
        <f t="shared" si="3"/>
        <v>29153449.462231275</v>
      </c>
      <c r="BO31" s="579">
        <f t="shared" si="3"/>
        <v>37662800.963752888</v>
      </c>
      <c r="BP31" s="579">
        <f t="shared" si="3"/>
        <v>37769835.954332337</v>
      </c>
      <c r="BQ31" s="579">
        <f t="shared" si="3"/>
        <v>37877175.130710892</v>
      </c>
      <c r="BR31" s="579">
        <f t="shared" si="3"/>
        <v>37984819.357362904</v>
      </c>
      <c r="BS31" s="579">
        <f t="shared" si="3"/>
        <v>38092769.501219444</v>
      </c>
      <c r="BT31" s="579">
        <f t="shared" si="3"/>
        <v>38201026.43167536</v>
      </c>
      <c r="BU31" s="579">
        <f t="shared" si="3"/>
        <v>38309591.020596258</v>
      </c>
      <c r="BV31" s="579">
        <f t="shared" si="3"/>
        <v>38418464.142325528</v>
      </c>
      <c r="BW31" s="579">
        <f t="shared" si="3"/>
        <v>46906454.534855008</v>
      </c>
      <c r="BX31" s="579">
        <f t="shared" si="3"/>
        <v>47039759.328730687</v>
      </c>
      <c r="BY31" s="579">
        <f t="shared" si="3"/>
        <v>456486978.06096518</v>
      </c>
      <c r="CA31" s="61"/>
    </row>
    <row r="32" spans="1:94">
      <c r="D32" s="25"/>
      <c r="M32" s="37"/>
      <c r="CA32" s="61"/>
    </row>
    <row r="33" spans="1:79">
      <c r="B33" s="541" t="s">
        <v>105</v>
      </c>
      <c r="C33" s="541"/>
      <c r="D33" s="25"/>
      <c r="AX33" s="71"/>
      <c r="CA33" s="61"/>
    </row>
    <row r="34" spans="1:79">
      <c r="B34" s="571" t="s">
        <v>63</v>
      </c>
      <c r="C34" s="572">
        <v>0.6</v>
      </c>
      <c r="M34" s="37"/>
      <c r="CA34" s="61"/>
    </row>
    <row r="35" spans="1:79">
      <c r="B35" s="573" t="s">
        <v>64</v>
      </c>
      <c r="C35" s="574">
        <v>0.4</v>
      </c>
      <c r="CA35" s="61"/>
    </row>
    <row r="36" spans="1:79">
      <c r="CA36" s="61"/>
    </row>
    <row r="37" spans="1:79">
      <c r="CA37" s="61"/>
    </row>
    <row r="38" spans="1:79" customFormat="1">
      <c r="A38" s="48"/>
      <c r="B38" s="642" t="s">
        <v>339</v>
      </c>
      <c r="C38" s="643"/>
      <c r="D38" s="643">
        <v>0</v>
      </c>
      <c r="E38" s="643">
        <v>0</v>
      </c>
      <c r="F38" s="643">
        <v>0</v>
      </c>
      <c r="G38" s="643">
        <v>0</v>
      </c>
      <c r="H38" s="643">
        <v>0</v>
      </c>
      <c r="I38" s="643">
        <v>0</v>
      </c>
      <c r="K38" s="642" t="s">
        <v>339</v>
      </c>
      <c r="L38" s="643"/>
      <c r="M38" s="643"/>
      <c r="N38" s="643"/>
      <c r="O38" s="643"/>
      <c r="P38" s="643"/>
      <c r="Q38" s="643"/>
      <c r="R38" s="643"/>
      <c r="S38" s="643"/>
      <c r="T38" s="643"/>
      <c r="U38" s="643"/>
      <c r="V38" s="643"/>
      <c r="W38" s="643"/>
      <c r="X38" s="643"/>
      <c r="Y38" s="643"/>
      <c r="Z38" s="643"/>
      <c r="AA38" s="643"/>
      <c r="AB38" s="643"/>
      <c r="AC38" s="643"/>
      <c r="AD38" s="643"/>
      <c r="AE38" s="643"/>
      <c r="AF38" s="643"/>
      <c r="AG38" s="643"/>
      <c r="AH38" s="643"/>
      <c r="AI38" s="643"/>
      <c r="AJ38" s="643"/>
      <c r="AK38" s="643"/>
      <c r="AL38" s="643"/>
      <c r="AM38" s="643"/>
      <c r="AN38" s="643"/>
      <c r="AO38" s="643"/>
      <c r="AP38" s="643"/>
      <c r="AQ38" s="643"/>
      <c r="AR38" s="643"/>
      <c r="AS38" s="643"/>
      <c r="AT38" s="643"/>
      <c r="AU38" s="643"/>
      <c r="AV38" s="643"/>
      <c r="AW38" s="643"/>
      <c r="AX38" s="643"/>
      <c r="AY38" s="643"/>
      <c r="AZ38" s="643"/>
      <c r="BA38" s="643"/>
      <c r="BB38" s="643"/>
      <c r="BC38" s="643"/>
      <c r="BD38" s="643"/>
      <c r="BE38" s="643"/>
      <c r="BF38" s="643"/>
      <c r="BG38" s="643"/>
      <c r="BH38" s="643"/>
      <c r="BI38" s="643"/>
      <c r="BJ38" s="643"/>
      <c r="BK38" s="643"/>
      <c r="BL38" s="643"/>
      <c r="BM38" s="643"/>
      <c r="BN38" s="643"/>
      <c r="BO38" s="643"/>
      <c r="BP38" s="643"/>
      <c r="BQ38" s="643"/>
      <c r="BR38" s="643"/>
      <c r="BS38" s="643"/>
      <c r="BT38" s="643"/>
      <c r="BU38" s="643"/>
      <c r="BV38" s="643"/>
      <c r="BW38" s="643"/>
      <c r="BX38" s="643"/>
      <c r="BY38" s="643"/>
      <c r="CA38" s="64"/>
    </row>
    <row r="39" spans="1:79" customFormat="1">
      <c r="A39" s="48"/>
      <c r="B39" s="542" t="s">
        <v>66</v>
      </c>
      <c r="C39" s="577"/>
      <c r="D39" s="577">
        <v>65.934065934065956</v>
      </c>
      <c r="E39" s="577">
        <v>65.934065934065899</v>
      </c>
      <c r="F39" s="577">
        <v>65.934065934065899</v>
      </c>
      <c r="G39" s="577">
        <v>65.934065934065899</v>
      </c>
      <c r="H39" s="577">
        <v>65.934065934065899</v>
      </c>
      <c r="I39" s="577">
        <v>65.934065934065913</v>
      </c>
      <c r="K39" s="542" t="s">
        <v>66</v>
      </c>
      <c r="L39" s="577"/>
      <c r="M39" s="577">
        <v>65.934065934065941</v>
      </c>
      <c r="N39" s="577">
        <v>65.934065934065941</v>
      </c>
      <c r="O39" s="577">
        <v>65.934065934065941</v>
      </c>
      <c r="P39" s="577">
        <v>65.934065934065941</v>
      </c>
      <c r="Q39" s="577">
        <v>65.934065934065941</v>
      </c>
      <c r="R39" s="577">
        <v>65.934065934065941</v>
      </c>
      <c r="S39" s="577">
        <v>65.934065934065941</v>
      </c>
      <c r="T39" s="577">
        <v>65.934065934065941</v>
      </c>
      <c r="U39" s="577">
        <v>65.934065934065941</v>
      </c>
      <c r="V39" s="577">
        <v>65.934065934065941</v>
      </c>
      <c r="W39" s="577">
        <v>65.934065934065941</v>
      </c>
      <c r="X39" s="577">
        <v>65.934065934065941</v>
      </c>
      <c r="Y39" s="577">
        <v>65.934065934065956</v>
      </c>
      <c r="Z39" s="577">
        <v>65.934065934065913</v>
      </c>
      <c r="AA39" s="577">
        <v>65.934065934065913</v>
      </c>
      <c r="AB39" s="577">
        <v>65.934065934065913</v>
      </c>
      <c r="AC39" s="577">
        <v>65.934065934065913</v>
      </c>
      <c r="AD39" s="577">
        <v>65.934065934065913</v>
      </c>
      <c r="AE39" s="577">
        <v>65.934065934065913</v>
      </c>
      <c r="AF39" s="577">
        <v>65.934065934065913</v>
      </c>
      <c r="AG39" s="577">
        <v>65.934065934065913</v>
      </c>
      <c r="AH39" s="577">
        <v>65.934065934065913</v>
      </c>
      <c r="AI39" s="577">
        <v>65.934065934065913</v>
      </c>
      <c r="AJ39" s="577">
        <v>65.934065934065913</v>
      </c>
      <c r="AK39" s="577">
        <v>65.934065934065913</v>
      </c>
      <c r="AL39" s="577">
        <v>65.934065934065899</v>
      </c>
      <c r="AM39" s="577">
        <v>65.934065934065913</v>
      </c>
      <c r="AN39" s="577">
        <v>65.934065934065913</v>
      </c>
      <c r="AO39" s="577">
        <v>65.934065934065913</v>
      </c>
      <c r="AP39" s="577">
        <v>65.934065934065913</v>
      </c>
      <c r="AQ39" s="577">
        <v>65.934065934065913</v>
      </c>
      <c r="AR39" s="577">
        <v>65.934065934065913</v>
      </c>
      <c r="AS39" s="577">
        <v>65.934065934065913</v>
      </c>
      <c r="AT39" s="577">
        <v>65.934065934065913</v>
      </c>
      <c r="AU39" s="577">
        <v>65.934065934065913</v>
      </c>
      <c r="AV39" s="577">
        <v>65.934065934065913</v>
      </c>
      <c r="AW39" s="577">
        <v>65.934065934065913</v>
      </c>
      <c r="AX39" s="577">
        <v>65.934065934065913</v>
      </c>
      <c r="AY39" s="577">
        <v>65.934065934065899</v>
      </c>
      <c r="AZ39" s="577">
        <v>65.934065934065913</v>
      </c>
      <c r="BA39" s="577">
        <v>65.934065934065913</v>
      </c>
      <c r="BB39" s="577">
        <v>65.934065934065913</v>
      </c>
      <c r="BC39" s="577">
        <v>65.934065934065913</v>
      </c>
      <c r="BD39" s="577">
        <v>65.934065934065913</v>
      </c>
      <c r="BE39" s="577">
        <v>65.934065934065913</v>
      </c>
      <c r="BF39" s="577">
        <v>65.934065934065913</v>
      </c>
      <c r="BG39" s="577">
        <v>65.934065934065913</v>
      </c>
      <c r="BH39" s="577">
        <v>65.934065934065913</v>
      </c>
      <c r="BI39" s="577">
        <v>65.934065934065913</v>
      </c>
      <c r="BJ39" s="577">
        <v>65.934065934065913</v>
      </c>
      <c r="BK39" s="577">
        <v>65.934065934065913</v>
      </c>
      <c r="BL39" s="577">
        <v>65.934065934065899</v>
      </c>
      <c r="BM39" s="577">
        <v>65.934065934065913</v>
      </c>
      <c r="BN39" s="577">
        <v>65.934065934065913</v>
      </c>
      <c r="BO39" s="577">
        <v>65.934065934065913</v>
      </c>
      <c r="BP39" s="577">
        <v>65.934065934065913</v>
      </c>
      <c r="BQ39" s="577">
        <v>65.934065934065913</v>
      </c>
      <c r="BR39" s="577">
        <v>65.934065934065913</v>
      </c>
      <c r="BS39" s="577">
        <v>65.934065934065913</v>
      </c>
      <c r="BT39" s="577">
        <v>65.934065934065913</v>
      </c>
      <c r="BU39" s="577">
        <v>65.934065934065913</v>
      </c>
      <c r="BV39" s="577">
        <v>65.934065934065913</v>
      </c>
      <c r="BW39" s="577">
        <v>65.934065934065913</v>
      </c>
      <c r="BX39" s="577">
        <v>65.934065934065913</v>
      </c>
      <c r="BY39" s="577">
        <v>65.934065934065899</v>
      </c>
      <c r="CA39" s="64"/>
    </row>
    <row r="40" spans="1:79" customFormat="1">
      <c r="A40" s="48"/>
      <c r="B40" s="542" t="s">
        <v>67</v>
      </c>
      <c r="C40" s="577"/>
      <c r="D40" s="577">
        <v>461.22376093956251</v>
      </c>
      <c r="E40" s="577">
        <v>461.22376093956245</v>
      </c>
      <c r="F40" s="577">
        <v>461.22376093956245</v>
      </c>
      <c r="G40" s="577">
        <v>461.22376093956245</v>
      </c>
      <c r="H40" s="577">
        <v>461.22376093956245</v>
      </c>
      <c r="I40" s="577">
        <v>461.22376093956245</v>
      </c>
      <c r="K40" s="542" t="s">
        <v>67</v>
      </c>
      <c r="L40" s="577"/>
      <c r="M40" s="577">
        <v>461.22376093956251</v>
      </c>
      <c r="N40" s="577">
        <v>461.22376093956251</v>
      </c>
      <c r="O40" s="577">
        <v>461.22376093956251</v>
      </c>
      <c r="P40" s="577">
        <v>461.22376093956251</v>
      </c>
      <c r="Q40" s="577">
        <v>461.22376093956251</v>
      </c>
      <c r="R40" s="577">
        <v>461.22376093956251</v>
      </c>
      <c r="S40" s="577">
        <v>461.22376093956251</v>
      </c>
      <c r="T40" s="577">
        <v>461.22376093956251</v>
      </c>
      <c r="U40" s="577">
        <v>461.22376093956251</v>
      </c>
      <c r="V40" s="577">
        <v>461.22376093956251</v>
      </c>
      <c r="W40" s="577">
        <v>461.22376093956251</v>
      </c>
      <c r="X40" s="577">
        <v>461.22376093956251</v>
      </c>
      <c r="Y40" s="577">
        <v>461.22376093956251</v>
      </c>
      <c r="Z40" s="577">
        <v>461.22376093956245</v>
      </c>
      <c r="AA40" s="577">
        <v>461.22376093956245</v>
      </c>
      <c r="AB40" s="577">
        <v>461.22376093956245</v>
      </c>
      <c r="AC40" s="577">
        <v>461.22376093956245</v>
      </c>
      <c r="AD40" s="577">
        <v>461.22376093956245</v>
      </c>
      <c r="AE40" s="577">
        <v>461.22376093956245</v>
      </c>
      <c r="AF40" s="577">
        <v>461.22376093956245</v>
      </c>
      <c r="AG40" s="577">
        <v>461.22376093956245</v>
      </c>
      <c r="AH40" s="577">
        <v>461.22376093956245</v>
      </c>
      <c r="AI40" s="577">
        <v>461.22376093956245</v>
      </c>
      <c r="AJ40" s="577">
        <v>461.22376093956245</v>
      </c>
      <c r="AK40" s="577">
        <v>461.22376093956245</v>
      </c>
      <c r="AL40" s="577">
        <v>461.22376093956245</v>
      </c>
      <c r="AM40" s="577">
        <v>461.22376093956245</v>
      </c>
      <c r="AN40" s="577">
        <v>461.22376093956245</v>
      </c>
      <c r="AO40" s="577">
        <v>461.22376093956245</v>
      </c>
      <c r="AP40" s="577">
        <v>461.22376093956245</v>
      </c>
      <c r="AQ40" s="577">
        <v>461.22376093956245</v>
      </c>
      <c r="AR40" s="577">
        <v>461.22376093956245</v>
      </c>
      <c r="AS40" s="577">
        <v>461.22376093956245</v>
      </c>
      <c r="AT40" s="577">
        <v>461.22376093956245</v>
      </c>
      <c r="AU40" s="577">
        <v>461.22376093956245</v>
      </c>
      <c r="AV40" s="577">
        <v>461.22376093956245</v>
      </c>
      <c r="AW40" s="577">
        <v>461.22376093956245</v>
      </c>
      <c r="AX40" s="577">
        <v>461.22376093956245</v>
      </c>
      <c r="AY40" s="577">
        <v>461.22376093956245</v>
      </c>
      <c r="AZ40" s="577">
        <v>461.22376093956245</v>
      </c>
      <c r="BA40" s="577">
        <v>461.22376093956245</v>
      </c>
      <c r="BB40" s="577">
        <v>461.22376093956245</v>
      </c>
      <c r="BC40" s="577">
        <v>461.22376093956245</v>
      </c>
      <c r="BD40" s="577">
        <v>461.22376093956245</v>
      </c>
      <c r="BE40" s="577">
        <v>461.22376093956245</v>
      </c>
      <c r="BF40" s="577">
        <v>461.22376093956245</v>
      </c>
      <c r="BG40" s="577">
        <v>461.22376093956245</v>
      </c>
      <c r="BH40" s="577">
        <v>461.22376093956245</v>
      </c>
      <c r="BI40" s="577">
        <v>461.22376093956245</v>
      </c>
      <c r="BJ40" s="577">
        <v>461.22376093956245</v>
      </c>
      <c r="BK40" s="577">
        <v>461.22376093956245</v>
      </c>
      <c r="BL40" s="577">
        <v>461.22376093956245</v>
      </c>
      <c r="BM40" s="577">
        <v>461.22376093956245</v>
      </c>
      <c r="BN40" s="577">
        <v>461.22376093956245</v>
      </c>
      <c r="BO40" s="577">
        <v>461.22376093956245</v>
      </c>
      <c r="BP40" s="577">
        <v>461.22376093956245</v>
      </c>
      <c r="BQ40" s="577">
        <v>461.22376093956245</v>
      </c>
      <c r="BR40" s="577">
        <v>461.22376093956245</v>
      </c>
      <c r="BS40" s="577">
        <v>461.22376093956245</v>
      </c>
      <c r="BT40" s="577">
        <v>461.22376093956245</v>
      </c>
      <c r="BU40" s="577">
        <v>461.22376093956245</v>
      </c>
      <c r="BV40" s="577">
        <v>461.22376093956245</v>
      </c>
      <c r="BW40" s="577">
        <v>461.22376093956245</v>
      </c>
      <c r="BX40" s="577">
        <v>461.22376093956245</v>
      </c>
      <c r="BY40" s="577">
        <v>461.22376093956245</v>
      </c>
      <c r="CA40" s="64"/>
    </row>
    <row r="41" spans="1:79" customFormat="1">
      <c r="A41" s="48"/>
      <c r="B41" s="542" t="s">
        <v>68</v>
      </c>
      <c r="C41" s="577"/>
      <c r="D41" s="577">
        <v>130.49228958588134</v>
      </c>
      <c r="E41" s="577">
        <v>130.49228958588131</v>
      </c>
      <c r="F41" s="577">
        <v>130.49228958588131</v>
      </c>
      <c r="G41" s="577">
        <v>130.49228958588131</v>
      </c>
      <c r="H41" s="577">
        <v>130.49228958588131</v>
      </c>
      <c r="I41" s="577">
        <v>130.49228958588131</v>
      </c>
      <c r="K41" s="542" t="s">
        <v>68</v>
      </c>
      <c r="L41" s="577"/>
      <c r="M41" s="577">
        <v>130.49228958588137</v>
      </c>
      <c r="N41" s="577">
        <v>130.49228958588137</v>
      </c>
      <c r="O41" s="577">
        <v>130.49228958588137</v>
      </c>
      <c r="P41" s="577">
        <v>130.49228958588137</v>
      </c>
      <c r="Q41" s="577">
        <v>130.49228958588137</v>
      </c>
      <c r="R41" s="577">
        <v>130.49228958588137</v>
      </c>
      <c r="S41" s="577">
        <v>130.49228958588137</v>
      </c>
      <c r="T41" s="577">
        <v>130.49228958588137</v>
      </c>
      <c r="U41" s="577">
        <v>130.49228958588137</v>
      </c>
      <c r="V41" s="577">
        <v>130.49228958588137</v>
      </c>
      <c r="W41" s="577">
        <v>130.49228958588137</v>
      </c>
      <c r="X41" s="577">
        <v>130.49228958588137</v>
      </c>
      <c r="Y41" s="577">
        <v>130.49228958588134</v>
      </c>
      <c r="Z41" s="577">
        <v>130.49228958588131</v>
      </c>
      <c r="AA41" s="577">
        <v>130.49228958588131</v>
      </c>
      <c r="AB41" s="577">
        <v>130.49228958588131</v>
      </c>
      <c r="AC41" s="577">
        <v>130.49228958588131</v>
      </c>
      <c r="AD41" s="577">
        <v>130.49228958588131</v>
      </c>
      <c r="AE41" s="577">
        <v>130.49228958588131</v>
      </c>
      <c r="AF41" s="577">
        <v>130.49228958588131</v>
      </c>
      <c r="AG41" s="577">
        <v>130.49228958588131</v>
      </c>
      <c r="AH41" s="577">
        <v>130.49228958588131</v>
      </c>
      <c r="AI41" s="577">
        <v>130.49228958588131</v>
      </c>
      <c r="AJ41" s="577">
        <v>130.49228958588131</v>
      </c>
      <c r="AK41" s="577">
        <v>130.49228958588131</v>
      </c>
      <c r="AL41" s="577">
        <v>130.49228958588131</v>
      </c>
      <c r="AM41" s="577">
        <v>130.49228958588131</v>
      </c>
      <c r="AN41" s="577">
        <v>130.49228958588131</v>
      </c>
      <c r="AO41" s="577">
        <v>130.49228958588131</v>
      </c>
      <c r="AP41" s="577">
        <v>130.49228958588131</v>
      </c>
      <c r="AQ41" s="577">
        <v>130.49228958588131</v>
      </c>
      <c r="AR41" s="577">
        <v>130.49228958588131</v>
      </c>
      <c r="AS41" s="577">
        <v>130.49228958588131</v>
      </c>
      <c r="AT41" s="577">
        <v>130.49228958588131</v>
      </c>
      <c r="AU41" s="577">
        <v>130.49228958588131</v>
      </c>
      <c r="AV41" s="577">
        <v>130.49228958588131</v>
      </c>
      <c r="AW41" s="577">
        <v>130.49228958588131</v>
      </c>
      <c r="AX41" s="577">
        <v>130.49228958588131</v>
      </c>
      <c r="AY41" s="577">
        <v>130.49228958588131</v>
      </c>
      <c r="AZ41" s="577">
        <v>130.49228958588131</v>
      </c>
      <c r="BA41" s="577">
        <v>130.49228958588131</v>
      </c>
      <c r="BB41" s="577">
        <v>130.49228958588131</v>
      </c>
      <c r="BC41" s="577">
        <v>130.49228958588131</v>
      </c>
      <c r="BD41" s="577">
        <v>130.49228958588131</v>
      </c>
      <c r="BE41" s="577">
        <v>130.49228958588131</v>
      </c>
      <c r="BF41" s="577">
        <v>130.49228958588131</v>
      </c>
      <c r="BG41" s="577">
        <v>130.49228958588131</v>
      </c>
      <c r="BH41" s="577">
        <v>130.49228958588131</v>
      </c>
      <c r="BI41" s="577">
        <v>130.49228958588131</v>
      </c>
      <c r="BJ41" s="577">
        <v>130.49228958588131</v>
      </c>
      <c r="BK41" s="577">
        <v>130.49228958588131</v>
      </c>
      <c r="BL41" s="577">
        <v>130.49228958588131</v>
      </c>
      <c r="BM41" s="577">
        <v>130.49228958588131</v>
      </c>
      <c r="BN41" s="577">
        <v>130.49228958588131</v>
      </c>
      <c r="BO41" s="577">
        <v>130.49228958588131</v>
      </c>
      <c r="BP41" s="577">
        <v>130.49228958588131</v>
      </c>
      <c r="BQ41" s="577">
        <v>130.49228958588131</v>
      </c>
      <c r="BR41" s="577">
        <v>130.49228958588131</v>
      </c>
      <c r="BS41" s="577">
        <v>130.49228958588131</v>
      </c>
      <c r="BT41" s="577">
        <v>130.49228958588131</v>
      </c>
      <c r="BU41" s="577">
        <v>130.49228958588131</v>
      </c>
      <c r="BV41" s="577">
        <v>130.49228958588131</v>
      </c>
      <c r="BW41" s="577">
        <v>130.49228958588131</v>
      </c>
      <c r="BX41" s="577">
        <v>130.49228958588131</v>
      </c>
      <c r="BY41" s="577">
        <v>130.49228958588131</v>
      </c>
      <c r="CA41" s="64"/>
    </row>
    <row r="42" spans="1:79" customFormat="1">
      <c r="A42" s="48"/>
      <c r="B42" s="542" t="s">
        <v>69</v>
      </c>
      <c r="C42" s="577"/>
      <c r="D42" s="577">
        <v>65.934065934065956</v>
      </c>
      <c r="E42" s="577">
        <v>65.934065934065899</v>
      </c>
      <c r="F42" s="577">
        <v>65.934065934065899</v>
      </c>
      <c r="G42" s="577">
        <v>65.934065934065899</v>
      </c>
      <c r="H42" s="577">
        <v>65.934065934065899</v>
      </c>
      <c r="I42" s="577">
        <v>65.934065934065913</v>
      </c>
      <c r="K42" s="542" t="s">
        <v>69</v>
      </c>
      <c r="L42" s="577"/>
      <c r="M42" s="577">
        <v>65.934065934065941</v>
      </c>
      <c r="N42" s="577">
        <v>65.934065934065941</v>
      </c>
      <c r="O42" s="577">
        <v>65.934065934065941</v>
      </c>
      <c r="P42" s="577">
        <v>65.934065934065941</v>
      </c>
      <c r="Q42" s="577">
        <v>65.934065934065941</v>
      </c>
      <c r="R42" s="577">
        <v>65.934065934065941</v>
      </c>
      <c r="S42" s="577">
        <v>65.934065934065941</v>
      </c>
      <c r="T42" s="577">
        <v>65.934065934065941</v>
      </c>
      <c r="U42" s="577">
        <v>65.934065934065941</v>
      </c>
      <c r="V42" s="577">
        <v>65.934065934065941</v>
      </c>
      <c r="W42" s="577">
        <v>65.934065934065941</v>
      </c>
      <c r="X42" s="577">
        <v>65.934065934065941</v>
      </c>
      <c r="Y42" s="577">
        <v>65.934065934065956</v>
      </c>
      <c r="Z42" s="577">
        <v>65.934065934065913</v>
      </c>
      <c r="AA42" s="577">
        <v>65.934065934065913</v>
      </c>
      <c r="AB42" s="577">
        <v>65.934065934065913</v>
      </c>
      <c r="AC42" s="577">
        <v>65.934065934065913</v>
      </c>
      <c r="AD42" s="577">
        <v>65.934065934065913</v>
      </c>
      <c r="AE42" s="577">
        <v>65.934065934065913</v>
      </c>
      <c r="AF42" s="577">
        <v>65.934065934065913</v>
      </c>
      <c r="AG42" s="577">
        <v>65.934065934065913</v>
      </c>
      <c r="AH42" s="577">
        <v>65.934065934065913</v>
      </c>
      <c r="AI42" s="577">
        <v>65.934065934065913</v>
      </c>
      <c r="AJ42" s="577">
        <v>65.934065934065913</v>
      </c>
      <c r="AK42" s="577">
        <v>65.934065934065913</v>
      </c>
      <c r="AL42" s="577">
        <v>65.934065934065899</v>
      </c>
      <c r="AM42" s="577">
        <v>65.934065934065913</v>
      </c>
      <c r="AN42" s="577">
        <v>65.934065934065913</v>
      </c>
      <c r="AO42" s="577">
        <v>65.934065934065913</v>
      </c>
      <c r="AP42" s="577">
        <v>65.934065934065913</v>
      </c>
      <c r="AQ42" s="577">
        <v>65.934065934065913</v>
      </c>
      <c r="AR42" s="577">
        <v>65.934065934065913</v>
      </c>
      <c r="AS42" s="577">
        <v>65.934065934065913</v>
      </c>
      <c r="AT42" s="577">
        <v>65.934065934065913</v>
      </c>
      <c r="AU42" s="577">
        <v>65.934065934065913</v>
      </c>
      <c r="AV42" s="577">
        <v>65.934065934065913</v>
      </c>
      <c r="AW42" s="577">
        <v>65.934065934065913</v>
      </c>
      <c r="AX42" s="577">
        <v>65.934065934065913</v>
      </c>
      <c r="AY42" s="577">
        <v>65.934065934065899</v>
      </c>
      <c r="AZ42" s="577">
        <v>65.934065934065913</v>
      </c>
      <c r="BA42" s="577">
        <v>65.934065934065913</v>
      </c>
      <c r="BB42" s="577">
        <v>65.934065934065913</v>
      </c>
      <c r="BC42" s="577">
        <v>65.934065934065913</v>
      </c>
      <c r="BD42" s="577">
        <v>65.934065934065913</v>
      </c>
      <c r="BE42" s="577">
        <v>65.934065934065913</v>
      </c>
      <c r="BF42" s="577">
        <v>65.934065934065913</v>
      </c>
      <c r="BG42" s="577">
        <v>65.934065934065913</v>
      </c>
      <c r="BH42" s="577">
        <v>65.934065934065913</v>
      </c>
      <c r="BI42" s="577">
        <v>65.934065934065913</v>
      </c>
      <c r="BJ42" s="577">
        <v>65.934065934065913</v>
      </c>
      <c r="BK42" s="577">
        <v>65.934065934065913</v>
      </c>
      <c r="BL42" s="577">
        <v>65.934065934065899</v>
      </c>
      <c r="BM42" s="577">
        <v>65.934065934065913</v>
      </c>
      <c r="BN42" s="577">
        <v>65.934065934065913</v>
      </c>
      <c r="BO42" s="577">
        <v>65.934065934065913</v>
      </c>
      <c r="BP42" s="577">
        <v>65.934065934065913</v>
      </c>
      <c r="BQ42" s="577">
        <v>65.934065934065913</v>
      </c>
      <c r="BR42" s="577">
        <v>65.934065934065913</v>
      </c>
      <c r="BS42" s="577">
        <v>65.934065934065913</v>
      </c>
      <c r="BT42" s="577">
        <v>65.934065934065913</v>
      </c>
      <c r="BU42" s="577">
        <v>65.934065934065913</v>
      </c>
      <c r="BV42" s="577">
        <v>65.934065934065913</v>
      </c>
      <c r="BW42" s="577">
        <v>65.934065934065913</v>
      </c>
      <c r="BX42" s="577">
        <v>65.934065934065913</v>
      </c>
      <c r="BY42" s="577">
        <v>65.934065934065899</v>
      </c>
      <c r="CA42" s="64"/>
    </row>
    <row r="43" spans="1:79" customFormat="1">
      <c r="A43" s="48"/>
      <c r="B43" s="542" t="s">
        <v>70</v>
      </c>
      <c r="C43" s="577"/>
      <c r="D43" s="577">
        <v>68.685750498566989</v>
      </c>
      <c r="E43" s="577">
        <v>68.685750498566946</v>
      </c>
      <c r="F43" s="577">
        <v>68.685750498566946</v>
      </c>
      <c r="G43" s="577">
        <v>68.685750498566946</v>
      </c>
      <c r="H43" s="577">
        <v>68.685750498566946</v>
      </c>
      <c r="I43" s="577">
        <v>68.685750498566961</v>
      </c>
      <c r="K43" s="542" t="s">
        <v>70</v>
      </c>
      <c r="L43" s="577"/>
      <c r="M43" s="577">
        <v>68.685750498566975</v>
      </c>
      <c r="N43" s="577">
        <v>68.685750498566975</v>
      </c>
      <c r="O43" s="577">
        <v>68.685750498566975</v>
      </c>
      <c r="P43" s="577">
        <v>68.685750498566975</v>
      </c>
      <c r="Q43" s="577">
        <v>68.685750498566975</v>
      </c>
      <c r="R43" s="577">
        <v>68.685750498566975</v>
      </c>
      <c r="S43" s="577">
        <v>68.685750498566975</v>
      </c>
      <c r="T43" s="577">
        <v>68.685750498566975</v>
      </c>
      <c r="U43" s="577">
        <v>68.685750498566975</v>
      </c>
      <c r="V43" s="577">
        <v>68.685750498566975</v>
      </c>
      <c r="W43" s="577">
        <v>68.685750498566975</v>
      </c>
      <c r="X43" s="577">
        <v>68.685750498566975</v>
      </c>
      <c r="Y43" s="577">
        <v>68.685750498566989</v>
      </c>
      <c r="Z43" s="577">
        <v>68.685750498566961</v>
      </c>
      <c r="AA43" s="577">
        <v>68.685750498566961</v>
      </c>
      <c r="AB43" s="577">
        <v>68.685750498566961</v>
      </c>
      <c r="AC43" s="577">
        <v>68.685750498566961</v>
      </c>
      <c r="AD43" s="577">
        <v>68.685750498566961</v>
      </c>
      <c r="AE43" s="577">
        <v>68.685750498566961</v>
      </c>
      <c r="AF43" s="577">
        <v>68.685750498566961</v>
      </c>
      <c r="AG43" s="577">
        <v>68.685750498566961</v>
      </c>
      <c r="AH43" s="577">
        <v>68.685750498566961</v>
      </c>
      <c r="AI43" s="577">
        <v>68.685750498566961</v>
      </c>
      <c r="AJ43" s="577">
        <v>68.685750498566961</v>
      </c>
      <c r="AK43" s="577">
        <v>68.685750498566961</v>
      </c>
      <c r="AL43" s="577">
        <v>68.685750498566946</v>
      </c>
      <c r="AM43" s="577">
        <v>68.685750498566961</v>
      </c>
      <c r="AN43" s="577">
        <v>68.685750498566961</v>
      </c>
      <c r="AO43" s="577">
        <v>68.685750498566961</v>
      </c>
      <c r="AP43" s="577">
        <v>68.685750498566961</v>
      </c>
      <c r="AQ43" s="577">
        <v>68.685750498566961</v>
      </c>
      <c r="AR43" s="577">
        <v>68.685750498566961</v>
      </c>
      <c r="AS43" s="577">
        <v>68.685750498566961</v>
      </c>
      <c r="AT43" s="577">
        <v>68.685750498566961</v>
      </c>
      <c r="AU43" s="577">
        <v>68.685750498566961</v>
      </c>
      <c r="AV43" s="577">
        <v>68.685750498566961</v>
      </c>
      <c r="AW43" s="577">
        <v>68.685750498566961</v>
      </c>
      <c r="AX43" s="577">
        <v>68.685750498566961</v>
      </c>
      <c r="AY43" s="577">
        <v>68.685750498566946</v>
      </c>
      <c r="AZ43" s="577">
        <v>68.685750498566961</v>
      </c>
      <c r="BA43" s="577">
        <v>68.685750498566961</v>
      </c>
      <c r="BB43" s="577">
        <v>68.685750498566961</v>
      </c>
      <c r="BC43" s="577">
        <v>68.685750498566961</v>
      </c>
      <c r="BD43" s="577">
        <v>68.685750498566961</v>
      </c>
      <c r="BE43" s="577">
        <v>68.685750498566961</v>
      </c>
      <c r="BF43" s="577">
        <v>68.685750498566961</v>
      </c>
      <c r="BG43" s="577">
        <v>68.685750498566961</v>
      </c>
      <c r="BH43" s="577">
        <v>68.685750498566961</v>
      </c>
      <c r="BI43" s="577">
        <v>68.685750498566961</v>
      </c>
      <c r="BJ43" s="577">
        <v>68.685750498566961</v>
      </c>
      <c r="BK43" s="577">
        <v>68.685750498566961</v>
      </c>
      <c r="BL43" s="577">
        <v>68.685750498566946</v>
      </c>
      <c r="BM43" s="577">
        <v>68.685750498566961</v>
      </c>
      <c r="BN43" s="577">
        <v>68.685750498566961</v>
      </c>
      <c r="BO43" s="577">
        <v>68.685750498566961</v>
      </c>
      <c r="BP43" s="577">
        <v>68.685750498566961</v>
      </c>
      <c r="BQ43" s="577">
        <v>68.685750498566961</v>
      </c>
      <c r="BR43" s="577">
        <v>68.685750498566961</v>
      </c>
      <c r="BS43" s="577">
        <v>68.685750498566961</v>
      </c>
      <c r="BT43" s="577">
        <v>68.685750498566961</v>
      </c>
      <c r="BU43" s="577">
        <v>68.685750498566961</v>
      </c>
      <c r="BV43" s="577">
        <v>68.685750498566961</v>
      </c>
      <c r="BW43" s="577">
        <v>68.685750498566961</v>
      </c>
      <c r="BX43" s="577">
        <v>68.685750498566961</v>
      </c>
      <c r="BY43" s="577">
        <v>68.685750498566946</v>
      </c>
      <c r="CA43" s="64"/>
    </row>
    <row r="44" spans="1:79" customFormat="1">
      <c r="A44" s="48"/>
      <c r="B44" s="542" t="s">
        <v>71</v>
      </c>
      <c r="C44" s="577"/>
      <c r="D44" s="577">
        <v>131.86813186813191</v>
      </c>
      <c r="E44" s="577">
        <v>131.8681318681318</v>
      </c>
      <c r="F44" s="577">
        <v>131.8681318681318</v>
      </c>
      <c r="G44" s="577">
        <v>131.8681318681318</v>
      </c>
      <c r="H44" s="577">
        <v>131.8681318681318</v>
      </c>
      <c r="I44" s="577">
        <v>131.86813186813183</v>
      </c>
      <c r="K44" s="542" t="s">
        <v>71</v>
      </c>
      <c r="L44" s="577"/>
      <c r="M44" s="577">
        <v>131.86813186813188</v>
      </c>
      <c r="N44" s="577">
        <v>131.86813186813188</v>
      </c>
      <c r="O44" s="577">
        <v>131.86813186813188</v>
      </c>
      <c r="P44" s="577">
        <v>131.86813186813188</v>
      </c>
      <c r="Q44" s="577">
        <v>131.86813186813188</v>
      </c>
      <c r="R44" s="577">
        <v>131.86813186813188</v>
      </c>
      <c r="S44" s="577">
        <v>131.86813186813188</v>
      </c>
      <c r="T44" s="577">
        <v>131.86813186813188</v>
      </c>
      <c r="U44" s="577">
        <v>131.86813186813188</v>
      </c>
      <c r="V44" s="577">
        <v>131.86813186813188</v>
      </c>
      <c r="W44" s="577">
        <v>131.86813186813188</v>
      </c>
      <c r="X44" s="577">
        <v>131.86813186813188</v>
      </c>
      <c r="Y44" s="577">
        <v>131.86813186813191</v>
      </c>
      <c r="Z44" s="577">
        <v>131.86813186813183</v>
      </c>
      <c r="AA44" s="577">
        <v>131.86813186813183</v>
      </c>
      <c r="AB44" s="577">
        <v>131.86813186813183</v>
      </c>
      <c r="AC44" s="577">
        <v>131.86813186813183</v>
      </c>
      <c r="AD44" s="577">
        <v>131.86813186813183</v>
      </c>
      <c r="AE44" s="577">
        <v>131.86813186813183</v>
      </c>
      <c r="AF44" s="577">
        <v>131.86813186813183</v>
      </c>
      <c r="AG44" s="577">
        <v>131.86813186813183</v>
      </c>
      <c r="AH44" s="577">
        <v>131.86813186813183</v>
      </c>
      <c r="AI44" s="577">
        <v>131.86813186813183</v>
      </c>
      <c r="AJ44" s="577">
        <v>131.86813186813183</v>
      </c>
      <c r="AK44" s="577">
        <v>131.86813186813183</v>
      </c>
      <c r="AL44" s="577">
        <v>131.8681318681318</v>
      </c>
      <c r="AM44" s="577">
        <v>131.86813186813183</v>
      </c>
      <c r="AN44" s="577">
        <v>131.86813186813183</v>
      </c>
      <c r="AO44" s="577">
        <v>131.86813186813183</v>
      </c>
      <c r="AP44" s="577">
        <v>131.86813186813183</v>
      </c>
      <c r="AQ44" s="577">
        <v>131.86813186813183</v>
      </c>
      <c r="AR44" s="577">
        <v>131.86813186813183</v>
      </c>
      <c r="AS44" s="577">
        <v>131.86813186813183</v>
      </c>
      <c r="AT44" s="577">
        <v>131.86813186813183</v>
      </c>
      <c r="AU44" s="577">
        <v>131.86813186813183</v>
      </c>
      <c r="AV44" s="577">
        <v>131.86813186813183</v>
      </c>
      <c r="AW44" s="577">
        <v>131.86813186813183</v>
      </c>
      <c r="AX44" s="577">
        <v>131.86813186813183</v>
      </c>
      <c r="AY44" s="577">
        <v>131.8681318681318</v>
      </c>
      <c r="AZ44" s="577">
        <v>131.86813186813183</v>
      </c>
      <c r="BA44" s="577">
        <v>131.86813186813183</v>
      </c>
      <c r="BB44" s="577">
        <v>131.86813186813183</v>
      </c>
      <c r="BC44" s="577">
        <v>131.86813186813183</v>
      </c>
      <c r="BD44" s="577">
        <v>131.86813186813183</v>
      </c>
      <c r="BE44" s="577">
        <v>131.86813186813183</v>
      </c>
      <c r="BF44" s="577">
        <v>131.86813186813183</v>
      </c>
      <c r="BG44" s="577">
        <v>131.86813186813183</v>
      </c>
      <c r="BH44" s="577">
        <v>131.86813186813183</v>
      </c>
      <c r="BI44" s="577">
        <v>131.86813186813183</v>
      </c>
      <c r="BJ44" s="577">
        <v>131.86813186813183</v>
      </c>
      <c r="BK44" s="577">
        <v>131.86813186813183</v>
      </c>
      <c r="BL44" s="577">
        <v>131.8681318681318</v>
      </c>
      <c r="BM44" s="577">
        <v>131.86813186813183</v>
      </c>
      <c r="BN44" s="577">
        <v>131.86813186813183</v>
      </c>
      <c r="BO44" s="577">
        <v>131.86813186813183</v>
      </c>
      <c r="BP44" s="577">
        <v>131.86813186813183</v>
      </c>
      <c r="BQ44" s="577">
        <v>131.86813186813183</v>
      </c>
      <c r="BR44" s="577">
        <v>131.86813186813183</v>
      </c>
      <c r="BS44" s="577">
        <v>131.86813186813183</v>
      </c>
      <c r="BT44" s="577">
        <v>131.86813186813183</v>
      </c>
      <c r="BU44" s="577">
        <v>131.86813186813183</v>
      </c>
      <c r="BV44" s="577">
        <v>131.86813186813183</v>
      </c>
      <c r="BW44" s="577">
        <v>131.86813186813183</v>
      </c>
      <c r="BX44" s="577">
        <v>131.86813186813183</v>
      </c>
      <c r="BY44" s="577">
        <v>131.8681318681318</v>
      </c>
      <c r="CA44" s="64"/>
    </row>
    <row r="45" spans="1:79" customFormat="1">
      <c r="A45" s="48"/>
      <c r="B45" s="542" t="s">
        <v>72</v>
      </c>
      <c r="C45" s="577"/>
      <c r="D45" s="577">
        <v>436.53812312389886</v>
      </c>
      <c r="E45" s="577">
        <v>436.53812312389886</v>
      </c>
      <c r="F45" s="577">
        <v>436.53812312389886</v>
      </c>
      <c r="G45" s="577">
        <v>436.53812312389886</v>
      </c>
      <c r="H45" s="577">
        <v>436.53812312389886</v>
      </c>
      <c r="I45" s="577">
        <v>436.5381231238988</v>
      </c>
      <c r="K45" s="542" t="s">
        <v>72</v>
      </c>
      <c r="L45" s="577"/>
      <c r="M45" s="577">
        <v>436.53812312389874</v>
      </c>
      <c r="N45" s="577">
        <v>436.53812312389874</v>
      </c>
      <c r="O45" s="577">
        <v>436.53812312389874</v>
      </c>
      <c r="P45" s="577">
        <v>436.53812312389874</v>
      </c>
      <c r="Q45" s="577">
        <v>436.53812312389874</v>
      </c>
      <c r="R45" s="577">
        <v>436.53812312389874</v>
      </c>
      <c r="S45" s="577">
        <v>436.53812312389874</v>
      </c>
      <c r="T45" s="577">
        <v>436.53812312389874</v>
      </c>
      <c r="U45" s="577">
        <v>436.53812312389874</v>
      </c>
      <c r="V45" s="577">
        <v>436.53812312389874</v>
      </c>
      <c r="W45" s="577">
        <v>436.53812312389874</v>
      </c>
      <c r="X45" s="577">
        <v>436.53812312389874</v>
      </c>
      <c r="Y45" s="577">
        <v>436.53812312389886</v>
      </c>
      <c r="Z45" s="577">
        <v>436.53812312389869</v>
      </c>
      <c r="AA45" s="577">
        <v>436.53812312389869</v>
      </c>
      <c r="AB45" s="577">
        <v>436.53812312389869</v>
      </c>
      <c r="AC45" s="577">
        <v>436.53812312389869</v>
      </c>
      <c r="AD45" s="577">
        <v>436.53812312389869</v>
      </c>
      <c r="AE45" s="577">
        <v>436.53812312389869</v>
      </c>
      <c r="AF45" s="577">
        <v>436.53812312389869</v>
      </c>
      <c r="AG45" s="577">
        <v>436.53812312389869</v>
      </c>
      <c r="AH45" s="577">
        <v>436.53812312389869</v>
      </c>
      <c r="AI45" s="577">
        <v>436.53812312389869</v>
      </c>
      <c r="AJ45" s="577">
        <v>436.53812312389869</v>
      </c>
      <c r="AK45" s="577">
        <v>436.53812312389869</v>
      </c>
      <c r="AL45" s="577">
        <v>436.53812312389886</v>
      </c>
      <c r="AM45" s="577">
        <v>436.53812312389869</v>
      </c>
      <c r="AN45" s="577">
        <v>436.53812312389869</v>
      </c>
      <c r="AO45" s="577">
        <v>436.53812312389869</v>
      </c>
      <c r="AP45" s="577">
        <v>436.53812312389869</v>
      </c>
      <c r="AQ45" s="577">
        <v>436.53812312389869</v>
      </c>
      <c r="AR45" s="577">
        <v>436.53812312389869</v>
      </c>
      <c r="AS45" s="577">
        <v>436.53812312389869</v>
      </c>
      <c r="AT45" s="577">
        <v>436.53812312389869</v>
      </c>
      <c r="AU45" s="577">
        <v>436.53812312389869</v>
      </c>
      <c r="AV45" s="577">
        <v>436.53812312389869</v>
      </c>
      <c r="AW45" s="577">
        <v>436.53812312389869</v>
      </c>
      <c r="AX45" s="577">
        <v>436.53812312389869</v>
      </c>
      <c r="AY45" s="577">
        <v>436.53812312389886</v>
      </c>
      <c r="AZ45" s="577">
        <v>436.53812312389869</v>
      </c>
      <c r="BA45" s="577">
        <v>436.53812312389869</v>
      </c>
      <c r="BB45" s="577">
        <v>436.53812312389869</v>
      </c>
      <c r="BC45" s="577">
        <v>436.53812312389869</v>
      </c>
      <c r="BD45" s="577">
        <v>436.53812312389869</v>
      </c>
      <c r="BE45" s="577">
        <v>436.53812312389869</v>
      </c>
      <c r="BF45" s="577">
        <v>436.53812312389869</v>
      </c>
      <c r="BG45" s="577">
        <v>436.53812312389869</v>
      </c>
      <c r="BH45" s="577">
        <v>436.53812312389869</v>
      </c>
      <c r="BI45" s="577">
        <v>436.53812312389869</v>
      </c>
      <c r="BJ45" s="577">
        <v>436.53812312389869</v>
      </c>
      <c r="BK45" s="577">
        <v>436.53812312389869</v>
      </c>
      <c r="BL45" s="577">
        <v>436.53812312389886</v>
      </c>
      <c r="BM45" s="577">
        <v>436.53812312389869</v>
      </c>
      <c r="BN45" s="577">
        <v>436.53812312389869</v>
      </c>
      <c r="BO45" s="577">
        <v>436.53812312389869</v>
      </c>
      <c r="BP45" s="577">
        <v>436.53812312389869</v>
      </c>
      <c r="BQ45" s="577">
        <v>436.53812312389869</v>
      </c>
      <c r="BR45" s="577">
        <v>436.53812312389869</v>
      </c>
      <c r="BS45" s="577">
        <v>436.53812312389869</v>
      </c>
      <c r="BT45" s="577">
        <v>436.53812312389869</v>
      </c>
      <c r="BU45" s="577">
        <v>436.53812312389869</v>
      </c>
      <c r="BV45" s="577">
        <v>436.53812312389869</v>
      </c>
      <c r="BW45" s="577">
        <v>436.53812312389869</v>
      </c>
      <c r="BX45" s="577">
        <v>436.53812312389869</v>
      </c>
      <c r="BY45" s="577">
        <v>436.53812312389886</v>
      </c>
      <c r="CA45" s="64"/>
    </row>
    <row r="46" spans="1:79" customFormat="1">
      <c r="A46" s="48"/>
      <c r="B46" s="542" t="s">
        <v>73</v>
      </c>
      <c r="C46" s="577"/>
      <c r="D46" s="577">
        <v>65.934065934065956</v>
      </c>
      <c r="E46" s="577">
        <v>65.934065934065899</v>
      </c>
      <c r="F46" s="577">
        <v>65.934065934065899</v>
      </c>
      <c r="G46" s="577">
        <v>65.934065934065899</v>
      </c>
      <c r="H46" s="577">
        <v>65.934065934065899</v>
      </c>
      <c r="I46" s="577">
        <v>65.934065934065913</v>
      </c>
      <c r="K46" s="542" t="s">
        <v>73</v>
      </c>
      <c r="L46" s="577"/>
      <c r="M46" s="577">
        <v>65.934065934065941</v>
      </c>
      <c r="N46" s="577">
        <v>65.934065934065941</v>
      </c>
      <c r="O46" s="577">
        <v>65.934065934065941</v>
      </c>
      <c r="P46" s="577">
        <v>65.934065934065941</v>
      </c>
      <c r="Q46" s="577">
        <v>65.934065934065941</v>
      </c>
      <c r="R46" s="577">
        <v>65.934065934065941</v>
      </c>
      <c r="S46" s="577">
        <v>65.934065934065941</v>
      </c>
      <c r="T46" s="577">
        <v>65.934065934065941</v>
      </c>
      <c r="U46" s="577">
        <v>65.934065934065941</v>
      </c>
      <c r="V46" s="577">
        <v>65.934065934065941</v>
      </c>
      <c r="W46" s="577">
        <v>65.934065934065941</v>
      </c>
      <c r="X46" s="577">
        <v>65.934065934065941</v>
      </c>
      <c r="Y46" s="577">
        <v>65.934065934065956</v>
      </c>
      <c r="Z46" s="577">
        <v>65.934065934065913</v>
      </c>
      <c r="AA46" s="577">
        <v>65.934065934065913</v>
      </c>
      <c r="AB46" s="577">
        <v>65.934065934065913</v>
      </c>
      <c r="AC46" s="577">
        <v>65.934065934065913</v>
      </c>
      <c r="AD46" s="577">
        <v>65.934065934065913</v>
      </c>
      <c r="AE46" s="577">
        <v>65.934065934065913</v>
      </c>
      <c r="AF46" s="577">
        <v>65.934065934065913</v>
      </c>
      <c r="AG46" s="577">
        <v>65.934065934065913</v>
      </c>
      <c r="AH46" s="577">
        <v>65.934065934065913</v>
      </c>
      <c r="AI46" s="577">
        <v>65.934065934065913</v>
      </c>
      <c r="AJ46" s="577">
        <v>65.934065934065913</v>
      </c>
      <c r="AK46" s="577">
        <v>65.934065934065913</v>
      </c>
      <c r="AL46" s="577">
        <v>65.934065934065899</v>
      </c>
      <c r="AM46" s="577">
        <v>65.934065934065913</v>
      </c>
      <c r="AN46" s="577">
        <v>65.934065934065913</v>
      </c>
      <c r="AO46" s="577">
        <v>65.934065934065913</v>
      </c>
      <c r="AP46" s="577">
        <v>65.934065934065913</v>
      </c>
      <c r="AQ46" s="577">
        <v>65.934065934065913</v>
      </c>
      <c r="AR46" s="577">
        <v>65.934065934065913</v>
      </c>
      <c r="AS46" s="577">
        <v>65.934065934065913</v>
      </c>
      <c r="AT46" s="577">
        <v>65.934065934065913</v>
      </c>
      <c r="AU46" s="577">
        <v>65.934065934065913</v>
      </c>
      <c r="AV46" s="577">
        <v>65.934065934065913</v>
      </c>
      <c r="AW46" s="577">
        <v>65.934065934065913</v>
      </c>
      <c r="AX46" s="577">
        <v>65.934065934065913</v>
      </c>
      <c r="AY46" s="577">
        <v>65.934065934065899</v>
      </c>
      <c r="AZ46" s="577">
        <v>65.934065934065913</v>
      </c>
      <c r="BA46" s="577">
        <v>65.934065934065913</v>
      </c>
      <c r="BB46" s="577">
        <v>65.934065934065913</v>
      </c>
      <c r="BC46" s="577">
        <v>65.934065934065913</v>
      </c>
      <c r="BD46" s="577">
        <v>65.934065934065913</v>
      </c>
      <c r="BE46" s="577">
        <v>65.934065934065913</v>
      </c>
      <c r="BF46" s="577">
        <v>65.934065934065913</v>
      </c>
      <c r="BG46" s="577">
        <v>65.934065934065913</v>
      </c>
      <c r="BH46" s="577">
        <v>65.934065934065913</v>
      </c>
      <c r="BI46" s="577">
        <v>65.934065934065913</v>
      </c>
      <c r="BJ46" s="577">
        <v>65.934065934065913</v>
      </c>
      <c r="BK46" s="577">
        <v>65.934065934065913</v>
      </c>
      <c r="BL46" s="577">
        <v>65.934065934065899</v>
      </c>
      <c r="BM46" s="577">
        <v>65.934065934065913</v>
      </c>
      <c r="BN46" s="577">
        <v>65.934065934065913</v>
      </c>
      <c r="BO46" s="577">
        <v>65.934065934065913</v>
      </c>
      <c r="BP46" s="577">
        <v>65.934065934065913</v>
      </c>
      <c r="BQ46" s="577">
        <v>65.934065934065913</v>
      </c>
      <c r="BR46" s="577">
        <v>65.934065934065913</v>
      </c>
      <c r="BS46" s="577">
        <v>65.934065934065913</v>
      </c>
      <c r="BT46" s="577">
        <v>65.934065934065913</v>
      </c>
      <c r="BU46" s="577">
        <v>65.934065934065913</v>
      </c>
      <c r="BV46" s="577">
        <v>65.934065934065913</v>
      </c>
      <c r="BW46" s="577">
        <v>65.934065934065913</v>
      </c>
      <c r="BX46" s="577">
        <v>65.934065934065913</v>
      </c>
      <c r="BY46" s="577">
        <v>65.934065934065899</v>
      </c>
      <c r="CA46" s="64"/>
    </row>
    <row r="47" spans="1:79" customFormat="1">
      <c r="A47" s="48"/>
      <c r="B47" s="542" t="s">
        <v>74</v>
      </c>
      <c r="C47" s="577"/>
      <c r="D47" s="577">
        <v>65.934065934065956</v>
      </c>
      <c r="E47" s="577">
        <v>65.934065934065899</v>
      </c>
      <c r="F47" s="577">
        <v>65.934065934065899</v>
      </c>
      <c r="G47" s="577">
        <v>65.934065934065899</v>
      </c>
      <c r="H47" s="577">
        <v>65.934065934065899</v>
      </c>
      <c r="I47" s="577">
        <v>65.934065934065913</v>
      </c>
      <c r="K47" s="542" t="s">
        <v>74</v>
      </c>
      <c r="L47" s="577"/>
      <c r="M47" s="577">
        <v>65.934065934065941</v>
      </c>
      <c r="N47" s="577">
        <v>65.934065934065941</v>
      </c>
      <c r="O47" s="577">
        <v>65.934065934065941</v>
      </c>
      <c r="P47" s="577">
        <v>65.934065934065941</v>
      </c>
      <c r="Q47" s="577">
        <v>65.934065934065941</v>
      </c>
      <c r="R47" s="577">
        <v>65.934065934065941</v>
      </c>
      <c r="S47" s="577">
        <v>65.934065934065941</v>
      </c>
      <c r="T47" s="577">
        <v>65.934065934065941</v>
      </c>
      <c r="U47" s="577">
        <v>65.934065934065941</v>
      </c>
      <c r="V47" s="577">
        <v>65.934065934065941</v>
      </c>
      <c r="W47" s="577">
        <v>65.934065934065941</v>
      </c>
      <c r="X47" s="577">
        <v>65.934065934065941</v>
      </c>
      <c r="Y47" s="577">
        <v>65.934065934065956</v>
      </c>
      <c r="Z47" s="577">
        <v>65.934065934065913</v>
      </c>
      <c r="AA47" s="577">
        <v>65.934065934065913</v>
      </c>
      <c r="AB47" s="577">
        <v>65.934065934065913</v>
      </c>
      <c r="AC47" s="577">
        <v>65.934065934065913</v>
      </c>
      <c r="AD47" s="577">
        <v>65.934065934065913</v>
      </c>
      <c r="AE47" s="577">
        <v>65.934065934065913</v>
      </c>
      <c r="AF47" s="577">
        <v>65.934065934065913</v>
      </c>
      <c r="AG47" s="577">
        <v>65.934065934065913</v>
      </c>
      <c r="AH47" s="577">
        <v>65.934065934065913</v>
      </c>
      <c r="AI47" s="577">
        <v>65.934065934065913</v>
      </c>
      <c r="AJ47" s="577">
        <v>65.934065934065913</v>
      </c>
      <c r="AK47" s="577">
        <v>65.934065934065913</v>
      </c>
      <c r="AL47" s="577">
        <v>65.934065934065899</v>
      </c>
      <c r="AM47" s="577">
        <v>65.934065934065913</v>
      </c>
      <c r="AN47" s="577">
        <v>65.934065934065913</v>
      </c>
      <c r="AO47" s="577">
        <v>65.934065934065913</v>
      </c>
      <c r="AP47" s="577">
        <v>65.934065934065913</v>
      </c>
      <c r="AQ47" s="577">
        <v>65.934065934065913</v>
      </c>
      <c r="AR47" s="577">
        <v>65.934065934065913</v>
      </c>
      <c r="AS47" s="577">
        <v>65.934065934065913</v>
      </c>
      <c r="AT47" s="577">
        <v>65.934065934065913</v>
      </c>
      <c r="AU47" s="577">
        <v>65.934065934065913</v>
      </c>
      <c r="AV47" s="577">
        <v>65.934065934065913</v>
      </c>
      <c r="AW47" s="577">
        <v>65.934065934065913</v>
      </c>
      <c r="AX47" s="577">
        <v>65.934065934065913</v>
      </c>
      <c r="AY47" s="577">
        <v>65.934065934065899</v>
      </c>
      <c r="AZ47" s="577">
        <v>65.934065934065913</v>
      </c>
      <c r="BA47" s="577">
        <v>65.934065934065913</v>
      </c>
      <c r="BB47" s="577">
        <v>65.934065934065913</v>
      </c>
      <c r="BC47" s="577">
        <v>65.934065934065913</v>
      </c>
      <c r="BD47" s="577">
        <v>65.934065934065913</v>
      </c>
      <c r="BE47" s="577">
        <v>65.934065934065913</v>
      </c>
      <c r="BF47" s="577">
        <v>65.934065934065913</v>
      </c>
      <c r="BG47" s="577">
        <v>65.934065934065913</v>
      </c>
      <c r="BH47" s="577">
        <v>65.934065934065913</v>
      </c>
      <c r="BI47" s="577">
        <v>65.934065934065913</v>
      </c>
      <c r="BJ47" s="577">
        <v>65.934065934065913</v>
      </c>
      <c r="BK47" s="577">
        <v>65.934065934065913</v>
      </c>
      <c r="BL47" s="577">
        <v>65.934065934065899</v>
      </c>
      <c r="BM47" s="577">
        <v>65.934065934065913</v>
      </c>
      <c r="BN47" s="577">
        <v>65.934065934065913</v>
      </c>
      <c r="BO47" s="577">
        <v>65.934065934065913</v>
      </c>
      <c r="BP47" s="577">
        <v>65.934065934065913</v>
      </c>
      <c r="BQ47" s="577">
        <v>65.934065934065913</v>
      </c>
      <c r="BR47" s="577">
        <v>65.934065934065913</v>
      </c>
      <c r="BS47" s="577">
        <v>65.934065934065913</v>
      </c>
      <c r="BT47" s="577">
        <v>65.934065934065913</v>
      </c>
      <c r="BU47" s="577">
        <v>65.934065934065913</v>
      </c>
      <c r="BV47" s="577">
        <v>65.934065934065913</v>
      </c>
      <c r="BW47" s="577">
        <v>65.934065934065913</v>
      </c>
      <c r="BX47" s="577">
        <v>65.934065934065913</v>
      </c>
      <c r="BY47" s="577">
        <v>65.934065934065899</v>
      </c>
      <c r="CA47" s="64"/>
    </row>
    <row r="48" spans="1:79" customFormat="1">
      <c r="A48" s="48"/>
      <c r="B48" s="542" t="s">
        <v>75</v>
      </c>
      <c r="C48" s="577"/>
      <c r="D48" s="577">
        <v>65.934065934065956</v>
      </c>
      <c r="E48" s="577">
        <v>65.934065934065899</v>
      </c>
      <c r="F48" s="577">
        <v>65.934065934065899</v>
      </c>
      <c r="G48" s="577">
        <v>65.934065934065899</v>
      </c>
      <c r="H48" s="577">
        <v>65.934065934065899</v>
      </c>
      <c r="I48" s="577">
        <v>65.934065934065913</v>
      </c>
      <c r="K48" s="542" t="s">
        <v>75</v>
      </c>
      <c r="L48" s="577"/>
      <c r="M48" s="577">
        <v>65.934065934065941</v>
      </c>
      <c r="N48" s="577">
        <v>65.934065934065941</v>
      </c>
      <c r="O48" s="577">
        <v>65.934065934065941</v>
      </c>
      <c r="P48" s="577">
        <v>65.934065934065941</v>
      </c>
      <c r="Q48" s="577">
        <v>65.934065934065941</v>
      </c>
      <c r="R48" s="577">
        <v>65.934065934065941</v>
      </c>
      <c r="S48" s="577">
        <v>65.934065934065941</v>
      </c>
      <c r="T48" s="577">
        <v>65.934065934065941</v>
      </c>
      <c r="U48" s="577">
        <v>65.934065934065941</v>
      </c>
      <c r="V48" s="577">
        <v>65.934065934065941</v>
      </c>
      <c r="W48" s="577">
        <v>65.934065934065941</v>
      </c>
      <c r="X48" s="577">
        <v>65.934065934065941</v>
      </c>
      <c r="Y48" s="577">
        <v>65.934065934065956</v>
      </c>
      <c r="Z48" s="577">
        <v>65.934065934065913</v>
      </c>
      <c r="AA48" s="577">
        <v>65.934065934065913</v>
      </c>
      <c r="AB48" s="577">
        <v>65.934065934065913</v>
      </c>
      <c r="AC48" s="577">
        <v>65.934065934065913</v>
      </c>
      <c r="AD48" s="577">
        <v>65.934065934065913</v>
      </c>
      <c r="AE48" s="577">
        <v>65.934065934065913</v>
      </c>
      <c r="AF48" s="577">
        <v>65.934065934065913</v>
      </c>
      <c r="AG48" s="577">
        <v>65.934065934065913</v>
      </c>
      <c r="AH48" s="577">
        <v>65.934065934065913</v>
      </c>
      <c r="AI48" s="577">
        <v>65.934065934065913</v>
      </c>
      <c r="AJ48" s="577">
        <v>65.934065934065913</v>
      </c>
      <c r="AK48" s="577">
        <v>65.934065934065913</v>
      </c>
      <c r="AL48" s="577">
        <v>65.934065934065899</v>
      </c>
      <c r="AM48" s="577">
        <v>65.934065934065913</v>
      </c>
      <c r="AN48" s="577">
        <v>65.934065934065913</v>
      </c>
      <c r="AO48" s="577">
        <v>65.934065934065913</v>
      </c>
      <c r="AP48" s="577">
        <v>65.934065934065913</v>
      </c>
      <c r="AQ48" s="577">
        <v>65.934065934065913</v>
      </c>
      <c r="AR48" s="577">
        <v>65.934065934065913</v>
      </c>
      <c r="AS48" s="577">
        <v>65.934065934065913</v>
      </c>
      <c r="AT48" s="577">
        <v>65.934065934065913</v>
      </c>
      <c r="AU48" s="577">
        <v>65.934065934065913</v>
      </c>
      <c r="AV48" s="577">
        <v>65.934065934065913</v>
      </c>
      <c r="AW48" s="577">
        <v>65.934065934065913</v>
      </c>
      <c r="AX48" s="577">
        <v>65.934065934065913</v>
      </c>
      <c r="AY48" s="577">
        <v>65.934065934065899</v>
      </c>
      <c r="AZ48" s="577">
        <v>65.934065934065913</v>
      </c>
      <c r="BA48" s="577">
        <v>65.934065934065913</v>
      </c>
      <c r="BB48" s="577">
        <v>65.934065934065913</v>
      </c>
      <c r="BC48" s="577">
        <v>65.934065934065913</v>
      </c>
      <c r="BD48" s="577">
        <v>65.934065934065913</v>
      </c>
      <c r="BE48" s="577">
        <v>65.934065934065913</v>
      </c>
      <c r="BF48" s="577">
        <v>65.934065934065913</v>
      </c>
      <c r="BG48" s="577">
        <v>65.934065934065913</v>
      </c>
      <c r="BH48" s="577">
        <v>65.934065934065913</v>
      </c>
      <c r="BI48" s="577">
        <v>65.934065934065913</v>
      </c>
      <c r="BJ48" s="577">
        <v>65.934065934065913</v>
      </c>
      <c r="BK48" s="577">
        <v>65.934065934065913</v>
      </c>
      <c r="BL48" s="577">
        <v>65.934065934065899</v>
      </c>
      <c r="BM48" s="577">
        <v>65.934065934065913</v>
      </c>
      <c r="BN48" s="577">
        <v>65.934065934065913</v>
      </c>
      <c r="BO48" s="577">
        <v>65.934065934065913</v>
      </c>
      <c r="BP48" s="577">
        <v>65.934065934065913</v>
      </c>
      <c r="BQ48" s="577">
        <v>65.934065934065913</v>
      </c>
      <c r="BR48" s="577">
        <v>65.934065934065913</v>
      </c>
      <c r="BS48" s="577">
        <v>65.934065934065913</v>
      </c>
      <c r="BT48" s="577">
        <v>65.934065934065913</v>
      </c>
      <c r="BU48" s="577">
        <v>65.934065934065913</v>
      </c>
      <c r="BV48" s="577">
        <v>65.934065934065913</v>
      </c>
      <c r="BW48" s="577">
        <v>65.934065934065913</v>
      </c>
      <c r="BX48" s="577">
        <v>65.934065934065913</v>
      </c>
      <c r="BY48" s="577">
        <v>65.934065934065899</v>
      </c>
      <c r="CA48" s="64"/>
    </row>
    <row r="49" spans="1:79" customFormat="1">
      <c r="A49" s="48"/>
      <c r="B49" s="575" t="s">
        <v>340</v>
      </c>
      <c r="C49" s="577"/>
      <c r="D49" s="576">
        <v>23327036.084118228</v>
      </c>
      <c r="E49" s="576">
        <v>24047841.499117471</v>
      </c>
      <c r="F49" s="576">
        <v>24757252.82334144</v>
      </c>
      <c r="G49" s="576">
        <v>25455407.352959663</v>
      </c>
      <c r="H49" s="576">
        <v>26142703.351489581</v>
      </c>
      <c r="I49" s="576">
        <v>24746048.222205274</v>
      </c>
      <c r="J49" s="153"/>
      <c r="K49" s="575" t="s">
        <v>340</v>
      </c>
      <c r="L49" s="577"/>
      <c r="M49" s="576">
        <v>23327036.084118228</v>
      </c>
      <c r="N49" s="576">
        <v>23327036.084118228</v>
      </c>
      <c r="O49" s="576">
        <v>23327036.084118228</v>
      </c>
      <c r="P49" s="576">
        <v>23327036.084118228</v>
      </c>
      <c r="Q49" s="576">
        <v>23327036.084118228</v>
      </c>
      <c r="R49" s="576">
        <v>23327036.084118228</v>
      </c>
      <c r="S49" s="576">
        <v>23327036.084118228</v>
      </c>
      <c r="T49" s="576">
        <v>23327036.084118228</v>
      </c>
      <c r="U49" s="576">
        <v>23327036.084118228</v>
      </c>
      <c r="V49" s="576">
        <v>23327036.084118228</v>
      </c>
      <c r="W49" s="576">
        <v>23327036.084118228</v>
      </c>
      <c r="X49" s="576">
        <v>23327036.084118228</v>
      </c>
      <c r="Y49" s="576">
        <v>23327036.084118228</v>
      </c>
      <c r="Z49" s="576">
        <v>24047841.499117471</v>
      </c>
      <c r="AA49" s="576">
        <v>24047841.499117471</v>
      </c>
      <c r="AB49" s="576">
        <v>24047841.499117471</v>
      </c>
      <c r="AC49" s="576">
        <v>24047841.499117471</v>
      </c>
      <c r="AD49" s="576">
        <v>24047841.499117471</v>
      </c>
      <c r="AE49" s="576">
        <v>24047841.499117471</v>
      </c>
      <c r="AF49" s="576">
        <v>24047841.499117471</v>
      </c>
      <c r="AG49" s="576">
        <v>24047841.499117471</v>
      </c>
      <c r="AH49" s="576">
        <v>24047841.499117471</v>
      </c>
      <c r="AI49" s="576">
        <v>24047841.499117471</v>
      </c>
      <c r="AJ49" s="576">
        <v>24047841.499117471</v>
      </c>
      <c r="AK49" s="576">
        <v>24047841.499117471</v>
      </c>
      <c r="AL49" s="576">
        <v>24047841.499117471</v>
      </c>
      <c r="AM49" s="576">
        <v>24757252.823341437</v>
      </c>
      <c r="AN49" s="576">
        <v>24757252.823341437</v>
      </c>
      <c r="AO49" s="576">
        <v>24757252.823341437</v>
      </c>
      <c r="AP49" s="576">
        <v>24757252.823341437</v>
      </c>
      <c r="AQ49" s="576">
        <v>24757252.823341437</v>
      </c>
      <c r="AR49" s="576">
        <v>24757252.823341437</v>
      </c>
      <c r="AS49" s="576">
        <v>24757252.823341437</v>
      </c>
      <c r="AT49" s="576">
        <v>24757252.823341437</v>
      </c>
      <c r="AU49" s="576">
        <v>24757252.823341437</v>
      </c>
      <c r="AV49" s="576">
        <v>24757252.823341437</v>
      </c>
      <c r="AW49" s="576">
        <v>24757252.823341437</v>
      </c>
      <c r="AX49" s="576">
        <v>24757252.823341437</v>
      </c>
      <c r="AY49" s="576">
        <v>24757252.82334144</v>
      </c>
      <c r="AZ49" s="576">
        <v>25455407.35295967</v>
      </c>
      <c r="BA49" s="576">
        <v>25455407.35295967</v>
      </c>
      <c r="BB49" s="576">
        <v>25455407.35295967</v>
      </c>
      <c r="BC49" s="576">
        <v>25455407.35295967</v>
      </c>
      <c r="BD49" s="576">
        <v>25455407.35295967</v>
      </c>
      <c r="BE49" s="576">
        <v>25455407.35295967</v>
      </c>
      <c r="BF49" s="576">
        <v>25455407.35295967</v>
      </c>
      <c r="BG49" s="576">
        <v>25455407.35295967</v>
      </c>
      <c r="BH49" s="576">
        <v>25455407.35295967</v>
      </c>
      <c r="BI49" s="576">
        <v>25455407.35295967</v>
      </c>
      <c r="BJ49" s="576">
        <v>25455407.35295967</v>
      </c>
      <c r="BK49" s="576">
        <v>25455407.35295967</v>
      </c>
      <c r="BL49" s="576">
        <v>25455407.352959663</v>
      </c>
      <c r="BM49" s="576">
        <v>26142703.351489581</v>
      </c>
      <c r="BN49" s="576">
        <v>26142703.351489581</v>
      </c>
      <c r="BO49" s="576">
        <v>26142703.351489581</v>
      </c>
      <c r="BP49" s="576">
        <v>26142703.351489581</v>
      </c>
      <c r="BQ49" s="576">
        <v>26142703.351489581</v>
      </c>
      <c r="BR49" s="576">
        <v>26142703.351489581</v>
      </c>
      <c r="BS49" s="576">
        <v>26142703.351489581</v>
      </c>
      <c r="BT49" s="576">
        <v>26142703.351489581</v>
      </c>
      <c r="BU49" s="576">
        <v>26142703.351489581</v>
      </c>
      <c r="BV49" s="576">
        <v>26142703.351489581</v>
      </c>
      <c r="BW49" s="576">
        <v>26142703.351489581</v>
      </c>
      <c r="BX49" s="576">
        <v>26142703.351489581</v>
      </c>
      <c r="BY49" s="576">
        <v>26142703.351489581</v>
      </c>
      <c r="CA49" s="64"/>
    </row>
    <row r="50" spans="1:79" customFormat="1">
      <c r="A50" s="48"/>
      <c r="B50" s="542" t="s">
        <v>66</v>
      </c>
      <c r="C50" s="577"/>
      <c r="D50" s="577">
        <v>5092052.143061623</v>
      </c>
      <c r="E50" s="577">
        <v>5249396.5542822247</v>
      </c>
      <c r="F50" s="577">
        <v>5404253.7526335502</v>
      </c>
      <c r="G50" s="577">
        <v>5556653.7084578183</v>
      </c>
      <c r="H50" s="577">
        <v>5706683.3585861772</v>
      </c>
      <c r="I50" s="577">
        <v>5401807.9034042787</v>
      </c>
      <c r="K50" s="542" t="s">
        <v>66</v>
      </c>
      <c r="L50" s="577"/>
      <c r="M50" s="577">
        <v>5092052.143061623</v>
      </c>
      <c r="N50" s="577">
        <v>5092052.143061623</v>
      </c>
      <c r="O50" s="577">
        <v>5092052.143061623</v>
      </c>
      <c r="P50" s="577">
        <v>5092052.143061623</v>
      </c>
      <c r="Q50" s="577">
        <v>5092052.143061623</v>
      </c>
      <c r="R50" s="577">
        <v>5092052.143061623</v>
      </c>
      <c r="S50" s="577">
        <v>5092052.143061623</v>
      </c>
      <c r="T50" s="577">
        <v>5092052.143061623</v>
      </c>
      <c r="U50" s="577">
        <v>5092052.143061623</v>
      </c>
      <c r="V50" s="577">
        <v>5092052.143061623</v>
      </c>
      <c r="W50" s="577">
        <v>5092052.143061623</v>
      </c>
      <c r="X50" s="577">
        <v>5092052.143061623</v>
      </c>
      <c r="Y50" s="577">
        <v>5092052.143061623</v>
      </c>
      <c r="Z50" s="577">
        <v>5249396.5542822247</v>
      </c>
      <c r="AA50" s="577">
        <v>5249396.5542822247</v>
      </c>
      <c r="AB50" s="577">
        <v>5249396.5542822247</v>
      </c>
      <c r="AC50" s="577">
        <v>5249396.5542822247</v>
      </c>
      <c r="AD50" s="577">
        <v>5249396.5542822247</v>
      </c>
      <c r="AE50" s="577">
        <v>5249396.5542822247</v>
      </c>
      <c r="AF50" s="577">
        <v>5249396.5542822247</v>
      </c>
      <c r="AG50" s="577">
        <v>5249396.5542822247</v>
      </c>
      <c r="AH50" s="577">
        <v>5249396.5542822247</v>
      </c>
      <c r="AI50" s="577">
        <v>5249396.5542822247</v>
      </c>
      <c r="AJ50" s="577">
        <v>5249396.5542822247</v>
      </c>
      <c r="AK50" s="577">
        <v>5249396.5542822247</v>
      </c>
      <c r="AL50" s="577">
        <v>5249396.5542822247</v>
      </c>
      <c r="AM50" s="577">
        <v>5404253.7526335511</v>
      </c>
      <c r="AN50" s="577">
        <v>5404253.7526335511</v>
      </c>
      <c r="AO50" s="577">
        <v>5404253.7526335511</v>
      </c>
      <c r="AP50" s="577">
        <v>5404253.7526335511</v>
      </c>
      <c r="AQ50" s="577">
        <v>5404253.7526335511</v>
      </c>
      <c r="AR50" s="577">
        <v>5404253.7526335511</v>
      </c>
      <c r="AS50" s="577">
        <v>5404253.7526335511</v>
      </c>
      <c r="AT50" s="577">
        <v>5404253.7526335511</v>
      </c>
      <c r="AU50" s="577">
        <v>5404253.7526335511</v>
      </c>
      <c r="AV50" s="577">
        <v>5404253.7526335511</v>
      </c>
      <c r="AW50" s="577">
        <v>5404253.7526335511</v>
      </c>
      <c r="AX50" s="577">
        <v>5404253.7526335511</v>
      </c>
      <c r="AY50" s="577">
        <v>5404253.7526335502</v>
      </c>
      <c r="AZ50" s="577">
        <v>5556653.7084578173</v>
      </c>
      <c r="BA50" s="577">
        <v>5556653.7084578173</v>
      </c>
      <c r="BB50" s="577">
        <v>5556653.7084578173</v>
      </c>
      <c r="BC50" s="577">
        <v>5556653.7084578173</v>
      </c>
      <c r="BD50" s="577">
        <v>5556653.7084578173</v>
      </c>
      <c r="BE50" s="577">
        <v>5556653.7084578173</v>
      </c>
      <c r="BF50" s="577">
        <v>5556653.7084578173</v>
      </c>
      <c r="BG50" s="577">
        <v>5556653.7084578173</v>
      </c>
      <c r="BH50" s="577">
        <v>5556653.7084578173</v>
      </c>
      <c r="BI50" s="577">
        <v>5556653.7084578173</v>
      </c>
      <c r="BJ50" s="577">
        <v>5556653.7084578173</v>
      </c>
      <c r="BK50" s="577">
        <v>5556653.7084578173</v>
      </c>
      <c r="BL50" s="577">
        <v>5556653.7084578183</v>
      </c>
      <c r="BM50" s="577">
        <v>5706683.3585861772</v>
      </c>
      <c r="BN50" s="577">
        <v>5706683.3585861772</v>
      </c>
      <c r="BO50" s="577">
        <v>5706683.3585861772</v>
      </c>
      <c r="BP50" s="577">
        <v>5706683.3585861772</v>
      </c>
      <c r="BQ50" s="577">
        <v>5706683.3585861772</v>
      </c>
      <c r="BR50" s="577">
        <v>5706683.3585861772</v>
      </c>
      <c r="BS50" s="577">
        <v>5706683.3585861772</v>
      </c>
      <c r="BT50" s="577">
        <v>5706683.3585861772</v>
      </c>
      <c r="BU50" s="577">
        <v>5706683.3585861772</v>
      </c>
      <c r="BV50" s="577">
        <v>5706683.3585861772</v>
      </c>
      <c r="BW50" s="577">
        <v>5706683.3585861772</v>
      </c>
      <c r="BX50" s="577">
        <v>5706683.3585861772</v>
      </c>
      <c r="BY50" s="577">
        <v>5706683.3585861772</v>
      </c>
      <c r="CA50" s="64"/>
    </row>
    <row r="51" spans="1:79" customFormat="1">
      <c r="A51" s="48"/>
      <c r="B51" s="542" t="s">
        <v>67</v>
      </c>
      <c r="C51" s="577"/>
      <c r="D51" s="577">
        <v>2306118.804697813</v>
      </c>
      <c r="E51" s="577">
        <v>2377377.8757629758</v>
      </c>
      <c r="F51" s="577">
        <v>2447510.523097984</v>
      </c>
      <c r="G51" s="577">
        <v>2516530.3198493463</v>
      </c>
      <c r="H51" s="577">
        <v>2584476.6384852789</v>
      </c>
      <c r="I51" s="577">
        <v>2446402.8323786794</v>
      </c>
      <c r="K51" s="542" t="s">
        <v>67</v>
      </c>
      <c r="L51" s="577"/>
      <c r="M51" s="577">
        <v>2306118.8046978135</v>
      </c>
      <c r="N51" s="577">
        <v>2306118.8046978135</v>
      </c>
      <c r="O51" s="577">
        <v>2306118.8046978135</v>
      </c>
      <c r="P51" s="577">
        <v>2306118.8046978135</v>
      </c>
      <c r="Q51" s="577">
        <v>2306118.8046978135</v>
      </c>
      <c r="R51" s="577">
        <v>2306118.8046978135</v>
      </c>
      <c r="S51" s="577">
        <v>2306118.8046978135</v>
      </c>
      <c r="T51" s="577">
        <v>2306118.8046978135</v>
      </c>
      <c r="U51" s="577">
        <v>2306118.8046978135</v>
      </c>
      <c r="V51" s="577">
        <v>2306118.8046978135</v>
      </c>
      <c r="W51" s="577">
        <v>2306118.8046978135</v>
      </c>
      <c r="X51" s="577">
        <v>2306118.8046978135</v>
      </c>
      <c r="Y51" s="577">
        <v>2306118.804697813</v>
      </c>
      <c r="Z51" s="577">
        <v>2377377.8757629753</v>
      </c>
      <c r="AA51" s="577">
        <v>2377377.8757629753</v>
      </c>
      <c r="AB51" s="577">
        <v>2377377.8757629753</v>
      </c>
      <c r="AC51" s="577">
        <v>2377377.8757629753</v>
      </c>
      <c r="AD51" s="577">
        <v>2377377.8757629753</v>
      </c>
      <c r="AE51" s="577">
        <v>2377377.8757629753</v>
      </c>
      <c r="AF51" s="577">
        <v>2377377.8757629753</v>
      </c>
      <c r="AG51" s="577">
        <v>2377377.8757629753</v>
      </c>
      <c r="AH51" s="577">
        <v>2377377.8757629753</v>
      </c>
      <c r="AI51" s="577">
        <v>2377377.8757629753</v>
      </c>
      <c r="AJ51" s="577">
        <v>2377377.8757629753</v>
      </c>
      <c r="AK51" s="577">
        <v>2377377.8757629753</v>
      </c>
      <c r="AL51" s="577">
        <v>2377377.8757629758</v>
      </c>
      <c r="AM51" s="577">
        <v>2447510.5230979836</v>
      </c>
      <c r="AN51" s="577">
        <v>2447510.5230979836</v>
      </c>
      <c r="AO51" s="577">
        <v>2447510.5230979836</v>
      </c>
      <c r="AP51" s="577">
        <v>2447510.5230979836</v>
      </c>
      <c r="AQ51" s="577">
        <v>2447510.5230979836</v>
      </c>
      <c r="AR51" s="577">
        <v>2447510.5230979836</v>
      </c>
      <c r="AS51" s="577">
        <v>2447510.5230979836</v>
      </c>
      <c r="AT51" s="577">
        <v>2447510.5230979836</v>
      </c>
      <c r="AU51" s="577">
        <v>2447510.5230979836</v>
      </c>
      <c r="AV51" s="577">
        <v>2447510.5230979836</v>
      </c>
      <c r="AW51" s="577">
        <v>2447510.5230979836</v>
      </c>
      <c r="AX51" s="577">
        <v>2447510.5230979836</v>
      </c>
      <c r="AY51" s="577">
        <v>2447510.523097984</v>
      </c>
      <c r="AZ51" s="577">
        <v>2516530.3198493468</v>
      </c>
      <c r="BA51" s="577">
        <v>2516530.3198493468</v>
      </c>
      <c r="BB51" s="577">
        <v>2516530.3198493468</v>
      </c>
      <c r="BC51" s="577">
        <v>2516530.3198493468</v>
      </c>
      <c r="BD51" s="577">
        <v>2516530.3198493468</v>
      </c>
      <c r="BE51" s="577">
        <v>2516530.3198493468</v>
      </c>
      <c r="BF51" s="577">
        <v>2516530.3198493468</v>
      </c>
      <c r="BG51" s="577">
        <v>2516530.3198493468</v>
      </c>
      <c r="BH51" s="577">
        <v>2516530.3198493468</v>
      </c>
      <c r="BI51" s="577">
        <v>2516530.3198493468</v>
      </c>
      <c r="BJ51" s="577">
        <v>2516530.3198493468</v>
      </c>
      <c r="BK51" s="577">
        <v>2516530.3198493468</v>
      </c>
      <c r="BL51" s="577">
        <v>2516530.3198493463</v>
      </c>
      <c r="BM51" s="577">
        <v>2584476.6384852789</v>
      </c>
      <c r="BN51" s="577">
        <v>2584476.6384852789</v>
      </c>
      <c r="BO51" s="577">
        <v>2584476.6384852789</v>
      </c>
      <c r="BP51" s="577">
        <v>2584476.6384852789</v>
      </c>
      <c r="BQ51" s="577">
        <v>2584476.6384852789</v>
      </c>
      <c r="BR51" s="577">
        <v>2584476.6384852789</v>
      </c>
      <c r="BS51" s="577">
        <v>2584476.6384852789</v>
      </c>
      <c r="BT51" s="577">
        <v>2584476.6384852789</v>
      </c>
      <c r="BU51" s="577">
        <v>2584476.6384852789</v>
      </c>
      <c r="BV51" s="577">
        <v>2584476.6384852789</v>
      </c>
      <c r="BW51" s="577">
        <v>2584476.6384852789</v>
      </c>
      <c r="BX51" s="577">
        <v>2584476.6384852789</v>
      </c>
      <c r="BY51" s="577">
        <v>2584476.6384852789</v>
      </c>
      <c r="CA51" s="64"/>
    </row>
    <row r="52" spans="1:79" customFormat="1">
      <c r="A52" s="48"/>
      <c r="B52" s="542" t="s">
        <v>68</v>
      </c>
      <c r="C52" s="577"/>
      <c r="D52" s="577">
        <v>1304922.8958588145</v>
      </c>
      <c r="E52" s="577">
        <v>1345245.0133408511</v>
      </c>
      <c r="F52" s="577">
        <v>1384929.7412344064</v>
      </c>
      <c r="G52" s="577">
        <v>1423984.7599372163</v>
      </c>
      <c r="H52" s="577">
        <v>1462432.3484555215</v>
      </c>
      <c r="I52" s="577">
        <v>1384302.9517653617</v>
      </c>
      <c r="K52" s="542" t="s">
        <v>68</v>
      </c>
      <c r="L52" s="577"/>
      <c r="M52" s="577">
        <v>1304922.8958588142</v>
      </c>
      <c r="N52" s="577">
        <v>1304922.8958588142</v>
      </c>
      <c r="O52" s="577">
        <v>1304922.8958588142</v>
      </c>
      <c r="P52" s="577">
        <v>1304922.8958588142</v>
      </c>
      <c r="Q52" s="577">
        <v>1304922.8958588142</v>
      </c>
      <c r="R52" s="577">
        <v>1304922.8958588142</v>
      </c>
      <c r="S52" s="577">
        <v>1304922.8958588142</v>
      </c>
      <c r="T52" s="577">
        <v>1304922.8958588142</v>
      </c>
      <c r="U52" s="577">
        <v>1304922.8958588142</v>
      </c>
      <c r="V52" s="577">
        <v>1304922.8958588142</v>
      </c>
      <c r="W52" s="577">
        <v>1304922.8958588142</v>
      </c>
      <c r="X52" s="577">
        <v>1304922.8958588142</v>
      </c>
      <c r="Y52" s="577">
        <v>1304922.8958588145</v>
      </c>
      <c r="Z52" s="577">
        <v>1345245.0133408508</v>
      </c>
      <c r="AA52" s="577">
        <v>1345245.0133408508</v>
      </c>
      <c r="AB52" s="577">
        <v>1345245.0133408508</v>
      </c>
      <c r="AC52" s="577">
        <v>1345245.0133408508</v>
      </c>
      <c r="AD52" s="577">
        <v>1345245.0133408508</v>
      </c>
      <c r="AE52" s="577">
        <v>1345245.0133408508</v>
      </c>
      <c r="AF52" s="577">
        <v>1345245.0133408508</v>
      </c>
      <c r="AG52" s="577">
        <v>1345245.0133408508</v>
      </c>
      <c r="AH52" s="577">
        <v>1345245.0133408508</v>
      </c>
      <c r="AI52" s="577">
        <v>1345245.0133408508</v>
      </c>
      <c r="AJ52" s="577">
        <v>1345245.0133408508</v>
      </c>
      <c r="AK52" s="577">
        <v>1345245.0133408508</v>
      </c>
      <c r="AL52" s="577">
        <v>1345245.0133408511</v>
      </c>
      <c r="AM52" s="577">
        <v>1384929.7412344061</v>
      </c>
      <c r="AN52" s="577">
        <v>1384929.7412344061</v>
      </c>
      <c r="AO52" s="577">
        <v>1384929.7412344061</v>
      </c>
      <c r="AP52" s="577">
        <v>1384929.7412344061</v>
      </c>
      <c r="AQ52" s="577">
        <v>1384929.7412344061</v>
      </c>
      <c r="AR52" s="577">
        <v>1384929.7412344061</v>
      </c>
      <c r="AS52" s="577">
        <v>1384929.7412344061</v>
      </c>
      <c r="AT52" s="577">
        <v>1384929.7412344061</v>
      </c>
      <c r="AU52" s="577">
        <v>1384929.7412344061</v>
      </c>
      <c r="AV52" s="577">
        <v>1384929.7412344061</v>
      </c>
      <c r="AW52" s="577">
        <v>1384929.7412344061</v>
      </c>
      <c r="AX52" s="577">
        <v>1384929.7412344061</v>
      </c>
      <c r="AY52" s="577">
        <v>1384929.7412344064</v>
      </c>
      <c r="AZ52" s="577">
        <v>1423984.7599372165</v>
      </c>
      <c r="BA52" s="577">
        <v>1423984.7599372165</v>
      </c>
      <c r="BB52" s="577">
        <v>1423984.7599372165</v>
      </c>
      <c r="BC52" s="577">
        <v>1423984.7599372165</v>
      </c>
      <c r="BD52" s="577">
        <v>1423984.7599372165</v>
      </c>
      <c r="BE52" s="577">
        <v>1423984.7599372165</v>
      </c>
      <c r="BF52" s="577">
        <v>1423984.7599372165</v>
      </c>
      <c r="BG52" s="577">
        <v>1423984.7599372165</v>
      </c>
      <c r="BH52" s="577">
        <v>1423984.7599372165</v>
      </c>
      <c r="BI52" s="577">
        <v>1423984.7599372165</v>
      </c>
      <c r="BJ52" s="577">
        <v>1423984.7599372165</v>
      </c>
      <c r="BK52" s="577">
        <v>1423984.7599372165</v>
      </c>
      <c r="BL52" s="577">
        <v>1423984.7599372163</v>
      </c>
      <c r="BM52" s="577">
        <v>1462432.3484555213</v>
      </c>
      <c r="BN52" s="577">
        <v>1462432.3484555213</v>
      </c>
      <c r="BO52" s="577">
        <v>1462432.3484555213</v>
      </c>
      <c r="BP52" s="577">
        <v>1462432.3484555213</v>
      </c>
      <c r="BQ52" s="577">
        <v>1462432.3484555213</v>
      </c>
      <c r="BR52" s="577">
        <v>1462432.3484555213</v>
      </c>
      <c r="BS52" s="577">
        <v>1462432.3484555213</v>
      </c>
      <c r="BT52" s="577">
        <v>1462432.3484555213</v>
      </c>
      <c r="BU52" s="577">
        <v>1462432.3484555213</v>
      </c>
      <c r="BV52" s="577">
        <v>1462432.3484555213</v>
      </c>
      <c r="BW52" s="577">
        <v>1462432.3484555213</v>
      </c>
      <c r="BX52" s="577">
        <v>1462432.3484555213</v>
      </c>
      <c r="BY52" s="577">
        <v>1462432.3484555215</v>
      </c>
      <c r="CA52" s="64"/>
    </row>
    <row r="53" spans="1:79" customFormat="1">
      <c r="A53" s="48"/>
      <c r="B53" s="542" t="s">
        <v>69</v>
      </c>
      <c r="C53" s="577"/>
      <c r="D53" s="577">
        <v>1813186.8131868134</v>
      </c>
      <c r="E53" s="577">
        <v>1869214.2857142847</v>
      </c>
      <c r="F53" s="577">
        <v>1924356.107142857</v>
      </c>
      <c r="G53" s="577">
        <v>1978622.9493642857</v>
      </c>
      <c r="H53" s="577">
        <v>2032045.7689971214</v>
      </c>
      <c r="I53" s="577">
        <v>1923485.1848810725</v>
      </c>
      <c r="K53" s="542" t="s">
        <v>69</v>
      </c>
      <c r="L53" s="577"/>
      <c r="M53" s="577">
        <v>1813186.8131868136</v>
      </c>
      <c r="N53" s="577">
        <v>1813186.8131868136</v>
      </c>
      <c r="O53" s="577">
        <v>1813186.8131868136</v>
      </c>
      <c r="P53" s="577">
        <v>1813186.8131868136</v>
      </c>
      <c r="Q53" s="577">
        <v>1813186.8131868136</v>
      </c>
      <c r="R53" s="577">
        <v>1813186.8131868136</v>
      </c>
      <c r="S53" s="577">
        <v>1813186.8131868136</v>
      </c>
      <c r="T53" s="577">
        <v>1813186.8131868136</v>
      </c>
      <c r="U53" s="577">
        <v>1813186.8131868136</v>
      </c>
      <c r="V53" s="577">
        <v>1813186.8131868136</v>
      </c>
      <c r="W53" s="577">
        <v>1813186.8131868136</v>
      </c>
      <c r="X53" s="577">
        <v>1813186.8131868136</v>
      </c>
      <c r="Y53" s="577">
        <v>1813186.8131868134</v>
      </c>
      <c r="Z53" s="577">
        <v>1869214.2857142852</v>
      </c>
      <c r="AA53" s="577">
        <v>1869214.2857142852</v>
      </c>
      <c r="AB53" s="577">
        <v>1869214.2857142852</v>
      </c>
      <c r="AC53" s="577">
        <v>1869214.2857142852</v>
      </c>
      <c r="AD53" s="577">
        <v>1869214.2857142852</v>
      </c>
      <c r="AE53" s="577">
        <v>1869214.2857142852</v>
      </c>
      <c r="AF53" s="577">
        <v>1869214.2857142852</v>
      </c>
      <c r="AG53" s="577">
        <v>1869214.2857142852</v>
      </c>
      <c r="AH53" s="577">
        <v>1869214.2857142852</v>
      </c>
      <c r="AI53" s="577">
        <v>1869214.2857142852</v>
      </c>
      <c r="AJ53" s="577">
        <v>1869214.2857142852</v>
      </c>
      <c r="AK53" s="577">
        <v>1869214.2857142852</v>
      </c>
      <c r="AL53" s="577">
        <v>1869214.2857142847</v>
      </c>
      <c r="AM53" s="577">
        <v>1924356.1071428568</v>
      </c>
      <c r="AN53" s="577">
        <v>1924356.1071428568</v>
      </c>
      <c r="AO53" s="577">
        <v>1924356.1071428568</v>
      </c>
      <c r="AP53" s="577">
        <v>1924356.1071428568</v>
      </c>
      <c r="AQ53" s="577">
        <v>1924356.1071428568</v>
      </c>
      <c r="AR53" s="577">
        <v>1924356.1071428568</v>
      </c>
      <c r="AS53" s="577">
        <v>1924356.1071428568</v>
      </c>
      <c r="AT53" s="577">
        <v>1924356.1071428568</v>
      </c>
      <c r="AU53" s="577">
        <v>1924356.1071428568</v>
      </c>
      <c r="AV53" s="577">
        <v>1924356.1071428568</v>
      </c>
      <c r="AW53" s="577">
        <v>1924356.1071428568</v>
      </c>
      <c r="AX53" s="577">
        <v>1924356.1071428568</v>
      </c>
      <c r="AY53" s="577">
        <v>1924356.107142857</v>
      </c>
      <c r="AZ53" s="577">
        <v>1978622.9493642852</v>
      </c>
      <c r="BA53" s="577">
        <v>1978622.9493642852</v>
      </c>
      <c r="BB53" s="577">
        <v>1978622.9493642852</v>
      </c>
      <c r="BC53" s="577">
        <v>1978622.9493642852</v>
      </c>
      <c r="BD53" s="577">
        <v>1978622.9493642852</v>
      </c>
      <c r="BE53" s="577">
        <v>1978622.9493642852</v>
      </c>
      <c r="BF53" s="577">
        <v>1978622.9493642852</v>
      </c>
      <c r="BG53" s="577">
        <v>1978622.9493642852</v>
      </c>
      <c r="BH53" s="577">
        <v>1978622.9493642852</v>
      </c>
      <c r="BI53" s="577">
        <v>1978622.9493642852</v>
      </c>
      <c r="BJ53" s="577">
        <v>1978622.9493642852</v>
      </c>
      <c r="BK53" s="577">
        <v>1978622.9493642852</v>
      </c>
      <c r="BL53" s="577">
        <v>1978622.9493642857</v>
      </c>
      <c r="BM53" s="577">
        <v>2032045.7689971209</v>
      </c>
      <c r="BN53" s="577">
        <v>2032045.7689971209</v>
      </c>
      <c r="BO53" s="577">
        <v>2032045.7689971209</v>
      </c>
      <c r="BP53" s="577">
        <v>2032045.7689971209</v>
      </c>
      <c r="BQ53" s="577">
        <v>2032045.7689971209</v>
      </c>
      <c r="BR53" s="577">
        <v>2032045.7689971209</v>
      </c>
      <c r="BS53" s="577">
        <v>2032045.7689971209</v>
      </c>
      <c r="BT53" s="577">
        <v>2032045.7689971209</v>
      </c>
      <c r="BU53" s="577">
        <v>2032045.7689971209</v>
      </c>
      <c r="BV53" s="577">
        <v>2032045.7689971209</v>
      </c>
      <c r="BW53" s="577">
        <v>2032045.7689971209</v>
      </c>
      <c r="BX53" s="577">
        <v>2032045.7689971209</v>
      </c>
      <c r="BY53" s="577">
        <v>2032045.7689971214</v>
      </c>
      <c r="CA53" s="64"/>
    </row>
    <row r="54" spans="1:79" customFormat="1">
      <c r="A54" s="48"/>
      <c r="B54" s="542" t="s">
        <v>70</v>
      </c>
      <c r="C54" s="577"/>
      <c r="D54" s="577">
        <v>1717143.7624641743</v>
      </c>
      <c r="E54" s="577">
        <v>1770203.5047243175</v>
      </c>
      <c r="F54" s="577">
        <v>1822424.5081136858</v>
      </c>
      <c r="G54" s="577">
        <v>1873816.879242491</v>
      </c>
      <c r="H54" s="577">
        <v>1924409.9349820388</v>
      </c>
      <c r="I54" s="577">
        <v>1821599.7179053414</v>
      </c>
      <c r="K54" s="542" t="s">
        <v>70</v>
      </c>
      <c r="L54" s="577"/>
      <c r="M54" s="577">
        <v>1717143.7624641748</v>
      </c>
      <c r="N54" s="577">
        <v>1717143.7624641748</v>
      </c>
      <c r="O54" s="577">
        <v>1717143.7624641748</v>
      </c>
      <c r="P54" s="577">
        <v>1717143.7624641748</v>
      </c>
      <c r="Q54" s="577">
        <v>1717143.7624641748</v>
      </c>
      <c r="R54" s="577">
        <v>1717143.7624641748</v>
      </c>
      <c r="S54" s="577">
        <v>1717143.7624641748</v>
      </c>
      <c r="T54" s="577">
        <v>1717143.7624641748</v>
      </c>
      <c r="U54" s="577">
        <v>1717143.7624641748</v>
      </c>
      <c r="V54" s="577">
        <v>1717143.7624641748</v>
      </c>
      <c r="W54" s="577">
        <v>1717143.7624641748</v>
      </c>
      <c r="X54" s="577">
        <v>1717143.7624641748</v>
      </c>
      <c r="Y54" s="577">
        <v>1717143.7624641743</v>
      </c>
      <c r="Z54" s="577">
        <v>1770203.5047243175</v>
      </c>
      <c r="AA54" s="577">
        <v>1770203.5047243175</v>
      </c>
      <c r="AB54" s="577">
        <v>1770203.5047243175</v>
      </c>
      <c r="AC54" s="577">
        <v>1770203.5047243175</v>
      </c>
      <c r="AD54" s="577">
        <v>1770203.5047243175</v>
      </c>
      <c r="AE54" s="577">
        <v>1770203.5047243175</v>
      </c>
      <c r="AF54" s="577">
        <v>1770203.5047243175</v>
      </c>
      <c r="AG54" s="577">
        <v>1770203.5047243175</v>
      </c>
      <c r="AH54" s="577">
        <v>1770203.5047243175</v>
      </c>
      <c r="AI54" s="577">
        <v>1770203.5047243175</v>
      </c>
      <c r="AJ54" s="577">
        <v>1770203.5047243175</v>
      </c>
      <c r="AK54" s="577">
        <v>1770203.5047243175</v>
      </c>
      <c r="AL54" s="577">
        <v>1770203.5047243175</v>
      </c>
      <c r="AM54" s="577">
        <v>1822424.5081136851</v>
      </c>
      <c r="AN54" s="577">
        <v>1822424.5081136851</v>
      </c>
      <c r="AO54" s="577">
        <v>1822424.5081136851</v>
      </c>
      <c r="AP54" s="577">
        <v>1822424.5081136851</v>
      </c>
      <c r="AQ54" s="577">
        <v>1822424.5081136851</v>
      </c>
      <c r="AR54" s="577">
        <v>1822424.5081136851</v>
      </c>
      <c r="AS54" s="577">
        <v>1822424.5081136851</v>
      </c>
      <c r="AT54" s="577">
        <v>1822424.5081136851</v>
      </c>
      <c r="AU54" s="577">
        <v>1822424.5081136851</v>
      </c>
      <c r="AV54" s="577">
        <v>1822424.5081136851</v>
      </c>
      <c r="AW54" s="577">
        <v>1822424.5081136851</v>
      </c>
      <c r="AX54" s="577">
        <v>1822424.5081136851</v>
      </c>
      <c r="AY54" s="577">
        <v>1822424.5081136858</v>
      </c>
      <c r="AZ54" s="577">
        <v>1873816.879242491</v>
      </c>
      <c r="BA54" s="577">
        <v>1873816.879242491</v>
      </c>
      <c r="BB54" s="577">
        <v>1873816.879242491</v>
      </c>
      <c r="BC54" s="577">
        <v>1873816.879242491</v>
      </c>
      <c r="BD54" s="577">
        <v>1873816.879242491</v>
      </c>
      <c r="BE54" s="577">
        <v>1873816.879242491</v>
      </c>
      <c r="BF54" s="577">
        <v>1873816.879242491</v>
      </c>
      <c r="BG54" s="577">
        <v>1873816.879242491</v>
      </c>
      <c r="BH54" s="577">
        <v>1873816.879242491</v>
      </c>
      <c r="BI54" s="577">
        <v>1873816.879242491</v>
      </c>
      <c r="BJ54" s="577">
        <v>1873816.879242491</v>
      </c>
      <c r="BK54" s="577">
        <v>1873816.879242491</v>
      </c>
      <c r="BL54" s="577">
        <v>1873816.879242491</v>
      </c>
      <c r="BM54" s="577">
        <v>1924409.9349820381</v>
      </c>
      <c r="BN54" s="577">
        <v>1924409.9349820381</v>
      </c>
      <c r="BO54" s="577">
        <v>1924409.9349820381</v>
      </c>
      <c r="BP54" s="577">
        <v>1924409.9349820381</v>
      </c>
      <c r="BQ54" s="577">
        <v>1924409.9349820381</v>
      </c>
      <c r="BR54" s="577">
        <v>1924409.9349820381</v>
      </c>
      <c r="BS54" s="577">
        <v>1924409.9349820381</v>
      </c>
      <c r="BT54" s="577">
        <v>1924409.9349820381</v>
      </c>
      <c r="BU54" s="577">
        <v>1924409.9349820381</v>
      </c>
      <c r="BV54" s="577">
        <v>1924409.9349820381</v>
      </c>
      <c r="BW54" s="577">
        <v>1924409.9349820381</v>
      </c>
      <c r="BX54" s="577">
        <v>1924409.9349820381</v>
      </c>
      <c r="BY54" s="577">
        <v>1924409.9349820388</v>
      </c>
      <c r="CA54" s="64"/>
    </row>
    <row r="55" spans="1:79" customFormat="1">
      <c r="A55" s="48"/>
      <c r="B55" s="542" t="s">
        <v>71</v>
      </c>
      <c r="C55" s="577"/>
      <c r="D55" s="577">
        <v>9890109.8901098948</v>
      </c>
      <c r="E55" s="577">
        <v>10195714.285714285</v>
      </c>
      <c r="F55" s="577">
        <v>10496487.85714286</v>
      </c>
      <c r="G55" s="577">
        <v>10792488.814714286</v>
      </c>
      <c r="H55" s="577">
        <v>11083886.012711572</v>
      </c>
      <c r="I55" s="577">
        <v>10491737.372078579</v>
      </c>
      <c r="K55" s="542" t="s">
        <v>71</v>
      </c>
      <c r="L55" s="577"/>
      <c r="M55" s="577">
        <v>9890109.8901098948</v>
      </c>
      <c r="N55" s="577">
        <v>9890109.8901098948</v>
      </c>
      <c r="O55" s="577">
        <v>9890109.8901098948</v>
      </c>
      <c r="P55" s="577">
        <v>9890109.8901098948</v>
      </c>
      <c r="Q55" s="577">
        <v>9890109.8901098948</v>
      </c>
      <c r="R55" s="577">
        <v>9890109.8901098948</v>
      </c>
      <c r="S55" s="577">
        <v>9890109.8901098948</v>
      </c>
      <c r="T55" s="577">
        <v>9890109.8901098948</v>
      </c>
      <c r="U55" s="577">
        <v>9890109.8901098948</v>
      </c>
      <c r="V55" s="577">
        <v>9890109.8901098948</v>
      </c>
      <c r="W55" s="577">
        <v>9890109.8901098948</v>
      </c>
      <c r="X55" s="577">
        <v>9890109.8901098948</v>
      </c>
      <c r="Y55" s="577">
        <v>9890109.8901098948</v>
      </c>
      <c r="Z55" s="577">
        <v>10195714.285714285</v>
      </c>
      <c r="AA55" s="577">
        <v>10195714.285714285</v>
      </c>
      <c r="AB55" s="577">
        <v>10195714.285714285</v>
      </c>
      <c r="AC55" s="577">
        <v>10195714.285714285</v>
      </c>
      <c r="AD55" s="577">
        <v>10195714.285714285</v>
      </c>
      <c r="AE55" s="577">
        <v>10195714.285714285</v>
      </c>
      <c r="AF55" s="577">
        <v>10195714.285714285</v>
      </c>
      <c r="AG55" s="577">
        <v>10195714.285714285</v>
      </c>
      <c r="AH55" s="577">
        <v>10195714.285714285</v>
      </c>
      <c r="AI55" s="577">
        <v>10195714.285714285</v>
      </c>
      <c r="AJ55" s="577">
        <v>10195714.285714285</v>
      </c>
      <c r="AK55" s="577">
        <v>10195714.285714285</v>
      </c>
      <c r="AL55" s="577">
        <v>10195714.285714285</v>
      </c>
      <c r="AM55" s="577">
        <v>10496487.857142858</v>
      </c>
      <c r="AN55" s="577">
        <v>10496487.857142858</v>
      </c>
      <c r="AO55" s="577">
        <v>10496487.857142858</v>
      </c>
      <c r="AP55" s="577">
        <v>10496487.857142858</v>
      </c>
      <c r="AQ55" s="577">
        <v>10496487.857142858</v>
      </c>
      <c r="AR55" s="577">
        <v>10496487.857142858</v>
      </c>
      <c r="AS55" s="577">
        <v>10496487.857142858</v>
      </c>
      <c r="AT55" s="577">
        <v>10496487.857142858</v>
      </c>
      <c r="AU55" s="577">
        <v>10496487.857142858</v>
      </c>
      <c r="AV55" s="577">
        <v>10496487.857142858</v>
      </c>
      <c r="AW55" s="577">
        <v>10496487.857142858</v>
      </c>
      <c r="AX55" s="577">
        <v>10496487.857142858</v>
      </c>
      <c r="AY55" s="577">
        <v>10496487.85714286</v>
      </c>
      <c r="AZ55" s="577">
        <v>10792488.814714288</v>
      </c>
      <c r="BA55" s="577">
        <v>10792488.814714288</v>
      </c>
      <c r="BB55" s="577">
        <v>10792488.814714288</v>
      </c>
      <c r="BC55" s="577">
        <v>10792488.814714288</v>
      </c>
      <c r="BD55" s="577">
        <v>10792488.814714288</v>
      </c>
      <c r="BE55" s="577">
        <v>10792488.814714288</v>
      </c>
      <c r="BF55" s="577">
        <v>10792488.814714288</v>
      </c>
      <c r="BG55" s="577">
        <v>10792488.814714288</v>
      </c>
      <c r="BH55" s="577">
        <v>10792488.814714288</v>
      </c>
      <c r="BI55" s="577">
        <v>10792488.814714288</v>
      </c>
      <c r="BJ55" s="577">
        <v>10792488.814714288</v>
      </c>
      <c r="BK55" s="577">
        <v>10792488.814714288</v>
      </c>
      <c r="BL55" s="577">
        <v>10792488.814714286</v>
      </c>
      <c r="BM55" s="577">
        <v>11083886.012711572</v>
      </c>
      <c r="BN55" s="577">
        <v>11083886.012711572</v>
      </c>
      <c r="BO55" s="577">
        <v>11083886.012711572</v>
      </c>
      <c r="BP55" s="577">
        <v>11083886.012711572</v>
      </c>
      <c r="BQ55" s="577">
        <v>11083886.012711572</v>
      </c>
      <c r="BR55" s="577">
        <v>11083886.012711572</v>
      </c>
      <c r="BS55" s="577">
        <v>11083886.012711572</v>
      </c>
      <c r="BT55" s="577">
        <v>11083886.012711572</v>
      </c>
      <c r="BU55" s="577">
        <v>11083886.012711572</v>
      </c>
      <c r="BV55" s="577">
        <v>11083886.012711572</v>
      </c>
      <c r="BW55" s="577">
        <v>11083886.012711572</v>
      </c>
      <c r="BX55" s="577">
        <v>11083886.012711572</v>
      </c>
      <c r="BY55" s="577">
        <v>11083886.012711572</v>
      </c>
      <c r="CA55" s="64"/>
    </row>
    <row r="56" spans="1:79" customFormat="1">
      <c r="A56" s="48"/>
      <c r="B56" s="542" t="s">
        <v>72</v>
      </c>
      <c r="C56" s="577"/>
      <c r="D56" s="577">
        <v>654807.18468584795</v>
      </c>
      <c r="E56" s="577">
        <v>675040.7266926408</v>
      </c>
      <c r="F56" s="577">
        <v>694954.42813007359</v>
      </c>
      <c r="G56" s="577">
        <v>714552.14300334174</v>
      </c>
      <c r="H56" s="577">
        <v>733845.05086443189</v>
      </c>
      <c r="I56" s="577">
        <v>694639.90667526727</v>
      </c>
      <c r="K56" s="542" t="s">
        <v>72</v>
      </c>
      <c r="L56" s="577"/>
      <c r="M56" s="577">
        <v>654807.18468584807</v>
      </c>
      <c r="N56" s="577">
        <v>654807.18468584807</v>
      </c>
      <c r="O56" s="577">
        <v>654807.18468584807</v>
      </c>
      <c r="P56" s="577">
        <v>654807.18468584807</v>
      </c>
      <c r="Q56" s="577">
        <v>654807.18468584807</v>
      </c>
      <c r="R56" s="577">
        <v>654807.18468584807</v>
      </c>
      <c r="S56" s="577">
        <v>654807.18468584807</v>
      </c>
      <c r="T56" s="577">
        <v>654807.18468584807</v>
      </c>
      <c r="U56" s="577">
        <v>654807.18468584807</v>
      </c>
      <c r="V56" s="577">
        <v>654807.18468584807</v>
      </c>
      <c r="W56" s="577">
        <v>654807.18468584807</v>
      </c>
      <c r="X56" s="577">
        <v>654807.18468584807</v>
      </c>
      <c r="Y56" s="577">
        <v>654807.18468584795</v>
      </c>
      <c r="Z56" s="577">
        <v>675040.72669264069</v>
      </c>
      <c r="AA56" s="577">
        <v>675040.72669264069</v>
      </c>
      <c r="AB56" s="577">
        <v>675040.72669264069</v>
      </c>
      <c r="AC56" s="577">
        <v>675040.72669264069</v>
      </c>
      <c r="AD56" s="577">
        <v>675040.72669264069</v>
      </c>
      <c r="AE56" s="577">
        <v>675040.72669264069</v>
      </c>
      <c r="AF56" s="577">
        <v>675040.72669264069</v>
      </c>
      <c r="AG56" s="577">
        <v>675040.72669264069</v>
      </c>
      <c r="AH56" s="577">
        <v>675040.72669264069</v>
      </c>
      <c r="AI56" s="577">
        <v>675040.72669264069</v>
      </c>
      <c r="AJ56" s="577">
        <v>675040.72669264069</v>
      </c>
      <c r="AK56" s="577">
        <v>675040.72669264069</v>
      </c>
      <c r="AL56" s="577">
        <v>675040.7266926408</v>
      </c>
      <c r="AM56" s="577">
        <v>694954.42813007371</v>
      </c>
      <c r="AN56" s="577">
        <v>694954.42813007371</v>
      </c>
      <c r="AO56" s="577">
        <v>694954.42813007371</v>
      </c>
      <c r="AP56" s="577">
        <v>694954.42813007371</v>
      </c>
      <c r="AQ56" s="577">
        <v>694954.42813007371</v>
      </c>
      <c r="AR56" s="577">
        <v>694954.42813007371</v>
      </c>
      <c r="AS56" s="577">
        <v>694954.42813007371</v>
      </c>
      <c r="AT56" s="577">
        <v>694954.42813007371</v>
      </c>
      <c r="AU56" s="577">
        <v>694954.42813007371</v>
      </c>
      <c r="AV56" s="577">
        <v>694954.42813007371</v>
      </c>
      <c r="AW56" s="577">
        <v>694954.42813007371</v>
      </c>
      <c r="AX56" s="577">
        <v>694954.42813007371</v>
      </c>
      <c r="AY56" s="577">
        <v>694954.42813007359</v>
      </c>
      <c r="AZ56" s="577">
        <v>714552.14300334174</v>
      </c>
      <c r="BA56" s="577">
        <v>714552.14300334174</v>
      </c>
      <c r="BB56" s="577">
        <v>714552.14300334174</v>
      </c>
      <c r="BC56" s="577">
        <v>714552.14300334174</v>
      </c>
      <c r="BD56" s="577">
        <v>714552.14300334174</v>
      </c>
      <c r="BE56" s="577">
        <v>714552.14300334174</v>
      </c>
      <c r="BF56" s="577">
        <v>714552.14300334174</v>
      </c>
      <c r="BG56" s="577">
        <v>714552.14300334174</v>
      </c>
      <c r="BH56" s="577">
        <v>714552.14300334174</v>
      </c>
      <c r="BI56" s="577">
        <v>714552.14300334174</v>
      </c>
      <c r="BJ56" s="577">
        <v>714552.14300334174</v>
      </c>
      <c r="BK56" s="577">
        <v>714552.14300334174</v>
      </c>
      <c r="BL56" s="577">
        <v>714552.14300334174</v>
      </c>
      <c r="BM56" s="577">
        <v>733845.05086443189</v>
      </c>
      <c r="BN56" s="577">
        <v>733845.05086443189</v>
      </c>
      <c r="BO56" s="577">
        <v>733845.05086443189</v>
      </c>
      <c r="BP56" s="577">
        <v>733845.05086443189</v>
      </c>
      <c r="BQ56" s="577">
        <v>733845.05086443189</v>
      </c>
      <c r="BR56" s="577">
        <v>733845.05086443189</v>
      </c>
      <c r="BS56" s="577">
        <v>733845.05086443189</v>
      </c>
      <c r="BT56" s="577">
        <v>733845.05086443189</v>
      </c>
      <c r="BU56" s="577">
        <v>733845.05086443189</v>
      </c>
      <c r="BV56" s="577">
        <v>733845.05086443189</v>
      </c>
      <c r="BW56" s="577">
        <v>733845.05086443189</v>
      </c>
      <c r="BX56" s="577">
        <v>733845.05086443189</v>
      </c>
      <c r="BY56" s="577">
        <v>733845.05086443189</v>
      </c>
      <c r="CA56" s="64"/>
    </row>
    <row r="57" spans="1:79" customFormat="1">
      <c r="A57" s="48"/>
      <c r="B57" s="542" t="s">
        <v>73</v>
      </c>
      <c r="C57" s="577"/>
      <c r="D57" s="577">
        <v>462129.94700145256</v>
      </c>
      <c r="E57" s="577">
        <v>476409.76236379711</v>
      </c>
      <c r="F57" s="577">
        <v>490463.85035352939</v>
      </c>
      <c r="G57" s="577">
        <v>504294.93093349872</v>
      </c>
      <c r="H57" s="577">
        <v>517910.89406870311</v>
      </c>
      <c r="I57" s="577">
        <v>490241.87694419624</v>
      </c>
      <c r="K57" s="542" t="s">
        <v>73</v>
      </c>
      <c r="L57" s="577"/>
      <c r="M57" s="577">
        <v>462129.94700145256</v>
      </c>
      <c r="N57" s="577">
        <v>462129.94700145256</v>
      </c>
      <c r="O57" s="577">
        <v>462129.94700145256</v>
      </c>
      <c r="P57" s="577">
        <v>462129.94700145256</v>
      </c>
      <c r="Q57" s="577">
        <v>462129.94700145256</v>
      </c>
      <c r="R57" s="577">
        <v>462129.94700145256</v>
      </c>
      <c r="S57" s="577">
        <v>462129.94700145256</v>
      </c>
      <c r="T57" s="577">
        <v>462129.94700145256</v>
      </c>
      <c r="U57" s="577">
        <v>462129.94700145256</v>
      </c>
      <c r="V57" s="577">
        <v>462129.94700145256</v>
      </c>
      <c r="W57" s="577">
        <v>462129.94700145256</v>
      </c>
      <c r="X57" s="577">
        <v>462129.94700145256</v>
      </c>
      <c r="Y57" s="577">
        <v>462129.94700145256</v>
      </c>
      <c r="Z57" s="577">
        <v>476409.76236379717</v>
      </c>
      <c r="AA57" s="577">
        <v>476409.76236379717</v>
      </c>
      <c r="AB57" s="577">
        <v>476409.76236379717</v>
      </c>
      <c r="AC57" s="577">
        <v>476409.76236379717</v>
      </c>
      <c r="AD57" s="577">
        <v>476409.76236379717</v>
      </c>
      <c r="AE57" s="577">
        <v>476409.76236379717</v>
      </c>
      <c r="AF57" s="577">
        <v>476409.76236379717</v>
      </c>
      <c r="AG57" s="577">
        <v>476409.76236379717</v>
      </c>
      <c r="AH57" s="577">
        <v>476409.76236379717</v>
      </c>
      <c r="AI57" s="577">
        <v>476409.76236379717</v>
      </c>
      <c r="AJ57" s="577">
        <v>476409.76236379717</v>
      </c>
      <c r="AK57" s="577">
        <v>476409.76236379717</v>
      </c>
      <c r="AL57" s="577">
        <v>476409.76236379711</v>
      </c>
      <c r="AM57" s="577">
        <v>490463.85035352921</v>
      </c>
      <c r="AN57" s="577">
        <v>490463.85035352921</v>
      </c>
      <c r="AO57" s="577">
        <v>490463.85035352921</v>
      </c>
      <c r="AP57" s="577">
        <v>490463.85035352921</v>
      </c>
      <c r="AQ57" s="577">
        <v>490463.85035352921</v>
      </c>
      <c r="AR57" s="577">
        <v>490463.85035352921</v>
      </c>
      <c r="AS57" s="577">
        <v>490463.85035352921</v>
      </c>
      <c r="AT57" s="577">
        <v>490463.85035352921</v>
      </c>
      <c r="AU57" s="577">
        <v>490463.85035352921</v>
      </c>
      <c r="AV57" s="577">
        <v>490463.85035352921</v>
      </c>
      <c r="AW57" s="577">
        <v>490463.85035352921</v>
      </c>
      <c r="AX57" s="577">
        <v>490463.85035352921</v>
      </c>
      <c r="AY57" s="577">
        <v>490463.85035352939</v>
      </c>
      <c r="AZ57" s="577">
        <v>504294.93093349872</v>
      </c>
      <c r="BA57" s="577">
        <v>504294.93093349872</v>
      </c>
      <c r="BB57" s="577">
        <v>504294.93093349872</v>
      </c>
      <c r="BC57" s="577">
        <v>504294.93093349872</v>
      </c>
      <c r="BD57" s="577">
        <v>504294.93093349872</v>
      </c>
      <c r="BE57" s="577">
        <v>504294.93093349872</v>
      </c>
      <c r="BF57" s="577">
        <v>504294.93093349872</v>
      </c>
      <c r="BG57" s="577">
        <v>504294.93093349872</v>
      </c>
      <c r="BH57" s="577">
        <v>504294.93093349872</v>
      </c>
      <c r="BI57" s="577">
        <v>504294.93093349872</v>
      </c>
      <c r="BJ57" s="577">
        <v>504294.93093349872</v>
      </c>
      <c r="BK57" s="577">
        <v>504294.93093349872</v>
      </c>
      <c r="BL57" s="577">
        <v>504294.93093349872</v>
      </c>
      <c r="BM57" s="577">
        <v>517910.89406870317</v>
      </c>
      <c r="BN57" s="577">
        <v>517910.89406870317</v>
      </c>
      <c r="BO57" s="577">
        <v>517910.89406870317</v>
      </c>
      <c r="BP57" s="577">
        <v>517910.89406870317</v>
      </c>
      <c r="BQ57" s="577">
        <v>517910.89406870317</v>
      </c>
      <c r="BR57" s="577">
        <v>517910.89406870317</v>
      </c>
      <c r="BS57" s="577">
        <v>517910.89406870317</v>
      </c>
      <c r="BT57" s="577">
        <v>517910.89406870317</v>
      </c>
      <c r="BU57" s="577">
        <v>517910.89406870317</v>
      </c>
      <c r="BV57" s="577">
        <v>517910.89406870317</v>
      </c>
      <c r="BW57" s="577">
        <v>517910.89406870317</v>
      </c>
      <c r="BX57" s="577">
        <v>517910.89406870317</v>
      </c>
      <c r="BY57" s="577">
        <v>517910.89406870311</v>
      </c>
      <c r="CA57" s="64"/>
    </row>
    <row r="58" spans="1:79" customFormat="1">
      <c r="A58" s="48"/>
      <c r="B58" s="542" t="s">
        <v>74</v>
      </c>
      <c r="C58" s="577"/>
      <c r="D58" s="577">
        <v>53538.461538461539</v>
      </c>
      <c r="E58" s="577">
        <v>55192.799999999988</v>
      </c>
      <c r="F58" s="577">
        <v>56820.987599999993</v>
      </c>
      <c r="G58" s="577">
        <v>58423.339450319989</v>
      </c>
      <c r="H58" s="577">
        <v>60000.769615478617</v>
      </c>
      <c r="I58" s="577">
        <v>56795.271640852021</v>
      </c>
      <c r="K58" s="542" t="s">
        <v>74</v>
      </c>
      <c r="L58" s="577"/>
      <c r="M58" s="577">
        <v>53538.461538461554</v>
      </c>
      <c r="N58" s="577">
        <v>53538.461538461554</v>
      </c>
      <c r="O58" s="577">
        <v>53538.461538461554</v>
      </c>
      <c r="P58" s="577">
        <v>53538.461538461554</v>
      </c>
      <c r="Q58" s="577">
        <v>53538.461538461554</v>
      </c>
      <c r="R58" s="577">
        <v>53538.461538461554</v>
      </c>
      <c r="S58" s="577">
        <v>53538.461538461554</v>
      </c>
      <c r="T58" s="577">
        <v>53538.461538461554</v>
      </c>
      <c r="U58" s="577">
        <v>53538.461538461554</v>
      </c>
      <c r="V58" s="577">
        <v>53538.461538461554</v>
      </c>
      <c r="W58" s="577">
        <v>53538.461538461554</v>
      </c>
      <c r="X58" s="577">
        <v>53538.461538461554</v>
      </c>
      <c r="Y58" s="577">
        <v>53538.461538461539</v>
      </c>
      <c r="Z58" s="577">
        <v>55192.799999999988</v>
      </c>
      <c r="AA58" s="577">
        <v>55192.799999999988</v>
      </c>
      <c r="AB58" s="577">
        <v>55192.799999999988</v>
      </c>
      <c r="AC58" s="577">
        <v>55192.799999999988</v>
      </c>
      <c r="AD58" s="577">
        <v>55192.799999999988</v>
      </c>
      <c r="AE58" s="577">
        <v>55192.799999999988</v>
      </c>
      <c r="AF58" s="577">
        <v>55192.799999999988</v>
      </c>
      <c r="AG58" s="577">
        <v>55192.799999999988</v>
      </c>
      <c r="AH58" s="577">
        <v>55192.799999999988</v>
      </c>
      <c r="AI58" s="577">
        <v>55192.799999999988</v>
      </c>
      <c r="AJ58" s="577">
        <v>55192.799999999988</v>
      </c>
      <c r="AK58" s="577">
        <v>55192.799999999988</v>
      </c>
      <c r="AL58" s="577">
        <v>55192.799999999988</v>
      </c>
      <c r="AM58" s="577">
        <v>56820.987599999993</v>
      </c>
      <c r="AN58" s="577">
        <v>56820.987599999993</v>
      </c>
      <c r="AO58" s="577">
        <v>56820.987599999993</v>
      </c>
      <c r="AP58" s="577">
        <v>56820.987599999993</v>
      </c>
      <c r="AQ58" s="577">
        <v>56820.987599999993</v>
      </c>
      <c r="AR58" s="577">
        <v>56820.987599999993</v>
      </c>
      <c r="AS58" s="577">
        <v>56820.987599999993</v>
      </c>
      <c r="AT58" s="577">
        <v>56820.987599999993</v>
      </c>
      <c r="AU58" s="577">
        <v>56820.987599999993</v>
      </c>
      <c r="AV58" s="577">
        <v>56820.987599999993</v>
      </c>
      <c r="AW58" s="577">
        <v>56820.987599999993</v>
      </c>
      <c r="AX58" s="577">
        <v>56820.987599999993</v>
      </c>
      <c r="AY58" s="577">
        <v>56820.987599999993</v>
      </c>
      <c r="AZ58" s="577">
        <v>58423.339450319989</v>
      </c>
      <c r="BA58" s="577">
        <v>58423.339450319989</v>
      </c>
      <c r="BB58" s="577">
        <v>58423.339450319989</v>
      </c>
      <c r="BC58" s="577">
        <v>58423.339450319989</v>
      </c>
      <c r="BD58" s="577">
        <v>58423.339450319989</v>
      </c>
      <c r="BE58" s="577">
        <v>58423.339450319989</v>
      </c>
      <c r="BF58" s="577">
        <v>58423.339450319989</v>
      </c>
      <c r="BG58" s="577">
        <v>58423.339450319989</v>
      </c>
      <c r="BH58" s="577">
        <v>58423.339450319989</v>
      </c>
      <c r="BI58" s="577">
        <v>58423.339450319989</v>
      </c>
      <c r="BJ58" s="577">
        <v>58423.339450319989</v>
      </c>
      <c r="BK58" s="577">
        <v>58423.339450319989</v>
      </c>
      <c r="BL58" s="577">
        <v>58423.339450319989</v>
      </c>
      <c r="BM58" s="577">
        <v>60000.769615478624</v>
      </c>
      <c r="BN58" s="577">
        <v>60000.769615478624</v>
      </c>
      <c r="BO58" s="577">
        <v>60000.769615478624</v>
      </c>
      <c r="BP58" s="577">
        <v>60000.769615478624</v>
      </c>
      <c r="BQ58" s="577">
        <v>60000.769615478624</v>
      </c>
      <c r="BR58" s="577">
        <v>60000.769615478624</v>
      </c>
      <c r="BS58" s="577">
        <v>60000.769615478624</v>
      </c>
      <c r="BT58" s="577">
        <v>60000.769615478624</v>
      </c>
      <c r="BU58" s="577">
        <v>60000.769615478624</v>
      </c>
      <c r="BV58" s="577">
        <v>60000.769615478624</v>
      </c>
      <c r="BW58" s="577">
        <v>60000.769615478624</v>
      </c>
      <c r="BX58" s="577">
        <v>60000.769615478624</v>
      </c>
      <c r="BY58" s="577">
        <v>60000.769615478617</v>
      </c>
      <c r="CA58" s="64"/>
    </row>
    <row r="59" spans="1:79" customFormat="1">
      <c r="A59" s="48"/>
      <c r="B59" s="545" t="s">
        <v>75</v>
      </c>
      <c r="C59" s="579"/>
      <c r="D59" s="579">
        <v>33026.181513332071</v>
      </c>
      <c r="E59" s="579">
        <v>34046.690522094017</v>
      </c>
      <c r="F59" s="579">
        <v>35051.067892495783</v>
      </c>
      <c r="G59" s="579">
        <v>36039.508007064171</v>
      </c>
      <c r="H59" s="579">
        <v>37012.574723254897</v>
      </c>
      <c r="I59" s="579">
        <v>35035.204531648182</v>
      </c>
      <c r="K59" s="545" t="s">
        <v>75</v>
      </c>
      <c r="L59" s="579"/>
      <c r="M59" s="579">
        <v>33026.181513332071</v>
      </c>
      <c r="N59" s="579">
        <v>33026.181513332071</v>
      </c>
      <c r="O59" s="579">
        <v>33026.181513332071</v>
      </c>
      <c r="P59" s="579">
        <v>33026.181513332071</v>
      </c>
      <c r="Q59" s="579">
        <v>33026.181513332071</v>
      </c>
      <c r="R59" s="579">
        <v>33026.181513332071</v>
      </c>
      <c r="S59" s="579">
        <v>33026.181513332071</v>
      </c>
      <c r="T59" s="579">
        <v>33026.181513332071</v>
      </c>
      <c r="U59" s="579">
        <v>33026.181513332071</v>
      </c>
      <c r="V59" s="579">
        <v>33026.181513332071</v>
      </c>
      <c r="W59" s="579">
        <v>33026.181513332071</v>
      </c>
      <c r="X59" s="579">
        <v>33026.181513332071</v>
      </c>
      <c r="Y59" s="579">
        <v>33026.181513332071</v>
      </c>
      <c r="Z59" s="579">
        <v>34046.69052209401</v>
      </c>
      <c r="AA59" s="579">
        <v>34046.69052209401</v>
      </c>
      <c r="AB59" s="579">
        <v>34046.69052209401</v>
      </c>
      <c r="AC59" s="579">
        <v>34046.69052209401</v>
      </c>
      <c r="AD59" s="579">
        <v>34046.69052209401</v>
      </c>
      <c r="AE59" s="579">
        <v>34046.69052209401</v>
      </c>
      <c r="AF59" s="579">
        <v>34046.69052209401</v>
      </c>
      <c r="AG59" s="579">
        <v>34046.69052209401</v>
      </c>
      <c r="AH59" s="579">
        <v>34046.69052209401</v>
      </c>
      <c r="AI59" s="579">
        <v>34046.69052209401</v>
      </c>
      <c r="AJ59" s="579">
        <v>34046.69052209401</v>
      </c>
      <c r="AK59" s="579">
        <v>34046.69052209401</v>
      </c>
      <c r="AL59" s="579">
        <v>34046.690522094017</v>
      </c>
      <c r="AM59" s="579">
        <v>35051.067892495783</v>
      </c>
      <c r="AN59" s="579">
        <v>35051.067892495783</v>
      </c>
      <c r="AO59" s="579">
        <v>35051.067892495783</v>
      </c>
      <c r="AP59" s="579">
        <v>35051.067892495783</v>
      </c>
      <c r="AQ59" s="579">
        <v>35051.067892495783</v>
      </c>
      <c r="AR59" s="579">
        <v>35051.067892495783</v>
      </c>
      <c r="AS59" s="579">
        <v>35051.067892495783</v>
      </c>
      <c r="AT59" s="579">
        <v>35051.067892495783</v>
      </c>
      <c r="AU59" s="579">
        <v>35051.067892495783</v>
      </c>
      <c r="AV59" s="579">
        <v>35051.067892495783</v>
      </c>
      <c r="AW59" s="579">
        <v>35051.067892495783</v>
      </c>
      <c r="AX59" s="579">
        <v>35051.067892495783</v>
      </c>
      <c r="AY59" s="579">
        <v>35051.067892495783</v>
      </c>
      <c r="AZ59" s="579">
        <v>36039.508007064171</v>
      </c>
      <c r="BA59" s="579">
        <v>36039.508007064171</v>
      </c>
      <c r="BB59" s="579">
        <v>36039.508007064171</v>
      </c>
      <c r="BC59" s="579">
        <v>36039.508007064171</v>
      </c>
      <c r="BD59" s="579">
        <v>36039.508007064171</v>
      </c>
      <c r="BE59" s="579">
        <v>36039.508007064171</v>
      </c>
      <c r="BF59" s="579">
        <v>36039.508007064171</v>
      </c>
      <c r="BG59" s="579">
        <v>36039.508007064171</v>
      </c>
      <c r="BH59" s="579">
        <v>36039.508007064171</v>
      </c>
      <c r="BI59" s="579">
        <v>36039.508007064171</v>
      </c>
      <c r="BJ59" s="579">
        <v>36039.508007064171</v>
      </c>
      <c r="BK59" s="579">
        <v>36039.508007064171</v>
      </c>
      <c r="BL59" s="579">
        <v>36039.508007064171</v>
      </c>
      <c r="BM59" s="579">
        <v>37012.574723254897</v>
      </c>
      <c r="BN59" s="579">
        <v>37012.574723254897</v>
      </c>
      <c r="BO59" s="579">
        <v>37012.574723254897</v>
      </c>
      <c r="BP59" s="579">
        <v>37012.574723254897</v>
      </c>
      <c r="BQ59" s="579">
        <v>37012.574723254897</v>
      </c>
      <c r="BR59" s="579">
        <v>37012.574723254897</v>
      </c>
      <c r="BS59" s="579">
        <v>37012.574723254897</v>
      </c>
      <c r="BT59" s="579">
        <v>37012.574723254897</v>
      </c>
      <c r="BU59" s="579">
        <v>37012.574723254897</v>
      </c>
      <c r="BV59" s="579">
        <v>37012.574723254897</v>
      </c>
      <c r="BW59" s="579">
        <v>37012.574723254897</v>
      </c>
      <c r="BX59" s="579">
        <v>37012.574723254897</v>
      </c>
      <c r="BY59" s="579">
        <v>37012.574723254897</v>
      </c>
      <c r="CA59" s="64"/>
    </row>
    <row r="60" spans="1:79">
      <c r="CA60" s="61"/>
    </row>
    <row r="61" spans="1:79">
      <c r="CA61" s="61"/>
    </row>
    <row r="62" spans="1:79" customFormat="1">
      <c r="A62" s="48"/>
      <c r="B62" s="539" t="s">
        <v>273</v>
      </c>
      <c r="C62" s="539"/>
      <c r="D62" s="539"/>
      <c r="E62" s="539"/>
      <c r="F62" s="539"/>
      <c r="G62" s="539"/>
      <c r="H62" s="539"/>
      <c r="I62" s="539"/>
      <c r="K62" s="539" t="s">
        <v>274</v>
      </c>
      <c r="L62" s="539"/>
      <c r="M62" s="539"/>
      <c r="N62" s="539"/>
      <c r="O62" s="539"/>
      <c r="P62" s="539"/>
      <c r="Q62" s="539"/>
      <c r="R62" s="539"/>
      <c r="S62" s="539"/>
      <c r="T62" s="539"/>
      <c r="U62" s="539"/>
      <c r="V62" s="539"/>
      <c r="W62" s="539"/>
      <c r="X62" s="539"/>
      <c r="Y62" s="539"/>
      <c r="Z62" s="539"/>
      <c r="AA62" s="539"/>
      <c r="AB62" s="539"/>
      <c r="AC62" s="539"/>
      <c r="AD62" s="539"/>
      <c r="AE62" s="539"/>
      <c r="AF62" s="539"/>
      <c r="AG62" s="539"/>
      <c r="AH62" s="539"/>
      <c r="AI62" s="539"/>
      <c r="AJ62" s="539"/>
      <c r="AK62" s="539"/>
      <c r="AL62" s="539"/>
      <c r="AM62" s="539"/>
      <c r="AN62" s="539"/>
      <c r="AO62" s="539"/>
      <c r="AP62" s="539"/>
      <c r="AQ62" s="539"/>
      <c r="AR62" s="539"/>
      <c r="AS62" s="539"/>
      <c r="AT62" s="539"/>
      <c r="AU62" s="539"/>
      <c r="AV62" s="539"/>
      <c r="AW62" s="539"/>
      <c r="AX62" s="539"/>
      <c r="AY62" s="539"/>
      <c r="AZ62" s="539"/>
      <c r="BA62" s="539"/>
      <c r="BB62" s="539"/>
      <c r="BC62" s="539"/>
      <c r="BD62" s="539"/>
      <c r="BE62" s="539"/>
      <c r="BF62" s="539"/>
      <c r="BG62" s="539"/>
      <c r="BH62" s="539"/>
      <c r="BI62" s="539"/>
      <c r="BJ62" s="539"/>
      <c r="BK62" s="539"/>
      <c r="BL62" s="539"/>
      <c r="BM62" s="539"/>
      <c r="BN62" s="539"/>
      <c r="BO62" s="539"/>
      <c r="BP62" s="539"/>
      <c r="BQ62" s="539"/>
      <c r="BR62" s="539"/>
      <c r="BS62" s="539"/>
      <c r="BT62" s="539"/>
      <c r="BU62" s="539"/>
      <c r="BV62" s="539"/>
      <c r="BW62" s="539"/>
      <c r="BX62" s="539"/>
      <c r="BY62" s="539"/>
      <c r="CA62" s="64"/>
    </row>
    <row r="63" spans="1:79" s="48" customFormat="1">
      <c r="B63" s="563"/>
      <c r="D63" s="644"/>
      <c r="E63" s="644"/>
      <c r="F63" s="644"/>
      <c r="G63" s="644"/>
      <c r="H63" s="644"/>
      <c r="I63" s="644"/>
      <c r="K63" s="563"/>
      <c r="L63" s="644"/>
      <c r="M63" s="644"/>
      <c r="N63" s="644"/>
      <c r="O63" s="644"/>
      <c r="P63" s="644"/>
      <c r="Q63" s="644"/>
      <c r="R63" s="644"/>
      <c r="S63" s="644"/>
      <c r="T63" s="644"/>
      <c r="U63" s="644"/>
      <c r="V63" s="644"/>
      <c r="W63" s="644"/>
      <c r="X63" s="644"/>
      <c r="Y63" s="644"/>
      <c r="Z63" s="644"/>
      <c r="AA63" s="644"/>
      <c r="AB63" s="644"/>
      <c r="AC63" s="644"/>
      <c r="AD63" s="644"/>
      <c r="AE63" s="644"/>
      <c r="AF63" s="644"/>
      <c r="AG63" s="644"/>
      <c r="AH63" s="644"/>
      <c r="AI63" s="644"/>
      <c r="AJ63" s="644"/>
      <c r="AK63" s="644"/>
      <c r="AL63" s="644"/>
      <c r="AM63" s="644"/>
      <c r="AN63" s="644"/>
      <c r="AO63" s="644"/>
      <c r="AP63" s="644"/>
      <c r="AQ63" s="644"/>
      <c r="AR63" s="644"/>
      <c r="AS63" s="644"/>
      <c r="AT63" s="644"/>
      <c r="AU63" s="644"/>
      <c r="AV63" s="644"/>
      <c r="AW63" s="644"/>
      <c r="AX63" s="644"/>
      <c r="AY63" s="644"/>
      <c r="AZ63" s="644"/>
      <c r="BA63" s="644"/>
      <c r="BB63" s="644"/>
      <c r="BC63" s="644"/>
      <c r="BD63" s="644"/>
      <c r="BE63" s="644"/>
      <c r="BF63" s="644"/>
      <c r="BG63" s="644"/>
      <c r="BH63" s="644"/>
      <c r="BI63" s="644"/>
      <c r="BJ63" s="644"/>
      <c r="BK63" s="644"/>
      <c r="BL63" s="644"/>
      <c r="BM63" s="644"/>
      <c r="BN63" s="644"/>
      <c r="BO63" s="644"/>
      <c r="BP63" s="644"/>
      <c r="BQ63" s="644"/>
      <c r="BR63" s="644"/>
      <c r="BS63" s="644"/>
      <c r="BT63" s="644"/>
      <c r="BU63" s="644"/>
      <c r="BV63" s="644"/>
      <c r="BW63" s="644"/>
      <c r="BX63" s="644"/>
      <c r="BY63" s="644"/>
      <c r="CA63" s="64"/>
    </row>
    <row r="64" spans="1:79" customFormat="1">
      <c r="A64" s="48"/>
      <c r="B64" s="541" t="s">
        <v>59</v>
      </c>
      <c r="C64" s="541" t="s">
        <v>60</v>
      </c>
      <c r="D64" s="541" t="s">
        <v>6</v>
      </c>
      <c r="E64" s="541" t="s">
        <v>12</v>
      </c>
      <c r="F64" s="541" t="s">
        <v>13</v>
      </c>
      <c r="G64" s="541" t="s">
        <v>14</v>
      </c>
      <c r="H64" s="541" t="s">
        <v>15</v>
      </c>
      <c r="I64" s="541" t="s">
        <v>57</v>
      </c>
      <c r="K64" s="541" t="s">
        <v>61</v>
      </c>
      <c r="L64" s="541" t="s">
        <v>130</v>
      </c>
      <c r="M64" s="541" t="s">
        <v>131</v>
      </c>
      <c r="N64" s="541" t="s">
        <v>132</v>
      </c>
      <c r="O64" s="541" t="s">
        <v>133</v>
      </c>
      <c r="P64" s="541" t="s">
        <v>134</v>
      </c>
      <c r="Q64" s="541" t="s">
        <v>135</v>
      </c>
      <c r="R64" s="541" t="s">
        <v>136</v>
      </c>
      <c r="S64" s="541" t="s">
        <v>137</v>
      </c>
      <c r="T64" s="541" t="s">
        <v>138</v>
      </c>
      <c r="U64" s="541" t="s">
        <v>139</v>
      </c>
      <c r="V64" s="541" t="s">
        <v>140</v>
      </c>
      <c r="W64" s="541" t="s">
        <v>141</v>
      </c>
      <c r="X64" s="541" t="s">
        <v>142</v>
      </c>
      <c r="Y64" s="541" t="s">
        <v>143</v>
      </c>
      <c r="Z64" s="541" t="s">
        <v>144</v>
      </c>
      <c r="AA64" s="541" t="s">
        <v>145</v>
      </c>
      <c r="AB64" s="541" t="s">
        <v>146</v>
      </c>
      <c r="AC64" s="541" t="s">
        <v>147</v>
      </c>
      <c r="AD64" s="541" t="s">
        <v>148</v>
      </c>
      <c r="AE64" s="541" t="s">
        <v>149</v>
      </c>
      <c r="AF64" s="541" t="s">
        <v>150</v>
      </c>
      <c r="AG64" s="541" t="s">
        <v>151</v>
      </c>
      <c r="AH64" s="541" t="s">
        <v>152</v>
      </c>
      <c r="AI64" s="541" t="s">
        <v>153</v>
      </c>
      <c r="AJ64" s="541" t="s">
        <v>154</v>
      </c>
      <c r="AK64" s="541" t="s">
        <v>155</v>
      </c>
      <c r="AL64" s="541" t="s">
        <v>156</v>
      </c>
      <c r="AM64" s="541" t="s">
        <v>157</v>
      </c>
      <c r="AN64" s="541" t="s">
        <v>158</v>
      </c>
      <c r="AO64" s="541" t="s">
        <v>159</v>
      </c>
      <c r="AP64" s="541" t="s">
        <v>160</v>
      </c>
      <c r="AQ64" s="541" t="s">
        <v>161</v>
      </c>
      <c r="AR64" s="541" t="s">
        <v>162</v>
      </c>
      <c r="AS64" s="541" t="s">
        <v>163</v>
      </c>
      <c r="AT64" s="541" t="s">
        <v>164</v>
      </c>
      <c r="AU64" s="541" t="s">
        <v>165</v>
      </c>
      <c r="AV64" s="541" t="s">
        <v>166</v>
      </c>
      <c r="AW64" s="541" t="s">
        <v>167</v>
      </c>
      <c r="AX64" s="541" t="s">
        <v>168</v>
      </c>
      <c r="AY64" s="541" t="s">
        <v>169</v>
      </c>
      <c r="AZ64" s="541" t="s">
        <v>170</v>
      </c>
      <c r="BA64" s="541" t="s">
        <v>171</v>
      </c>
      <c r="BB64" s="541" t="s">
        <v>172</v>
      </c>
      <c r="BC64" s="541" t="s">
        <v>173</v>
      </c>
      <c r="BD64" s="541" t="s">
        <v>174</v>
      </c>
      <c r="BE64" s="541" t="s">
        <v>175</v>
      </c>
      <c r="BF64" s="541" t="s">
        <v>176</v>
      </c>
      <c r="BG64" s="541" t="s">
        <v>177</v>
      </c>
      <c r="BH64" s="541" t="s">
        <v>178</v>
      </c>
      <c r="BI64" s="541" t="s">
        <v>179</v>
      </c>
      <c r="BJ64" s="541" t="s">
        <v>180</v>
      </c>
      <c r="BK64" s="541" t="s">
        <v>181</v>
      </c>
      <c r="BL64" s="541" t="s">
        <v>182</v>
      </c>
      <c r="BM64" s="541" t="s">
        <v>183</v>
      </c>
      <c r="BN64" s="541" t="s">
        <v>184</v>
      </c>
      <c r="BO64" s="541" t="s">
        <v>185</v>
      </c>
      <c r="BP64" s="541" t="s">
        <v>186</v>
      </c>
      <c r="BQ64" s="541" t="s">
        <v>187</v>
      </c>
      <c r="BR64" s="541" t="s">
        <v>188</v>
      </c>
      <c r="BS64" s="541" t="s">
        <v>189</v>
      </c>
      <c r="BT64" s="541" t="s">
        <v>190</v>
      </c>
      <c r="BU64" s="541" t="s">
        <v>191</v>
      </c>
      <c r="BV64" s="541" t="s">
        <v>192</v>
      </c>
      <c r="BW64" s="541" t="s">
        <v>193</v>
      </c>
      <c r="BX64" s="541" t="s">
        <v>194</v>
      </c>
      <c r="BY64" s="541" t="s">
        <v>195</v>
      </c>
      <c r="CA64" s="64"/>
    </row>
    <row r="65" spans="1:79" customFormat="1">
      <c r="A65" s="48"/>
      <c r="B65" s="575" t="s">
        <v>271</v>
      </c>
      <c r="C65" s="576"/>
      <c r="D65" s="576"/>
      <c r="E65" s="576"/>
      <c r="F65" s="576"/>
      <c r="G65" s="576"/>
      <c r="H65" s="576"/>
      <c r="I65" s="576"/>
      <c r="K65" s="575" t="s">
        <v>271</v>
      </c>
      <c r="L65" s="576"/>
      <c r="M65" s="576"/>
      <c r="N65" s="576"/>
      <c r="O65" s="576"/>
      <c r="P65" s="576"/>
      <c r="Q65" s="576"/>
      <c r="R65" s="576"/>
      <c r="S65" s="576"/>
      <c r="T65" s="576"/>
      <c r="U65" s="576"/>
      <c r="V65" s="576"/>
      <c r="W65" s="576"/>
      <c r="X65" s="576"/>
      <c r="Y65" s="576"/>
      <c r="Z65" s="576"/>
      <c r="AA65" s="576"/>
      <c r="AB65" s="576"/>
      <c r="AC65" s="576"/>
      <c r="AD65" s="576"/>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6"/>
      <c r="BF65" s="576"/>
      <c r="BG65" s="576"/>
      <c r="BH65" s="576"/>
      <c r="BI65" s="576"/>
      <c r="BJ65" s="576"/>
      <c r="BK65" s="576"/>
      <c r="BL65" s="576"/>
      <c r="BM65" s="576"/>
      <c r="BN65" s="576"/>
      <c r="BO65" s="576"/>
      <c r="BP65" s="576"/>
      <c r="BQ65" s="576"/>
      <c r="BR65" s="576"/>
      <c r="BS65" s="576"/>
      <c r="BT65" s="576"/>
      <c r="BU65" s="576"/>
      <c r="BV65" s="576"/>
      <c r="BW65" s="576"/>
      <c r="BX65" s="576"/>
      <c r="BY65" s="576"/>
      <c r="CA65" s="64"/>
    </row>
    <row r="66" spans="1:79" customFormat="1">
      <c r="A66" s="48"/>
      <c r="B66" s="542" t="s">
        <v>275</v>
      </c>
      <c r="C66" s="577"/>
      <c r="D66" s="577">
        <v>0</v>
      </c>
      <c r="E66" s="577">
        <v>1661.5384615384612</v>
      </c>
      <c r="F66" s="577">
        <v>4246.1165747452551</v>
      </c>
      <c r="G66" s="577">
        <v>6928.5840472620457</v>
      </c>
      <c r="H66" s="577">
        <v>9708.9404821095377</v>
      </c>
      <c r="I66" s="577">
        <v>4509.0359131310597</v>
      </c>
      <c r="K66" s="542" t="s">
        <v>275</v>
      </c>
      <c r="L66" s="577"/>
      <c r="M66" s="577">
        <v>0</v>
      </c>
      <c r="N66" s="577">
        <v>0</v>
      </c>
      <c r="O66" s="577">
        <v>0</v>
      </c>
      <c r="P66" s="577">
        <v>0</v>
      </c>
      <c r="Q66" s="577">
        <v>0</v>
      </c>
      <c r="R66" s="577">
        <v>0</v>
      </c>
      <c r="S66" s="577">
        <v>0</v>
      </c>
      <c r="T66" s="577">
        <v>0</v>
      </c>
      <c r="U66" s="577">
        <v>0</v>
      </c>
      <c r="V66" s="577">
        <v>0</v>
      </c>
      <c r="W66" s="577">
        <v>0</v>
      </c>
      <c r="X66" s="577">
        <v>0</v>
      </c>
      <c r="Y66" s="577">
        <v>0</v>
      </c>
      <c r="Z66" s="577">
        <v>65.934065934065927</v>
      </c>
      <c r="AA66" s="577">
        <v>79.12087912087911</v>
      </c>
      <c r="AB66" s="577">
        <v>92.307692307692292</v>
      </c>
      <c r="AC66" s="577">
        <v>105.49450549450549</v>
      </c>
      <c r="AD66" s="577">
        <v>118.68131868131867</v>
      </c>
      <c r="AE66" s="577">
        <v>131.86813186813185</v>
      </c>
      <c r="AF66" s="577">
        <v>145.05494505494505</v>
      </c>
      <c r="AG66" s="577">
        <v>158.24175824175822</v>
      </c>
      <c r="AH66" s="577">
        <v>171.42857142857142</v>
      </c>
      <c r="AI66" s="577">
        <v>184.61538461538458</v>
      </c>
      <c r="AJ66" s="577">
        <v>197.80219780219778</v>
      </c>
      <c r="AK66" s="577">
        <v>210.98901098901098</v>
      </c>
      <c r="AL66" s="577">
        <v>1661.5384615384612</v>
      </c>
      <c r="AM66" s="577">
        <v>192.92824472253881</v>
      </c>
      <c r="AN66" s="577">
        <v>206.51709887786126</v>
      </c>
      <c r="AO66" s="577">
        <v>305.30691483376773</v>
      </c>
      <c r="AP66" s="577">
        <v>319.16804565098778</v>
      </c>
      <c r="AQ66" s="577">
        <v>333.03131123781526</v>
      </c>
      <c r="AR66" s="577">
        <v>346.89671835255098</v>
      </c>
      <c r="AS66" s="577">
        <v>360.76427377489108</v>
      </c>
      <c r="AT66" s="577">
        <v>374.63398430599511</v>
      </c>
      <c r="AU66" s="577">
        <v>388.50585676855394</v>
      </c>
      <c r="AV66" s="577">
        <v>402.37989800685767</v>
      </c>
      <c r="AW66" s="577">
        <v>500.91890074584637</v>
      </c>
      <c r="AX66" s="577">
        <v>515.06532746759001</v>
      </c>
      <c r="AY66" s="577">
        <v>4246.1165747452551</v>
      </c>
      <c r="AZ66" s="577">
        <v>375.93048599732492</v>
      </c>
      <c r="BA66" s="577">
        <v>390.07748869179068</v>
      </c>
      <c r="BB66" s="577">
        <v>526.46369152896114</v>
      </c>
      <c r="BC66" s="577">
        <v>540.99934048855039</v>
      </c>
      <c r="BD66" s="577">
        <v>555.53918146750073</v>
      </c>
      <c r="BE66" s="577">
        <v>570.08322749863146</v>
      </c>
      <c r="BF66" s="577">
        <v>584.63149165529421</v>
      </c>
      <c r="BG66" s="577">
        <v>599.18398705149946</v>
      </c>
      <c r="BH66" s="577">
        <v>613.7407268420427</v>
      </c>
      <c r="BI66" s="577">
        <v>628.30172422263149</v>
      </c>
      <c r="BJ66" s="577">
        <v>764.3414241711871</v>
      </c>
      <c r="BK66" s="577">
        <v>779.29127764663099</v>
      </c>
      <c r="BL66" s="577">
        <v>6928.5840472620457</v>
      </c>
      <c r="BM66" s="577">
        <v>534.93251043148643</v>
      </c>
      <c r="BN66" s="577">
        <v>549.54733988689281</v>
      </c>
      <c r="BO66" s="577">
        <v>755.77798228723714</v>
      </c>
      <c r="BP66" s="577">
        <v>770.98833562411096</v>
      </c>
      <c r="BQ66" s="577">
        <v>786.20486614226149</v>
      </c>
      <c r="BR66" s="577">
        <v>801.42759271538898</v>
      </c>
      <c r="BS66" s="577">
        <v>816.65653427491111</v>
      </c>
      <c r="BT66" s="577">
        <v>831.89170981014058</v>
      </c>
      <c r="BU66" s="577">
        <v>847.13313836846191</v>
      </c>
      <c r="BV66" s="577">
        <v>862.38083905550911</v>
      </c>
      <c r="BW66" s="577">
        <v>1068.0780525539126</v>
      </c>
      <c r="BX66" s="577">
        <v>1083.921580959226</v>
      </c>
      <c r="BY66" s="577">
        <v>9708.9404821095377</v>
      </c>
      <c r="CA66" s="64"/>
    </row>
    <row r="67" spans="1:79" customFormat="1">
      <c r="A67" s="48"/>
      <c r="B67" s="542" t="s">
        <v>75</v>
      </c>
      <c r="C67" s="577"/>
      <c r="D67" s="577">
        <v>0</v>
      </c>
      <c r="E67" s="577">
        <v>1661.5384615384619</v>
      </c>
      <c r="F67" s="577">
        <v>4246.116574745256</v>
      </c>
      <c r="G67" s="577">
        <v>6928.5840472620466</v>
      </c>
      <c r="H67" s="577">
        <v>9708.9404821095413</v>
      </c>
      <c r="I67" s="577">
        <v>4509.0359131310615</v>
      </c>
      <c r="K67" s="542" t="s">
        <v>75</v>
      </c>
      <c r="L67" s="577"/>
      <c r="M67" s="577">
        <v>0</v>
      </c>
      <c r="N67" s="577">
        <v>0</v>
      </c>
      <c r="O67" s="577">
        <v>0</v>
      </c>
      <c r="P67" s="577">
        <v>0</v>
      </c>
      <c r="Q67" s="577">
        <v>0</v>
      </c>
      <c r="R67" s="577">
        <v>0</v>
      </c>
      <c r="S67" s="577">
        <v>0</v>
      </c>
      <c r="T67" s="577">
        <v>0</v>
      </c>
      <c r="U67" s="577">
        <v>0</v>
      </c>
      <c r="V67" s="577">
        <v>0</v>
      </c>
      <c r="W67" s="577">
        <v>0</v>
      </c>
      <c r="X67" s="577">
        <v>0</v>
      </c>
      <c r="Y67" s="577">
        <v>0</v>
      </c>
      <c r="Z67" s="577">
        <v>65.934065934065941</v>
      </c>
      <c r="AA67" s="577">
        <v>79.120879120879124</v>
      </c>
      <c r="AB67" s="577">
        <v>92.307692307692307</v>
      </c>
      <c r="AC67" s="577">
        <v>105.49450549450552</v>
      </c>
      <c r="AD67" s="577">
        <v>118.6813186813187</v>
      </c>
      <c r="AE67" s="577">
        <v>131.86813186813188</v>
      </c>
      <c r="AF67" s="577">
        <v>145.05494505494508</v>
      </c>
      <c r="AG67" s="577">
        <v>158.24175824175825</v>
      </c>
      <c r="AH67" s="577">
        <v>171.42857142857144</v>
      </c>
      <c r="AI67" s="577">
        <v>184.61538461538461</v>
      </c>
      <c r="AJ67" s="577">
        <v>197.80219780219784</v>
      </c>
      <c r="AK67" s="577">
        <v>210.98901098901104</v>
      </c>
      <c r="AL67" s="577">
        <v>1661.5384615384619</v>
      </c>
      <c r="AM67" s="577">
        <v>192.92824472253886</v>
      </c>
      <c r="AN67" s="577">
        <v>206.51709887786132</v>
      </c>
      <c r="AO67" s="577">
        <v>305.30691483376779</v>
      </c>
      <c r="AP67" s="577">
        <v>319.16804565098784</v>
      </c>
      <c r="AQ67" s="577">
        <v>333.03131123781532</v>
      </c>
      <c r="AR67" s="577">
        <v>346.89671835255103</v>
      </c>
      <c r="AS67" s="577">
        <v>360.76427377489114</v>
      </c>
      <c r="AT67" s="577">
        <v>374.63398430599517</v>
      </c>
      <c r="AU67" s="577">
        <v>388.50585676855405</v>
      </c>
      <c r="AV67" s="577">
        <v>402.37989800685779</v>
      </c>
      <c r="AW67" s="577">
        <v>500.91890074584649</v>
      </c>
      <c r="AX67" s="577">
        <v>515.06532746759012</v>
      </c>
      <c r="AY67" s="577">
        <v>4246.116574745256</v>
      </c>
      <c r="AZ67" s="577">
        <v>375.93048599732498</v>
      </c>
      <c r="BA67" s="577">
        <v>390.07748869179079</v>
      </c>
      <c r="BB67" s="577">
        <v>526.46369152896125</v>
      </c>
      <c r="BC67" s="577">
        <v>540.9993404885505</v>
      </c>
      <c r="BD67" s="577">
        <v>555.53918146750084</v>
      </c>
      <c r="BE67" s="577">
        <v>570.08322749863157</v>
      </c>
      <c r="BF67" s="577">
        <v>584.63149165529433</v>
      </c>
      <c r="BG67" s="577">
        <v>599.18398705149957</v>
      </c>
      <c r="BH67" s="577">
        <v>613.74072684204282</v>
      </c>
      <c r="BI67" s="577">
        <v>628.30172422263161</v>
      </c>
      <c r="BJ67" s="577">
        <v>764.34142417118721</v>
      </c>
      <c r="BK67" s="577">
        <v>779.29127764663122</v>
      </c>
      <c r="BL67" s="577">
        <v>6928.5840472620466</v>
      </c>
      <c r="BM67" s="577">
        <v>534.93251043148655</v>
      </c>
      <c r="BN67" s="577">
        <v>549.54733988689293</v>
      </c>
      <c r="BO67" s="577">
        <v>755.77798228723725</v>
      </c>
      <c r="BP67" s="577">
        <v>770.98833562411119</v>
      </c>
      <c r="BQ67" s="577">
        <v>786.20486614226172</v>
      </c>
      <c r="BR67" s="577">
        <v>801.42759271538921</v>
      </c>
      <c r="BS67" s="577">
        <v>816.65653427491134</v>
      </c>
      <c r="BT67" s="577">
        <v>831.89170981014081</v>
      </c>
      <c r="BU67" s="577">
        <v>847.13313836846214</v>
      </c>
      <c r="BV67" s="577">
        <v>862.38083905550934</v>
      </c>
      <c r="BW67" s="577">
        <v>1068.0780525539128</v>
      </c>
      <c r="BX67" s="577">
        <v>1083.9215809592263</v>
      </c>
      <c r="BY67" s="577">
        <v>9708.9404821095413</v>
      </c>
      <c r="CA67" s="64"/>
    </row>
    <row r="68" spans="1:79" customFormat="1">
      <c r="A68" s="48"/>
      <c r="B68" s="575" t="s">
        <v>272</v>
      </c>
      <c r="C68" s="576"/>
      <c r="D68" s="576">
        <v>0</v>
      </c>
      <c r="E68" s="576">
        <v>22486996.997074235</v>
      </c>
      <c r="F68" s="576">
        <v>59161520.515835047</v>
      </c>
      <c r="G68" s="576">
        <v>99258910.309059516</v>
      </c>
      <c r="H68" s="576">
        <v>142845740.88677976</v>
      </c>
      <c r="I68" s="576">
        <v>64750633.741749719</v>
      </c>
      <c r="J68" s="153"/>
      <c r="K68" s="575" t="s">
        <v>272</v>
      </c>
      <c r="L68" s="576"/>
      <c r="M68" s="576">
        <v>0</v>
      </c>
      <c r="N68" s="576">
        <v>0</v>
      </c>
      <c r="O68" s="576">
        <v>0</v>
      </c>
      <c r="P68" s="576">
        <v>0</v>
      </c>
      <c r="Q68" s="576">
        <v>0</v>
      </c>
      <c r="R68" s="576">
        <v>0</v>
      </c>
      <c r="S68" s="576">
        <v>0</v>
      </c>
      <c r="T68" s="576">
        <v>0</v>
      </c>
      <c r="U68" s="576">
        <v>0</v>
      </c>
      <c r="V68" s="576">
        <v>0</v>
      </c>
      <c r="W68" s="576">
        <v>0</v>
      </c>
      <c r="X68" s="576">
        <v>0</v>
      </c>
      <c r="Y68" s="576">
        <v>0</v>
      </c>
      <c r="Z68" s="576">
        <v>892341.15067754919</v>
      </c>
      <c r="AA68" s="576">
        <v>1070809.3808130589</v>
      </c>
      <c r="AB68" s="576">
        <v>1249277.6109485687</v>
      </c>
      <c r="AC68" s="576">
        <v>1427745.8410840787</v>
      </c>
      <c r="AD68" s="576">
        <v>1606214.0712195886</v>
      </c>
      <c r="AE68" s="576">
        <v>1784682.3013550984</v>
      </c>
      <c r="AF68" s="576">
        <v>1963150.5314906081</v>
      </c>
      <c r="AG68" s="576">
        <v>2141618.7616261179</v>
      </c>
      <c r="AH68" s="576">
        <v>2320086.9917616276</v>
      </c>
      <c r="AI68" s="576">
        <v>2498555.2218971374</v>
      </c>
      <c r="AJ68" s="576">
        <v>2677023.4520326471</v>
      </c>
      <c r="AK68" s="576">
        <v>2855491.6821681573</v>
      </c>
      <c r="AL68" s="576">
        <v>22486996.997074235</v>
      </c>
      <c r="AM68" s="576">
        <v>2688086.4213958373</v>
      </c>
      <c r="AN68" s="576">
        <v>2877421.1369517874</v>
      </c>
      <c r="AO68" s="576">
        <v>4253868.4436962027</v>
      </c>
      <c r="AP68" s="576">
        <v>4446996.8142390763</v>
      </c>
      <c r="AQ68" s="576">
        <v>4640154.9287170731</v>
      </c>
      <c r="AR68" s="576">
        <v>4833342.8812942002</v>
      </c>
      <c r="AS68" s="576">
        <v>5026560.7664325694</v>
      </c>
      <c r="AT68" s="576">
        <v>5219808.6788933408</v>
      </c>
      <c r="AU68" s="576">
        <v>5413086.7137376759</v>
      </c>
      <c r="AV68" s="576">
        <v>5606394.9663276775</v>
      </c>
      <c r="AW68" s="576">
        <v>6979347.6701762192</v>
      </c>
      <c r="AX68" s="576">
        <v>7176451.093973387</v>
      </c>
      <c r="AY68" s="576">
        <v>59161520.515835047</v>
      </c>
      <c r="AZ68" s="576">
        <v>5385580.9697213825</v>
      </c>
      <c r="BA68" s="576">
        <v>5588250.9614561154</v>
      </c>
      <c r="BB68" s="576">
        <v>7542120.0034514274</v>
      </c>
      <c r="BC68" s="576">
        <v>7750357.7424356276</v>
      </c>
      <c r="BD68" s="576">
        <v>7958655.5362984193</v>
      </c>
      <c r="BE68" s="576">
        <v>8167013.5717480024</v>
      </c>
      <c r="BF68" s="576">
        <v>8375432.0360732395</v>
      </c>
      <c r="BG68" s="576">
        <v>8583911.117145475</v>
      </c>
      <c r="BH68" s="576">
        <v>8792451.003420338</v>
      </c>
      <c r="BI68" s="576">
        <v>9001051.8839395624</v>
      </c>
      <c r="BJ68" s="576">
        <v>10949956.924790017</v>
      </c>
      <c r="BK68" s="576">
        <v>11164128.558579903</v>
      </c>
      <c r="BL68" s="576">
        <v>99258910.309059516</v>
      </c>
      <c r="BM68" s="576">
        <v>7870357.3183721779</v>
      </c>
      <c r="BN68" s="576">
        <v>8085382.4434451293</v>
      </c>
      <c r="BO68" s="576">
        <v>11119613.517527571</v>
      </c>
      <c r="BP68" s="576">
        <v>11343400.468900802</v>
      </c>
      <c r="BQ68" s="576">
        <v>11567278.303933037</v>
      </c>
      <c r="BR68" s="576">
        <v>11791247.300309332</v>
      </c>
      <c r="BS68" s="576">
        <v>12015307.736563932</v>
      </c>
      <c r="BT68" s="576">
        <v>12239459.892082877</v>
      </c>
      <c r="BU68" s="576">
        <v>12463704.047106607</v>
      </c>
      <c r="BV68" s="576">
        <v>12688040.482732575</v>
      </c>
      <c r="BW68" s="576">
        <v>15714423.32179405</v>
      </c>
      <c r="BX68" s="576">
        <v>15947526.054011645</v>
      </c>
      <c r="BY68" s="576">
        <v>142845740.88677976</v>
      </c>
      <c r="CA68" s="64"/>
    </row>
    <row r="69" spans="1:79" customFormat="1">
      <c r="A69" s="48"/>
      <c r="B69" s="542" t="s">
        <v>276</v>
      </c>
      <c r="C69" s="577"/>
      <c r="D69" s="577">
        <v>0</v>
      </c>
      <c r="E69" s="577">
        <v>21629020.395917468</v>
      </c>
      <c r="F69" s="577">
        <v>56904251.557332188</v>
      </c>
      <c r="G69" s="577">
        <v>95471751.778617591</v>
      </c>
      <c r="H69" s="577">
        <v>137395555.46310109</v>
      </c>
      <c r="I69" s="577">
        <v>62280115.838993669</v>
      </c>
      <c r="K69" s="542" t="s">
        <v>276</v>
      </c>
      <c r="L69" s="577"/>
      <c r="M69" s="577">
        <v>0</v>
      </c>
      <c r="N69" s="577">
        <v>0</v>
      </c>
      <c r="O69" s="577">
        <v>0</v>
      </c>
      <c r="P69" s="577">
        <v>0</v>
      </c>
      <c r="Q69" s="577">
        <v>0</v>
      </c>
      <c r="R69" s="577">
        <v>0</v>
      </c>
      <c r="S69" s="577">
        <v>0</v>
      </c>
      <c r="T69" s="577">
        <v>0</v>
      </c>
      <c r="U69" s="577">
        <v>0</v>
      </c>
      <c r="V69" s="577">
        <v>0</v>
      </c>
      <c r="W69" s="577">
        <v>0</v>
      </c>
      <c r="X69" s="577">
        <v>0</v>
      </c>
      <c r="Y69" s="577">
        <v>0</v>
      </c>
      <c r="Z69" s="577">
        <v>858294.46015545516</v>
      </c>
      <c r="AA69" s="577">
        <v>1029953.3521865461</v>
      </c>
      <c r="AB69" s="577">
        <v>1201612.244217637</v>
      </c>
      <c r="AC69" s="577">
        <v>1373271.1362487283</v>
      </c>
      <c r="AD69" s="577">
        <v>1544930.0282798193</v>
      </c>
      <c r="AE69" s="577">
        <v>1716588.9203109103</v>
      </c>
      <c r="AF69" s="577">
        <v>1888247.8123420014</v>
      </c>
      <c r="AG69" s="577">
        <v>2059906.7043730922</v>
      </c>
      <c r="AH69" s="577">
        <v>2231565.5964041832</v>
      </c>
      <c r="AI69" s="577">
        <v>2403224.488435274</v>
      </c>
      <c r="AJ69" s="577">
        <v>2574883.3804663653</v>
      </c>
      <c r="AK69" s="577">
        <v>2746542.2724974565</v>
      </c>
      <c r="AL69" s="577">
        <v>21629020.395917468</v>
      </c>
      <c r="AM69" s="577">
        <v>2585524.2494995659</v>
      </c>
      <c r="AN69" s="577">
        <v>2767635.0233368948</v>
      </c>
      <c r="AO69" s="577">
        <v>4091564.8871312523</v>
      </c>
      <c r="AP69" s="577">
        <v>4277324.5715411184</v>
      </c>
      <c r="AQ69" s="577">
        <v>4463112.8650257988</v>
      </c>
      <c r="AR69" s="577">
        <v>4648929.8581565348</v>
      </c>
      <c r="AS69" s="577">
        <v>4834775.6417912981</v>
      </c>
      <c r="AT69" s="577">
        <v>5020650.3070756989</v>
      </c>
      <c r="AU69" s="577">
        <v>5206553.9454439022</v>
      </c>
      <c r="AV69" s="577">
        <v>5392486.6486195335</v>
      </c>
      <c r="AW69" s="577">
        <v>6713055.2437962843</v>
      </c>
      <c r="AX69" s="577">
        <v>6902638.3159143077</v>
      </c>
      <c r="AY69" s="577">
        <v>56904251.557332188</v>
      </c>
      <c r="AZ69" s="577">
        <v>5180097.6650250135</v>
      </c>
      <c r="BA69" s="577">
        <v>5375034.9163370188</v>
      </c>
      <c r="BB69" s="577">
        <v>7254355.3683194146</v>
      </c>
      <c r="BC69" s="577">
        <v>7454647.9331414318</v>
      </c>
      <c r="BD69" s="577">
        <v>7654998.261487592</v>
      </c>
      <c r="BE69" s="577">
        <v>7855406.5329423649</v>
      </c>
      <c r="BF69" s="577">
        <v>8055872.9276487315</v>
      </c>
      <c r="BG69" s="577">
        <v>8256397.6263099257</v>
      </c>
      <c r="BH69" s="577">
        <v>8456980.8101911787</v>
      </c>
      <c r="BI69" s="577">
        <v>8657622.6611214597</v>
      </c>
      <c r="BJ69" s="577">
        <v>10532168.510162367</v>
      </c>
      <c r="BK69" s="577">
        <v>10738168.565931091</v>
      </c>
      <c r="BL69" s="577">
        <v>95471751.778617591</v>
      </c>
      <c r="BM69" s="577">
        <v>7570069.0040728142</v>
      </c>
      <c r="BN69" s="577">
        <v>7776889.9867252642</v>
      </c>
      <c r="BO69" s="577">
        <v>10695351.967033014</v>
      </c>
      <c r="BP69" s="577">
        <v>10910600.474257948</v>
      </c>
      <c r="BQ69" s="577">
        <v>11125936.397535568</v>
      </c>
      <c r="BR69" s="577">
        <v>11341360.00395604</v>
      </c>
      <c r="BS69" s="577">
        <v>11556871.561426317</v>
      </c>
      <c r="BT69" s="577">
        <v>11772471.338672649</v>
      </c>
      <c r="BU69" s="577">
        <v>11988159.605243083</v>
      </c>
      <c r="BV69" s="577">
        <v>12203936.631509988</v>
      </c>
      <c r="BW69" s="577">
        <v>15114849.821049342</v>
      </c>
      <c r="BX69" s="577">
        <v>15339058.671619048</v>
      </c>
      <c r="BY69" s="577">
        <v>137395555.46310109</v>
      </c>
      <c r="CA69" s="64"/>
    </row>
    <row r="70" spans="1:79" customFormat="1">
      <c r="A70" s="48"/>
      <c r="B70" s="545" t="s">
        <v>75</v>
      </c>
      <c r="C70" s="579"/>
      <c r="D70" s="579">
        <v>0</v>
      </c>
      <c r="E70" s="579">
        <v>857976.60115676944</v>
      </c>
      <c r="F70" s="579">
        <v>2257268.958502857</v>
      </c>
      <c r="G70" s="579">
        <v>3787158.5304419184</v>
      </c>
      <c r="H70" s="579">
        <v>5450185.4236786608</v>
      </c>
      <c r="I70" s="579">
        <v>2470517.9027560414</v>
      </c>
      <c r="K70" s="545" t="s">
        <v>75</v>
      </c>
      <c r="L70" s="579"/>
      <c r="M70" s="579">
        <v>0</v>
      </c>
      <c r="N70" s="579">
        <v>0</v>
      </c>
      <c r="O70" s="579">
        <v>0</v>
      </c>
      <c r="P70" s="579">
        <v>0</v>
      </c>
      <c r="Q70" s="579">
        <v>0</v>
      </c>
      <c r="R70" s="579">
        <v>0</v>
      </c>
      <c r="S70" s="579">
        <v>0</v>
      </c>
      <c r="T70" s="579">
        <v>0</v>
      </c>
      <c r="U70" s="579">
        <v>0</v>
      </c>
      <c r="V70" s="579">
        <v>0</v>
      </c>
      <c r="W70" s="579">
        <v>0</v>
      </c>
      <c r="X70" s="579">
        <v>0</v>
      </c>
      <c r="Y70" s="579">
        <v>0</v>
      </c>
      <c r="Z70" s="579">
        <v>34046.690522094024</v>
      </c>
      <c r="AA70" s="579">
        <v>40856.028626512823</v>
      </c>
      <c r="AB70" s="579">
        <v>47665.36673093163</v>
      </c>
      <c r="AC70" s="579">
        <v>54474.704835350443</v>
      </c>
      <c r="AD70" s="579">
        <v>61284.04293976925</v>
      </c>
      <c r="AE70" s="579">
        <v>68093.381044188049</v>
      </c>
      <c r="AF70" s="579">
        <v>74902.719148606862</v>
      </c>
      <c r="AG70" s="579">
        <v>81712.057253025647</v>
      </c>
      <c r="AH70" s="579">
        <v>88521.39535744446</v>
      </c>
      <c r="AI70" s="579">
        <v>95330.733461863259</v>
      </c>
      <c r="AJ70" s="579">
        <v>102140.07156628207</v>
      </c>
      <c r="AK70" s="579">
        <v>108949.40967070089</v>
      </c>
      <c r="AL70" s="579">
        <v>857976.60115676944</v>
      </c>
      <c r="AM70" s="579">
        <v>102562.17189627126</v>
      </c>
      <c r="AN70" s="579">
        <v>109786.11361489263</v>
      </c>
      <c r="AO70" s="579">
        <v>162303.55656495021</v>
      </c>
      <c r="AP70" s="579">
        <v>169672.24269795758</v>
      </c>
      <c r="AQ70" s="579">
        <v>177042.06369127403</v>
      </c>
      <c r="AR70" s="579">
        <v>184413.02313766541</v>
      </c>
      <c r="AS70" s="579">
        <v>191785.12464127151</v>
      </c>
      <c r="AT70" s="579">
        <v>199158.37181764224</v>
      </c>
      <c r="AU70" s="579">
        <v>206532.76829377367</v>
      </c>
      <c r="AV70" s="579">
        <v>213908.31770814426</v>
      </c>
      <c r="AW70" s="579">
        <v>266292.42637993494</v>
      </c>
      <c r="AX70" s="579">
        <v>273812.77805907908</v>
      </c>
      <c r="AY70" s="579">
        <v>2257268.958502857</v>
      </c>
      <c r="AZ70" s="579">
        <v>205483.30469636852</v>
      </c>
      <c r="BA70" s="579">
        <v>213216.04511909644</v>
      </c>
      <c r="BB70" s="579">
        <v>287764.63513201289</v>
      </c>
      <c r="BC70" s="579">
        <v>295709.80929419561</v>
      </c>
      <c r="BD70" s="579">
        <v>303657.27481082745</v>
      </c>
      <c r="BE70" s="579">
        <v>311607.03880563716</v>
      </c>
      <c r="BF70" s="579">
        <v>319559.1084245083</v>
      </c>
      <c r="BG70" s="579">
        <v>327513.49083554855</v>
      </c>
      <c r="BH70" s="579">
        <v>335470.19322915876</v>
      </c>
      <c r="BI70" s="579">
        <v>343429.22281810205</v>
      </c>
      <c r="BJ70" s="579">
        <v>417788.41462764982</v>
      </c>
      <c r="BK70" s="579">
        <v>425959.99264881242</v>
      </c>
      <c r="BL70" s="579">
        <v>3787158.5304419184</v>
      </c>
      <c r="BM70" s="579">
        <v>300288.31429936324</v>
      </c>
      <c r="BN70" s="579">
        <v>308492.45671986538</v>
      </c>
      <c r="BO70" s="579">
        <v>424261.55049455742</v>
      </c>
      <c r="BP70" s="579">
        <v>432799.99464285444</v>
      </c>
      <c r="BQ70" s="579">
        <v>441341.90639746911</v>
      </c>
      <c r="BR70" s="579">
        <v>449887.29635329242</v>
      </c>
      <c r="BS70" s="579">
        <v>458436.17513761547</v>
      </c>
      <c r="BT70" s="579">
        <v>466988.55341022921</v>
      </c>
      <c r="BU70" s="579">
        <v>475544.44186352351</v>
      </c>
      <c r="BV70" s="579">
        <v>484103.85122258711</v>
      </c>
      <c r="BW70" s="579">
        <v>599573.50074470753</v>
      </c>
      <c r="BX70" s="579">
        <v>608467.38239259634</v>
      </c>
      <c r="BY70" s="579">
        <v>5450185.4236786608</v>
      </c>
      <c r="CA70" s="64"/>
    </row>
    <row r="71" spans="1:79">
      <c r="B71" s="575"/>
      <c r="K71" s="575"/>
      <c r="L71" s="645"/>
      <c r="M71" s="645"/>
      <c r="N71" s="645"/>
      <c r="O71" s="645"/>
      <c r="P71" s="645"/>
      <c r="Q71" s="645"/>
      <c r="R71" s="645"/>
      <c r="S71" s="645"/>
      <c r="T71" s="645"/>
      <c r="U71" s="645"/>
      <c r="V71" s="645"/>
      <c r="W71" s="645"/>
      <c r="X71" s="645"/>
      <c r="Y71" s="645"/>
      <c r="Z71" s="645"/>
      <c r="AA71" s="645"/>
      <c r="AB71" s="645"/>
      <c r="AC71" s="645"/>
      <c r="AD71" s="645"/>
      <c r="AE71" s="645"/>
      <c r="AF71" s="645"/>
      <c r="AG71" s="645"/>
      <c r="AH71" s="645"/>
      <c r="AI71" s="645"/>
      <c r="AJ71" s="645"/>
      <c r="AK71" s="645"/>
      <c r="AL71" s="645"/>
      <c r="AM71" s="645"/>
      <c r="AN71" s="645"/>
      <c r="AO71" s="645"/>
      <c r="AP71" s="645"/>
      <c r="AQ71" s="645"/>
      <c r="AR71" s="645"/>
      <c r="AS71" s="645"/>
      <c r="AT71" s="645"/>
      <c r="AU71" s="645"/>
      <c r="AV71" s="645"/>
      <c r="AW71" s="645"/>
      <c r="AX71" s="645"/>
      <c r="AY71" s="645"/>
      <c r="AZ71" s="645"/>
      <c r="BA71" s="645"/>
      <c r="BB71" s="645"/>
      <c r="BC71" s="645"/>
      <c r="BD71" s="645"/>
      <c r="BE71" s="645"/>
      <c r="BF71" s="645"/>
      <c r="BG71" s="645"/>
      <c r="BH71" s="645"/>
      <c r="BI71" s="645"/>
      <c r="BJ71" s="645"/>
      <c r="BK71" s="645"/>
      <c r="BL71" s="645"/>
      <c r="BM71" s="645"/>
      <c r="BN71" s="645"/>
      <c r="BO71" s="645"/>
      <c r="BP71" s="645"/>
      <c r="BQ71" s="645"/>
      <c r="BR71" s="645"/>
      <c r="BS71" s="645"/>
      <c r="BT71" s="645"/>
      <c r="BU71" s="645"/>
      <c r="BV71" s="645"/>
      <c r="BW71" s="645"/>
      <c r="BX71" s="645"/>
      <c r="BY71" s="645"/>
      <c r="CA71" s="61"/>
    </row>
    <row r="72" spans="1:79">
      <c r="B72" s="542" t="s">
        <v>200</v>
      </c>
      <c r="C72" s="542"/>
      <c r="D72" s="577">
        <f t="shared" ref="D72:I72" si="4">D68*$C$76</f>
        <v>0</v>
      </c>
      <c r="E72" s="577">
        <f t="shared" si="4"/>
        <v>13492198.19824454</v>
      </c>
      <c r="F72" s="577">
        <f t="shared" si="4"/>
        <v>35496912.30950103</v>
      </c>
      <c r="G72" s="577">
        <f t="shared" si="4"/>
        <v>59555346.185435705</v>
      </c>
      <c r="H72" s="577">
        <f t="shared" si="4"/>
        <v>85707444.53206785</v>
      </c>
      <c r="I72" s="577">
        <f t="shared" si="4"/>
        <v>38850380.245049827</v>
      </c>
      <c r="K72" s="542" t="s">
        <v>200</v>
      </c>
      <c r="L72" s="577">
        <f>L68*$C$76</f>
        <v>0</v>
      </c>
      <c r="M72" s="577">
        <f>M68*$C$76</f>
        <v>0</v>
      </c>
      <c r="N72" s="577">
        <f t="shared" ref="N72:BY72" si="5">N68*$C$76</f>
        <v>0</v>
      </c>
      <c r="O72" s="577">
        <f t="shared" si="5"/>
        <v>0</v>
      </c>
      <c r="P72" s="577">
        <f t="shared" si="5"/>
        <v>0</v>
      </c>
      <c r="Q72" s="577">
        <f t="shared" si="5"/>
        <v>0</v>
      </c>
      <c r="R72" s="577">
        <f t="shared" si="5"/>
        <v>0</v>
      </c>
      <c r="S72" s="577">
        <f t="shared" si="5"/>
        <v>0</v>
      </c>
      <c r="T72" s="577">
        <f t="shared" si="5"/>
        <v>0</v>
      </c>
      <c r="U72" s="577">
        <f t="shared" si="5"/>
        <v>0</v>
      </c>
      <c r="V72" s="577">
        <f t="shared" si="5"/>
        <v>0</v>
      </c>
      <c r="W72" s="577">
        <f t="shared" si="5"/>
        <v>0</v>
      </c>
      <c r="X72" s="577">
        <f t="shared" si="5"/>
        <v>0</v>
      </c>
      <c r="Y72" s="577">
        <f t="shared" si="5"/>
        <v>0</v>
      </c>
      <c r="Z72" s="577">
        <f t="shared" si="5"/>
        <v>535404.69040652947</v>
      </c>
      <c r="AA72" s="577">
        <f t="shared" si="5"/>
        <v>642485.62848783529</v>
      </c>
      <c r="AB72" s="577">
        <f t="shared" si="5"/>
        <v>749566.56656914123</v>
      </c>
      <c r="AC72" s="577">
        <f t="shared" si="5"/>
        <v>856647.50465044717</v>
      </c>
      <c r="AD72" s="577">
        <f t="shared" si="5"/>
        <v>963728.44273175311</v>
      </c>
      <c r="AE72" s="577">
        <f t="shared" si="5"/>
        <v>1070809.3808130589</v>
      </c>
      <c r="AF72" s="577">
        <f t="shared" si="5"/>
        <v>1177890.3188943649</v>
      </c>
      <c r="AG72" s="577">
        <f t="shared" si="5"/>
        <v>1284971.2569756706</v>
      </c>
      <c r="AH72" s="577">
        <f t="shared" si="5"/>
        <v>1392052.1950569765</v>
      </c>
      <c r="AI72" s="577">
        <f t="shared" si="5"/>
        <v>1499133.1331382825</v>
      </c>
      <c r="AJ72" s="577">
        <f t="shared" si="5"/>
        <v>1606214.0712195882</v>
      </c>
      <c r="AK72" s="577">
        <f t="shared" si="5"/>
        <v>1713295.0093008943</v>
      </c>
      <c r="AL72" s="577">
        <f t="shared" si="5"/>
        <v>13492198.19824454</v>
      </c>
      <c r="AM72" s="577">
        <f t="shared" si="5"/>
        <v>1612851.8528375023</v>
      </c>
      <c r="AN72" s="577">
        <f t="shared" si="5"/>
        <v>1726452.6821710723</v>
      </c>
      <c r="AO72" s="577">
        <f t="shared" si="5"/>
        <v>2552321.0662177214</v>
      </c>
      <c r="AP72" s="577">
        <f t="shared" si="5"/>
        <v>2668198.0885434458</v>
      </c>
      <c r="AQ72" s="577">
        <f t="shared" si="5"/>
        <v>2784092.9572302438</v>
      </c>
      <c r="AR72" s="577">
        <f t="shared" si="5"/>
        <v>2900005.7287765201</v>
      </c>
      <c r="AS72" s="577">
        <f t="shared" si="5"/>
        <v>3015936.4598595416</v>
      </c>
      <c r="AT72" s="577">
        <f t="shared" si="5"/>
        <v>3131885.2073360044</v>
      </c>
      <c r="AU72" s="577">
        <f t="shared" si="5"/>
        <v>3247852.0282426053</v>
      </c>
      <c r="AV72" s="577">
        <f t="shared" si="5"/>
        <v>3363836.9797966066</v>
      </c>
      <c r="AW72" s="577">
        <f t="shared" si="5"/>
        <v>4187608.6021057311</v>
      </c>
      <c r="AX72" s="577">
        <f t="shared" si="5"/>
        <v>4305870.6563840322</v>
      </c>
      <c r="AY72" s="577">
        <f t="shared" si="5"/>
        <v>35496912.30950103</v>
      </c>
      <c r="AZ72" s="577">
        <f t="shared" si="5"/>
        <v>3231348.5818328294</v>
      </c>
      <c r="BA72" s="577">
        <f t="shared" si="5"/>
        <v>3352950.5768736689</v>
      </c>
      <c r="BB72" s="577">
        <f t="shared" si="5"/>
        <v>4525272.0020708563</v>
      </c>
      <c r="BC72" s="577">
        <f t="shared" si="5"/>
        <v>4650214.6454613768</v>
      </c>
      <c r="BD72" s="577">
        <f t="shared" si="5"/>
        <v>4775193.3217790518</v>
      </c>
      <c r="BE72" s="577">
        <f t="shared" si="5"/>
        <v>4900208.1430488015</v>
      </c>
      <c r="BF72" s="577">
        <f t="shared" si="5"/>
        <v>5025259.2216439433</v>
      </c>
      <c r="BG72" s="577">
        <f t="shared" si="5"/>
        <v>5150346.670287285</v>
      </c>
      <c r="BH72" s="577">
        <f t="shared" si="5"/>
        <v>5275470.6020522024</v>
      </c>
      <c r="BI72" s="577">
        <f t="shared" si="5"/>
        <v>5400631.1303637372</v>
      </c>
      <c r="BJ72" s="577">
        <f t="shared" si="5"/>
        <v>6569974.15487401</v>
      </c>
      <c r="BK72" s="577">
        <f t="shared" si="5"/>
        <v>6698477.1351479413</v>
      </c>
      <c r="BL72" s="577">
        <f t="shared" si="5"/>
        <v>59555346.185435705</v>
      </c>
      <c r="BM72" s="577">
        <f t="shared" si="5"/>
        <v>4722214.3910233062</v>
      </c>
      <c r="BN72" s="577">
        <f t="shared" si="5"/>
        <v>4851229.4660670776</v>
      </c>
      <c r="BO72" s="577">
        <f t="shared" si="5"/>
        <v>6671768.1105165426</v>
      </c>
      <c r="BP72" s="577">
        <f t="shared" si="5"/>
        <v>6806040.2813404808</v>
      </c>
      <c r="BQ72" s="577">
        <f t="shared" si="5"/>
        <v>6940366.9823598219</v>
      </c>
      <c r="BR72" s="577">
        <f t="shared" si="5"/>
        <v>7074748.3801855994</v>
      </c>
      <c r="BS72" s="577">
        <f t="shared" si="5"/>
        <v>7209184.6419383595</v>
      </c>
      <c r="BT72" s="577">
        <f t="shared" si="5"/>
        <v>7343675.9352497263</v>
      </c>
      <c r="BU72" s="577">
        <f t="shared" si="5"/>
        <v>7478222.4282639641</v>
      </c>
      <c r="BV72" s="577">
        <f t="shared" si="5"/>
        <v>7612824.2896395447</v>
      </c>
      <c r="BW72" s="577">
        <f t="shared" si="5"/>
        <v>9428653.9930764288</v>
      </c>
      <c r="BX72" s="577">
        <f t="shared" si="5"/>
        <v>9568515.6324069872</v>
      </c>
      <c r="BY72" s="577">
        <f t="shared" si="5"/>
        <v>85707444.53206785</v>
      </c>
      <c r="CA72" s="61"/>
    </row>
    <row r="73" spans="1:79">
      <c r="B73" s="545" t="s">
        <v>106</v>
      </c>
      <c r="C73" s="545"/>
      <c r="D73" s="579">
        <f t="shared" ref="D73:I73" si="6">D68*$C$77</f>
        <v>0</v>
      </c>
      <c r="E73" s="579">
        <f t="shared" si="6"/>
        <v>8994798.7988296952</v>
      </c>
      <c r="F73" s="579">
        <f t="shared" si="6"/>
        <v>23664608.206334021</v>
      </c>
      <c r="G73" s="579">
        <f t="shared" si="6"/>
        <v>39703564.123623811</v>
      </c>
      <c r="H73" s="579">
        <f t="shared" si="6"/>
        <v>57138296.354711905</v>
      </c>
      <c r="I73" s="579">
        <f t="shared" si="6"/>
        <v>25900253.496699888</v>
      </c>
      <c r="K73" s="545" t="s">
        <v>106</v>
      </c>
      <c r="L73" s="579">
        <f>L68*$C$77</f>
        <v>0</v>
      </c>
      <c r="M73" s="579">
        <f>M68*$C$77</f>
        <v>0</v>
      </c>
      <c r="N73" s="579">
        <f t="shared" ref="N73:BY73" si="7">N68*$C$77</f>
        <v>0</v>
      </c>
      <c r="O73" s="579">
        <f t="shared" si="7"/>
        <v>0</v>
      </c>
      <c r="P73" s="579">
        <f t="shared" si="7"/>
        <v>0</v>
      </c>
      <c r="Q73" s="579">
        <f t="shared" si="7"/>
        <v>0</v>
      </c>
      <c r="R73" s="579">
        <f t="shared" si="7"/>
        <v>0</v>
      </c>
      <c r="S73" s="579">
        <f t="shared" si="7"/>
        <v>0</v>
      </c>
      <c r="T73" s="579">
        <f t="shared" si="7"/>
        <v>0</v>
      </c>
      <c r="U73" s="579">
        <f t="shared" si="7"/>
        <v>0</v>
      </c>
      <c r="V73" s="579">
        <f t="shared" si="7"/>
        <v>0</v>
      </c>
      <c r="W73" s="579">
        <f t="shared" si="7"/>
        <v>0</v>
      </c>
      <c r="X73" s="579">
        <f t="shared" si="7"/>
        <v>0</v>
      </c>
      <c r="Y73" s="579">
        <f t="shared" si="7"/>
        <v>0</v>
      </c>
      <c r="Z73" s="579">
        <f t="shared" si="7"/>
        <v>356936.46027101972</v>
      </c>
      <c r="AA73" s="579">
        <f t="shared" si="7"/>
        <v>428323.75232522358</v>
      </c>
      <c r="AB73" s="579">
        <f t="shared" si="7"/>
        <v>499711.04437942751</v>
      </c>
      <c r="AC73" s="579">
        <f t="shared" si="7"/>
        <v>571098.33643363148</v>
      </c>
      <c r="AD73" s="579">
        <f t="shared" si="7"/>
        <v>642485.62848783552</v>
      </c>
      <c r="AE73" s="579">
        <f t="shared" si="7"/>
        <v>713872.92054203944</v>
      </c>
      <c r="AF73" s="579">
        <f t="shared" si="7"/>
        <v>785260.21259624325</v>
      </c>
      <c r="AG73" s="579">
        <f t="shared" si="7"/>
        <v>856647.50465044717</v>
      </c>
      <c r="AH73" s="579">
        <f t="shared" si="7"/>
        <v>928034.79670465109</v>
      </c>
      <c r="AI73" s="579">
        <f t="shared" si="7"/>
        <v>999422.08875885501</v>
      </c>
      <c r="AJ73" s="579">
        <f t="shared" si="7"/>
        <v>1070809.3808130589</v>
      </c>
      <c r="AK73" s="579">
        <f t="shared" si="7"/>
        <v>1142196.672867263</v>
      </c>
      <c r="AL73" s="579">
        <f t="shared" si="7"/>
        <v>8994798.7988296952</v>
      </c>
      <c r="AM73" s="579">
        <f t="shared" si="7"/>
        <v>1075234.5685583351</v>
      </c>
      <c r="AN73" s="579">
        <f t="shared" si="7"/>
        <v>1150968.4547807151</v>
      </c>
      <c r="AO73" s="579">
        <f t="shared" si="7"/>
        <v>1701547.3774784813</v>
      </c>
      <c r="AP73" s="579">
        <f t="shared" si="7"/>
        <v>1778798.7256956305</v>
      </c>
      <c r="AQ73" s="579">
        <f t="shared" si="7"/>
        <v>1856061.9714868292</v>
      </c>
      <c r="AR73" s="579">
        <f t="shared" si="7"/>
        <v>1933337.1525176801</v>
      </c>
      <c r="AS73" s="579">
        <f t="shared" si="7"/>
        <v>2010624.3065730277</v>
      </c>
      <c r="AT73" s="579">
        <f t="shared" si="7"/>
        <v>2087923.4715573364</v>
      </c>
      <c r="AU73" s="579">
        <f t="shared" si="7"/>
        <v>2165234.6854950706</v>
      </c>
      <c r="AV73" s="579">
        <f t="shared" si="7"/>
        <v>2242557.9865310709</v>
      </c>
      <c r="AW73" s="579">
        <f t="shared" si="7"/>
        <v>2791739.0680704881</v>
      </c>
      <c r="AX73" s="579">
        <f t="shared" si="7"/>
        <v>2870580.4375893548</v>
      </c>
      <c r="AY73" s="579">
        <f t="shared" si="7"/>
        <v>23664608.206334021</v>
      </c>
      <c r="AZ73" s="579">
        <f t="shared" si="7"/>
        <v>2154232.3878885531</v>
      </c>
      <c r="BA73" s="579">
        <f t="shared" si="7"/>
        <v>2235300.3845824464</v>
      </c>
      <c r="BB73" s="579">
        <f t="shared" si="7"/>
        <v>3016848.0013805712</v>
      </c>
      <c r="BC73" s="579">
        <f t="shared" si="7"/>
        <v>3100143.0969742513</v>
      </c>
      <c r="BD73" s="579">
        <f t="shared" si="7"/>
        <v>3183462.214519368</v>
      </c>
      <c r="BE73" s="579">
        <f t="shared" si="7"/>
        <v>3266805.428699201</v>
      </c>
      <c r="BF73" s="579">
        <f t="shared" si="7"/>
        <v>3350172.8144292962</v>
      </c>
      <c r="BG73" s="579">
        <f t="shared" si="7"/>
        <v>3433564.44685819</v>
      </c>
      <c r="BH73" s="579">
        <f t="shared" si="7"/>
        <v>3516980.4013681356</v>
      </c>
      <c r="BI73" s="579">
        <f t="shared" si="7"/>
        <v>3600420.7535758251</v>
      </c>
      <c r="BJ73" s="579">
        <f t="shared" si="7"/>
        <v>4379982.7699160073</v>
      </c>
      <c r="BK73" s="579">
        <f t="shared" si="7"/>
        <v>4465651.4234319618</v>
      </c>
      <c r="BL73" s="579">
        <f t="shared" si="7"/>
        <v>39703564.123623811</v>
      </c>
      <c r="BM73" s="579">
        <f t="shared" si="7"/>
        <v>3148142.9273488712</v>
      </c>
      <c r="BN73" s="579">
        <f t="shared" si="7"/>
        <v>3234152.9773780517</v>
      </c>
      <c r="BO73" s="579">
        <f t="shared" si="7"/>
        <v>4447845.4070110284</v>
      </c>
      <c r="BP73" s="579">
        <f t="shared" si="7"/>
        <v>4537360.1875603208</v>
      </c>
      <c r="BQ73" s="579">
        <f t="shared" si="7"/>
        <v>4626911.3215732155</v>
      </c>
      <c r="BR73" s="579">
        <f t="shared" si="7"/>
        <v>4716498.9201237326</v>
      </c>
      <c r="BS73" s="579">
        <f t="shared" si="7"/>
        <v>4806123.0946255727</v>
      </c>
      <c r="BT73" s="579">
        <f t="shared" si="7"/>
        <v>4895783.9568331512</v>
      </c>
      <c r="BU73" s="579">
        <f t="shared" si="7"/>
        <v>4985481.6188426428</v>
      </c>
      <c r="BV73" s="579">
        <f t="shared" si="7"/>
        <v>5075216.1930930307</v>
      </c>
      <c r="BW73" s="579">
        <f t="shared" si="7"/>
        <v>6285769.3287176201</v>
      </c>
      <c r="BX73" s="579">
        <f t="shared" si="7"/>
        <v>6379010.4216046585</v>
      </c>
      <c r="BY73" s="579">
        <f t="shared" si="7"/>
        <v>57138296.354711905</v>
      </c>
      <c r="CA73" s="61"/>
    </row>
    <row r="74" spans="1:79">
      <c r="CA74" s="61"/>
    </row>
    <row r="75" spans="1:79">
      <c r="B75" s="541" t="s">
        <v>105</v>
      </c>
      <c r="C75" s="541"/>
      <c r="CA75" s="61"/>
    </row>
    <row r="76" spans="1:79">
      <c r="B76" s="571" t="s">
        <v>63</v>
      </c>
      <c r="C76" s="572">
        <v>0.6</v>
      </c>
      <c r="CA76" s="61"/>
    </row>
    <row r="77" spans="1:79">
      <c r="B77" s="573" t="s">
        <v>64</v>
      </c>
      <c r="C77" s="574">
        <v>0.4</v>
      </c>
      <c r="CA77" s="61"/>
    </row>
    <row r="78" spans="1:79">
      <c r="CA78" s="61"/>
    </row>
    <row r="79" spans="1:79">
      <c r="CA79" s="61"/>
    </row>
    <row r="80" spans="1:79" customFormat="1">
      <c r="A80" s="48"/>
      <c r="B80" s="642" t="s">
        <v>339</v>
      </c>
      <c r="C80" s="643"/>
      <c r="D80" s="643">
        <v>0</v>
      </c>
      <c r="E80" s="643">
        <v>0</v>
      </c>
      <c r="F80" s="643">
        <v>0</v>
      </c>
      <c r="G80" s="643">
        <v>0</v>
      </c>
      <c r="H80" s="643">
        <v>0</v>
      </c>
      <c r="I80" s="643">
        <v>0</v>
      </c>
      <c r="K80" s="642" t="s">
        <v>339</v>
      </c>
      <c r="L80" s="643"/>
      <c r="M80" s="643"/>
      <c r="N80" s="643"/>
      <c r="O80" s="643"/>
      <c r="P80" s="643"/>
      <c r="Q80" s="643"/>
      <c r="R80" s="643"/>
      <c r="S80" s="643"/>
      <c r="T80" s="643"/>
      <c r="U80" s="643"/>
      <c r="V80" s="643"/>
      <c r="W80" s="643"/>
      <c r="X80" s="643"/>
      <c r="Y80" s="643"/>
      <c r="Z80" s="643"/>
      <c r="AA80" s="643"/>
      <c r="AB80" s="643"/>
      <c r="AC80" s="643"/>
      <c r="AD80" s="643"/>
      <c r="AE80" s="643"/>
      <c r="AF80" s="643"/>
      <c r="AG80" s="643"/>
      <c r="AH80" s="643"/>
      <c r="AI80" s="643"/>
      <c r="AJ80" s="643"/>
      <c r="AK80" s="643"/>
      <c r="AL80" s="643"/>
      <c r="AM80" s="643"/>
      <c r="AN80" s="643"/>
      <c r="AO80" s="643"/>
      <c r="AP80" s="643"/>
      <c r="AQ80" s="643"/>
      <c r="AR80" s="643"/>
      <c r="AS80" s="643"/>
      <c r="AT80" s="643"/>
      <c r="AU80" s="643"/>
      <c r="AV80" s="643"/>
      <c r="AW80" s="643"/>
      <c r="AX80" s="643"/>
      <c r="AY80" s="643"/>
      <c r="AZ80" s="643"/>
      <c r="BA80" s="643"/>
      <c r="BB80" s="643"/>
      <c r="BC80" s="643"/>
      <c r="BD80" s="643"/>
      <c r="BE80" s="643"/>
      <c r="BF80" s="643"/>
      <c r="BG80" s="643"/>
      <c r="BH80" s="643"/>
      <c r="BI80" s="643"/>
      <c r="BJ80" s="643"/>
      <c r="BK80" s="643"/>
      <c r="BL80" s="643"/>
      <c r="BM80" s="643"/>
      <c r="BN80" s="643"/>
      <c r="BO80" s="643"/>
      <c r="BP80" s="643"/>
      <c r="BQ80" s="643"/>
      <c r="BR80" s="643"/>
      <c r="BS80" s="643"/>
      <c r="BT80" s="643"/>
      <c r="BU80" s="643"/>
      <c r="BV80" s="643"/>
      <c r="BW80" s="643"/>
      <c r="BX80" s="643"/>
      <c r="BY80" s="643"/>
      <c r="CA80" s="64"/>
    </row>
    <row r="81" spans="1:79" customFormat="1">
      <c r="A81" s="48"/>
      <c r="B81" s="542" t="s">
        <v>275</v>
      </c>
      <c r="C81" s="577"/>
      <c r="D81" s="577">
        <v>0</v>
      </c>
      <c r="E81" s="577">
        <v>65.934065934065941</v>
      </c>
      <c r="F81" s="577">
        <v>65.934065934065941</v>
      </c>
      <c r="G81" s="577">
        <v>65.934065934065956</v>
      </c>
      <c r="H81" s="577">
        <v>65.934065934065984</v>
      </c>
      <c r="I81" s="577">
        <v>52.747252747252766</v>
      </c>
      <c r="K81" s="542" t="s">
        <v>275</v>
      </c>
      <c r="L81" s="577"/>
      <c r="M81" s="577">
        <v>0</v>
      </c>
      <c r="N81" s="577">
        <v>0</v>
      </c>
      <c r="O81" s="577">
        <v>0</v>
      </c>
      <c r="P81" s="577">
        <v>0</v>
      </c>
      <c r="Q81" s="577">
        <v>0</v>
      </c>
      <c r="R81" s="577">
        <v>0</v>
      </c>
      <c r="S81" s="577">
        <v>0</v>
      </c>
      <c r="T81" s="577">
        <v>0</v>
      </c>
      <c r="U81" s="577">
        <v>0</v>
      </c>
      <c r="V81" s="577">
        <v>0</v>
      </c>
      <c r="W81" s="577">
        <v>0</v>
      </c>
      <c r="X81" s="577">
        <v>0</v>
      </c>
      <c r="Y81" s="577">
        <v>0</v>
      </c>
      <c r="Z81" s="577">
        <v>65.934065934065927</v>
      </c>
      <c r="AA81" s="577">
        <v>65.934065934065927</v>
      </c>
      <c r="AB81" s="577">
        <v>65.934065934065927</v>
      </c>
      <c r="AC81" s="577">
        <v>65.934065934065927</v>
      </c>
      <c r="AD81" s="577">
        <v>65.934065934065927</v>
      </c>
      <c r="AE81" s="577">
        <v>65.934065934065927</v>
      </c>
      <c r="AF81" s="577">
        <v>65.934065934065927</v>
      </c>
      <c r="AG81" s="577">
        <v>65.934065934065927</v>
      </c>
      <c r="AH81" s="577">
        <v>65.934065934065927</v>
      </c>
      <c r="AI81" s="577">
        <v>65.934065934065927</v>
      </c>
      <c r="AJ81" s="577">
        <v>65.934065934065927</v>
      </c>
      <c r="AK81" s="577">
        <v>65.934065934065927</v>
      </c>
      <c r="AL81" s="577">
        <v>65.934065934065941</v>
      </c>
      <c r="AM81" s="577">
        <v>65.934065934065927</v>
      </c>
      <c r="AN81" s="577">
        <v>65.934065934065927</v>
      </c>
      <c r="AO81" s="577">
        <v>65.934065934065927</v>
      </c>
      <c r="AP81" s="577">
        <v>65.934065934065927</v>
      </c>
      <c r="AQ81" s="577">
        <v>65.934065934065927</v>
      </c>
      <c r="AR81" s="577">
        <v>65.934065934065927</v>
      </c>
      <c r="AS81" s="577">
        <v>65.934065934065927</v>
      </c>
      <c r="AT81" s="577">
        <v>65.934065934065927</v>
      </c>
      <c r="AU81" s="577">
        <v>65.934065934065927</v>
      </c>
      <c r="AV81" s="577">
        <v>65.934065934065927</v>
      </c>
      <c r="AW81" s="577">
        <v>65.934065934065927</v>
      </c>
      <c r="AX81" s="577">
        <v>65.934065934065927</v>
      </c>
      <c r="AY81" s="577">
        <v>65.934065934065941</v>
      </c>
      <c r="AZ81" s="577">
        <v>65.934065934065927</v>
      </c>
      <c r="BA81" s="577">
        <v>65.934065934065927</v>
      </c>
      <c r="BB81" s="577">
        <v>65.934065934065927</v>
      </c>
      <c r="BC81" s="577">
        <v>65.934065934065927</v>
      </c>
      <c r="BD81" s="577">
        <v>65.934065934065927</v>
      </c>
      <c r="BE81" s="577">
        <v>65.934065934065927</v>
      </c>
      <c r="BF81" s="577">
        <v>65.934065934065984</v>
      </c>
      <c r="BG81" s="577">
        <v>65.934065934065984</v>
      </c>
      <c r="BH81" s="577">
        <v>65.934065934065984</v>
      </c>
      <c r="BI81" s="577">
        <v>65.934065934065984</v>
      </c>
      <c r="BJ81" s="577">
        <v>65.934065934065984</v>
      </c>
      <c r="BK81" s="577">
        <v>65.934065934065984</v>
      </c>
      <c r="BL81" s="577">
        <v>65.934065934065956</v>
      </c>
      <c r="BM81" s="577">
        <v>65.934065934065984</v>
      </c>
      <c r="BN81" s="577">
        <v>65.934065934065984</v>
      </c>
      <c r="BO81" s="577">
        <v>65.934065934065984</v>
      </c>
      <c r="BP81" s="577">
        <v>65.934065934065984</v>
      </c>
      <c r="BQ81" s="577">
        <v>65.934065934065984</v>
      </c>
      <c r="BR81" s="577">
        <v>65.934065934065984</v>
      </c>
      <c r="BS81" s="577">
        <v>65.934065934065984</v>
      </c>
      <c r="BT81" s="577">
        <v>65.934065934065984</v>
      </c>
      <c r="BU81" s="577">
        <v>65.934065934065984</v>
      </c>
      <c r="BV81" s="577">
        <v>65.934065934065984</v>
      </c>
      <c r="BW81" s="577">
        <v>65.934065934065984</v>
      </c>
      <c r="BX81" s="577">
        <v>65.934065934065984</v>
      </c>
      <c r="BY81" s="577">
        <v>65.934065934065984</v>
      </c>
      <c r="CA81" s="64"/>
    </row>
    <row r="82" spans="1:79" customFormat="1">
      <c r="A82" s="48"/>
      <c r="B82" s="542" t="s">
        <v>75</v>
      </c>
      <c r="C82" s="577"/>
      <c r="D82" s="577">
        <v>0</v>
      </c>
      <c r="E82" s="577">
        <v>65.934065934065956</v>
      </c>
      <c r="F82" s="577">
        <v>65.934065934065956</v>
      </c>
      <c r="G82" s="577">
        <v>65.93406593406597</v>
      </c>
      <c r="H82" s="577">
        <v>65.934065934065998</v>
      </c>
      <c r="I82" s="577">
        <v>52.747252747252773</v>
      </c>
      <c r="K82" s="542" t="s">
        <v>75</v>
      </c>
      <c r="L82" s="577"/>
      <c r="M82" s="577">
        <v>0</v>
      </c>
      <c r="N82" s="577">
        <v>0</v>
      </c>
      <c r="O82" s="577">
        <v>0</v>
      </c>
      <c r="P82" s="577">
        <v>0</v>
      </c>
      <c r="Q82" s="577">
        <v>0</v>
      </c>
      <c r="R82" s="577">
        <v>0</v>
      </c>
      <c r="S82" s="577">
        <v>0</v>
      </c>
      <c r="T82" s="577">
        <v>0</v>
      </c>
      <c r="U82" s="577">
        <v>0</v>
      </c>
      <c r="V82" s="577">
        <v>0</v>
      </c>
      <c r="W82" s="577">
        <v>0</v>
      </c>
      <c r="X82" s="577">
        <v>0</v>
      </c>
      <c r="Y82" s="577">
        <v>0</v>
      </c>
      <c r="Z82" s="577">
        <v>65.934065934065941</v>
      </c>
      <c r="AA82" s="577">
        <v>65.934065934065941</v>
      </c>
      <c r="AB82" s="577">
        <v>65.934065934065941</v>
      </c>
      <c r="AC82" s="577">
        <v>65.934065934065941</v>
      </c>
      <c r="AD82" s="577">
        <v>65.934065934065941</v>
      </c>
      <c r="AE82" s="577">
        <v>65.934065934065941</v>
      </c>
      <c r="AF82" s="577">
        <v>65.934065934065941</v>
      </c>
      <c r="AG82" s="577">
        <v>65.934065934065941</v>
      </c>
      <c r="AH82" s="577">
        <v>65.934065934065941</v>
      </c>
      <c r="AI82" s="577">
        <v>65.934065934065941</v>
      </c>
      <c r="AJ82" s="577">
        <v>65.934065934065941</v>
      </c>
      <c r="AK82" s="577">
        <v>65.934065934065941</v>
      </c>
      <c r="AL82" s="577">
        <v>65.934065934065956</v>
      </c>
      <c r="AM82" s="577">
        <v>65.934065934065941</v>
      </c>
      <c r="AN82" s="577">
        <v>65.934065934065941</v>
      </c>
      <c r="AO82" s="577">
        <v>65.934065934065941</v>
      </c>
      <c r="AP82" s="577">
        <v>65.934065934065941</v>
      </c>
      <c r="AQ82" s="577">
        <v>65.934065934065941</v>
      </c>
      <c r="AR82" s="577">
        <v>65.934065934065941</v>
      </c>
      <c r="AS82" s="577">
        <v>65.934065934065941</v>
      </c>
      <c r="AT82" s="577">
        <v>65.934065934065941</v>
      </c>
      <c r="AU82" s="577">
        <v>65.934065934065941</v>
      </c>
      <c r="AV82" s="577">
        <v>65.934065934065941</v>
      </c>
      <c r="AW82" s="577">
        <v>65.934065934065941</v>
      </c>
      <c r="AX82" s="577">
        <v>65.934065934065941</v>
      </c>
      <c r="AY82" s="577">
        <v>65.934065934065956</v>
      </c>
      <c r="AZ82" s="577">
        <v>65.934065934065941</v>
      </c>
      <c r="BA82" s="577">
        <v>65.934065934065941</v>
      </c>
      <c r="BB82" s="577">
        <v>65.934065934065941</v>
      </c>
      <c r="BC82" s="577">
        <v>65.934065934065941</v>
      </c>
      <c r="BD82" s="577">
        <v>65.934065934065941</v>
      </c>
      <c r="BE82" s="577">
        <v>65.934065934065941</v>
      </c>
      <c r="BF82" s="577">
        <v>65.934065934065998</v>
      </c>
      <c r="BG82" s="577">
        <v>65.934065934065998</v>
      </c>
      <c r="BH82" s="577">
        <v>65.934065934065998</v>
      </c>
      <c r="BI82" s="577">
        <v>65.934065934065998</v>
      </c>
      <c r="BJ82" s="577">
        <v>65.934065934065998</v>
      </c>
      <c r="BK82" s="577">
        <v>65.934065934065998</v>
      </c>
      <c r="BL82" s="577">
        <v>65.93406593406597</v>
      </c>
      <c r="BM82" s="577">
        <v>65.934065934065998</v>
      </c>
      <c r="BN82" s="577">
        <v>65.934065934065998</v>
      </c>
      <c r="BO82" s="577">
        <v>65.934065934065998</v>
      </c>
      <c r="BP82" s="577">
        <v>65.934065934065998</v>
      </c>
      <c r="BQ82" s="577">
        <v>65.934065934065998</v>
      </c>
      <c r="BR82" s="577">
        <v>65.934065934065998</v>
      </c>
      <c r="BS82" s="577">
        <v>65.934065934065998</v>
      </c>
      <c r="BT82" s="577">
        <v>65.934065934065998</v>
      </c>
      <c r="BU82" s="577">
        <v>65.934065934065998</v>
      </c>
      <c r="BV82" s="577">
        <v>65.934065934065998</v>
      </c>
      <c r="BW82" s="577">
        <v>65.934065934065998</v>
      </c>
      <c r="BX82" s="577">
        <v>65.934065934065998</v>
      </c>
      <c r="BY82" s="577">
        <v>65.934065934065998</v>
      </c>
      <c r="CA82" s="64"/>
    </row>
    <row r="83" spans="1:79" customFormat="1">
      <c r="A83" s="48"/>
      <c r="B83" s="575" t="s">
        <v>340</v>
      </c>
      <c r="C83" s="576"/>
      <c r="D83" s="576">
        <v>0</v>
      </c>
      <c r="E83" s="576">
        <v>892341.1506775493</v>
      </c>
      <c r="F83" s="576">
        <v>918665.21462253691</v>
      </c>
      <c r="G83" s="576">
        <v>944571.57367489289</v>
      </c>
      <c r="H83" s="576">
        <v>970075.00616411504</v>
      </c>
      <c r="I83" s="576">
        <v>745130.58902781887</v>
      </c>
      <c r="J83" s="153"/>
      <c r="K83" s="575" t="s">
        <v>340</v>
      </c>
      <c r="L83" s="576"/>
      <c r="M83" s="576">
        <v>0</v>
      </c>
      <c r="N83" s="576">
        <v>0</v>
      </c>
      <c r="O83" s="576">
        <v>0</v>
      </c>
      <c r="P83" s="576">
        <v>0</v>
      </c>
      <c r="Q83" s="576">
        <v>0</v>
      </c>
      <c r="R83" s="576">
        <v>0</v>
      </c>
      <c r="S83" s="576">
        <v>0</v>
      </c>
      <c r="T83" s="576">
        <v>0</v>
      </c>
      <c r="U83" s="576">
        <v>0</v>
      </c>
      <c r="V83" s="576">
        <v>0</v>
      </c>
      <c r="W83" s="576">
        <v>0</v>
      </c>
      <c r="X83" s="576">
        <v>0</v>
      </c>
      <c r="Y83" s="576">
        <v>0</v>
      </c>
      <c r="Z83" s="576">
        <v>892341.15067754919</v>
      </c>
      <c r="AA83" s="576">
        <v>892341.15067754919</v>
      </c>
      <c r="AB83" s="576">
        <v>892341.15067754919</v>
      </c>
      <c r="AC83" s="576">
        <v>892341.15067754919</v>
      </c>
      <c r="AD83" s="576">
        <v>892341.15067754919</v>
      </c>
      <c r="AE83" s="576">
        <v>892341.15067754919</v>
      </c>
      <c r="AF83" s="576">
        <v>892341.15067754919</v>
      </c>
      <c r="AG83" s="576">
        <v>892341.15067754919</v>
      </c>
      <c r="AH83" s="576">
        <v>892341.15067754919</v>
      </c>
      <c r="AI83" s="576">
        <v>892341.15067754919</v>
      </c>
      <c r="AJ83" s="576">
        <v>892341.15067754919</v>
      </c>
      <c r="AK83" s="576">
        <v>892341.15067754919</v>
      </c>
      <c r="AL83" s="576">
        <v>892341.1506775493</v>
      </c>
      <c r="AM83" s="576">
        <v>918665.21462253691</v>
      </c>
      <c r="AN83" s="576">
        <v>918665.21462253691</v>
      </c>
      <c r="AO83" s="576">
        <v>918665.21462253691</v>
      </c>
      <c r="AP83" s="576">
        <v>918665.21462253691</v>
      </c>
      <c r="AQ83" s="576">
        <v>918665.21462253691</v>
      </c>
      <c r="AR83" s="576">
        <v>918665.21462253691</v>
      </c>
      <c r="AS83" s="576">
        <v>918665.21462253691</v>
      </c>
      <c r="AT83" s="576">
        <v>918665.21462253691</v>
      </c>
      <c r="AU83" s="576">
        <v>918665.21462253691</v>
      </c>
      <c r="AV83" s="576">
        <v>918665.21462253691</v>
      </c>
      <c r="AW83" s="576">
        <v>918665.21462253691</v>
      </c>
      <c r="AX83" s="576">
        <v>918665.21462253691</v>
      </c>
      <c r="AY83" s="576">
        <v>918665.21462253691</v>
      </c>
      <c r="AZ83" s="576">
        <v>944571.57367489254</v>
      </c>
      <c r="BA83" s="576">
        <v>944571.57367489254</v>
      </c>
      <c r="BB83" s="576">
        <v>944571.57367489254</v>
      </c>
      <c r="BC83" s="576">
        <v>944571.57367489254</v>
      </c>
      <c r="BD83" s="576">
        <v>944571.57367489254</v>
      </c>
      <c r="BE83" s="576">
        <v>944571.57367489254</v>
      </c>
      <c r="BF83" s="576">
        <v>944571.57367489336</v>
      </c>
      <c r="BG83" s="576">
        <v>944571.57367489336</v>
      </c>
      <c r="BH83" s="576">
        <v>944571.57367489336</v>
      </c>
      <c r="BI83" s="576">
        <v>944571.57367489336</v>
      </c>
      <c r="BJ83" s="576">
        <v>944571.57367489336</v>
      </c>
      <c r="BK83" s="576">
        <v>944571.57367489336</v>
      </c>
      <c r="BL83" s="576">
        <v>944571.57367489289</v>
      </c>
      <c r="BM83" s="576">
        <v>970075.00616411527</v>
      </c>
      <c r="BN83" s="576">
        <v>970075.00616411527</v>
      </c>
      <c r="BO83" s="576">
        <v>970075.00616411527</v>
      </c>
      <c r="BP83" s="576">
        <v>970075.00616411527</v>
      </c>
      <c r="BQ83" s="576">
        <v>970075.00616411527</v>
      </c>
      <c r="BR83" s="576">
        <v>970075.00616411527</v>
      </c>
      <c r="BS83" s="576">
        <v>970075.00616411527</v>
      </c>
      <c r="BT83" s="576">
        <v>970075.00616411527</v>
      </c>
      <c r="BU83" s="576">
        <v>970075.00616411527</v>
      </c>
      <c r="BV83" s="576">
        <v>970075.00616411527</v>
      </c>
      <c r="BW83" s="576">
        <v>970075.00616411527</v>
      </c>
      <c r="BX83" s="576">
        <v>970075.00616411527</v>
      </c>
      <c r="BY83" s="576">
        <v>970075.00616411504</v>
      </c>
      <c r="CA83" s="64"/>
    </row>
    <row r="84" spans="1:79" customFormat="1">
      <c r="A84" s="48"/>
      <c r="B84" s="542" t="s">
        <v>276</v>
      </c>
      <c r="C84" s="577"/>
      <c r="D84" s="577">
        <v>0</v>
      </c>
      <c r="E84" s="577">
        <v>858294.46015545528</v>
      </c>
      <c r="F84" s="577">
        <v>883614.14673004113</v>
      </c>
      <c r="G84" s="577">
        <v>908532.06566782866</v>
      </c>
      <c r="H84" s="577">
        <v>933062.43144086015</v>
      </c>
      <c r="I84" s="577">
        <v>716700.62079883704</v>
      </c>
      <c r="K84" s="542" t="s">
        <v>276</v>
      </c>
      <c r="L84" s="577"/>
      <c r="M84" s="577">
        <v>0</v>
      </c>
      <c r="N84" s="577">
        <v>0</v>
      </c>
      <c r="O84" s="577">
        <v>0</v>
      </c>
      <c r="P84" s="577">
        <v>0</v>
      </c>
      <c r="Q84" s="577">
        <v>0</v>
      </c>
      <c r="R84" s="577">
        <v>0</v>
      </c>
      <c r="S84" s="577">
        <v>0</v>
      </c>
      <c r="T84" s="577">
        <v>0</v>
      </c>
      <c r="U84" s="577">
        <v>0</v>
      </c>
      <c r="V84" s="577">
        <v>0</v>
      </c>
      <c r="W84" s="577">
        <v>0</v>
      </c>
      <c r="X84" s="577">
        <v>0</v>
      </c>
      <c r="Y84" s="577">
        <v>0</v>
      </c>
      <c r="Z84" s="577">
        <v>858294.46015545516</v>
      </c>
      <c r="AA84" s="577">
        <v>858294.46015545516</v>
      </c>
      <c r="AB84" s="577">
        <v>858294.46015545516</v>
      </c>
      <c r="AC84" s="577">
        <v>858294.46015545516</v>
      </c>
      <c r="AD84" s="577">
        <v>858294.46015545516</v>
      </c>
      <c r="AE84" s="577">
        <v>858294.46015545516</v>
      </c>
      <c r="AF84" s="577">
        <v>858294.46015545516</v>
      </c>
      <c r="AG84" s="577">
        <v>858294.46015545516</v>
      </c>
      <c r="AH84" s="577">
        <v>858294.46015545516</v>
      </c>
      <c r="AI84" s="577">
        <v>858294.46015545516</v>
      </c>
      <c r="AJ84" s="577">
        <v>858294.46015545516</v>
      </c>
      <c r="AK84" s="577">
        <v>858294.46015545516</v>
      </c>
      <c r="AL84" s="577">
        <v>858294.46015545528</v>
      </c>
      <c r="AM84" s="577">
        <v>883614.14673004113</v>
      </c>
      <c r="AN84" s="577">
        <v>883614.14673004113</v>
      </c>
      <c r="AO84" s="577">
        <v>883614.14673004113</v>
      </c>
      <c r="AP84" s="577">
        <v>883614.14673004113</v>
      </c>
      <c r="AQ84" s="577">
        <v>883614.14673004113</v>
      </c>
      <c r="AR84" s="577">
        <v>883614.14673004113</v>
      </c>
      <c r="AS84" s="577">
        <v>883614.14673004113</v>
      </c>
      <c r="AT84" s="577">
        <v>883614.14673004113</v>
      </c>
      <c r="AU84" s="577">
        <v>883614.14673004113</v>
      </c>
      <c r="AV84" s="577">
        <v>883614.14673004113</v>
      </c>
      <c r="AW84" s="577">
        <v>883614.14673004113</v>
      </c>
      <c r="AX84" s="577">
        <v>883614.14673004113</v>
      </c>
      <c r="AY84" s="577">
        <v>883614.14673004113</v>
      </c>
      <c r="AZ84" s="577">
        <v>908532.06566782831</v>
      </c>
      <c r="BA84" s="577">
        <v>908532.06566782831</v>
      </c>
      <c r="BB84" s="577">
        <v>908532.06566782831</v>
      </c>
      <c r="BC84" s="577">
        <v>908532.06566782831</v>
      </c>
      <c r="BD84" s="577">
        <v>908532.06566782831</v>
      </c>
      <c r="BE84" s="577">
        <v>908532.06566782831</v>
      </c>
      <c r="BF84" s="577">
        <v>908532.06566782913</v>
      </c>
      <c r="BG84" s="577">
        <v>908532.06566782913</v>
      </c>
      <c r="BH84" s="577">
        <v>908532.06566782913</v>
      </c>
      <c r="BI84" s="577">
        <v>908532.06566782913</v>
      </c>
      <c r="BJ84" s="577">
        <v>908532.06566782913</v>
      </c>
      <c r="BK84" s="577">
        <v>908532.06566782913</v>
      </c>
      <c r="BL84" s="577">
        <v>908532.06566782866</v>
      </c>
      <c r="BM84" s="577">
        <v>933062.43144086038</v>
      </c>
      <c r="BN84" s="577">
        <v>933062.43144086038</v>
      </c>
      <c r="BO84" s="577">
        <v>933062.43144086038</v>
      </c>
      <c r="BP84" s="577">
        <v>933062.43144086038</v>
      </c>
      <c r="BQ84" s="577">
        <v>933062.43144086038</v>
      </c>
      <c r="BR84" s="577">
        <v>933062.43144086038</v>
      </c>
      <c r="BS84" s="577">
        <v>933062.43144086038</v>
      </c>
      <c r="BT84" s="577">
        <v>933062.43144086038</v>
      </c>
      <c r="BU84" s="577">
        <v>933062.43144086038</v>
      </c>
      <c r="BV84" s="577">
        <v>933062.43144086038</v>
      </c>
      <c r="BW84" s="577">
        <v>933062.43144086038</v>
      </c>
      <c r="BX84" s="577">
        <v>933062.43144086038</v>
      </c>
      <c r="BY84" s="577">
        <v>933062.43144086015</v>
      </c>
      <c r="CA84" s="64"/>
    </row>
    <row r="85" spans="1:79" customFormat="1">
      <c r="A85" s="48"/>
      <c r="B85" s="545" t="s">
        <v>75</v>
      </c>
      <c r="C85" s="579"/>
      <c r="D85" s="579">
        <v>0</v>
      </c>
      <c r="E85" s="579">
        <v>34046.690522094024</v>
      </c>
      <c r="F85" s="579">
        <v>35051.06789249579</v>
      </c>
      <c r="G85" s="579">
        <v>36039.508007064207</v>
      </c>
      <c r="H85" s="579">
        <v>37012.57472325494</v>
      </c>
      <c r="I85" s="579">
        <v>28429.968228981794</v>
      </c>
      <c r="K85" s="545" t="s">
        <v>75</v>
      </c>
      <c r="L85" s="579"/>
      <c r="M85" s="579">
        <v>0</v>
      </c>
      <c r="N85" s="579">
        <v>0</v>
      </c>
      <c r="O85" s="579">
        <v>0</v>
      </c>
      <c r="P85" s="579">
        <v>0</v>
      </c>
      <c r="Q85" s="579">
        <v>0</v>
      </c>
      <c r="R85" s="579">
        <v>0</v>
      </c>
      <c r="S85" s="579">
        <v>0</v>
      </c>
      <c r="T85" s="579">
        <v>0</v>
      </c>
      <c r="U85" s="579">
        <v>0</v>
      </c>
      <c r="V85" s="579">
        <v>0</v>
      </c>
      <c r="W85" s="579">
        <v>0</v>
      </c>
      <c r="X85" s="579">
        <v>0</v>
      </c>
      <c r="Y85" s="579">
        <v>0</v>
      </c>
      <c r="Z85" s="579">
        <v>34046.690522094024</v>
      </c>
      <c r="AA85" s="579">
        <v>34046.690522094024</v>
      </c>
      <c r="AB85" s="579">
        <v>34046.690522094024</v>
      </c>
      <c r="AC85" s="579">
        <v>34046.690522094024</v>
      </c>
      <c r="AD85" s="579">
        <v>34046.690522094024</v>
      </c>
      <c r="AE85" s="579">
        <v>34046.690522094024</v>
      </c>
      <c r="AF85" s="579">
        <v>34046.690522094024</v>
      </c>
      <c r="AG85" s="579">
        <v>34046.690522094024</v>
      </c>
      <c r="AH85" s="579">
        <v>34046.690522094024</v>
      </c>
      <c r="AI85" s="579">
        <v>34046.690522094024</v>
      </c>
      <c r="AJ85" s="579">
        <v>34046.690522094024</v>
      </c>
      <c r="AK85" s="579">
        <v>34046.690522094024</v>
      </c>
      <c r="AL85" s="579">
        <v>34046.690522094024</v>
      </c>
      <c r="AM85" s="579">
        <v>35051.067892495797</v>
      </c>
      <c r="AN85" s="579">
        <v>35051.067892495797</v>
      </c>
      <c r="AO85" s="579">
        <v>35051.067892495797</v>
      </c>
      <c r="AP85" s="579">
        <v>35051.067892495797</v>
      </c>
      <c r="AQ85" s="579">
        <v>35051.067892495797</v>
      </c>
      <c r="AR85" s="579">
        <v>35051.067892495797</v>
      </c>
      <c r="AS85" s="579">
        <v>35051.067892495797</v>
      </c>
      <c r="AT85" s="579">
        <v>35051.067892495797</v>
      </c>
      <c r="AU85" s="579">
        <v>35051.067892495797</v>
      </c>
      <c r="AV85" s="579">
        <v>35051.067892495797</v>
      </c>
      <c r="AW85" s="579">
        <v>35051.067892495797</v>
      </c>
      <c r="AX85" s="579">
        <v>35051.067892495797</v>
      </c>
      <c r="AY85" s="579">
        <v>35051.06789249579</v>
      </c>
      <c r="AZ85" s="579">
        <v>36039.508007064185</v>
      </c>
      <c r="BA85" s="579">
        <v>36039.508007064185</v>
      </c>
      <c r="BB85" s="579">
        <v>36039.508007064185</v>
      </c>
      <c r="BC85" s="579">
        <v>36039.508007064185</v>
      </c>
      <c r="BD85" s="579">
        <v>36039.508007064185</v>
      </c>
      <c r="BE85" s="579">
        <v>36039.508007064185</v>
      </c>
      <c r="BF85" s="579">
        <v>36039.508007064214</v>
      </c>
      <c r="BG85" s="579">
        <v>36039.508007064214</v>
      </c>
      <c r="BH85" s="579">
        <v>36039.508007064214</v>
      </c>
      <c r="BI85" s="579">
        <v>36039.508007064214</v>
      </c>
      <c r="BJ85" s="579">
        <v>36039.508007064214</v>
      </c>
      <c r="BK85" s="579">
        <v>36039.508007064214</v>
      </c>
      <c r="BL85" s="579">
        <v>36039.508007064207</v>
      </c>
      <c r="BM85" s="579">
        <v>37012.57472325494</v>
      </c>
      <c r="BN85" s="579">
        <v>37012.57472325494</v>
      </c>
      <c r="BO85" s="579">
        <v>37012.57472325494</v>
      </c>
      <c r="BP85" s="579">
        <v>37012.57472325494</v>
      </c>
      <c r="BQ85" s="579">
        <v>37012.57472325494</v>
      </c>
      <c r="BR85" s="579">
        <v>37012.57472325494</v>
      </c>
      <c r="BS85" s="579">
        <v>37012.57472325494</v>
      </c>
      <c r="BT85" s="579">
        <v>37012.57472325494</v>
      </c>
      <c r="BU85" s="579">
        <v>37012.57472325494</v>
      </c>
      <c r="BV85" s="579">
        <v>37012.57472325494</v>
      </c>
      <c r="BW85" s="579">
        <v>37012.57472325494</v>
      </c>
      <c r="BX85" s="579">
        <v>37012.57472325494</v>
      </c>
      <c r="BY85" s="579">
        <v>37012.57472325494</v>
      </c>
      <c r="CA85" s="64"/>
    </row>
    <row r="86" spans="1:79">
      <c r="CA86" s="61"/>
    </row>
    <row r="87" spans="1:79">
      <c r="CA87" s="61"/>
    </row>
    <row r="88" spans="1:79">
      <c r="CA88" s="61"/>
    </row>
    <row r="89" spans="1:79" customFormat="1">
      <c r="A89" s="48"/>
      <c r="B89" s="539" t="s">
        <v>277</v>
      </c>
      <c r="C89" s="538"/>
      <c r="D89" s="539"/>
      <c r="E89" s="539"/>
      <c r="F89" s="539"/>
      <c r="G89" s="539"/>
      <c r="H89" s="539"/>
      <c r="I89" s="539"/>
      <c r="K89" s="539" t="s">
        <v>278</v>
      </c>
      <c r="L89" s="539"/>
      <c r="M89" s="539"/>
      <c r="N89" s="539"/>
      <c r="O89" s="539"/>
      <c r="P89" s="539"/>
      <c r="Q89" s="539"/>
      <c r="R89" s="539"/>
      <c r="S89" s="539"/>
      <c r="T89" s="539"/>
      <c r="U89" s="539"/>
      <c r="V89" s="539"/>
      <c r="W89" s="539"/>
      <c r="X89" s="539"/>
      <c r="Y89" s="539"/>
      <c r="Z89" s="539"/>
      <c r="AA89" s="539"/>
      <c r="AB89" s="539"/>
      <c r="AC89" s="539"/>
      <c r="AD89" s="539"/>
      <c r="AE89" s="539"/>
      <c r="AF89" s="539"/>
      <c r="AG89" s="539"/>
      <c r="AH89" s="539"/>
      <c r="AI89" s="539"/>
      <c r="AJ89" s="539"/>
      <c r="AK89" s="539"/>
      <c r="AL89" s="539"/>
      <c r="AM89" s="539"/>
      <c r="AN89" s="539"/>
      <c r="AO89" s="539"/>
      <c r="AP89" s="539"/>
      <c r="AQ89" s="539"/>
      <c r="AR89" s="539"/>
      <c r="AS89" s="539"/>
      <c r="AT89" s="539"/>
      <c r="AU89" s="539"/>
      <c r="AV89" s="539"/>
      <c r="AW89" s="539"/>
      <c r="AX89" s="539"/>
      <c r="AY89" s="539"/>
      <c r="AZ89" s="539"/>
      <c r="BA89" s="539"/>
      <c r="BB89" s="539"/>
      <c r="BC89" s="539"/>
      <c r="BD89" s="539"/>
      <c r="BE89" s="539"/>
      <c r="BF89" s="539"/>
      <c r="BG89" s="539"/>
      <c r="BH89" s="539"/>
      <c r="BI89" s="539"/>
      <c r="BJ89" s="539"/>
      <c r="BK89" s="539"/>
      <c r="BL89" s="539"/>
      <c r="BM89" s="539"/>
      <c r="BN89" s="539"/>
      <c r="BO89" s="539"/>
      <c r="BP89" s="539"/>
      <c r="BQ89" s="539"/>
      <c r="BR89" s="539"/>
      <c r="BS89" s="539"/>
      <c r="BT89" s="539"/>
      <c r="BU89" s="539"/>
      <c r="BV89" s="539"/>
      <c r="BW89" s="539"/>
      <c r="BX89" s="539"/>
      <c r="BY89" s="539"/>
      <c r="CA89" s="64"/>
    </row>
    <row r="90" spans="1:79" s="48" customFormat="1">
      <c r="B90" s="563"/>
      <c r="C90" s="646"/>
      <c r="D90" s="648"/>
      <c r="E90" s="648"/>
      <c r="F90" s="648"/>
      <c r="G90" s="648"/>
      <c r="H90" s="648"/>
      <c r="I90" s="648"/>
      <c r="K90" s="563"/>
      <c r="L90" s="649"/>
      <c r="M90" s="648"/>
      <c r="N90" s="648"/>
      <c r="O90" s="648"/>
      <c r="P90" s="648"/>
      <c r="Q90" s="648"/>
      <c r="R90" s="648"/>
      <c r="S90" s="648"/>
      <c r="T90" s="648"/>
      <c r="U90" s="648"/>
      <c r="V90" s="648"/>
      <c r="W90" s="648"/>
      <c r="X90" s="648"/>
      <c r="Y90" s="648"/>
      <c r="Z90" s="648"/>
      <c r="AA90" s="648"/>
      <c r="AB90" s="648"/>
      <c r="AC90" s="648"/>
      <c r="AD90" s="648"/>
      <c r="AE90" s="648"/>
      <c r="AF90" s="648"/>
      <c r="AG90" s="648"/>
      <c r="AH90" s="648"/>
      <c r="AI90" s="648"/>
      <c r="AJ90" s="648"/>
      <c r="AK90" s="648"/>
      <c r="AL90" s="648"/>
      <c r="AM90" s="648"/>
      <c r="AN90" s="648"/>
      <c r="AO90" s="648"/>
      <c r="AP90" s="648"/>
      <c r="AQ90" s="648"/>
      <c r="AR90" s="648"/>
      <c r="AS90" s="648"/>
      <c r="AT90" s="648"/>
      <c r="AU90" s="648"/>
      <c r="AV90" s="648"/>
      <c r="AW90" s="648"/>
      <c r="AX90" s="648"/>
      <c r="AY90" s="648"/>
      <c r="AZ90" s="648"/>
      <c r="BA90" s="648"/>
      <c r="BB90" s="648"/>
      <c r="BC90" s="648"/>
      <c r="BD90" s="648"/>
      <c r="BE90" s="648"/>
      <c r="BF90" s="648"/>
      <c r="BG90" s="648"/>
      <c r="BH90" s="648"/>
      <c r="BI90" s="648"/>
      <c r="BJ90" s="648"/>
      <c r="BK90" s="648"/>
      <c r="BL90" s="648"/>
      <c r="BM90" s="648"/>
      <c r="BN90" s="648"/>
      <c r="BO90" s="648"/>
      <c r="BP90" s="648"/>
      <c r="BQ90" s="648"/>
      <c r="BR90" s="648"/>
      <c r="BS90" s="648"/>
      <c r="BT90" s="648"/>
      <c r="BU90" s="648"/>
      <c r="BV90" s="648"/>
      <c r="BW90" s="648"/>
      <c r="BX90" s="648"/>
      <c r="BY90" s="648"/>
      <c r="CA90" s="64"/>
    </row>
    <row r="91" spans="1:79" customFormat="1">
      <c r="A91" s="48"/>
      <c r="B91" s="541" t="s">
        <v>59</v>
      </c>
      <c r="C91" s="551" t="s">
        <v>60</v>
      </c>
      <c r="D91" s="541" t="s">
        <v>6</v>
      </c>
      <c r="E91" s="541" t="s">
        <v>12</v>
      </c>
      <c r="F91" s="541" t="s">
        <v>13</v>
      </c>
      <c r="G91" s="541" t="s">
        <v>14</v>
      </c>
      <c r="H91" s="541" t="s">
        <v>15</v>
      </c>
      <c r="I91" s="541" t="s">
        <v>57</v>
      </c>
      <c r="K91" s="541" t="s">
        <v>61</v>
      </c>
      <c r="L91" s="541" t="s">
        <v>130</v>
      </c>
      <c r="M91" s="541" t="s">
        <v>131</v>
      </c>
      <c r="N91" s="541" t="s">
        <v>132</v>
      </c>
      <c r="O91" s="541" t="s">
        <v>133</v>
      </c>
      <c r="P91" s="541" t="s">
        <v>134</v>
      </c>
      <c r="Q91" s="541" t="s">
        <v>135</v>
      </c>
      <c r="R91" s="541" t="s">
        <v>136</v>
      </c>
      <c r="S91" s="541" t="s">
        <v>137</v>
      </c>
      <c r="T91" s="541" t="s">
        <v>138</v>
      </c>
      <c r="U91" s="541" t="s">
        <v>139</v>
      </c>
      <c r="V91" s="541" t="s">
        <v>140</v>
      </c>
      <c r="W91" s="541" t="s">
        <v>141</v>
      </c>
      <c r="X91" s="541" t="s">
        <v>142</v>
      </c>
      <c r="Y91" s="541" t="s">
        <v>143</v>
      </c>
      <c r="Z91" s="541" t="s">
        <v>144</v>
      </c>
      <c r="AA91" s="541" t="s">
        <v>145</v>
      </c>
      <c r="AB91" s="541" t="s">
        <v>146</v>
      </c>
      <c r="AC91" s="541" t="s">
        <v>147</v>
      </c>
      <c r="AD91" s="541" t="s">
        <v>148</v>
      </c>
      <c r="AE91" s="541" t="s">
        <v>149</v>
      </c>
      <c r="AF91" s="541" t="s">
        <v>150</v>
      </c>
      <c r="AG91" s="541" t="s">
        <v>151</v>
      </c>
      <c r="AH91" s="541" t="s">
        <v>152</v>
      </c>
      <c r="AI91" s="541" t="s">
        <v>153</v>
      </c>
      <c r="AJ91" s="541" t="s">
        <v>154</v>
      </c>
      <c r="AK91" s="541" t="s">
        <v>155</v>
      </c>
      <c r="AL91" s="541" t="s">
        <v>156</v>
      </c>
      <c r="AM91" s="541" t="s">
        <v>157</v>
      </c>
      <c r="AN91" s="541" t="s">
        <v>158</v>
      </c>
      <c r="AO91" s="541" t="s">
        <v>159</v>
      </c>
      <c r="AP91" s="541" t="s">
        <v>160</v>
      </c>
      <c r="AQ91" s="541" t="s">
        <v>161</v>
      </c>
      <c r="AR91" s="541" t="s">
        <v>162</v>
      </c>
      <c r="AS91" s="541" t="s">
        <v>163</v>
      </c>
      <c r="AT91" s="541" t="s">
        <v>164</v>
      </c>
      <c r="AU91" s="541" t="s">
        <v>165</v>
      </c>
      <c r="AV91" s="541" t="s">
        <v>166</v>
      </c>
      <c r="AW91" s="541" t="s">
        <v>167</v>
      </c>
      <c r="AX91" s="541" t="s">
        <v>168</v>
      </c>
      <c r="AY91" s="541" t="s">
        <v>169</v>
      </c>
      <c r="AZ91" s="541" t="s">
        <v>170</v>
      </c>
      <c r="BA91" s="541" t="s">
        <v>171</v>
      </c>
      <c r="BB91" s="541" t="s">
        <v>172</v>
      </c>
      <c r="BC91" s="541" t="s">
        <v>173</v>
      </c>
      <c r="BD91" s="541" t="s">
        <v>174</v>
      </c>
      <c r="BE91" s="541" t="s">
        <v>175</v>
      </c>
      <c r="BF91" s="541" t="s">
        <v>176</v>
      </c>
      <c r="BG91" s="541" t="s">
        <v>177</v>
      </c>
      <c r="BH91" s="541" t="s">
        <v>178</v>
      </c>
      <c r="BI91" s="541" t="s">
        <v>179</v>
      </c>
      <c r="BJ91" s="541" t="s">
        <v>180</v>
      </c>
      <c r="BK91" s="541" t="s">
        <v>181</v>
      </c>
      <c r="BL91" s="541" t="s">
        <v>182</v>
      </c>
      <c r="BM91" s="541" t="s">
        <v>183</v>
      </c>
      <c r="BN91" s="541" t="s">
        <v>184</v>
      </c>
      <c r="BO91" s="541" t="s">
        <v>185</v>
      </c>
      <c r="BP91" s="541" t="s">
        <v>186</v>
      </c>
      <c r="BQ91" s="541" t="s">
        <v>187</v>
      </c>
      <c r="BR91" s="541" t="s">
        <v>188</v>
      </c>
      <c r="BS91" s="541" t="s">
        <v>189</v>
      </c>
      <c r="BT91" s="541" t="s">
        <v>190</v>
      </c>
      <c r="BU91" s="541" t="s">
        <v>191</v>
      </c>
      <c r="BV91" s="541" t="s">
        <v>192</v>
      </c>
      <c r="BW91" s="541" t="s">
        <v>193</v>
      </c>
      <c r="BX91" s="541" t="s">
        <v>194</v>
      </c>
      <c r="BY91" s="541" t="s">
        <v>195</v>
      </c>
      <c r="CA91" s="64"/>
    </row>
    <row r="92" spans="1:79" customFormat="1">
      <c r="A92" s="48"/>
      <c r="B92" s="575" t="s">
        <v>279</v>
      </c>
      <c r="C92" s="646"/>
      <c r="D92" s="576"/>
      <c r="E92" s="576"/>
      <c r="F92" s="576"/>
      <c r="G92" s="576"/>
      <c r="H92" s="576"/>
      <c r="I92" s="576"/>
      <c r="K92" s="575" t="s">
        <v>279</v>
      </c>
      <c r="L92" s="649"/>
      <c r="M92" s="576"/>
      <c r="N92" s="576"/>
      <c r="O92" s="576"/>
      <c r="P92" s="576"/>
      <c r="Q92" s="576"/>
      <c r="R92" s="576"/>
      <c r="S92" s="576"/>
      <c r="T92" s="576"/>
      <c r="U92" s="576"/>
      <c r="V92" s="576"/>
      <c r="W92" s="576"/>
      <c r="X92" s="576"/>
      <c r="Y92" s="576"/>
      <c r="Z92" s="576"/>
      <c r="AA92" s="576"/>
      <c r="AB92" s="576"/>
      <c r="AC92" s="576"/>
      <c r="AD92" s="576"/>
      <c r="AE92" s="576"/>
      <c r="AF92" s="576"/>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6"/>
      <c r="BF92" s="576"/>
      <c r="BG92" s="576"/>
      <c r="BH92" s="576"/>
      <c r="BI92" s="576"/>
      <c r="BJ92" s="576"/>
      <c r="BK92" s="576"/>
      <c r="BL92" s="576"/>
      <c r="BM92" s="576"/>
      <c r="BN92" s="576"/>
      <c r="BO92" s="576"/>
      <c r="BP92" s="576"/>
      <c r="BQ92" s="576"/>
      <c r="BR92" s="576"/>
      <c r="BS92" s="576"/>
      <c r="BT92" s="576"/>
      <c r="BU92" s="576"/>
      <c r="BV92" s="576"/>
      <c r="BW92" s="576"/>
      <c r="BX92" s="576"/>
      <c r="BY92" s="576"/>
      <c r="CA92" s="64"/>
    </row>
    <row r="93" spans="1:79" customFormat="1">
      <c r="A93" s="48"/>
      <c r="B93" s="542" t="s">
        <v>90</v>
      </c>
      <c r="C93" s="646"/>
      <c r="D93" s="577">
        <v>1661.5384615384612</v>
      </c>
      <c r="E93" s="577">
        <v>2584.578113206795</v>
      </c>
      <c r="F93" s="577">
        <v>2682.4674725167893</v>
      </c>
      <c r="G93" s="577">
        <v>2780.3564348474933</v>
      </c>
      <c r="H93" s="577">
        <v>2878.2450407715037</v>
      </c>
      <c r="I93" s="577">
        <v>2517.4371045762086</v>
      </c>
      <c r="K93" s="542" t="s">
        <v>90</v>
      </c>
      <c r="L93" s="649"/>
      <c r="M93" s="577">
        <v>65.934065934065927</v>
      </c>
      <c r="N93" s="577">
        <v>79.12087912087911</v>
      </c>
      <c r="O93" s="577">
        <v>92.307692307692292</v>
      </c>
      <c r="P93" s="577">
        <v>105.49450549450549</v>
      </c>
      <c r="Q93" s="577">
        <v>118.68131868131867</v>
      </c>
      <c r="R93" s="577">
        <v>131.86813186813185</v>
      </c>
      <c r="S93" s="577">
        <v>145.05494505494505</v>
      </c>
      <c r="T93" s="577">
        <v>158.24175824175822</v>
      </c>
      <c r="U93" s="577">
        <v>171.42857142857142</v>
      </c>
      <c r="V93" s="577">
        <v>184.61538461538458</v>
      </c>
      <c r="W93" s="577">
        <v>197.80219780219778</v>
      </c>
      <c r="X93" s="577">
        <v>210.98901098901098</v>
      </c>
      <c r="Y93" s="577">
        <v>1661.5384615384612</v>
      </c>
      <c r="Z93" s="577">
        <v>126.99417878847289</v>
      </c>
      <c r="AA93" s="577">
        <v>127.39621975698215</v>
      </c>
      <c r="AB93" s="577">
        <v>212.99922252607544</v>
      </c>
      <c r="AC93" s="577">
        <v>213.67354015648226</v>
      </c>
      <c r="AD93" s="577">
        <v>214.3499925564966</v>
      </c>
      <c r="AE93" s="577">
        <v>215.02858648441912</v>
      </c>
      <c r="AF93" s="577">
        <v>215.70932871994606</v>
      </c>
      <c r="AG93" s="577">
        <v>216.39222606423692</v>
      </c>
      <c r="AH93" s="577">
        <v>217.07728533998252</v>
      </c>
      <c r="AI93" s="577">
        <v>217.76451339147309</v>
      </c>
      <c r="AJ93" s="577">
        <v>303.11670294364859</v>
      </c>
      <c r="AK93" s="577">
        <v>304.07631647857903</v>
      </c>
      <c r="AL93" s="577">
        <v>2584.578113206795</v>
      </c>
      <c r="AM93" s="577">
        <v>183.00224127478614</v>
      </c>
      <c r="AN93" s="577">
        <v>183.56038981392945</v>
      </c>
      <c r="AO93" s="577">
        <v>221.15677669519346</v>
      </c>
      <c r="AP93" s="577">
        <v>221.83129483756261</v>
      </c>
      <c r="AQ93" s="577">
        <v>222.50787022968547</v>
      </c>
      <c r="AR93" s="577">
        <v>223.18650914608051</v>
      </c>
      <c r="AS93" s="577">
        <v>223.86721788040319</v>
      </c>
      <c r="AT93" s="577">
        <v>224.55000274550437</v>
      </c>
      <c r="AU93" s="577">
        <v>225.23487007348879</v>
      </c>
      <c r="AV93" s="577">
        <v>225.92182621577385</v>
      </c>
      <c r="AW93" s="577">
        <v>263.42252342534067</v>
      </c>
      <c r="AX93" s="577">
        <v>264.22595017904104</v>
      </c>
      <c r="AY93" s="577">
        <v>2682.4674725167893</v>
      </c>
      <c r="AZ93" s="577">
        <v>159.00202443416148</v>
      </c>
      <c r="BA93" s="577">
        <v>159.46985119510211</v>
      </c>
      <c r="BB93" s="577">
        <v>229.31429075827594</v>
      </c>
      <c r="BC93" s="577">
        <v>229.98899513556054</v>
      </c>
      <c r="BD93" s="577">
        <v>230.6656846747608</v>
      </c>
      <c r="BE93" s="577">
        <v>231.3443652167575</v>
      </c>
      <c r="BF93" s="577">
        <v>232.02504261961684</v>
      </c>
      <c r="BG93" s="577">
        <v>232.70772275864107</v>
      </c>
      <c r="BH93" s="577">
        <v>233.39241152641915</v>
      </c>
      <c r="BI93" s="577">
        <v>234.07911483287762</v>
      </c>
      <c r="BJ93" s="577">
        <v>303.73662838272554</v>
      </c>
      <c r="BK93" s="577">
        <v>304.63030331259512</v>
      </c>
      <c r="BL93" s="577">
        <v>2780.3564348474933</v>
      </c>
      <c r="BM93" s="577">
        <v>183.29762452731913</v>
      </c>
      <c r="BN93" s="577">
        <v>183.81854328568227</v>
      </c>
      <c r="BO93" s="577">
        <v>237.47176875877602</v>
      </c>
      <c r="BP93" s="577">
        <v>238.14664656609688</v>
      </c>
      <c r="BQ93" s="577">
        <v>238.82344232794847</v>
      </c>
      <c r="BR93" s="577">
        <v>239.5021614950206</v>
      </c>
      <c r="BS93" s="577">
        <v>240.18280953349355</v>
      </c>
      <c r="BT93" s="577">
        <v>240.86539192508209</v>
      </c>
      <c r="BU93" s="577">
        <v>241.54991416707963</v>
      </c>
      <c r="BV93" s="577">
        <v>242.2363817724025</v>
      </c>
      <c r="BW93" s="577">
        <v>295.75492102447163</v>
      </c>
      <c r="BX93" s="577">
        <v>296.59543538813102</v>
      </c>
      <c r="BY93" s="577">
        <v>2878.2450407715037</v>
      </c>
      <c r="CA93" s="64"/>
    </row>
    <row r="94" spans="1:79" customFormat="1">
      <c r="A94" s="48"/>
      <c r="B94" s="542" t="s">
        <v>91</v>
      </c>
      <c r="C94" s="646"/>
      <c r="D94" s="577">
        <v>1661.5384615384612</v>
      </c>
      <c r="E94" s="577">
        <v>2584.578113206795</v>
      </c>
      <c r="F94" s="577">
        <v>2682.4674725167893</v>
      </c>
      <c r="G94" s="577">
        <v>2780.3564348474933</v>
      </c>
      <c r="H94" s="577">
        <v>2878.2450407715037</v>
      </c>
      <c r="I94" s="577">
        <v>2517.4371045762086</v>
      </c>
      <c r="K94" s="542" t="s">
        <v>91</v>
      </c>
      <c r="L94" s="649"/>
      <c r="M94" s="577">
        <v>65.934065934065927</v>
      </c>
      <c r="N94" s="577">
        <v>79.12087912087911</v>
      </c>
      <c r="O94" s="577">
        <v>92.307692307692292</v>
      </c>
      <c r="P94" s="577">
        <v>105.49450549450549</v>
      </c>
      <c r="Q94" s="577">
        <v>118.68131868131867</v>
      </c>
      <c r="R94" s="577">
        <v>131.86813186813185</v>
      </c>
      <c r="S94" s="577">
        <v>145.05494505494505</v>
      </c>
      <c r="T94" s="577">
        <v>158.24175824175822</v>
      </c>
      <c r="U94" s="577">
        <v>171.42857142857142</v>
      </c>
      <c r="V94" s="577">
        <v>184.61538461538458</v>
      </c>
      <c r="W94" s="577">
        <v>197.80219780219778</v>
      </c>
      <c r="X94" s="577">
        <v>210.98901098901098</v>
      </c>
      <c r="Y94" s="577">
        <v>1661.5384615384612</v>
      </c>
      <c r="Z94" s="577">
        <v>126.99417878847289</v>
      </c>
      <c r="AA94" s="577">
        <v>127.39621975698215</v>
      </c>
      <c r="AB94" s="577">
        <v>212.99922252607544</v>
      </c>
      <c r="AC94" s="577">
        <v>213.67354015648226</v>
      </c>
      <c r="AD94" s="577">
        <v>214.3499925564966</v>
      </c>
      <c r="AE94" s="577">
        <v>215.02858648441912</v>
      </c>
      <c r="AF94" s="577">
        <v>215.70932871994606</v>
      </c>
      <c r="AG94" s="577">
        <v>216.39222606423692</v>
      </c>
      <c r="AH94" s="577">
        <v>217.07728533998252</v>
      </c>
      <c r="AI94" s="577">
        <v>217.76451339147309</v>
      </c>
      <c r="AJ94" s="577">
        <v>303.11670294364859</v>
      </c>
      <c r="AK94" s="577">
        <v>304.07631647857903</v>
      </c>
      <c r="AL94" s="577">
        <v>2584.578113206795</v>
      </c>
      <c r="AM94" s="577">
        <v>183.00224127478614</v>
      </c>
      <c r="AN94" s="577">
        <v>183.56038981392945</v>
      </c>
      <c r="AO94" s="577">
        <v>221.15677669519346</v>
      </c>
      <c r="AP94" s="577">
        <v>221.83129483756261</v>
      </c>
      <c r="AQ94" s="577">
        <v>222.50787022968547</v>
      </c>
      <c r="AR94" s="577">
        <v>223.18650914608051</v>
      </c>
      <c r="AS94" s="577">
        <v>223.86721788040319</v>
      </c>
      <c r="AT94" s="577">
        <v>224.55000274550437</v>
      </c>
      <c r="AU94" s="577">
        <v>225.23487007348879</v>
      </c>
      <c r="AV94" s="577">
        <v>225.92182621577385</v>
      </c>
      <c r="AW94" s="577">
        <v>263.42252342534067</v>
      </c>
      <c r="AX94" s="577">
        <v>264.22595017904104</v>
      </c>
      <c r="AY94" s="577">
        <v>2682.4674725167893</v>
      </c>
      <c r="AZ94" s="577">
        <v>159.00202443416148</v>
      </c>
      <c r="BA94" s="577">
        <v>159.46985119510211</v>
      </c>
      <c r="BB94" s="577">
        <v>229.31429075827594</v>
      </c>
      <c r="BC94" s="577">
        <v>229.98899513556054</v>
      </c>
      <c r="BD94" s="577">
        <v>230.6656846747608</v>
      </c>
      <c r="BE94" s="577">
        <v>231.3443652167575</v>
      </c>
      <c r="BF94" s="577">
        <v>232.02504261961684</v>
      </c>
      <c r="BG94" s="577">
        <v>232.70772275864107</v>
      </c>
      <c r="BH94" s="577">
        <v>233.39241152641915</v>
      </c>
      <c r="BI94" s="577">
        <v>234.07911483287762</v>
      </c>
      <c r="BJ94" s="577">
        <v>303.73662838272554</v>
      </c>
      <c r="BK94" s="577">
        <v>304.63030331259512</v>
      </c>
      <c r="BL94" s="577">
        <v>2780.3564348474933</v>
      </c>
      <c r="BM94" s="577">
        <v>183.29762452731913</v>
      </c>
      <c r="BN94" s="577">
        <v>183.81854328568227</v>
      </c>
      <c r="BO94" s="577">
        <v>237.47176875877602</v>
      </c>
      <c r="BP94" s="577">
        <v>238.14664656609688</v>
      </c>
      <c r="BQ94" s="577">
        <v>238.82344232794847</v>
      </c>
      <c r="BR94" s="577">
        <v>239.5021614950206</v>
      </c>
      <c r="BS94" s="577">
        <v>240.18280953349355</v>
      </c>
      <c r="BT94" s="577">
        <v>240.86539192508209</v>
      </c>
      <c r="BU94" s="577">
        <v>241.54991416707963</v>
      </c>
      <c r="BV94" s="577">
        <v>242.2363817724025</v>
      </c>
      <c r="BW94" s="577">
        <v>295.75492102447163</v>
      </c>
      <c r="BX94" s="577">
        <v>296.59543538813102</v>
      </c>
      <c r="BY94" s="577">
        <v>2878.2450407715037</v>
      </c>
      <c r="CA94" s="64"/>
    </row>
    <row r="95" spans="1:79" customFormat="1">
      <c r="A95" s="48"/>
      <c r="B95" s="542" t="s">
        <v>92</v>
      </c>
      <c r="C95" s="646"/>
      <c r="D95" s="576">
        <v>1661.5384615384612</v>
      </c>
      <c r="E95" s="576">
        <v>2584.578113206795</v>
      </c>
      <c r="F95" s="576">
        <v>2682.4674725167893</v>
      </c>
      <c r="G95" s="576">
        <v>2780.3564348474933</v>
      </c>
      <c r="H95" s="576">
        <v>2878.2450407715037</v>
      </c>
      <c r="I95" s="576">
        <v>2517.4371045762086</v>
      </c>
      <c r="K95" s="542" t="s">
        <v>92</v>
      </c>
      <c r="L95" s="649"/>
      <c r="M95" s="576">
        <v>65.934065934065927</v>
      </c>
      <c r="N95" s="576">
        <v>79.12087912087911</v>
      </c>
      <c r="O95" s="576">
        <v>92.307692307692292</v>
      </c>
      <c r="P95" s="576">
        <v>105.49450549450549</v>
      </c>
      <c r="Q95" s="576">
        <v>118.68131868131867</v>
      </c>
      <c r="R95" s="576">
        <v>131.86813186813185</v>
      </c>
      <c r="S95" s="576">
        <v>145.05494505494505</v>
      </c>
      <c r="T95" s="576">
        <v>158.24175824175822</v>
      </c>
      <c r="U95" s="576">
        <v>171.42857142857142</v>
      </c>
      <c r="V95" s="576">
        <v>184.61538461538458</v>
      </c>
      <c r="W95" s="576">
        <v>197.80219780219778</v>
      </c>
      <c r="X95" s="576">
        <v>210.98901098901098</v>
      </c>
      <c r="Y95" s="576">
        <v>1661.5384615384612</v>
      </c>
      <c r="Z95" s="576">
        <v>126.99417878847289</v>
      </c>
      <c r="AA95" s="576">
        <v>127.39621975698215</v>
      </c>
      <c r="AB95" s="576">
        <v>212.99922252607544</v>
      </c>
      <c r="AC95" s="576">
        <v>213.67354015648226</v>
      </c>
      <c r="AD95" s="576">
        <v>214.3499925564966</v>
      </c>
      <c r="AE95" s="576">
        <v>215.02858648441912</v>
      </c>
      <c r="AF95" s="576">
        <v>215.70932871994606</v>
      </c>
      <c r="AG95" s="576">
        <v>216.39222606423692</v>
      </c>
      <c r="AH95" s="576">
        <v>217.07728533998252</v>
      </c>
      <c r="AI95" s="576">
        <v>217.76451339147309</v>
      </c>
      <c r="AJ95" s="576">
        <v>303.11670294364859</v>
      </c>
      <c r="AK95" s="576">
        <v>304.07631647857903</v>
      </c>
      <c r="AL95" s="576">
        <v>2584.578113206795</v>
      </c>
      <c r="AM95" s="576">
        <v>183.00224127478614</v>
      </c>
      <c r="AN95" s="576">
        <v>183.56038981392945</v>
      </c>
      <c r="AO95" s="576">
        <v>221.15677669519346</v>
      </c>
      <c r="AP95" s="576">
        <v>221.83129483756261</v>
      </c>
      <c r="AQ95" s="576">
        <v>222.50787022968547</v>
      </c>
      <c r="AR95" s="576">
        <v>223.18650914608051</v>
      </c>
      <c r="AS95" s="576">
        <v>223.86721788040319</v>
      </c>
      <c r="AT95" s="576">
        <v>224.55000274550437</v>
      </c>
      <c r="AU95" s="576">
        <v>225.23487007348879</v>
      </c>
      <c r="AV95" s="576">
        <v>225.92182621577385</v>
      </c>
      <c r="AW95" s="576">
        <v>263.42252342534067</v>
      </c>
      <c r="AX95" s="576">
        <v>264.22595017904104</v>
      </c>
      <c r="AY95" s="576">
        <v>2682.4674725167893</v>
      </c>
      <c r="AZ95" s="576">
        <v>159.00202443416148</v>
      </c>
      <c r="BA95" s="576">
        <v>159.46985119510211</v>
      </c>
      <c r="BB95" s="576">
        <v>229.31429075827594</v>
      </c>
      <c r="BC95" s="576">
        <v>229.98899513556054</v>
      </c>
      <c r="BD95" s="576">
        <v>230.6656846747608</v>
      </c>
      <c r="BE95" s="576">
        <v>231.3443652167575</v>
      </c>
      <c r="BF95" s="576">
        <v>232.02504261961684</v>
      </c>
      <c r="BG95" s="576">
        <v>232.70772275864107</v>
      </c>
      <c r="BH95" s="576">
        <v>233.39241152641915</v>
      </c>
      <c r="BI95" s="576">
        <v>234.07911483287762</v>
      </c>
      <c r="BJ95" s="576">
        <v>303.73662838272554</v>
      </c>
      <c r="BK95" s="576">
        <v>304.63030331259512</v>
      </c>
      <c r="BL95" s="576">
        <v>2780.3564348474933</v>
      </c>
      <c r="BM95" s="576">
        <v>183.29762452731913</v>
      </c>
      <c r="BN95" s="576">
        <v>183.81854328568227</v>
      </c>
      <c r="BO95" s="576">
        <v>237.47176875877602</v>
      </c>
      <c r="BP95" s="576">
        <v>238.14664656609688</v>
      </c>
      <c r="BQ95" s="576">
        <v>238.82344232794847</v>
      </c>
      <c r="BR95" s="576">
        <v>239.5021614950206</v>
      </c>
      <c r="BS95" s="576">
        <v>240.18280953349355</v>
      </c>
      <c r="BT95" s="576">
        <v>240.86539192508209</v>
      </c>
      <c r="BU95" s="576">
        <v>241.54991416707963</v>
      </c>
      <c r="BV95" s="576">
        <v>242.2363817724025</v>
      </c>
      <c r="BW95" s="576">
        <v>295.75492102447163</v>
      </c>
      <c r="BX95" s="576">
        <v>296.59543538813102</v>
      </c>
      <c r="BY95" s="576">
        <v>2878.2450407715037</v>
      </c>
      <c r="CA95" s="64"/>
    </row>
    <row r="96" spans="1:79" customFormat="1">
      <c r="A96" s="48"/>
      <c r="B96" s="542" t="s">
        <v>93</v>
      </c>
      <c r="C96" s="646"/>
      <c r="D96" s="577">
        <v>1661.5384615384612</v>
      </c>
      <c r="E96" s="577">
        <v>2584.578113206795</v>
      </c>
      <c r="F96" s="577">
        <v>2682.4674725167893</v>
      </c>
      <c r="G96" s="577">
        <v>2780.3564348474933</v>
      </c>
      <c r="H96" s="577">
        <v>2878.2450407715037</v>
      </c>
      <c r="I96" s="577">
        <v>2517.4371045762086</v>
      </c>
      <c r="K96" s="542" t="s">
        <v>93</v>
      </c>
      <c r="L96" s="649"/>
      <c r="M96" s="577">
        <v>65.934065934065927</v>
      </c>
      <c r="N96" s="577">
        <v>79.12087912087911</v>
      </c>
      <c r="O96" s="577">
        <v>92.307692307692292</v>
      </c>
      <c r="P96" s="577">
        <v>105.49450549450549</v>
      </c>
      <c r="Q96" s="577">
        <v>118.68131868131867</v>
      </c>
      <c r="R96" s="577">
        <v>131.86813186813185</v>
      </c>
      <c r="S96" s="577">
        <v>145.05494505494505</v>
      </c>
      <c r="T96" s="577">
        <v>158.24175824175822</v>
      </c>
      <c r="U96" s="577">
        <v>171.42857142857142</v>
      </c>
      <c r="V96" s="577">
        <v>184.61538461538458</v>
      </c>
      <c r="W96" s="577">
        <v>197.80219780219778</v>
      </c>
      <c r="X96" s="577">
        <v>210.98901098901098</v>
      </c>
      <c r="Y96" s="577">
        <v>1661.5384615384612</v>
      </c>
      <c r="Z96" s="577">
        <v>126.99417878847289</v>
      </c>
      <c r="AA96" s="577">
        <v>127.39621975698215</v>
      </c>
      <c r="AB96" s="577">
        <v>212.99922252607544</v>
      </c>
      <c r="AC96" s="577">
        <v>213.67354015648226</v>
      </c>
      <c r="AD96" s="577">
        <v>214.3499925564966</v>
      </c>
      <c r="AE96" s="577">
        <v>215.02858648441912</v>
      </c>
      <c r="AF96" s="577">
        <v>215.70932871994606</v>
      </c>
      <c r="AG96" s="577">
        <v>216.39222606423692</v>
      </c>
      <c r="AH96" s="577">
        <v>217.07728533998252</v>
      </c>
      <c r="AI96" s="577">
        <v>217.76451339147309</v>
      </c>
      <c r="AJ96" s="577">
        <v>303.11670294364859</v>
      </c>
      <c r="AK96" s="577">
        <v>304.07631647857903</v>
      </c>
      <c r="AL96" s="577">
        <v>2584.578113206795</v>
      </c>
      <c r="AM96" s="577">
        <v>183.00224127478614</v>
      </c>
      <c r="AN96" s="577">
        <v>183.56038981392945</v>
      </c>
      <c r="AO96" s="577">
        <v>221.15677669519346</v>
      </c>
      <c r="AP96" s="577">
        <v>221.83129483756261</v>
      </c>
      <c r="AQ96" s="577">
        <v>222.50787022968547</v>
      </c>
      <c r="AR96" s="577">
        <v>223.18650914608051</v>
      </c>
      <c r="AS96" s="577">
        <v>223.86721788040319</v>
      </c>
      <c r="AT96" s="577">
        <v>224.55000274550437</v>
      </c>
      <c r="AU96" s="577">
        <v>225.23487007348879</v>
      </c>
      <c r="AV96" s="577">
        <v>225.92182621577385</v>
      </c>
      <c r="AW96" s="577">
        <v>263.42252342534067</v>
      </c>
      <c r="AX96" s="577">
        <v>264.22595017904104</v>
      </c>
      <c r="AY96" s="577">
        <v>2682.4674725167893</v>
      </c>
      <c r="AZ96" s="577">
        <v>159.00202443416148</v>
      </c>
      <c r="BA96" s="577">
        <v>159.46985119510211</v>
      </c>
      <c r="BB96" s="577">
        <v>229.31429075827594</v>
      </c>
      <c r="BC96" s="577">
        <v>229.98899513556054</v>
      </c>
      <c r="BD96" s="577">
        <v>230.6656846747608</v>
      </c>
      <c r="BE96" s="577">
        <v>231.3443652167575</v>
      </c>
      <c r="BF96" s="577">
        <v>232.02504261961684</v>
      </c>
      <c r="BG96" s="577">
        <v>232.70772275864107</v>
      </c>
      <c r="BH96" s="577">
        <v>233.39241152641915</v>
      </c>
      <c r="BI96" s="577">
        <v>234.07911483287762</v>
      </c>
      <c r="BJ96" s="577">
        <v>303.73662838272554</v>
      </c>
      <c r="BK96" s="577">
        <v>304.63030331259512</v>
      </c>
      <c r="BL96" s="577">
        <v>2780.3564348474933</v>
      </c>
      <c r="BM96" s="577">
        <v>183.29762452731913</v>
      </c>
      <c r="BN96" s="577">
        <v>183.81854328568227</v>
      </c>
      <c r="BO96" s="577">
        <v>237.47176875877602</v>
      </c>
      <c r="BP96" s="577">
        <v>238.14664656609688</v>
      </c>
      <c r="BQ96" s="577">
        <v>238.82344232794847</v>
      </c>
      <c r="BR96" s="577">
        <v>239.5021614950206</v>
      </c>
      <c r="BS96" s="577">
        <v>240.18280953349355</v>
      </c>
      <c r="BT96" s="577">
        <v>240.86539192508209</v>
      </c>
      <c r="BU96" s="577">
        <v>241.54991416707963</v>
      </c>
      <c r="BV96" s="577">
        <v>242.2363817724025</v>
      </c>
      <c r="BW96" s="577">
        <v>295.75492102447163</v>
      </c>
      <c r="BX96" s="577">
        <v>296.59543538813102</v>
      </c>
      <c r="BY96" s="577">
        <v>2878.2450407715037</v>
      </c>
      <c r="CA96" s="64"/>
    </row>
    <row r="97" spans="1:79" customFormat="1">
      <c r="A97" s="48"/>
      <c r="B97" s="575" t="s">
        <v>280</v>
      </c>
      <c r="C97" s="549"/>
      <c r="D97" s="577">
        <v>4153846.153846154</v>
      </c>
      <c r="E97" s="577">
        <v>6661103.9422622118</v>
      </c>
      <c r="F97" s="577">
        <v>7117334.2777034398</v>
      </c>
      <c r="G97" s="577">
        <v>7585094.1135693099</v>
      </c>
      <c r="H97" s="577">
        <v>8064152.0425536055</v>
      </c>
      <c r="I97" s="577">
        <v>6716306.1059869435</v>
      </c>
      <c r="J97" s="153"/>
      <c r="K97" s="575" t="s">
        <v>280</v>
      </c>
      <c r="L97" s="548"/>
      <c r="M97" s="577">
        <v>164835.16483516485</v>
      </c>
      <c r="N97" s="577">
        <v>197802.19780219777</v>
      </c>
      <c r="O97" s="577">
        <v>230769.23076923075</v>
      </c>
      <c r="P97" s="577">
        <v>263736.26373626373</v>
      </c>
      <c r="Q97" s="577">
        <v>296703.29670329671</v>
      </c>
      <c r="R97" s="577">
        <v>329670.32967032969</v>
      </c>
      <c r="S97" s="577">
        <v>362637.36263736262</v>
      </c>
      <c r="T97" s="577">
        <v>395604.39560439554</v>
      </c>
      <c r="U97" s="577">
        <v>428571.42857142852</v>
      </c>
      <c r="V97" s="577">
        <v>461538.4615384615</v>
      </c>
      <c r="W97" s="577">
        <v>494505.49450549443</v>
      </c>
      <c r="X97" s="577">
        <v>527472.52747252746</v>
      </c>
      <c r="Y97" s="577">
        <v>4153846.153846154</v>
      </c>
      <c r="Z97" s="577">
        <v>327295.74728259171</v>
      </c>
      <c r="AA97" s="577">
        <v>328331.90736868221</v>
      </c>
      <c r="AB97" s="577">
        <v>548952.24625532783</v>
      </c>
      <c r="AC97" s="577">
        <v>550690.13136829378</v>
      </c>
      <c r="AD97" s="577">
        <v>552433.51831623074</v>
      </c>
      <c r="AE97" s="577">
        <v>554182.42451696913</v>
      </c>
      <c r="AF97" s="577">
        <v>555936.86744348088</v>
      </c>
      <c r="AG97" s="577">
        <v>557696.86462405452</v>
      </c>
      <c r="AH97" s="577">
        <v>559462.43364246993</v>
      </c>
      <c r="AI97" s="577">
        <v>561233.59213817387</v>
      </c>
      <c r="AJ97" s="577">
        <v>781207.52266151819</v>
      </c>
      <c r="AK97" s="577">
        <v>783680.6866444177</v>
      </c>
      <c r="AL97" s="577">
        <v>6661103.9422622118</v>
      </c>
      <c r="AM97" s="577">
        <v>485555.98085204308</v>
      </c>
      <c r="AN97" s="577">
        <v>487036.90458006412</v>
      </c>
      <c r="AO97" s="577">
        <v>586790.60366844898</v>
      </c>
      <c r="AP97" s="577">
        <v>588580.28840640141</v>
      </c>
      <c r="AQ97" s="577">
        <v>590375.4316016658</v>
      </c>
      <c r="AR97" s="577">
        <v>592176.04990228964</v>
      </c>
      <c r="AS97" s="577">
        <v>593982.16000709601</v>
      </c>
      <c r="AT97" s="577">
        <v>595793.77866583865</v>
      </c>
      <c r="AU97" s="577">
        <v>597610.92267935746</v>
      </c>
      <c r="AV97" s="577">
        <v>599433.60889973387</v>
      </c>
      <c r="AW97" s="577">
        <v>698933.41660364892</v>
      </c>
      <c r="AX97" s="577">
        <v>701065.13183685194</v>
      </c>
      <c r="AY97" s="577">
        <v>7117334.2777034398</v>
      </c>
      <c r="AZ97" s="577">
        <v>433773.63580627221</v>
      </c>
      <c r="BA97" s="577">
        <v>435049.91461934295</v>
      </c>
      <c r="BB97" s="577">
        <v>625592.62373254937</v>
      </c>
      <c r="BC97" s="577">
        <v>627433.28564783419</v>
      </c>
      <c r="BD97" s="577">
        <v>629279.36328599975</v>
      </c>
      <c r="BE97" s="577">
        <v>631130.87258156075</v>
      </c>
      <c r="BF97" s="577">
        <v>632987.8295159156</v>
      </c>
      <c r="BG97" s="577">
        <v>634850.25011748401</v>
      </c>
      <c r="BH97" s="577">
        <v>636718.15046184603</v>
      </c>
      <c r="BI97" s="577">
        <v>638591.54667187994</v>
      </c>
      <c r="BJ97" s="577">
        <v>828624.30267778644</v>
      </c>
      <c r="BK97" s="577">
        <v>831062.33845084021</v>
      </c>
      <c r="BL97" s="577">
        <v>7585094.1135693099</v>
      </c>
      <c r="BM97" s="577">
        <v>513555.96632279572</v>
      </c>
      <c r="BN97" s="577">
        <v>515015.45570252294</v>
      </c>
      <c r="BO97" s="577">
        <v>665338.92075137189</v>
      </c>
      <c r="BP97" s="577">
        <v>667229.76644772093</v>
      </c>
      <c r="BQ97" s="577">
        <v>669125.98579250055</v>
      </c>
      <c r="BR97" s="577">
        <v>671027.5940572361</v>
      </c>
      <c r="BS97" s="577">
        <v>672934.60655685305</v>
      </c>
      <c r="BT97" s="577">
        <v>674847.03864980116</v>
      </c>
      <c r="BU97" s="577">
        <v>676764.90573817736</v>
      </c>
      <c r="BV97" s="577">
        <v>678688.2232678507</v>
      </c>
      <c r="BW97" s="577">
        <v>828634.32983992156</v>
      </c>
      <c r="BX97" s="577">
        <v>830989.24942685245</v>
      </c>
      <c r="BY97" s="577">
        <v>8064152.0425536055</v>
      </c>
      <c r="CA97" s="64"/>
    </row>
    <row r="98" spans="1:79" customFormat="1">
      <c r="A98" s="48"/>
      <c r="B98" s="542" t="s">
        <v>90</v>
      </c>
      <c r="C98" s="646"/>
      <c r="D98" s="577">
        <v>1661538.4615384613</v>
      </c>
      <c r="E98" s="577">
        <v>2664441.5769048841</v>
      </c>
      <c r="F98" s="577">
        <v>2846933.7110813763</v>
      </c>
      <c r="G98" s="577">
        <v>3034037.6454277243</v>
      </c>
      <c r="H98" s="577">
        <v>3225660.8170214421</v>
      </c>
      <c r="I98" s="577">
        <v>2686522.4423947777</v>
      </c>
      <c r="K98" s="542" t="s">
        <v>90</v>
      </c>
      <c r="L98" s="649"/>
      <c r="M98" s="577">
        <v>65934.065934065933</v>
      </c>
      <c r="N98" s="577">
        <v>79120.879120879108</v>
      </c>
      <c r="O98" s="577">
        <v>92307.692307692298</v>
      </c>
      <c r="P98" s="577">
        <v>105494.50549450549</v>
      </c>
      <c r="Q98" s="577">
        <v>118681.31868131868</v>
      </c>
      <c r="R98" s="577">
        <v>131868.13186813187</v>
      </c>
      <c r="S98" s="577">
        <v>145054.94505494504</v>
      </c>
      <c r="T98" s="577">
        <v>158241.75824175822</v>
      </c>
      <c r="U98" s="577">
        <v>171428.57142857142</v>
      </c>
      <c r="V98" s="577">
        <v>184615.3846153846</v>
      </c>
      <c r="W98" s="577">
        <v>197802.19780219777</v>
      </c>
      <c r="X98" s="577">
        <v>210989.01098901097</v>
      </c>
      <c r="Y98" s="577">
        <v>1661538.4615384613</v>
      </c>
      <c r="Z98" s="577">
        <v>130918.29891303669</v>
      </c>
      <c r="AA98" s="577">
        <v>131332.76294747289</v>
      </c>
      <c r="AB98" s="577">
        <v>219580.89850213114</v>
      </c>
      <c r="AC98" s="577">
        <v>220276.05254731752</v>
      </c>
      <c r="AD98" s="577">
        <v>220973.40732649231</v>
      </c>
      <c r="AE98" s="577">
        <v>221672.96980678765</v>
      </c>
      <c r="AF98" s="577">
        <v>222374.74697739235</v>
      </c>
      <c r="AG98" s="577">
        <v>223078.7458496218</v>
      </c>
      <c r="AH98" s="577">
        <v>223784.97345698797</v>
      </c>
      <c r="AI98" s="577">
        <v>224493.43685526957</v>
      </c>
      <c r="AJ98" s="577">
        <v>312483.00906460726</v>
      </c>
      <c r="AK98" s="577">
        <v>313472.27465776709</v>
      </c>
      <c r="AL98" s="577">
        <v>2664441.5769048841</v>
      </c>
      <c r="AM98" s="577">
        <v>194222.39234081723</v>
      </c>
      <c r="AN98" s="577">
        <v>194814.76183202566</v>
      </c>
      <c r="AO98" s="577">
        <v>234716.24146737962</v>
      </c>
      <c r="AP98" s="577">
        <v>235432.11536256055</v>
      </c>
      <c r="AQ98" s="577">
        <v>236150.17264066631</v>
      </c>
      <c r="AR98" s="577">
        <v>236870.41996091587</v>
      </c>
      <c r="AS98" s="577">
        <v>237592.86400283841</v>
      </c>
      <c r="AT98" s="577">
        <v>238317.51146633548</v>
      </c>
      <c r="AU98" s="577">
        <v>239044.36907174299</v>
      </c>
      <c r="AV98" s="577">
        <v>239773.44355989355</v>
      </c>
      <c r="AW98" s="577">
        <v>279573.36664145958</v>
      </c>
      <c r="AX98" s="577">
        <v>280426.05273474078</v>
      </c>
      <c r="AY98" s="577">
        <v>2846933.7110813763</v>
      </c>
      <c r="AZ98" s="577">
        <v>173509.45432250889</v>
      </c>
      <c r="BA98" s="577">
        <v>174019.96584773718</v>
      </c>
      <c r="BB98" s="577">
        <v>250237.04949301973</v>
      </c>
      <c r="BC98" s="577">
        <v>250973.31425913365</v>
      </c>
      <c r="BD98" s="577">
        <v>251711.74531439989</v>
      </c>
      <c r="BE98" s="577">
        <v>252452.3490326243</v>
      </c>
      <c r="BF98" s="577">
        <v>253195.13180636623</v>
      </c>
      <c r="BG98" s="577">
        <v>253940.10004699361</v>
      </c>
      <c r="BH98" s="577">
        <v>254687.26018473841</v>
      </c>
      <c r="BI98" s="577">
        <v>255436.61866875197</v>
      </c>
      <c r="BJ98" s="577">
        <v>331449.72107111459</v>
      </c>
      <c r="BK98" s="577">
        <v>332424.93538033607</v>
      </c>
      <c r="BL98" s="577">
        <v>3034037.6454277243</v>
      </c>
      <c r="BM98" s="577">
        <v>205422.38652911829</v>
      </c>
      <c r="BN98" s="577">
        <v>206006.18228100918</v>
      </c>
      <c r="BO98" s="577">
        <v>266135.56830054877</v>
      </c>
      <c r="BP98" s="577">
        <v>266891.90657908836</v>
      </c>
      <c r="BQ98" s="577">
        <v>267650.39431700023</v>
      </c>
      <c r="BR98" s="577">
        <v>268411.03762289445</v>
      </c>
      <c r="BS98" s="577">
        <v>269173.84262274124</v>
      </c>
      <c r="BT98" s="577">
        <v>269938.81545992044</v>
      </c>
      <c r="BU98" s="577">
        <v>270705.96229527093</v>
      </c>
      <c r="BV98" s="577">
        <v>271475.28930714028</v>
      </c>
      <c r="BW98" s="577">
        <v>331453.73193596862</v>
      </c>
      <c r="BX98" s="577">
        <v>332395.69977074099</v>
      </c>
      <c r="BY98" s="577">
        <v>3225660.8170214421</v>
      </c>
      <c r="CA98" s="64"/>
    </row>
    <row r="99" spans="1:79" customFormat="1">
      <c r="A99" s="48"/>
      <c r="B99" s="542" t="s">
        <v>91</v>
      </c>
      <c r="C99" s="646"/>
      <c r="D99" s="577">
        <v>830769.23076923063</v>
      </c>
      <c r="E99" s="577">
        <v>1332220.788452442</v>
      </c>
      <c r="F99" s="577">
        <v>1423466.8555406881</v>
      </c>
      <c r="G99" s="577">
        <v>1517018.8227138622</v>
      </c>
      <c r="H99" s="577">
        <v>1612830.4085107211</v>
      </c>
      <c r="I99" s="577">
        <v>1343261.2211973888</v>
      </c>
      <c r="K99" s="542" t="s">
        <v>91</v>
      </c>
      <c r="L99" s="649"/>
      <c r="M99" s="577">
        <v>32967.032967032967</v>
      </c>
      <c r="N99" s="577">
        <v>39560.439560439554</v>
      </c>
      <c r="O99" s="577">
        <v>46153.846153846149</v>
      </c>
      <c r="P99" s="577">
        <v>52747.252747252744</v>
      </c>
      <c r="Q99" s="577">
        <v>59340.659340659338</v>
      </c>
      <c r="R99" s="577">
        <v>65934.065934065933</v>
      </c>
      <c r="S99" s="577">
        <v>72527.472527472521</v>
      </c>
      <c r="T99" s="577">
        <v>79120.879120879108</v>
      </c>
      <c r="U99" s="577">
        <v>85714.28571428571</v>
      </c>
      <c r="V99" s="577">
        <v>92307.692307692298</v>
      </c>
      <c r="W99" s="577">
        <v>98901.098901098885</v>
      </c>
      <c r="X99" s="577">
        <v>105494.50549450549</v>
      </c>
      <c r="Y99" s="577">
        <v>830769.23076923063</v>
      </c>
      <c r="Z99" s="577">
        <v>65459.149456518346</v>
      </c>
      <c r="AA99" s="577">
        <v>65666.381473736445</v>
      </c>
      <c r="AB99" s="577">
        <v>109790.44925106557</v>
      </c>
      <c r="AC99" s="577">
        <v>110138.02627365876</v>
      </c>
      <c r="AD99" s="577">
        <v>110486.70366324615</v>
      </c>
      <c r="AE99" s="577">
        <v>110836.48490339382</v>
      </c>
      <c r="AF99" s="577">
        <v>111187.37348869618</v>
      </c>
      <c r="AG99" s="577">
        <v>111539.3729248109</v>
      </c>
      <c r="AH99" s="577">
        <v>111892.48672849398</v>
      </c>
      <c r="AI99" s="577">
        <v>112246.71842763478</v>
      </c>
      <c r="AJ99" s="577">
        <v>156241.50453230363</v>
      </c>
      <c r="AK99" s="577">
        <v>156736.13732888355</v>
      </c>
      <c r="AL99" s="577">
        <v>1332220.788452442</v>
      </c>
      <c r="AM99" s="577">
        <v>97111.196170408613</v>
      </c>
      <c r="AN99" s="577">
        <v>97407.380916012829</v>
      </c>
      <c r="AO99" s="577">
        <v>117358.12073368981</v>
      </c>
      <c r="AP99" s="577">
        <v>117716.05768128028</v>
      </c>
      <c r="AQ99" s="577">
        <v>118075.08632033315</v>
      </c>
      <c r="AR99" s="577">
        <v>118435.20998045793</v>
      </c>
      <c r="AS99" s="577">
        <v>118796.43200141921</v>
      </c>
      <c r="AT99" s="577">
        <v>119158.75573316774</v>
      </c>
      <c r="AU99" s="577">
        <v>119522.18453587149</v>
      </c>
      <c r="AV99" s="577">
        <v>119886.72177994678</v>
      </c>
      <c r="AW99" s="577">
        <v>139786.68332072979</v>
      </c>
      <c r="AX99" s="577">
        <v>140213.02636737039</v>
      </c>
      <c r="AY99" s="577">
        <v>1423466.8555406881</v>
      </c>
      <c r="AZ99" s="577">
        <v>86754.727161254443</v>
      </c>
      <c r="BA99" s="577">
        <v>87009.982923868592</v>
      </c>
      <c r="BB99" s="577">
        <v>125118.52474650987</v>
      </c>
      <c r="BC99" s="577">
        <v>125486.65712956683</v>
      </c>
      <c r="BD99" s="577">
        <v>125855.87265719994</v>
      </c>
      <c r="BE99" s="577">
        <v>126226.17451631215</v>
      </c>
      <c r="BF99" s="577">
        <v>126597.56590318312</v>
      </c>
      <c r="BG99" s="577">
        <v>126970.05002349681</v>
      </c>
      <c r="BH99" s="577">
        <v>127343.6300923692</v>
      </c>
      <c r="BI99" s="577">
        <v>127718.30933437598</v>
      </c>
      <c r="BJ99" s="577">
        <v>165724.86053555729</v>
      </c>
      <c r="BK99" s="577">
        <v>166212.46769016804</v>
      </c>
      <c r="BL99" s="577">
        <v>1517018.8227138622</v>
      </c>
      <c r="BM99" s="577">
        <v>102711.19326455914</v>
      </c>
      <c r="BN99" s="577">
        <v>103003.09114050459</v>
      </c>
      <c r="BO99" s="577">
        <v>133067.78415027438</v>
      </c>
      <c r="BP99" s="577">
        <v>133445.95328954418</v>
      </c>
      <c r="BQ99" s="577">
        <v>133825.19715850012</v>
      </c>
      <c r="BR99" s="577">
        <v>134205.51881144723</v>
      </c>
      <c r="BS99" s="577">
        <v>134586.92131137062</v>
      </c>
      <c r="BT99" s="577">
        <v>134969.40772996022</v>
      </c>
      <c r="BU99" s="577">
        <v>135352.98114763547</v>
      </c>
      <c r="BV99" s="577">
        <v>135737.64465357014</v>
      </c>
      <c r="BW99" s="577">
        <v>165726.86596798431</v>
      </c>
      <c r="BX99" s="577">
        <v>166197.8498853705</v>
      </c>
      <c r="BY99" s="577">
        <v>1612830.4085107211</v>
      </c>
      <c r="CA99" s="64"/>
    </row>
    <row r="100" spans="1:79" customFormat="1">
      <c r="A100" s="48"/>
      <c r="B100" s="542" t="s">
        <v>92</v>
      </c>
      <c r="C100" s="646"/>
      <c r="D100" s="577">
        <v>830769.23076923063</v>
      </c>
      <c r="E100" s="577">
        <v>1332220.788452442</v>
      </c>
      <c r="F100" s="577">
        <v>1423466.8555406881</v>
      </c>
      <c r="G100" s="577">
        <v>1517018.8227138622</v>
      </c>
      <c r="H100" s="577">
        <v>1612830.4085107211</v>
      </c>
      <c r="I100" s="577">
        <v>1343261.2211973888</v>
      </c>
      <c r="K100" s="542" t="s">
        <v>92</v>
      </c>
      <c r="L100" s="649"/>
      <c r="M100" s="577">
        <v>32967.032967032967</v>
      </c>
      <c r="N100" s="577">
        <v>39560.439560439554</v>
      </c>
      <c r="O100" s="577">
        <v>46153.846153846149</v>
      </c>
      <c r="P100" s="577">
        <v>52747.252747252744</v>
      </c>
      <c r="Q100" s="577">
        <v>59340.659340659338</v>
      </c>
      <c r="R100" s="577">
        <v>65934.065934065933</v>
      </c>
      <c r="S100" s="577">
        <v>72527.472527472521</v>
      </c>
      <c r="T100" s="577">
        <v>79120.879120879108</v>
      </c>
      <c r="U100" s="577">
        <v>85714.28571428571</v>
      </c>
      <c r="V100" s="577">
        <v>92307.692307692298</v>
      </c>
      <c r="W100" s="577">
        <v>98901.098901098885</v>
      </c>
      <c r="X100" s="577">
        <v>105494.50549450549</v>
      </c>
      <c r="Y100" s="577">
        <v>830769.23076923063</v>
      </c>
      <c r="Z100" s="577">
        <v>65459.149456518346</v>
      </c>
      <c r="AA100" s="577">
        <v>65666.381473736445</v>
      </c>
      <c r="AB100" s="577">
        <v>109790.44925106557</v>
      </c>
      <c r="AC100" s="577">
        <v>110138.02627365876</v>
      </c>
      <c r="AD100" s="577">
        <v>110486.70366324615</v>
      </c>
      <c r="AE100" s="577">
        <v>110836.48490339382</v>
      </c>
      <c r="AF100" s="577">
        <v>111187.37348869618</v>
      </c>
      <c r="AG100" s="577">
        <v>111539.3729248109</v>
      </c>
      <c r="AH100" s="577">
        <v>111892.48672849398</v>
      </c>
      <c r="AI100" s="577">
        <v>112246.71842763478</v>
      </c>
      <c r="AJ100" s="577">
        <v>156241.50453230363</v>
      </c>
      <c r="AK100" s="577">
        <v>156736.13732888355</v>
      </c>
      <c r="AL100" s="577">
        <v>1332220.788452442</v>
      </c>
      <c r="AM100" s="577">
        <v>97111.196170408613</v>
      </c>
      <c r="AN100" s="577">
        <v>97407.380916012829</v>
      </c>
      <c r="AO100" s="577">
        <v>117358.12073368981</v>
      </c>
      <c r="AP100" s="577">
        <v>117716.05768128028</v>
      </c>
      <c r="AQ100" s="577">
        <v>118075.08632033315</v>
      </c>
      <c r="AR100" s="577">
        <v>118435.20998045793</v>
      </c>
      <c r="AS100" s="577">
        <v>118796.43200141921</v>
      </c>
      <c r="AT100" s="577">
        <v>119158.75573316774</v>
      </c>
      <c r="AU100" s="577">
        <v>119522.18453587149</v>
      </c>
      <c r="AV100" s="577">
        <v>119886.72177994678</v>
      </c>
      <c r="AW100" s="577">
        <v>139786.68332072979</v>
      </c>
      <c r="AX100" s="577">
        <v>140213.02636737039</v>
      </c>
      <c r="AY100" s="577">
        <v>1423466.8555406881</v>
      </c>
      <c r="AZ100" s="577">
        <v>86754.727161254443</v>
      </c>
      <c r="BA100" s="577">
        <v>87009.982923868592</v>
      </c>
      <c r="BB100" s="577">
        <v>125118.52474650987</v>
      </c>
      <c r="BC100" s="577">
        <v>125486.65712956683</v>
      </c>
      <c r="BD100" s="577">
        <v>125855.87265719994</v>
      </c>
      <c r="BE100" s="577">
        <v>126226.17451631215</v>
      </c>
      <c r="BF100" s="577">
        <v>126597.56590318312</v>
      </c>
      <c r="BG100" s="577">
        <v>126970.05002349681</v>
      </c>
      <c r="BH100" s="577">
        <v>127343.6300923692</v>
      </c>
      <c r="BI100" s="577">
        <v>127718.30933437598</v>
      </c>
      <c r="BJ100" s="577">
        <v>165724.86053555729</v>
      </c>
      <c r="BK100" s="577">
        <v>166212.46769016804</v>
      </c>
      <c r="BL100" s="577">
        <v>1517018.8227138622</v>
      </c>
      <c r="BM100" s="577">
        <v>102711.19326455914</v>
      </c>
      <c r="BN100" s="577">
        <v>103003.09114050459</v>
      </c>
      <c r="BO100" s="577">
        <v>133067.78415027438</v>
      </c>
      <c r="BP100" s="577">
        <v>133445.95328954418</v>
      </c>
      <c r="BQ100" s="577">
        <v>133825.19715850012</v>
      </c>
      <c r="BR100" s="577">
        <v>134205.51881144723</v>
      </c>
      <c r="BS100" s="577">
        <v>134586.92131137062</v>
      </c>
      <c r="BT100" s="577">
        <v>134969.40772996022</v>
      </c>
      <c r="BU100" s="577">
        <v>135352.98114763547</v>
      </c>
      <c r="BV100" s="577">
        <v>135737.64465357014</v>
      </c>
      <c r="BW100" s="577">
        <v>165726.86596798431</v>
      </c>
      <c r="BX100" s="577">
        <v>166197.8498853705</v>
      </c>
      <c r="BY100" s="577">
        <v>1612830.4085107211</v>
      </c>
      <c r="CA100" s="64"/>
    </row>
    <row r="101" spans="1:79" customFormat="1">
      <c r="A101" s="48"/>
      <c r="B101" s="545" t="s">
        <v>93</v>
      </c>
      <c r="C101" s="647"/>
      <c r="D101" s="579">
        <v>830769.23076923063</v>
      </c>
      <c r="E101" s="579">
        <v>1332220.788452442</v>
      </c>
      <c r="F101" s="579">
        <v>1423466.8555406881</v>
      </c>
      <c r="G101" s="579">
        <v>1517018.8227138622</v>
      </c>
      <c r="H101" s="579">
        <v>1612830.4085107211</v>
      </c>
      <c r="I101" s="579">
        <v>1343261.2211973888</v>
      </c>
      <c r="K101" s="545" t="s">
        <v>93</v>
      </c>
      <c r="L101" s="650"/>
      <c r="M101" s="579">
        <v>32967.032967032967</v>
      </c>
      <c r="N101" s="579">
        <v>39560.439560439554</v>
      </c>
      <c r="O101" s="579">
        <v>46153.846153846149</v>
      </c>
      <c r="P101" s="579">
        <v>52747.252747252744</v>
      </c>
      <c r="Q101" s="579">
        <v>59340.659340659338</v>
      </c>
      <c r="R101" s="579">
        <v>65934.065934065933</v>
      </c>
      <c r="S101" s="579">
        <v>72527.472527472521</v>
      </c>
      <c r="T101" s="579">
        <v>79120.879120879108</v>
      </c>
      <c r="U101" s="579">
        <v>85714.28571428571</v>
      </c>
      <c r="V101" s="579">
        <v>92307.692307692298</v>
      </c>
      <c r="W101" s="579">
        <v>98901.098901098885</v>
      </c>
      <c r="X101" s="579">
        <v>105494.50549450549</v>
      </c>
      <c r="Y101" s="579">
        <v>830769.23076923063</v>
      </c>
      <c r="Z101" s="579">
        <v>65459.149456518346</v>
      </c>
      <c r="AA101" s="579">
        <v>65666.381473736445</v>
      </c>
      <c r="AB101" s="579">
        <v>109790.44925106557</v>
      </c>
      <c r="AC101" s="579">
        <v>110138.02627365876</v>
      </c>
      <c r="AD101" s="579">
        <v>110486.70366324615</v>
      </c>
      <c r="AE101" s="579">
        <v>110836.48490339382</v>
      </c>
      <c r="AF101" s="579">
        <v>111187.37348869618</v>
      </c>
      <c r="AG101" s="579">
        <v>111539.3729248109</v>
      </c>
      <c r="AH101" s="579">
        <v>111892.48672849398</v>
      </c>
      <c r="AI101" s="579">
        <v>112246.71842763478</v>
      </c>
      <c r="AJ101" s="579">
        <v>156241.50453230363</v>
      </c>
      <c r="AK101" s="579">
        <v>156736.13732888355</v>
      </c>
      <c r="AL101" s="579">
        <v>1332220.788452442</v>
      </c>
      <c r="AM101" s="579">
        <v>97111.196170408613</v>
      </c>
      <c r="AN101" s="579">
        <v>97407.380916012829</v>
      </c>
      <c r="AO101" s="579">
        <v>117358.12073368981</v>
      </c>
      <c r="AP101" s="579">
        <v>117716.05768128028</v>
      </c>
      <c r="AQ101" s="579">
        <v>118075.08632033315</v>
      </c>
      <c r="AR101" s="579">
        <v>118435.20998045793</v>
      </c>
      <c r="AS101" s="579">
        <v>118796.43200141921</v>
      </c>
      <c r="AT101" s="579">
        <v>119158.75573316774</v>
      </c>
      <c r="AU101" s="579">
        <v>119522.18453587149</v>
      </c>
      <c r="AV101" s="579">
        <v>119886.72177994678</v>
      </c>
      <c r="AW101" s="579">
        <v>139786.68332072979</v>
      </c>
      <c r="AX101" s="579">
        <v>140213.02636737039</v>
      </c>
      <c r="AY101" s="579">
        <v>1423466.8555406881</v>
      </c>
      <c r="AZ101" s="579">
        <v>86754.727161254443</v>
      </c>
      <c r="BA101" s="579">
        <v>87009.982923868592</v>
      </c>
      <c r="BB101" s="579">
        <v>125118.52474650987</v>
      </c>
      <c r="BC101" s="579">
        <v>125486.65712956683</v>
      </c>
      <c r="BD101" s="579">
        <v>125855.87265719994</v>
      </c>
      <c r="BE101" s="579">
        <v>126226.17451631215</v>
      </c>
      <c r="BF101" s="579">
        <v>126597.56590318312</v>
      </c>
      <c r="BG101" s="579">
        <v>126970.05002349681</v>
      </c>
      <c r="BH101" s="579">
        <v>127343.6300923692</v>
      </c>
      <c r="BI101" s="579">
        <v>127718.30933437598</v>
      </c>
      <c r="BJ101" s="579">
        <v>165724.86053555729</v>
      </c>
      <c r="BK101" s="579">
        <v>166212.46769016804</v>
      </c>
      <c r="BL101" s="579">
        <v>1517018.8227138622</v>
      </c>
      <c r="BM101" s="579">
        <v>102711.19326455914</v>
      </c>
      <c r="BN101" s="579">
        <v>103003.09114050459</v>
      </c>
      <c r="BO101" s="579">
        <v>133067.78415027438</v>
      </c>
      <c r="BP101" s="579">
        <v>133445.95328954418</v>
      </c>
      <c r="BQ101" s="579">
        <v>133825.19715850012</v>
      </c>
      <c r="BR101" s="579">
        <v>134205.51881144723</v>
      </c>
      <c r="BS101" s="579">
        <v>134586.92131137062</v>
      </c>
      <c r="BT101" s="579">
        <v>134969.40772996022</v>
      </c>
      <c r="BU101" s="579">
        <v>135352.98114763547</v>
      </c>
      <c r="BV101" s="579">
        <v>135737.64465357014</v>
      </c>
      <c r="BW101" s="579">
        <v>165726.86596798431</v>
      </c>
      <c r="BX101" s="579">
        <v>166197.8498853705</v>
      </c>
      <c r="BY101" s="579">
        <v>1612830.4085107211</v>
      </c>
      <c r="CA101" s="64"/>
    </row>
    <row r="102" spans="1:79">
      <c r="CA102" s="61"/>
    </row>
    <row r="103" spans="1:79">
      <c r="B103" s="542" t="s">
        <v>107</v>
      </c>
      <c r="C103" s="542"/>
      <c r="D103" s="577">
        <f t="shared" ref="D103:I103" si="8">D97*$C$108</f>
        <v>2492307.6923076925</v>
      </c>
      <c r="E103" s="577">
        <f t="shared" si="8"/>
        <v>3996662.3653573268</v>
      </c>
      <c r="F103" s="577">
        <f t="shared" si="8"/>
        <v>4270400.5666220635</v>
      </c>
      <c r="G103" s="577">
        <f t="shared" si="8"/>
        <v>4551056.4681415856</v>
      </c>
      <c r="H103" s="577">
        <f t="shared" si="8"/>
        <v>4838491.2255321629</v>
      </c>
      <c r="I103" s="577">
        <f t="shared" si="8"/>
        <v>4029783.6635921658</v>
      </c>
      <c r="K103" s="542" t="s">
        <v>107</v>
      </c>
      <c r="L103" s="577">
        <f>L97*$C$108</f>
        <v>0</v>
      </c>
      <c r="M103" s="577">
        <f>M97*$C$108</f>
        <v>98901.0989010989</v>
      </c>
      <c r="N103" s="577">
        <f t="shared" ref="N103:BY103" si="9">N97*$C$108</f>
        <v>118681.31868131866</v>
      </c>
      <c r="O103" s="577">
        <f t="shared" si="9"/>
        <v>138461.53846153844</v>
      </c>
      <c r="P103" s="577">
        <f t="shared" si="9"/>
        <v>158241.75824175825</v>
      </c>
      <c r="Q103" s="577">
        <f t="shared" si="9"/>
        <v>178021.97802197802</v>
      </c>
      <c r="R103" s="577">
        <f t="shared" si="9"/>
        <v>197802.1978021978</v>
      </c>
      <c r="S103" s="577">
        <f t="shared" si="9"/>
        <v>217582.41758241758</v>
      </c>
      <c r="T103" s="577">
        <f t="shared" si="9"/>
        <v>237362.63736263732</v>
      </c>
      <c r="U103" s="577">
        <f t="shared" si="9"/>
        <v>257142.8571428571</v>
      </c>
      <c r="V103" s="577">
        <f t="shared" si="9"/>
        <v>276923.07692307688</v>
      </c>
      <c r="W103" s="577">
        <f t="shared" si="9"/>
        <v>296703.29670329666</v>
      </c>
      <c r="X103" s="577">
        <f t="shared" si="9"/>
        <v>316483.51648351649</v>
      </c>
      <c r="Y103" s="577">
        <f t="shared" si="9"/>
        <v>2492307.6923076925</v>
      </c>
      <c r="Z103" s="577">
        <f t="shared" si="9"/>
        <v>196377.44836955503</v>
      </c>
      <c r="AA103" s="577">
        <f t="shared" si="9"/>
        <v>196999.14442120932</v>
      </c>
      <c r="AB103" s="577">
        <f t="shared" si="9"/>
        <v>329371.34775319666</v>
      </c>
      <c r="AC103" s="577">
        <f t="shared" si="9"/>
        <v>330414.07882097625</v>
      </c>
      <c r="AD103" s="577">
        <f t="shared" si="9"/>
        <v>331460.11098973843</v>
      </c>
      <c r="AE103" s="577">
        <f t="shared" si="9"/>
        <v>332509.45471018145</v>
      </c>
      <c r="AF103" s="577">
        <f t="shared" si="9"/>
        <v>333562.12046608853</v>
      </c>
      <c r="AG103" s="577">
        <f t="shared" si="9"/>
        <v>334618.11877443269</v>
      </c>
      <c r="AH103" s="577">
        <f t="shared" si="9"/>
        <v>335677.46018548193</v>
      </c>
      <c r="AI103" s="577">
        <f t="shared" si="9"/>
        <v>336740.15528290434</v>
      </c>
      <c r="AJ103" s="577">
        <f t="shared" si="9"/>
        <v>468724.51359691093</v>
      </c>
      <c r="AK103" s="577">
        <f t="shared" si="9"/>
        <v>470208.41198665061</v>
      </c>
      <c r="AL103" s="577">
        <f t="shared" si="9"/>
        <v>3996662.3653573268</v>
      </c>
      <c r="AM103" s="577">
        <f t="shared" si="9"/>
        <v>291333.58851122583</v>
      </c>
      <c r="AN103" s="577">
        <f t="shared" si="9"/>
        <v>292222.14274803846</v>
      </c>
      <c r="AO103" s="577">
        <f t="shared" si="9"/>
        <v>352074.36220106937</v>
      </c>
      <c r="AP103" s="577">
        <f t="shared" si="9"/>
        <v>353148.17304384086</v>
      </c>
      <c r="AQ103" s="577">
        <f t="shared" si="9"/>
        <v>354225.25896099949</v>
      </c>
      <c r="AR103" s="577">
        <f t="shared" si="9"/>
        <v>355305.62994137377</v>
      </c>
      <c r="AS103" s="577">
        <f t="shared" si="9"/>
        <v>356389.29600425757</v>
      </c>
      <c r="AT103" s="577">
        <f t="shared" si="9"/>
        <v>357476.2671995032</v>
      </c>
      <c r="AU103" s="577">
        <f t="shared" si="9"/>
        <v>358566.55360761448</v>
      </c>
      <c r="AV103" s="577">
        <f t="shared" si="9"/>
        <v>359660.16533984029</v>
      </c>
      <c r="AW103" s="577">
        <f t="shared" si="9"/>
        <v>419360.04996218934</v>
      </c>
      <c r="AX103" s="577">
        <f t="shared" si="9"/>
        <v>420639.07910211117</v>
      </c>
      <c r="AY103" s="577">
        <f t="shared" si="9"/>
        <v>4270400.5666220635</v>
      </c>
      <c r="AZ103" s="577">
        <f t="shared" si="9"/>
        <v>260264.18148376333</v>
      </c>
      <c r="BA103" s="577">
        <f t="shared" si="9"/>
        <v>261029.94877160576</v>
      </c>
      <c r="BB103" s="577">
        <f t="shared" si="9"/>
        <v>375355.57423952961</v>
      </c>
      <c r="BC103" s="577">
        <f t="shared" si="9"/>
        <v>376459.97138870048</v>
      </c>
      <c r="BD103" s="577">
        <f t="shared" si="9"/>
        <v>377567.61797159986</v>
      </c>
      <c r="BE103" s="577">
        <f t="shared" si="9"/>
        <v>378678.52354893641</v>
      </c>
      <c r="BF103" s="577">
        <f t="shared" si="9"/>
        <v>379792.69770954933</v>
      </c>
      <c r="BG103" s="577">
        <f t="shared" si="9"/>
        <v>380910.15007049037</v>
      </c>
      <c r="BH103" s="577">
        <f t="shared" si="9"/>
        <v>382030.8902771076</v>
      </c>
      <c r="BI103" s="577">
        <f t="shared" si="9"/>
        <v>383154.92800312798</v>
      </c>
      <c r="BJ103" s="577">
        <f t="shared" si="9"/>
        <v>497174.58160667185</v>
      </c>
      <c r="BK103" s="577">
        <f t="shared" si="9"/>
        <v>498637.40307050408</v>
      </c>
      <c r="BL103" s="577">
        <f t="shared" si="9"/>
        <v>4551056.4681415856</v>
      </c>
      <c r="BM103" s="577">
        <f t="shared" si="9"/>
        <v>308133.57979367743</v>
      </c>
      <c r="BN103" s="577">
        <f t="shared" si="9"/>
        <v>309009.27342151373</v>
      </c>
      <c r="BO103" s="577">
        <f t="shared" si="9"/>
        <v>399203.35245082312</v>
      </c>
      <c r="BP103" s="577">
        <f t="shared" si="9"/>
        <v>400337.85986863257</v>
      </c>
      <c r="BQ103" s="577">
        <f t="shared" si="9"/>
        <v>401475.59147550032</v>
      </c>
      <c r="BR103" s="577">
        <f t="shared" si="9"/>
        <v>402616.55643434165</v>
      </c>
      <c r="BS103" s="577">
        <f t="shared" si="9"/>
        <v>403760.7639341118</v>
      </c>
      <c r="BT103" s="577">
        <f t="shared" si="9"/>
        <v>404908.22318988066</v>
      </c>
      <c r="BU103" s="577">
        <f t="shared" si="9"/>
        <v>406058.94344290643</v>
      </c>
      <c r="BV103" s="577">
        <f t="shared" si="9"/>
        <v>407212.93396071042</v>
      </c>
      <c r="BW103" s="577">
        <f t="shared" si="9"/>
        <v>497180.59790395293</v>
      </c>
      <c r="BX103" s="577">
        <f t="shared" si="9"/>
        <v>498593.54965611146</v>
      </c>
      <c r="BY103" s="577">
        <f t="shared" si="9"/>
        <v>4838491.2255321629</v>
      </c>
      <c r="CA103" s="61"/>
    </row>
    <row r="104" spans="1:79">
      <c r="B104" s="545" t="s">
        <v>108</v>
      </c>
      <c r="C104" s="545"/>
      <c r="D104" s="579">
        <f t="shared" ref="D104:I104" si="10">D97*$C$109</f>
        <v>1661538.4615384617</v>
      </c>
      <c r="E104" s="579">
        <f t="shared" si="10"/>
        <v>2664441.576904885</v>
      </c>
      <c r="F104" s="579">
        <f t="shared" si="10"/>
        <v>2846933.7110813763</v>
      </c>
      <c r="G104" s="579">
        <f t="shared" si="10"/>
        <v>3034037.6454277243</v>
      </c>
      <c r="H104" s="579">
        <f t="shared" si="10"/>
        <v>3225660.8170214426</v>
      </c>
      <c r="I104" s="579">
        <f t="shared" si="10"/>
        <v>2686522.4423947777</v>
      </c>
      <c r="K104" s="545" t="s">
        <v>108</v>
      </c>
      <c r="L104" s="579">
        <f>L97*$C$109</f>
        <v>0</v>
      </c>
      <c r="M104" s="579">
        <f>M97*$C$109</f>
        <v>65934.065934065948</v>
      </c>
      <c r="N104" s="579">
        <f t="shared" ref="N104:BY104" si="11">N97*$C$109</f>
        <v>79120.879120879108</v>
      </c>
      <c r="O104" s="579">
        <f t="shared" si="11"/>
        <v>92307.692307692312</v>
      </c>
      <c r="P104" s="579">
        <f t="shared" si="11"/>
        <v>105494.5054945055</v>
      </c>
      <c r="Q104" s="579">
        <f t="shared" si="11"/>
        <v>118681.31868131869</v>
      </c>
      <c r="R104" s="579">
        <f t="shared" si="11"/>
        <v>131868.1318681319</v>
      </c>
      <c r="S104" s="579">
        <f t="shared" si="11"/>
        <v>145054.94505494504</v>
      </c>
      <c r="T104" s="579">
        <f t="shared" si="11"/>
        <v>158241.75824175822</v>
      </c>
      <c r="U104" s="579">
        <f t="shared" si="11"/>
        <v>171428.57142857142</v>
      </c>
      <c r="V104" s="579">
        <f t="shared" si="11"/>
        <v>184615.38461538462</v>
      </c>
      <c r="W104" s="579">
        <f t="shared" si="11"/>
        <v>197802.19780219777</v>
      </c>
      <c r="X104" s="579">
        <f t="shared" si="11"/>
        <v>210989.010989011</v>
      </c>
      <c r="Y104" s="579">
        <f t="shared" si="11"/>
        <v>1661538.4615384617</v>
      </c>
      <c r="Z104" s="579">
        <f t="shared" si="11"/>
        <v>130918.29891303669</v>
      </c>
      <c r="AA104" s="579">
        <f t="shared" si="11"/>
        <v>131332.76294747289</v>
      </c>
      <c r="AB104" s="579">
        <f t="shared" si="11"/>
        <v>219580.89850213114</v>
      </c>
      <c r="AC104" s="579">
        <f t="shared" si="11"/>
        <v>220276.05254731752</v>
      </c>
      <c r="AD104" s="579">
        <f t="shared" si="11"/>
        <v>220973.40732649231</v>
      </c>
      <c r="AE104" s="579">
        <f t="shared" si="11"/>
        <v>221672.96980678767</v>
      </c>
      <c r="AF104" s="579">
        <f t="shared" si="11"/>
        <v>222374.74697739235</v>
      </c>
      <c r="AG104" s="579">
        <f t="shared" si="11"/>
        <v>223078.74584962183</v>
      </c>
      <c r="AH104" s="579">
        <f t="shared" si="11"/>
        <v>223784.97345698799</v>
      </c>
      <c r="AI104" s="579">
        <f t="shared" si="11"/>
        <v>224493.43685526957</v>
      </c>
      <c r="AJ104" s="579">
        <f t="shared" si="11"/>
        <v>312483.00906460726</v>
      </c>
      <c r="AK104" s="579">
        <f t="shared" si="11"/>
        <v>313472.27465776709</v>
      </c>
      <c r="AL104" s="579">
        <f t="shared" si="11"/>
        <v>2664441.576904885</v>
      </c>
      <c r="AM104" s="579">
        <f t="shared" si="11"/>
        <v>194222.39234081726</v>
      </c>
      <c r="AN104" s="579">
        <f t="shared" si="11"/>
        <v>194814.76183202566</v>
      </c>
      <c r="AO104" s="579">
        <f t="shared" si="11"/>
        <v>234716.24146737962</v>
      </c>
      <c r="AP104" s="579">
        <f t="shared" si="11"/>
        <v>235432.11536256058</v>
      </c>
      <c r="AQ104" s="579">
        <f t="shared" si="11"/>
        <v>236150.17264066634</v>
      </c>
      <c r="AR104" s="579">
        <f t="shared" si="11"/>
        <v>236870.41996091587</v>
      </c>
      <c r="AS104" s="579">
        <f t="shared" si="11"/>
        <v>237592.86400283841</v>
      </c>
      <c r="AT104" s="579">
        <f t="shared" si="11"/>
        <v>238317.51146633548</v>
      </c>
      <c r="AU104" s="579">
        <f t="shared" si="11"/>
        <v>239044.36907174299</v>
      </c>
      <c r="AV104" s="579">
        <f t="shared" si="11"/>
        <v>239773.44355989355</v>
      </c>
      <c r="AW104" s="579">
        <f t="shared" si="11"/>
        <v>279573.36664145958</v>
      </c>
      <c r="AX104" s="579">
        <f t="shared" si="11"/>
        <v>280426.05273474078</v>
      </c>
      <c r="AY104" s="579">
        <f t="shared" si="11"/>
        <v>2846933.7110813763</v>
      </c>
      <c r="AZ104" s="579">
        <f t="shared" si="11"/>
        <v>173509.45432250889</v>
      </c>
      <c r="BA104" s="579">
        <f t="shared" si="11"/>
        <v>174019.96584773718</v>
      </c>
      <c r="BB104" s="579">
        <f t="shared" si="11"/>
        <v>250237.04949301976</v>
      </c>
      <c r="BC104" s="579">
        <f t="shared" si="11"/>
        <v>250973.31425913368</v>
      </c>
      <c r="BD104" s="579">
        <f t="shared" si="11"/>
        <v>251711.74531439992</v>
      </c>
      <c r="BE104" s="579">
        <f t="shared" si="11"/>
        <v>252452.3490326243</v>
      </c>
      <c r="BF104" s="579">
        <f t="shared" si="11"/>
        <v>253195.13180636626</v>
      </c>
      <c r="BG104" s="579">
        <f t="shared" si="11"/>
        <v>253940.10004699361</v>
      </c>
      <c r="BH104" s="579">
        <f t="shared" si="11"/>
        <v>254687.26018473844</v>
      </c>
      <c r="BI104" s="579">
        <f t="shared" si="11"/>
        <v>255436.61866875199</v>
      </c>
      <c r="BJ104" s="579">
        <f t="shared" si="11"/>
        <v>331449.72107111459</v>
      </c>
      <c r="BK104" s="579">
        <f t="shared" si="11"/>
        <v>332424.93538033613</v>
      </c>
      <c r="BL104" s="579">
        <f t="shared" si="11"/>
        <v>3034037.6454277243</v>
      </c>
      <c r="BM104" s="579">
        <f t="shared" si="11"/>
        <v>205422.38652911829</v>
      </c>
      <c r="BN104" s="579">
        <f t="shared" si="11"/>
        <v>206006.18228100918</v>
      </c>
      <c r="BO104" s="579">
        <f t="shared" si="11"/>
        <v>266135.56830054877</v>
      </c>
      <c r="BP104" s="579">
        <f t="shared" si="11"/>
        <v>266891.90657908836</v>
      </c>
      <c r="BQ104" s="579">
        <f t="shared" si="11"/>
        <v>267650.39431700023</v>
      </c>
      <c r="BR104" s="579">
        <f t="shared" si="11"/>
        <v>268411.03762289445</v>
      </c>
      <c r="BS104" s="579">
        <f t="shared" si="11"/>
        <v>269173.84262274124</v>
      </c>
      <c r="BT104" s="579">
        <f t="shared" si="11"/>
        <v>269938.8154599205</v>
      </c>
      <c r="BU104" s="579">
        <f t="shared" si="11"/>
        <v>270705.96229527093</v>
      </c>
      <c r="BV104" s="579">
        <f t="shared" si="11"/>
        <v>271475.28930714028</v>
      </c>
      <c r="BW104" s="579">
        <f t="shared" si="11"/>
        <v>331453.73193596862</v>
      </c>
      <c r="BX104" s="579">
        <f t="shared" si="11"/>
        <v>332395.69977074099</v>
      </c>
      <c r="BY104" s="579">
        <f t="shared" si="11"/>
        <v>3225660.8170214426</v>
      </c>
      <c r="CA104" s="61"/>
    </row>
    <row r="105" spans="1:79">
      <c r="B105" s="33"/>
      <c r="C105" s="33"/>
      <c r="CA105" s="61"/>
    </row>
    <row r="106" spans="1:79">
      <c r="CA106" s="61"/>
    </row>
    <row r="107" spans="1:79">
      <c r="B107" s="541" t="s">
        <v>105</v>
      </c>
      <c r="C107" s="541"/>
      <c r="CA107" s="61"/>
    </row>
    <row r="108" spans="1:79">
      <c r="B108" s="571" t="s">
        <v>63</v>
      </c>
      <c r="C108" s="572">
        <f>C34</f>
        <v>0.6</v>
      </c>
      <c r="CA108" s="61"/>
    </row>
    <row r="109" spans="1:79">
      <c r="B109" s="573" t="s">
        <v>64</v>
      </c>
      <c r="C109" s="574">
        <f>C35</f>
        <v>0.4</v>
      </c>
      <c r="CA109" s="61"/>
    </row>
    <row r="110" spans="1:79">
      <c r="CA110" s="61"/>
    </row>
    <row r="111" spans="1:79">
      <c r="CA111" s="61"/>
    </row>
    <row r="112" spans="1:79" customFormat="1">
      <c r="A112" s="48"/>
      <c r="B112" s="642" t="s">
        <v>339</v>
      </c>
      <c r="C112" s="643"/>
      <c r="D112" s="643">
        <v>0</v>
      </c>
      <c r="E112" s="643">
        <v>0</v>
      </c>
      <c r="F112" s="643">
        <v>0</v>
      </c>
      <c r="G112" s="643">
        <v>0</v>
      </c>
      <c r="H112" s="643">
        <v>0</v>
      </c>
      <c r="I112" s="643">
        <v>0</v>
      </c>
      <c r="K112" s="642" t="s">
        <v>339</v>
      </c>
      <c r="L112" s="643"/>
      <c r="M112" s="643"/>
      <c r="N112" s="643"/>
      <c r="O112" s="643"/>
      <c r="P112" s="643"/>
      <c r="Q112" s="643"/>
      <c r="R112" s="643"/>
      <c r="S112" s="643"/>
      <c r="T112" s="643"/>
      <c r="U112" s="643"/>
      <c r="V112" s="643"/>
      <c r="W112" s="643"/>
      <c r="X112" s="643"/>
      <c r="Y112" s="643"/>
      <c r="Z112" s="643"/>
      <c r="AA112" s="643"/>
      <c r="AB112" s="643"/>
      <c r="AC112" s="643"/>
      <c r="AD112" s="643"/>
      <c r="AE112" s="643"/>
      <c r="AF112" s="643"/>
      <c r="AG112" s="643"/>
      <c r="AH112" s="643"/>
      <c r="AI112" s="643"/>
      <c r="AJ112" s="643"/>
      <c r="AK112" s="643"/>
      <c r="AL112" s="643"/>
      <c r="AM112" s="643"/>
      <c r="AN112" s="643"/>
      <c r="AO112" s="643"/>
      <c r="AP112" s="643"/>
      <c r="AQ112" s="643"/>
      <c r="AR112" s="643"/>
      <c r="AS112" s="643"/>
      <c r="AT112" s="643"/>
      <c r="AU112" s="643"/>
      <c r="AV112" s="643"/>
      <c r="AW112" s="643"/>
      <c r="AX112" s="643"/>
      <c r="AY112" s="643"/>
      <c r="AZ112" s="643"/>
      <c r="BA112" s="643"/>
      <c r="BB112" s="643"/>
      <c r="BC112" s="643"/>
      <c r="BD112" s="643"/>
      <c r="BE112" s="643"/>
      <c r="BF112" s="643"/>
      <c r="BG112" s="643"/>
      <c r="BH112" s="643"/>
      <c r="BI112" s="643"/>
      <c r="BJ112" s="643"/>
      <c r="BK112" s="643"/>
      <c r="BL112" s="643"/>
      <c r="BM112" s="643"/>
      <c r="BN112" s="643"/>
      <c r="BO112" s="643"/>
      <c r="BP112" s="643"/>
      <c r="BQ112" s="643"/>
      <c r="BR112" s="643"/>
      <c r="BS112" s="643"/>
      <c r="BT112" s="643"/>
      <c r="BU112" s="643"/>
      <c r="BV112" s="643"/>
      <c r="BW112" s="643"/>
      <c r="BX112" s="643"/>
      <c r="BY112" s="643"/>
      <c r="CA112" s="64"/>
    </row>
    <row r="113" spans="1:79" customFormat="1">
      <c r="A113" s="48"/>
      <c r="B113" s="542" t="s">
        <v>90</v>
      </c>
      <c r="C113" s="577"/>
      <c r="D113" s="577">
        <v>65.934065934065941</v>
      </c>
      <c r="E113" s="577">
        <v>65.934065934065941</v>
      </c>
      <c r="F113" s="577">
        <v>65.934065934065941</v>
      </c>
      <c r="G113" s="577">
        <v>65.934065934065941</v>
      </c>
      <c r="H113" s="577">
        <v>65.934065934065941</v>
      </c>
      <c r="I113" s="577">
        <v>65.934065934065941</v>
      </c>
      <c r="K113" s="542" t="s">
        <v>90</v>
      </c>
      <c r="L113" s="577"/>
      <c r="M113" s="577">
        <v>65.934065934065927</v>
      </c>
      <c r="N113" s="577">
        <v>65.934065934065927</v>
      </c>
      <c r="O113" s="577">
        <v>65.934065934065927</v>
      </c>
      <c r="P113" s="577">
        <v>65.934065934065927</v>
      </c>
      <c r="Q113" s="577">
        <v>65.934065934065927</v>
      </c>
      <c r="R113" s="577">
        <v>65.934065934065927</v>
      </c>
      <c r="S113" s="577">
        <v>65.934065934065927</v>
      </c>
      <c r="T113" s="577">
        <v>65.934065934065927</v>
      </c>
      <c r="U113" s="577">
        <v>65.934065934065927</v>
      </c>
      <c r="V113" s="577">
        <v>65.934065934065927</v>
      </c>
      <c r="W113" s="577">
        <v>65.934065934065927</v>
      </c>
      <c r="X113" s="577">
        <v>65.934065934065927</v>
      </c>
      <c r="Y113" s="577">
        <v>65.934065934065941</v>
      </c>
      <c r="Z113" s="577">
        <v>65.934065934065927</v>
      </c>
      <c r="AA113" s="577">
        <v>65.934065934065927</v>
      </c>
      <c r="AB113" s="577">
        <v>65.934065934065927</v>
      </c>
      <c r="AC113" s="577">
        <v>65.934065934065927</v>
      </c>
      <c r="AD113" s="577">
        <v>65.934065934065927</v>
      </c>
      <c r="AE113" s="577">
        <v>65.934065934065927</v>
      </c>
      <c r="AF113" s="577">
        <v>65.934065934065927</v>
      </c>
      <c r="AG113" s="577">
        <v>65.934065934065927</v>
      </c>
      <c r="AH113" s="577">
        <v>65.934065934065927</v>
      </c>
      <c r="AI113" s="577">
        <v>65.934065934065927</v>
      </c>
      <c r="AJ113" s="577">
        <v>65.934065934065927</v>
      </c>
      <c r="AK113" s="577">
        <v>65.934065934065927</v>
      </c>
      <c r="AL113" s="577">
        <v>65.934065934065941</v>
      </c>
      <c r="AM113" s="577">
        <v>65.934065934065927</v>
      </c>
      <c r="AN113" s="577">
        <v>65.934065934065927</v>
      </c>
      <c r="AO113" s="577">
        <v>65.934065934065927</v>
      </c>
      <c r="AP113" s="577">
        <v>65.934065934065927</v>
      </c>
      <c r="AQ113" s="577">
        <v>65.934065934065927</v>
      </c>
      <c r="AR113" s="577">
        <v>65.934065934065927</v>
      </c>
      <c r="AS113" s="577">
        <v>65.934065934065927</v>
      </c>
      <c r="AT113" s="577">
        <v>65.934065934065927</v>
      </c>
      <c r="AU113" s="577">
        <v>65.934065934065927</v>
      </c>
      <c r="AV113" s="577">
        <v>65.934065934065927</v>
      </c>
      <c r="AW113" s="577">
        <v>65.934065934065927</v>
      </c>
      <c r="AX113" s="577">
        <v>65.934065934065927</v>
      </c>
      <c r="AY113" s="577">
        <v>65.934065934065941</v>
      </c>
      <c r="AZ113" s="577">
        <v>65.934065934065927</v>
      </c>
      <c r="BA113" s="577">
        <v>65.934065934065927</v>
      </c>
      <c r="BB113" s="577">
        <v>65.934065934065927</v>
      </c>
      <c r="BC113" s="577">
        <v>65.934065934065927</v>
      </c>
      <c r="BD113" s="577">
        <v>65.934065934065927</v>
      </c>
      <c r="BE113" s="577">
        <v>65.934065934065927</v>
      </c>
      <c r="BF113" s="577">
        <v>65.934065934065927</v>
      </c>
      <c r="BG113" s="577">
        <v>65.934065934065927</v>
      </c>
      <c r="BH113" s="577">
        <v>65.934065934065927</v>
      </c>
      <c r="BI113" s="577">
        <v>65.934065934065927</v>
      </c>
      <c r="BJ113" s="577">
        <v>65.934065934065927</v>
      </c>
      <c r="BK113" s="577">
        <v>65.934065934065927</v>
      </c>
      <c r="BL113" s="577">
        <v>65.934065934065941</v>
      </c>
      <c r="BM113" s="577">
        <v>65.934065934065927</v>
      </c>
      <c r="BN113" s="577">
        <v>65.934065934065927</v>
      </c>
      <c r="BO113" s="577">
        <v>65.934065934065927</v>
      </c>
      <c r="BP113" s="577">
        <v>65.934065934065927</v>
      </c>
      <c r="BQ113" s="577">
        <v>65.934065934065927</v>
      </c>
      <c r="BR113" s="577">
        <v>65.934065934065927</v>
      </c>
      <c r="BS113" s="577">
        <v>65.934065934065927</v>
      </c>
      <c r="BT113" s="577">
        <v>65.934065934065927</v>
      </c>
      <c r="BU113" s="577">
        <v>65.934065934065927</v>
      </c>
      <c r="BV113" s="577">
        <v>65.934065934065927</v>
      </c>
      <c r="BW113" s="577">
        <v>65.934065934065927</v>
      </c>
      <c r="BX113" s="577">
        <v>65.934065934065927</v>
      </c>
      <c r="BY113" s="577">
        <v>65.934065934065941</v>
      </c>
      <c r="CA113" s="64"/>
    </row>
    <row r="114" spans="1:79" customFormat="1">
      <c r="A114" s="48"/>
      <c r="B114" s="542" t="s">
        <v>91</v>
      </c>
      <c r="C114" s="577"/>
      <c r="D114" s="577">
        <v>65.934065934065941</v>
      </c>
      <c r="E114" s="577">
        <v>65.934065934065941</v>
      </c>
      <c r="F114" s="577">
        <v>65.934065934065941</v>
      </c>
      <c r="G114" s="577">
        <v>65.934065934065941</v>
      </c>
      <c r="H114" s="577">
        <v>65.934065934065941</v>
      </c>
      <c r="I114" s="577">
        <v>65.934065934065941</v>
      </c>
      <c r="K114" s="542" t="s">
        <v>91</v>
      </c>
      <c r="L114" s="577"/>
      <c r="M114" s="577">
        <v>65.934065934065927</v>
      </c>
      <c r="N114" s="577">
        <v>65.934065934065927</v>
      </c>
      <c r="O114" s="577">
        <v>65.934065934065927</v>
      </c>
      <c r="P114" s="577">
        <v>65.934065934065927</v>
      </c>
      <c r="Q114" s="577">
        <v>65.934065934065927</v>
      </c>
      <c r="R114" s="577">
        <v>65.934065934065927</v>
      </c>
      <c r="S114" s="577">
        <v>65.934065934065927</v>
      </c>
      <c r="T114" s="577">
        <v>65.934065934065927</v>
      </c>
      <c r="U114" s="577">
        <v>65.934065934065927</v>
      </c>
      <c r="V114" s="577">
        <v>65.934065934065927</v>
      </c>
      <c r="W114" s="577">
        <v>65.934065934065927</v>
      </c>
      <c r="X114" s="577">
        <v>65.934065934065927</v>
      </c>
      <c r="Y114" s="577">
        <v>65.934065934065941</v>
      </c>
      <c r="Z114" s="577">
        <v>65.934065934065927</v>
      </c>
      <c r="AA114" s="577">
        <v>65.934065934065927</v>
      </c>
      <c r="AB114" s="577">
        <v>65.934065934065927</v>
      </c>
      <c r="AC114" s="577">
        <v>65.934065934065927</v>
      </c>
      <c r="AD114" s="577">
        <v>65.934065934065927</v>
      </c>
      <c r="AE114" s="577">
        <v>65.934065934065927</v>
      </c>
      <c r="AF114" s="577">
        <v>65.934065934065927</v>
      </c>
      <c r="AG114" s="577">
        <v>65.934065934065927</v>
      </c>
      <c r="AH114" s="577">
        <v>65.934065934065927</v>
      </c>
      <c r="AI114" s="577">
        <v>65.934065934065927</v>
      </c>
      <c r="AJ114" s="577">
        <v>65.934065934065927</v>
      </c>
      <c r="AK114" s="577">
        <v>65.934065934065927</v>
      </c>
      <c r="AL114" s="577">
        <v>65.934065934065941</v>
      </c>
      <c r="AM114" s="577">
        <v>65.934065934065927</v>
      </c>
      <c r="AN114" s="577">
        <v>65.934065934065927</v>
      </c>
      <c r="AO114" s="577">
        <v>65.934065934065927</v>
      </c>
      <c r="AP114" s="577">
        <v>65.934065934065927</v>
      </c>
      <c r="AQ114" s="577">
        <v>65.934065934065927</v>
      </c>
      <c r="AR114" s="577">
        <v>65.934065934065927</v>
      </c>
      <c r="AS114" s="577">
        <v>65.934065934065927</v>
      </c>
      <c r="AT114" s="577">
        <v>65.934065934065927</v>
      </c>
      <c r="AU114" s="577">
        <v>65.934065934065927</v>
      </c>
      <c r="AV114" s="577">
        <v>65.934065934065927</v>
      </c>
      <c r="AW114" s="577">
        <v>65.934065934065927</v>
      </c>
      <c r="AX114" s="577">
        <v>65.934065934065927</v>
      </c>
      <c r="AY114" s="577">
        <v>65.934065934065941</v>
      </c>
      <c r="AZ114" s="577">
        <v>65.934065934065927</v>
      </c>
      <c r="BA114" s="577">
        <v>65.934065934065927</v>
      </c>
      <c r="BB114" s="577">
        <v>65.934065934065927</v>
      </c>
      <c r="BC114" s="577">
        <v>65.934065934065927</v>
      </c>
      <c r="BD114" s="577">
        <v>65.934065934065927</v>
      </c>
      <c r="BE114" s="577">
        <v>65.934065934065927</v>
      </c>
      <c r="BF114" s="577">
        <v>65.934065934065927</v>
      </c>
      <c r="BG114" s="577">
        <v>65.934065934065927</v>
      </c>
      <c r="BH114" s="577">
        <v>65.934065934065927</v>
      </c>
      <c r="BI114" s="577">
        <v>65.934065934065927</v>
      </c>
      <c r="BJ114" s="577">
        <v>65.934065934065927</v>
      </c>
      <c r="BK114" s="577">
        <v>65.934065934065927</v>
      </c>
      <c r="BL114" s="577">
        <v>65.934065934065941</v>
      </c>
      <c r="BM114" s="577">
        <v>65.934065934065927</v>
      </c>
      <c r="BN114" s="577">
        <v>65.934065934065927</v>
      </c>
      <c r="BO114" s="577">
        <v>65.934065934065927</v>
      </c>
      <c r="BP114" s="577">
        <v>65.934065934065927</v>
      </c>
      <c r="BQ114" s="577">
        <v>65.934065934065927</v>
      </c>
      <c r="BR114" s="577">
        <v>65.934065934065927</v>
      </c>
      <c r="BS114" s="577">
        <v>65.934065934065927</v>
      </c>
      <c r="BT114" s="577">
        <v>65.934065934065927</v>
      </c>
      <c r="BU114" s="577">
        <v>65.934065934065927</v>
      </c>
      <c r="BV114" s="577">
        <v>65.934065934065927</v>
      </c>
      <c r="BW114" s="577">
        <v>65.934065934065927</v>
      </c>
      <c r="BX114" s="577">
        <v>65.934065934065927</v>
      </c>
      <c r="BY114" s="577">
        <v>65.934065934065941</v>
      </c>
      <c r="CA114" s="64"/>
    </row>
    <row r="115" spans="1:79" customFormat="1">
      <c r="A115" s="48"/>
      <c r="B115" s="542" t="s">
        <v>92</v>
      </c>
      <c r="C115" s="577"/>
      <c r="D115" s="577">
        <v>65.934065934065941</v>
      </c>
      <c r="E115" s="577">
        <v>65.934065934065941</v>
      </c>
      <c r="F115" s="577">
        <v>65.934065934065941</v>
      </c>
      <c r="G115" s="577">
        <v>65.934065934065941</v>
      </c>
      <c r="H115" s="577">
        <v>65.934065934065941</v>
      </c>
      <c r="I115" s="577">
        <v>65.934065934065941</v>
      </c>
      <c r="K115" s="542" t="s">
        <v>92</v>
      </c>
      <c r="L115" s="577"/>
      <c r="M115" s="577">
        <v>65.934065934065927</v>
      </c>
      <c r="N115" s="577">
        <v>65.934065934065927</v>
      </c>
      <c r="O115" s="577">
        <v>65.934065934065927</v>
      </c>
      <c r="P115" s="577">
        <v>65.934065934065927</v>
      </c>
      <c r="Q115" s="577">
        <v>65.934065934065927</v>
      </c>
      <c r="R115" s="577">
        <v>65.934065934065927</v>
      </c>
      <c r="S115" s="577">
        <v>65.934065934065927</v>
      </c>
      <c r="T115" s="577">
        <v>65.934065934065927</v>
      </c>
      <c r="U115" s="577">
        <v>65.934065934065927</v>
      </c>
      <c r="V115" s="577">
        <v>65.934065934065927</v>
      </c>
      <c r="W115" s="577">
        <v>65.934065934065927</v>
      </c>
      <c r="X115" s="577">
        <v>65.934065934065927</v>
      </c>
      <c r="Y115" s="577">
        <v>65.934065934065941</v>
      </c>
      <c r="Z115" s="577">
        <v>65.934065934065927</v>
      </c>
      <c r="AA115" s="577">
        <v>65.934065934065927</v>
      </c>
      <c r="AB115" s="577">
        <v>65.934065934065927</v>
      </c>
      <c r="AC115" s="577">
        <v>65.934065934065927</v>
      </c>
      <c r="AD115" s="577">
        <v>65.934065934065927</v>
      </c>
      <c r="AE115" s="577">
        <v>65.934065934065927</v>
      </c>
      <c r="AF115" s="577">
        <v>65.934065934065927</v>
      </c>
      <c r="AG115" s="577">
        <v>65.934065934065927</v>
      </c>
      <c r="AH115" s="577">
        <v>65.934065934065927</v>
      </c>
      <c r="AI115" s="577">
        <v>65.934065934065927</v>
      </c>
      <c r="AJ115" s="577">
        <v>65.934065934065927</v>
      </c>
      <c r="AK115" s="577">
        <v>65.934065934065927</v>
      </c>
      <c r="AL115" s="577">
        <v>65.934065934065941</v>
      </c>
      <c r="AM115" s="577">
        <v>65.934065934065927</v>
      </c>
      <c r="AN115" s="577">
        <v>65.934065934065927</v>
      </c>
      <c r="AO115" s="577">
        <v>65.934065934065927</v>
      </c>
      <c r="AP115" s="577">
        <v>65.934065934065927</v>
      </c>
      <c r="AQ115" s="577">
        <v>65.934065934065927</v>
      </c>
      <c r="AR115" s="577">
        <v>65.934065934065927</v>
      </c>
      <c r="AS115" s="577">
        <v>65.934065934065927</v>
      </c>
      <c r="AT115" s="577">
        <v>65.934065934065927</v>
      </c>
      <c r="AU115" s="577">
        <v>65.934065934065927</v>
      </c>
      <c r="AV115" s="577">
        <v>65.934065934065927</v>
      </c>
      <c r="AW115" s="577">
        <v>65.934065934065927</v>
      </c>
      <c r="AX115" s="577">
        <v>65.934065934065927</v>
      </c>
      <c r="AY115" s="577">
        <v>65.934065934065941</v>
      </c>
      <c r="AZ115" s="577">
        <v>65.934065934065927</v>
      </c>
      <c r="BA115" s="577">
        <v>65.934065934065927</v>
      </c>
      <c r="BB115" s="577">
        <v>65.934065934065927</v>
      </c>
      <c r="BC115" s="577">
        <v>65.934065934065927</v>
      </c>
      <c r="BD115" s="577">
        <v>65.934065934065927</v>
      </c>
      <c r="BE115" s="577">
        <v>65.934065934065927</v>
      </c>
      <c r="BF115" s="577">
        <v>65.934065934065927</v>
      </c>
      <c r="BG115" s="577">
        <v>65.934065934065927</v>
      </c>
      <c r="BH115" s="577">
        <v>65.934065934065927</v>
      </c>
      <c r="BI115" s="577">
        <v>65.934065934065927</v>
      </c>
      <c r="BJ115" s="577">
        <v>65.934065934065927</v>
      </c>
      <c r="BK115" s="577">
        <v>65.934065934065927</v>
      </c>
      <c r="BL115" s="577">
        <v>65.934065934065941</v>
      </c>
      <c r="BM115" s="577">
        <v>65.934065934065927</v>
      </c>
      <c r="BN115" s="577">
        <v>65.934065934065927</v>
      </c>
      <c r="BO115" s="577">
        <v>65.934065934065927</v>
      </c>
      <c r="BP115" s="577">
        <v>65.934065934065927</v>
      </c>
      <c r="BQ115" s="577">
        <v>65.934065934065927</v>
      </c>
      <c r="BR115" s="577">
        <v>65.934065934065927</v>
      </c>
      <c r="BS115" s="577">
        <v>65.934065934065927</v>
      </c>
      <c r="BT115" s="577">
        <v>65.934065934065927</v>
      </c>
      <c r="BU115" s="577">
        <v>65.934065934065927</v>
      </c>
      <c r="BV115" s="577">
        <v>65.934065934065927</v>
      </c>
      <c r="BW115" s="577">
        <v>65.934065934065927</v>
      </c>
      <c r="BX115" s="577">
        <v>65.934065934065927</v>
      </c>
      <c r="BY115" s="577">
        <v>65.934065934065941</v>
      </c>
      <c r="CA115" s="64"/>
    </row>
    <row r="116" spans="1:79" customFormat="1">
      <c r="A116" s="48"/>
      <c r="B116" s="542" t="s">
        <v>93</v>
      </c>
      <c r="C116" s="577"/>
      <c r="D116" s="577">
        <v>65.934065934065941</v>
      </c>
      <c r="E116" s="577">
        <v>65.934065934065941</v>
      </c>
      <c r="F116" s="577">
        <v>65.934065934065941</v>
      </c>
      <c r="G116" s="577">
        <v>65.934065934065941</v>
      </c>
      <c r="H116" s="577">
        <v>65.934065934065941</v>
      </c>
      <c r="I116" s="577">
        <v>65.934065934065941</v>
      </c>
      <c r="K116" s="542" t="s">
        <v>93</v>
      </c>
      <c r="L116" s="577"/>
      <c r="M116" s="577">
        <v>65.934065934065927</v>
      </c>
      <c r="N116" s="577">
        <v>65.934065934065927</v>
      </c>
      <c r="O116" s="577">
        <v>65.934065934065927</v>
      </c>
      <c r="P116" s="577">
        <v>65.934065934065927</v>
      </c>
      <c r="Q116" s="577">
        <v>65.934065934065927</v>
      </c>
      <c r="R116" s="577">
        <v>65.934065934065927</v>
      </c>
      <c r="S116" s="577">
        <v>65.934065934065927</v>
      </c>
      <c r="T116" s="577">
        <v>65.934065934065927</v>
      </c>
      <c r="U116" s="577">
        <v>65.934065934065927</v>
      </c>
      <c r="V116" s="577">
        <v>65.934065934065927</v>
      </c>
      <c r="W116" s="577">
        <v>65.934065934065927</v>
      </c>
      <c r="X116" s="577">
        <v>65.934065934065927</v>
      </c>
      <c r="Y116" s="577">
        <v>65.934065934065941</v>
      </c>
      <c r="Z116" s="577">
        <v>65.934065934065927</v>
      </c>
      <c r="AA116" s="577">
        <v>65.934065934065927</v>
      </c>
      <c r="AB116" s="577">
        <v>65.934065934065927</v>
      </c>
      <c r="AC116" s="577">
        <v>65.934065934065927</v>
      </c>
      <c r="AD116" s="577">
        <v>65.934065934065927</v>
      </c>
      <c r="AE116" s="577">
        <v>65.934065934065927</v>
      </c>
      <c r="AF116" s="577">
        <v>65.934065934065927</v>
      </c>
      <c r="AG116" s="577">
        <v>65.934065934065927</v>
      </c>
      <c r="AH116" s="577">
        <v>65.934065934065927</v>
      </c>
      <c r="AI116" s="577">
        <v>65.934065934065927</v>
      </c>
      <c r="AJ116" s="577">
        <v>65.934065934065927</v>
      </c>
      <c r="AK116" s="577">
        <v>65.934065934065927</v>
      </c>
      <c r="AL116" s="577">
        <v>65.934065934065941</v>
      </c>
      <c r="AM116" s="577">
        <v>65.934065934065927</v>
      </c>
      <c r="AN116" s="577">
        <v>65.934065934065927</v>
      </c>
      <c r="AO116" s="577">
        <v>65.934065934065927</v>
      </c>
      <c r="AP116" s="577">
        <v>65.934065934065927</v>
      </c>
      <c r="AQ116" s="577">
        <v>65.934065934065927</v>
      </c>
      <c r="AR116" s="577">
        <v>65.934065934065927</v>
      </c>
      <c r="AS116" s="577">
        <v>65.934065934065927</v>
      </c>
      <c r="AT116" s="577">
        <v>65.934065934065927</v>
      </c>
      <c r="AU116" s="577">
        <v>65.934065934065927</v>
      </c>
      <c r="AV116" s="577">
        <v>65.934065934065927</v>
      </c>
      <c r="AW116" s="577">
        <v>65.934065934065927</v>
      </c>
      <c r="AX116" s="577">
        <v>65.934065934065927</v>
      </c>
      <c r="AY116" s="577">
        <v>65.934065934065941</v>
      </c>
      <c r="AZ116" s="577">
        <v>65.934065934065927</v>
      </c>
      <c r="BA116" s="577">
        <v>65.934065934065927</v>
      </c>
      <c r="BB116" s="577">
        <v>65.934065934065927</v>
      </c>
      <c r="BC116" s="577">
        <v>65.934065934065927</v>
      </c>
      <c r="BD116" s="577">
        <v>65.934065934065927</v>
      </c>
      <c r="BE116" s="577">
        <v>65.934065934065927</v>
      </c>
      <c r="BF116" s="577">
        <v>65.934065934065927</v>
      </c>
      <c r="BG116" s="577">
        <v>65.934065934065927</v>
      </c>
      <c r="BH116" s="577">
        <v>65.934065934065927</v>
      </c>
      <c r="BI116" s="577">
        <v>65.934065934065927</v>
      </c>
      <c r="BJ116" s="577">
        <v>65.934065934065927</v>
      </c>
      <c r="BK116" s="577">
        <v>65.934065934065927</v>
      </c>
      <c r="BL116" s="577">
        <v>65.934065934065941</v>
      </c>
      <c r="BM116" s="577">
        <v>65.934065934065927</v>
      </c>
      <c r="BN116" s="577">
        <v>65.934065934065927</v>
      </c>
      <c r="BO116" s="577">
        <v>65.934065934065927</v>
      </c>
      <c r="BP116" s="577">
        <v>65.934065934065927</v>
      </c>
      <c r="BQ116" s="577">
        <v>65.934065934065927</v>
      </c>
      <c r="BR116" s="577">
        <v>65.934065934065927</v>
      </c>
      <c r="BS116" s="577">
        <v>65.934065934065927</v>
      </c>
      <c r="BT116" s="577">
        <v>65.934065934065927</v>
      </c>
      <c r="BU116" s="577">
        <v>65.934065934065927</v>
      </c>
      <c r="BV116" s="577">
        <v>65.934065934065927</v>
      </c>
      <c r="BW116" s="577">
        <v>65.934065934065927</v>
      </c>
      <c r="BX116" s="577">
        <v>65.934065934065927</v>
      </c>
      <c r="BY116" s="577">
        <v>65.934065934065941</v>
      </c>
      <c r="CA116" s="64"/>
    </row>
    <row r="117" spans="1:79" customFormat="1">
      <c r="A117" s="48"/>
      <c r="B117" s="575" t="s">
        <v>343</v>
      </c>
      <c r="C117" s="576"/>
      <c r="D117" s="576">
        <v>164835.16483516488</v>
      </c>
      <c r="E117" s="576">
        <v>169928.57142857133</v>
      </c>
      <c r="F117" s="576">
        <v>174941.46428571429</v>
      </c>
      <c r="G117" s="576">
        <v>179874.81357857145</v>
      </c>
      <c r="H117" s="576">
        <v>184731.43354519273</v>
      </c>
      <c r="I117" s="576">
        <v>174862.28953464291</v>
      </c>
      <c r="J117" s="153"/>
      <c r="K117" s="575" t="s">
        <v>343</v>
      </c>
      <c r="L117" s="576"/>
      <c r="M117" s="576">
        <v>164835.16483516485</v>
      </c>
      <c r="N117" s="576">
        <v>164835.16483516485</v>
      </c>
      <c r="O117" s="576">
        <v>164835.16483516485</v>
      </c>
      <c r="P117" s="576">
        <v>164835.16483516485</v>
      </c>
      <c r="Q117" s="576">
        <v>164835.16483516485</v>
      </c>
      <c r="R117" s="576">
        <v>164835.16483516485</v>
      </c>
      <c r="S117" s="576">
        <v>164835.16483516485</v>
      </c>
      <c r="T117" s="576">
        <v>164835.16483516485</v>
      </c>
      <c r="U117" s="576">
        <v>164835.16483516485</v>
      </c>
      <c r="V117" s="576">
        <v>164835.16483516485</v>
      </c>
      <c r="W117" s="576">
        <v>164835.16483516485</v>
      </c>
      <c r="X117" s="576">
        <v>164835.16483516485</v>
      </c>
      <c r="Y117" s="576">
        <v>164835.16483516488</v>
      </c>
      <c r="Z117" s="576">
        <v>169928.57142857136</v>
      </c>
      <c r="AA117" s="576">
        <v>169928.57142857136</v>
      </c>
      <c r="AB117" s="576">
        <v>169928.57142857136</v>
      </c>
      <c r="AC117" s="576">
        <v>169928.57142857136</v>
      </c>
      <c r="AD117" s="576">
        <v>169928.57142857136</v>
      </c>
      <c r="AE117" s="576">
        <v>169928.57142857136</v>
      </c>
      <c r="AF117" s="576">
        <v>169928.57142857136</v>
      </c>
      <c r="AG117" s="576">
        <v>169928.57142857136</v>
      </c>
      <c r="AH117" s="576">
        <v>169928.57142857136</v>
      </c>
      <c r="AI117" s="576">
        <v>169928.57142857136</v>
      </c>
      <c r="AJ117" s="576">
        <v>169928.57142857136</v>
      </c>
      <c r="AK117" s="576">
        <v>169928.57142857136</v>
      </c>
      <c r="AL117" s="576">
        <v>169928.57142857133</v>
      </c>
      <c r="AM117" s="576">
        <v>174941.46428571426</v>
      </c>
      <c r="AN117" s="576">
        <v>174941.46428571426</v>
      </c>
      <c r="AO117" s="576">
        <v>174941.46428571426</v>
      </c>
      <c r="AP117" s="576">
        <v>174941.46428571426</v>
      </c>
      <c r="AQ117" s="576">
        <v>174941.46428571426</v>
      </c>
      <c r="AR117" s="576">
        <v>174941.46428571426</v>
      </c>
      <c r="AS117" s="576">
        <v>174941.46428571426</v>
      </c>
      <c r="AT117" s="576">
        <v>174941.46428571426</v>
      </c>
      <c r="AU117" s="576">
        <v>174941.46428571426</v>
      </c>
      <c r="AV117" s="576">
        <v>174941.46428571426</v>
      </c>
      <c r="AW117" s="576">
        <v>174941.46428571426</v>
      </c>
      <c r="AX117" s="576">
        <v>174941.46428571426</v>
      </c>
      <c r="AY117" s="576">
        <v>174941.46428571429</v>
      </c>
      <c r="AZ117" s="576">
        <v>179874.81357857143</v>
      </c>
      <c r="BA117" s="576">
        <v>179874.81357857143</v>
      </c>
      <c r="BB117" s="576">
        <v>179874.81357857143</v>
      </c>
      <c r="BC117" s="576">
        <v>179874.81357857143</v>
      </c>
      <c r="BD117" s="576">
        <v>179874.81357857143</v>
      </c>
      <c r="BE117" s="576">
        <v>179874.81357857143</v>
      </c>
      <c r="BF117" s="576">
        <v>179874.81357857143</v>
      </c>
      <c r="BG117" s="576">
        <v>179874.81357857143</v>
      </c>
      <c r="BH117" s="576">
        <v>179874.81357857143</v>
      </c>
      <c r="BI117" s="576">
        <v>179874.81357857143</v>
      </c>
      <c r="BJ117" s="576">
        <v>179874.81357857143</v>
      </c>
      <c r="BK117" s="576">
        <v>179874.81357857143</v>
      </c>
      <c r="BL117" s="576">
        <v>179874.81357857145</v>
      </c>
      <c r="BM117" s="576">
        <v>184731.43354519276</v>
      </c>
      <c r="BN117" s="576">
        <v>184731.43354519276</v>
      </c>
      <c r="BO117" s="576">
        <v>184731.43354519276</v>
      </c>
      <c r="BP117" s="576">
        <v>184731.43354519276</v>
      </c>
      <c r="BQ117" s="576">
        <v>184731.43354519276</v>
      </c>
      <c r="BR117" s="576">
        <v>184731.43354519276</v>
      </c>
      <c r="BS117" s="576">
        <v>184731.43354519276</v>
      </c>
      <c r="BT117" s="576">
        <v>184731.43354519276</v>
      </c>
      <c r="BU117" s="576">
        <v>184731.43354519276</v>
      </c>
      <c r="BV117" s="576">
        <v>184731.43354519276</v>
      </c>
      <c r="BW117" s="576">
        <v>184731.43354519276</v>
      </c>
      <c r="BX117" s="576">
        <v>184731.43354519276</v>
      </c>
      <c r="BY117" s="576">
        <v>184731.43354519273</v>
      </c>
      <c r="CA117" s="64"/>
    </row>
    <row r="118" spans="1:79" customFormat="1">
      <c r="A118" s="48"/>
      <c r="B118" s="542" t="s">
        <v>90</v>
      </c>
      <c r="C118" s="577"/>
      <c r="D118" s="577">
        <v>65934.065934065948</v>
      </c>
      <c r="E118" s="577">
        <v>67971.428571428536</v>
      </c>
      <c r="F118" s="577">
        <v>69976.585714285713</v>
      </c>
      <c r="G118" s="577">
        <v>71949.925431428579</v>
      </c>
      <c r="H118" s="577">
        <v>73892.573418077096</v>
      </c>
      <c r="I118" s="577">
        <v>69944.91581385718</v>
      </c>
      <c r="K118" s="542" t="s">
        <v>90</v>
      </c>
      <c r="L118" s="577"/>
      <c r="M118" s="577">
        <v>65934.065934065933</v>
      </c>
      <c r="N118" s="577">
        <v>65934.065934065933</v>
      </c>
      <c r="O118" s="577">
        <v>65934.065934065933</v>
      </c>
      <c r="P118" s="577">
        <v>65934.065934065933</v>
      </c>
      <c r="Q118" s="577">
        <v>65934.065934065933</v>
      </c>
      <c r="R118" s="577">
        <v>65934.065934065933</v>
      </c>
      <c r="S118" s="577">
        <v>65934.065934065933</v>
      </c>
      <c r="T118" s="577">
        <v>65934.065934065933</v>
      </c>
      <c r="U118" s="577">
        <v>65934.065934065933</v>
      </c>
      <c r="V118" s="577">
        <v>65934.065934065933</v>
      </c>
      <c r="W118" s="577">
        <v>65934.065934065933</v>
      </c>
      <c r="X118" s="577">
        <v>65934.065934065933</v>
      </c>
      <c r="Y118" s="577">
        <v>65934.065934065948</v>
      </c>
      <c r="Z118" s="577">
        <v>67971.428571428551</v>
      </c>
      <c r="AA118" s="577">
        <v>67971.428571428551</v>
      </c>
      <c r="AB118" s="577">
        <v>67971.428571428551</v>
      </c>
      <c r="AC118" s="577">
        <v>67971.428571428551</v>
      </c>
      <c r="AD118" s="577">
        <v>67971.428571428551</v>
      </c>
      <c r="AE118" s="577">
        <v>67971.428571428551</v>
      </c>
      <c r="AF118" s="577">
        <v>67971.428571428551</v>
      </c>
      <c r="AG118" s="577">
        <v>67971.428571428551</v>
      </c>
      <c r="AH118" s="577">
        <v>67971.428571428551</v>
      </c>
      <c r="AI118" s="577">
        <v>67971.428571428551</v>
      </c>
      <c r="AJ118" s="577">
        <v>67971.428571428551</v>
      </c>
      <c r="AK118" s="577">
        <v>67971.428571428551</v>
      </c>
      <c r="AL118" s="577">
        <v>67971.428571428536</v>
      </c>
      <c r="AM118" s="577">
        <v>69976.585714285698</v>
      </c>
      <c r="AN118" s="577">
        <v>69976.585714285698</v>
      </c>
      <c r="AO118" s="577">
        <v>69976.585714285698</v>
      </c>
      <c r="AP118" s="577">
        <v>69976.585714285698</v>
      </c>
      <c r="AQ118" s="577">
        <v>69976.585714285698</v>
      </c>
      <c r="AR118" s="577">
        <v>69976.585714285698</v>
      </c>
      <c r="AS118" s="577">
        <v>69976.585714285698</v>
      </c>
      <c r="AT118" s="577">
        <v>69976.585714285698</v>
      </c>
      <c r="AU118" s="577">
        <v>69976.585714285698</v>
      </c>
      <c r="AV118" s="577">
        <v>69976.585714285698</v>
      </c>
      <c r="AW118" s="577">
        <v>69976.585714285698</v>
      </c>
      <c r="AX118" s="577">
        <v>69976.585714285698</v>
      </c>
      <c r="AY118" s="577">
        <v>69976.585714285713</v>
      </c>
      <c r="AZ118" s="577">
        <v>71949.925431428564</v>
      </c>
      <c r="BA118" s="577">
        <v>71949.925431428564</v>
      </c>
      <c r="BB118" s="577">
        <v>71949.925431428564</v>
      </c>
      <c r="BC118" s="577">
        <v>71949.925431428564</v>
      </c>
      <c r="BD118" s="577">
        <v>71949.925431428564</v>
      </c>
      <c r="BE118" s="577">
        <v>71949.925431428564</v>
      </c>
      <c r="BF118" s="577">
        <v>71949.925431428564</v>
      </c>
      <c r="BG118" s="577">
        <v>71949.925431428564</v>
      </c>
      <c r="BH118" s="577">
        <v>71949.925431428564</v>
      </c>
      <c r="BI118" s="577">
        <v>71949.925431428564</v>
      </c>
      <c r="BJ118" s="577">
        <v>71949.925431428564</v>
      </c>
      <c r="BK118" s="577">
        <v>71949.925431428564</v>
      </c>
      <c r="BL118" s="577">
        <v>71949.925431428579</v>
      </c>
      <c r="BM118" s="577">
        <v>73892.573418077111</v>
      </c>
      <c r="BN118" s="577">
        <v>73892.573418077111</v>
      </c>
      <c r="BO118" s="577">
        <v>73892.573418077111</v>
      </c>
      <c r="BP118" s="577">
        <v>73892.573418077111</v>
      </c>
      <c r="BQ118" s="577">
        <v>73892.573418077111</v>
      </c>
      <c r="BR118" s="577">
        <v>73892.573418077111</v>
      </c>
      <c r="BS118" s="577">
        <v>73892.573418077111</v>
      </c>
      <c r="BT118" s="577">
        <v>73892.573418077111</v>
      </c>
      <c r="BU118" s="577">
        <v>73892.573418077111</v>
      </c>
      <c r="BV118" s="577">
        <v>73892.573418077111</v>
      </c>
      <c r="BW118" s="577">
        <v>73892.573418077111</v>
      </c>
      <c r="BX118" s="577">
        <v>73892.573418077111</v>
      </c>
      <c r="BY118" s="577">
        <v>73892.573418077096</v>
      </c>
      <c r="CA118" s="64"/>
    </row>
    <row r="119" spans="1:79" customFormat="1">
      <c r="A119" s="48"/>
      <c r="B119" s="542" t="s">
        <v>91</v>
      </c>
      <c r="C119" s="577"/>
      <c r="D119" s="577">
        <v>32967.032967032974</v>
      </c>
      <c r="E119" s="577">
        <v>33985.714285714268</v>
      </c>
      <c r="F119" s="577">
        <v>34988.292857142857</v>
      </c>
      <c r="G119" s="577">
        <v>35974.96271571429</v>
      </c>
      <c r="H119" s="577">
        <v>36946.286709038548</v>
      </c>
      <c r="I119" s="577">
        <v>34972.45790692859</v>
      </c>
      <c r="K119" s="542" t="s">
        <v>91</v>
      </c>
      <c r="L119" s="577"/>
      <c r="M119" s="577">
        <v>32967.032967032967</v>
      </c>
      <c r="N119" s="577">
        <v>32967.032967032967</v>
      </c>
      <c r="O119" s="577">
        <v>32967.032967032967</v>
      </c>
      <c r="P119" s="577">
        <v>32967.032967032967</v>
      </c>
      <c r="Q119" s="577">
        <v>32967.032967032967</v>
      </c>
      <c r="R119" s="577">
        <v>32967.032967032967</v>
      </c>
      <c r="S119" s="577">
        <v>32967.032967032967</v>
      </c>
      <c r="T119" s="577">
        <v>32967.032967032967</v>
      </c>
      <c r="U119" s="577">
        <v>32967.032967032967</v>
      </c>
      <c r="V119" s="577">
        <v>32967.032967032967</v>
      </c>
      <c r="W119" s="577">
        <v>32967.032967032967</v>
      </c>
      <c r="X119" s="577">
        <v>32967.032967032967</v>
      </c>
      <c r="Y119" s="577">
        <v>32967.032967032974</v>
      </c>
      <c r="Z119" s="577">
        <v>33985.714285714275</v>
      </c>
      <c r="AA119" s="577">
        <v>33985.714285714275</v>
      </c>
      <c r="AB119" s="577">
        <v>33985.714285714275</v>
      </c>
      <c r="AC119" s="577">
        <v>33985.714285714275</v>
      </c>
      <c r="AD119" s="577">
        <v>33985.714285714275</v>
      </c>
      <c r="AE119" s="577">
        <v>33985.714285714275</v>
      </c>
      <c r="AF119" s="577">
        <v>33985.714285714275</v>
      </c>
      <c r="AG119" s="577">
        <v>33985.714285714275</v>
      </c>
      <c r="AH119" s="577">
        <v>33985.714285714275</v>
      </c>
      <c r="AI119" s="577">
        <v>33985.714285714275</v>
      </c>
      <c r="AJ119" s="577">
        <v>33985.714285714275</v>
      </c>
      <c r="AK119" s="577">
        <v>33985.714285714275</v>
      </c>
      <c r="AL119" s="577">
        <v>33985.714285714268</v>
      </c>
      <c r="AM119" s="577">
        <v>34988.292857142849</v>
      </c>
      <c r="AN119" s="577">
        <v>34988.292857142849</v>
      </c>
      <c r="AO119" s="577">
        <v>34988.292857142849</v>
      </c>
      <c r="AP119" s="577">
        <v>34988.292857142849</v>
      </c>
      <c r="AQ119" s="577">
        <v>34988.292857142849</v>
      </c>
      <c r="AR119" s="577">
        <v>34988.292857142849</v>
      </c>
      <c r="AS119" s="577">
        <v>34988.292857142849</v>
      </c>
      <c r="AT119" s="577">
        <v>34988.292857142849</v>
      </c>
      <c r="AU119" s="577">
        <v>34988.292857142849</v>
      </c>
      <c r="AV119" s="577">
        <v>34988.292857142849</v>
      </c>
      <c r="AW119" s="577">
        <v>34988.292857142849</v>
      </c>
      <c r="AX119" s="577">
        <v>34988.292857142849</v>
      </c>
      <c r="AY119" s="577">
        <v>34988.292857142857</v>
      </c>
      <c r="AZ119" s="577">
        <v>35974.962715714282</v>
      </c>
      <c r="BA119" s="577">
        <v>35974.962715714282</v>
      </c>
      <c r="BB119" s="577">
        <v>35974.962715714282</v>
      </c>
      <c r="BC119" s="577">
        <v>35974.962715714282</v>
      </c>
      <c r="BD119" s="577">
        <v>35974.962715714282</v>
      </c>
      <c r="BE119" s="577">
        <v>35974.962715714282</v>
      </c>
      <c r="BF119" s="577">
        <v>35974.962715714282</v>
      </c>
      <c r="BG119" s="577">
        <v>35974.962715714282</v>
      </c>
      <c r="BH119" s="577">
        <v>35974.962715714282</v>
      </c>
      <c r="BI119" s="577">
        <v>35974.962715714282</v>
      </c>
      <c r="BJ119" s="577">
        <v>35974.962715714282</v>
      </c>
      <c r="BK119" s="577">
        <v>35974.962715714282</v>
      </c>
      <c r="BL119" s="577">
        <v>35974.96271571429</v>
      </c>
      <c r="BM119" s="577">
        <v>36946.286709038555</v>
      </c>
      <c r="BN119" s="577">
        <v>36946.286709038555</v>
      </c>
      <c r="BO119" s="577">
        <v>36946.286709038555</v>
      </c>
      <c r="BP119" s="577">
        <v>36946.286709038555</v>
      </c>
      <c r="BQ119" s="577">
        <v>36946.286709038555</v>
      </c>
      <c r="BR119" s="577">
        <v>36946.286709038555</v>
      </c>
      <c r="BS119" s="577">
        <v>36946.286709038555</v>
      </c>
      <c r="BT119" s="577">
        <v>36946.286709038555</v>
      </c>
      <c r="BU119" s="577">
        <v>36946.286709038555</v>
      </c>
      <c r="BV119" s="577">
        <v>36946.286709038555</v>
      </c>
      <c r="BW119" s="577">
        <v>36946.286709038555</v>
      </c>
      <c r="BX119" s="577">
        <v>36946.286709038555</v>
      </c>
      <c r="BY119" s="577">
        <v>36946.286709038548</v>
      </c>
      <c r="CA119" s="64"/>
    </row>
    <row r="120" spans="1:79" customFormat="1">
      <c r="A120" s="48"/>
      <c r="B120" s="542" t="s">
        <v>92</v>
      </c>
      <c r="C120" s="577"/>
      <c r="D120" s="577">
        <v>32967.032967032974</v>
      </c>
      <c r="E120" s="577">
        <v>33985.714285714268</v>
      </c>
      <c r="F120" s="577">
        <v>34988.292857142857</v>
      </c>
      <c r="G120" s="577">
        <v>35974.96271571429</v>
      </c>
      <c r="H120" s="577">
        <v>36946.286709038548</v>
      </c>
      <c r="I120" s="577">
        <v>34972.45790692859</v>
      </c>
      <c r="K120" s="542" t="s">
        <v>92</v>
      </c>
      <c r="L120" s="577"/>
      <c r="M120" s="577">
        <v>32967.032967032967</v>
      </c>
      <c r="N120" s="577">
        <v>32967.032967032967</v>
      </c>
      <c r="O120" s="577">
        <v>32967.032967032967</v>
      </c>
      <c r="P120" s="577">
        <v>32967.032967032967</v>
      </c>
      <c r="Q120" s="577">
        <v>32967.032967032967</v>
      </c>
      <c r="R120" s="577">
        <v>32967.032967032967</v>
      </c>
      <c r="S120" s="577">
        <v>32967.032967032967</v>
      </c>
      <c r="T120" s="577">
        <v>32967.032967032967</v>
      </c>
      <c r="U120" s="577">
        <v>32967.032967032967</v>
      </c>
      <c r="V120" s="577">
        <v>32967.032967032967</v>
      </c>
      <c r="W120" s="577">
        <v>32967.032967032967</v>
      </c>
      <c r="X120" s="577">
        <v>32967.032967032967</v>
      </c>
      <c r="Y120" s="577">
        <v>32967.032967032974</v>
      </c>
      <c r="Z120" s="577">
        <v>33985.714285714275</v>
      </c>
      <c r="AA120" s="577">
        <v>33985.714285714275</v>
      </c>
      <c r="AB120" s="577">
        <v>33985.714285714275</v>
      </c>
      <c r="AC120" s="577">
        <v>33985.714285714275</v>
      </c>
      <c r="AD120" s="577">
        <v>33985.714285714275</v>
      </c>
      <c r="AE120" s="577">
        <v>33985.714285714275</v>
      </c>
      <c r="AF120" s="577">
        <v>33985.714285714275</v>
      </c>
      <c r="AG120" s="577">
        <v>33985.714285714275</v>
      </c>
      <c r="AH120" s="577">
        <v>33985.714285714275</v>
      </c>
      <c r="AI120" s="577">
        <v>33985.714285714275</v>
      </c>
      <c r="AJ120" s="577">
        <v>33985.714285714275</v>
      </c>
      <c r="AK120" s="577">
        <v>33985.714285714275</v>
      </c>
      <c r="AL120" s="577">
        <v>33985.714285714268</v>
      </c>
      <c r="AM120" s="577">
        <v>34988.292857142849</v>
      </c>
      <c r="AN120" s="577">
        <v>34988.292857142849</v>
      </c>
      <c r="AO120" s="577">
        <v>34988.292857142849</v>
      </c>
      <c r="AP120" s="577">
        <v>34988.292857142849</v>
      </c>
      <c r="AQ120" s="577">
        <v>34988.292857142849</v>
      </c>
      <c r="AR120" s="577">
        <v>34988.292857142849</v>
      </c>
      <c r="AS120" s="577">
        <v>34988.292857142849</v>
      </c>
      <c r="AT120" s="577">
        <v>34988.292857142849</v>
      </c>
      <c r="AU120" s="577">
        <v>34988.292857142849</v>
      </c>
      <c r="AV120" s="577">
        <v>34988.292857142849</v>
      </c>
      <c r="AW120" s="577">
        <v>34988.292857142849</v>
      </c>
      <c r="AX120" s="577">
        <v>34988.292857142849</v>
      </c>
      <c r="AY120" s="577">
        <v>34988.292857142857</v>
      </c>
      <c r="AZ120" s="577">
        <v>35974.962715714282</v>
      </c>
      <c r="BA120" s="577">
        <v>35974.962715714282</v>
      </c>
      <c r="BB120" s="577">
        <v>35974.962715714282</v>
      </c>
      <c r="BC120" s="577">
        <v>35974.962715714282</v>
      </c>
      <c r="BD120" s="577">
        <v>35974.962715714282</v>
      </c>
      <c r="BE120" s="577">
        <v>35974.962715714282</v>
      </c>
      <c r="BF120" s="577">
        <v>35974.962715714282</v>
      </c>
      <c r="BG120" s="577">
        <v>35974.962715714282</v>
      </c>
      <c r="BH120" s="577">
        <v>35974.962715714282</v>
      </c>
      <c r="BI120" s="577">
        <v>35974.962715714282</v>
      </c>
      <c r="BJ120" s="577">
        <v>35974.962715714282</v>
      </c>
      <c r="BK120" s="577">
        <v>35974.962715714282</v>
      </c>
      <c r="BL120" s="577">
        <v>35974.96271571429</v>
      </c>
      <c r="BM120" s="577">
        <v>36946.286709038555</v>
      </c>
      <c r="BN120" s="577">
        <v>36946.286709038555</v>
      </c>
      <c r="BO120" s="577">
        <v>36946.286709038555</v>
      </c>
      <c r="BP120" s="577">
        <v>36946.286709038555</v>
      </c>
      <c r="BQ120" s="577">
        <v>36946.286709038555</v>
      </c>
      <c r="BR120" s="577">
        <v>36946.286709038555</v>
      </c>
      <c r="BS120" s="577">
        <v>36946.286709038555</v>
      </c>
      <c r="BT120" s="577">
        <v>36946.286709038555</v>
      </c>
      <c r="BU120" s="577">
        <v>36946.286709038555</v>
      </c>
      <c r="BV120" s="577">
        <v>36946.286709038555</v>
      </c>
      <c r="BW120" s="577">
        <v>36946.286709038555</v>
      </c>
      <c r="BX120" s="577">
        <v>36946.286709038555</v>
      </c>
      <c r="BY120" s="577">
        <v>36946.286709038548</v>
      </c>
      <c r="CA120" s="64"/>
    </row>
    <row r="121" spans="1:79" customFormat="1">
      <c r="A121" s="48"/>
      <c r="B121" s="545" t="s">
        <v>93</v>
      </c>
      <c r="C121" s="579"/>
      <c r="D121" s="579">
        <v>32967.032967032974</v>
      </c>
      <c r="E121" s="579">
        <v>33985.714285714268</v>
      </c>
      <c r="F121" s="579">
        <v>34988.292857142857</v>
      </c>
      <c r="G121" s="579">
        <v>35974.96271571429</v>
      </c>
      <c r="H121" s="579">
        <v>36946.286709038548</v>
      </c>
      <c r="I121" s="579">
        <v>34972.45790692859</v>
      </c>
      <c r="K121" s="545" t="s">
        <v>93</v>
      </c>
      <c r="L121" s="579"/>
      <c r="M121" s="579">
        <v>32967.032967032967</v>
      </c>
      <c r="N121" s="579">
        <v>32967.032967032967</v>
      </c>
      <c r="O121" s="579">
        <v>32967.032967032967</v>
      </c>
      <c r="P121" s="579">
        <v>32967.032967032967</v>
      </c>
      <c r="Q121" s="579">
        <v>32967.032967032967</v>
      </c>
      <c r="R121" s="579">
        <v>32967.032967032967</v>
      </c>
      <c r="S121" s="579">
        <v>32967.032967032967</v>
      </c>
      <c r="T121" s="579">
        <v>32967.032967032967</v>
      </c>
      <c r="U121" s="579">
        <v>32967.032967032967</v>
      </c>
      <c r="V121" s="579">
        <v>32967.032967032967</v>
      </c>
      <c r="W121" s="579">
        <v>32967.032967032967</v>
      </c>
      <c r="X121" s="579">
        <v>32967.032967032967</v>
      </c>
      <c r="Y121" s="579">
        <v>32967.032967032974</v>
      </c>
      <c r="Z121" s="579">
        <v>33985.714285714275</v>
      </c>
      <c r="AA121" s="579">
        <v>33985.714285714275</v>
      </c>
      <c r="AB121" s="579">
        <v>33985.714285714275</v>
      </c>
      <c r="AC121" s="579">
        <v>33985.714285714275</v>
      </c>
      <c r="AD121" s="579">
        <v>33985.714285714275</v>
      </c>
      <c r="AE121" s="579">
        <v>33985.714285714275</v>
      </c>
      <c r="AF121" s="579">
        <v>33985.714285714275</v>
      </c>
      <c r="AG121" s="579">
        <v>33985.714285714275</v>
      </c>
      <c r="AH121" s="579">
        <v>33985.714285714275</v>
      </c>
      <c r="AI121" s="579">
        <v>33985.714285714275</v>
      </c>
      <c r="AJ121" s="579">
        <v>33985.714285714275</v>
      </c>
      <c r="AK121" s="579">
        <v>33985.714285714275</v>
      </c>
      <c r="AL121" s="579">
        <v>33985.714285714268</v>
      </c>
      <c r="AM121" s="579">
        <v>34988.292857142849</v>
      </c>
      <c r="AN121" s="579">
        <v>34988.292857142849</v>
      </c>
      <c r="AO121" s="579">
        <v>34988.292857142849</v>
      </c>
      <c r="AP121" s="579">
        <v>34988.292857142849</v>
      </c>
      <c r="AQ121" s="579">
        <v>34988.292857142849</v>
      </c>
      <c r="AR121" s="579">
        <v>34988.292857142849</v>
      </c>
      <c r="AS121" s="579">
        <v>34988.292857142849</v>
      </c>
      <c r="AT121" s="579">
        <v>34988.292857142849</v>
      </c>
      <c r="AU121" s="579">
        <v>34988.292857142849</v>
      </c>
      <c r="AV121" s="579">
        <v>34988.292857142849</v>
      </c>
      <c r="AW121" s="579">
        <v>34988.292857142849</v>
      </c>
      <c r="AX121" s="579">
        <v>34988.292857142849</v>
      </c>
      <c r="AY121" s="579">
        <v>34988.292857142857</v>
      </c>
      <c r="AZ121" s="579">
        <v>35974.962715714282</v>
      </c>
      <c r="BA121" s="579">
        <v>35974.962715714282</v>
      </c>
      <c r="BB121" s="579">
        <v>35974.962715714282</v>
      </c>
      <c r="BC121" s="579">
        <v>35974.962715714282</v>
      </c>
      <c r="BD121" s="579">
        <v>35974.962715714282</v>
      </c>
      <c r="BE121" s="579">
        <v>35974.962715714282</v>
      </c>
      <c r="BF121" s="579">
        <v>35974.962715714282</v>
      </c>
      <c r="BG121" s="579">
        <v>35974.962715714282</v>
      </c>
      <c r="BH121" s="579">
        <v>35974.962715714282</v>
      </c>
      <c r="BI121" s="579">
        <v>35974.962715714282</v>
      </c>
      <c r="BJ121" s="579">
        <v>35974.962715714282</v>
      </c>
      <c r="BK121" s="579">
        <v>35974.962715714282</v>
      </c>
      <c r="BL121" s="579">
        <v>35974.96271571429</v>
      </c>
      <c r="BM121" s="579">
        <v>36946.286709038555</v>
      </c>
      <c r="BN121" s="579">
        <v>36946.286709038555</v>
      </c>
      <c r="BO121" s="579">
        <v>36946.286709038555</v>
      </c>
      <c r="BP121" s="579">
        <v>36946.286709038555</v>
      </c>
      <c r="BQ121" s="579">
        <v>36946.286709038555</v>
      </c>
      <c r="BR121" s="579">
        <v>36946.286709038555</v>
      </c>
      <c r="BS121" s="579">
        <v>36946.286709038555</v>
      </c>
      <c r="BT121" s="579">
        <v>36946.286709038555</v>
      </c>
      <c r="BU121" s="579">
        <v>36946.286709038555</v>
      </c>
      <c r="BV121" s="579">
        <v>36946.286709038555</v>
      </c>
      <c r="BW121" s="579">
        <v>36946.286709038555</v>
      </c>
      <c r="BX121" s="579">
        <v>36946.286709038555</v>
      </c>
      <c r="BY121" s="579">
        <v>36946.286709038548</v>
      </c>
      <c r="CA121" s="64"/>
    </row>
    <row r="122" spans="1:79">
      <c r="CA122" s="61"/>
    </row>
    <row r="123" spans="1:79">
      <c r="CA123" s="61"/>
    </row>
    <row r="124" spans="1:79">
      <c r="CA124" s="61"/>
    </row>
    <row r="125" spans="1:79" customFormat="1">
      <c r="A125" s="48"/>
      <c r="B125" s="539" t="s">
        <v>281</v>
      </c>
      <c r="C125" s="539"/>
      <c r="D125" s="539"/>
      <c r="E125" s="539"/>
      <c r="F125" s="539"/>
      <c r="G125" s="539"/>
      <c r="H125" s="539"/>
      <c r="I125" s="539"/>
      <c r="K125" s="539" t="s">
        <v>282</v>
      </c>
      <c r="L125" s="539"/>
      <c r="M125" s="539"/>
      <c r="N125" s="539"/>
      <c r="O125" s="539"/>
      <c r="P125" s="539"/>
      <c r="Q125" s="539"/>
      <c r="R125" s="539"/>
      <c r="S125" s="539"/>
      <c r="T125" s="539"/>
      <c r="U125" s="539"/>
      <c r="V125" s="539"/>
      <c r="W125" s="539"/>
      <c r="X125" s="539"/>
      <c r="Y125" s="539"/>
      <c r="Z125" s="539"/>
      <c r="AA125" s="539"/>
      <c r="AB125" s="539"/>
      <c r="AC125" s="539"/>
      <c r="AD125" s="539"/>
      <c r="AE125" s="539"/>
      <c r="AF125" s="539"/>
      <c r="AG125" s="539"/>
      <c r="AH125" s="539"/>
      <c r="AI125" s="539"/>
      <c r="AJ125" s="539"/>
      <c r="AK125" s="539"/>
      <c r="AL125" s="539"/>
      <c r="AM125" s="539"/>
      <c r="AN125" s="539"/>
      <c r="AO125" s="539"/>
      <c r="AP125" s="539"/>
      <c r="AQ125" s="539"/>
      <c r="AR125" s="539"/>
      <c r="AS125" s="539"/>
      <c r="AT125" s="539"/>
      <c r="AU125" s="539"/>
      <c r="AV125" s="539"/>
      <c r="AW125" s="539"/>
      <c r="AX125" s="539"/>
      <c r="AY125" s="539"/>
      <c r="AZ125" s="539"/>
      <c r="BA125" s="539"/>
      <c r="BB125" s="539"/>
      <c r="BC125" s="539"/>
      <c r="BD125" s="539"/>
      <c r="BE125" s="539"/>
      <c r="BF125" s="539"/>
      <c r="BG125" s="539"/>
      <c r="BH125" s="539"/>
      <c r="BI125" s="539"/>
      <c r="BJ125" s="539"/>
      <c r="BK125" s="539"/>
      <c r="BL125" s="539"/>
      <c r="BM125" s="539"/>
      <c r="BN125" s="539"/>
      <c r="BO125" s="539"/>
      <c r="BP125" s="539"/>
      <c r="BQ125" s="539"/>
      <c r="BR125" s="539"/>
      <c r="BS125" s="539"/>
      <c r="BT125" s="539"/>
      <c r="BU125" s="539"/>
      <c r="BV125" s="539"/>
      <c r="BW125" s="539"/>
      <c r="BX125" s="539"/>
      <c r="BY125" s="539"/>
      <c r="CA125" s="64"/>
    </row>
    <row r="126" spans="1:79" s="48" customFormat="1">
      <c r="B126" s="563"/>
      <c r="C126" s="649"/>
      <c r="D126" s="648"/>
      <c r="E126" s="648"/>
      <c r="F126" s="648"/>
      <c r="G126" s="648"/>
      <c r="H126" s="648"/>
      <c r="I126" s="648"/>
      <c r="K126" s="563"/>
      <c r="L126" s="649"/>
      <c r="M126" s="648"/>
      <c r="N126" s="648"/>
      <c r="O126" s="648"/>
      <c r="P126" s="648"/>
      <c r="Q126" s="648"/>
      <c r="R126" s="648"/>
      <c r="S126" s="648"/>
      <c r="T126" s="648"/>
      <c r="U126" s="648"/>
      <c r="V126" s="648"/>
      <c r="W126" s="648"/>
      <c r="X126" s="648"/>
      <c r="Y126" s="648"/>
      <c r="Z126" s="648"/>
      <c r="AA126" s="648"/>
      <c r="AB126" s="648"/>
      <c r="AC126" s="648"/>
      <c r="AD126" s="648"/>
      <c r="AE126" s="648"/>
      <c r="AF126" s="648"/>
      <c r="AG126" s="648"/>
      <c r="AH126" s="648"/>
      <c r="AI126" s="648"/>
      <c r="AJ126" s="648"/>
      <c r="AK126" s="648"/>
      <c r="AL126" s="648"/>
      <c r="AM126" s="648"/>
      <c r="AN126" s="648"/>
      <c r="AO126" s="648"/>
      <c r="AP126" s="648"/>
      <c r="AQ126" s="648"/>
      <c r="AR126" s="648"/>
      <c r="AS126" s="648"/>
      <c r="AT126" s="648"/>
      <c r="AU126" s="648"/>
      <c r="AV126" s="648"/>
      <c r="AW126" s="648"/>
      <c r="AX126" s="648"/>
      <c r="AY126" s="648"/>
      <c r="AZ126" s="648"/>
      <c r="BA126" s="648"/>
      <c r="BB126" s="648"/>
      <c r="BC126" s="648"/>
      <c r="BD126" s="648"/>
      <c r="BE126" s="648"/>
      <c r="BF126" s="648"/>
      <c r="BG126" s="648"/>
      <c r="BH126" s="648"/>
      <c r="BI126" s="648"/>
      <c r="BJ126" s="648"/>
      <c r="BK126" s="648"/>
      <c r="BL126" s="648"/>
      <c r="BM126" s="648"/>
      <c r="BN126" s="648"/>
      <c r="BO126" s="648"/>
      <c r="BP126" s="648"/>
      <c r="BQ126" s="648"/>
      <c r="BR126" s="648"/>
      <c r="BS126" s="648"/>
      <c r="BT126" s="648"/>
      <c r="BU126" s="648"/>
      <c r="BV126" s="648"/>
      <c r="BW126" s="648"/>
      <c r="BX126" s="648"/>
      <c r="BY126" s="648"/>
      <c r="CA126" s="64"/>
    </row>
    <row r="127" spans="1:79" customFormat="1">
      <c r="A127" s="48"/>
      <c r="B127" s="541"/>
      <c r="C127" s="541" t="s">
        <v>60</v>
      </c>
      <c r="D127" s="541" t="s">
        <v>6</v>
      </c>
      <c r="E127" s="541" t="s">
        <v>12</v>
      </c>
      <c r="F127" s="541" t="s">
        <v>13</v>
      </c>
      <c r="G127" s="541" t="s">
        <v>14</v>
      </c>
      <c r="H127" s="541" t="s">
        <v>15</v>
      </c>
      <c r="I127" s="541" t="s">
        <v>57</v>
      </c>
      <c r="K127" s="541" t="s">
        <v>61</v>
      </c>
      <c r="L127" s="541" t="s">
        <v>130</v>
      </c>
      <c r="M127" s="541" t="s">
        <v>131</v>
      </c>
      <c r="N127" s="541" t="s">
        <v>132</v>
      </c>
      <c r="O127" s="541" t="s">
        <v>133</v>
      </c>
      <c r="P127" s="541" t="s">
        <v>134</v>
      </c>
      <c r="Q127" s="541" t="s">
        <v>135</v>
      </c>
      <c r="R127" s="541" t="s">
        <v>136</v>
      </c>
      <c r="S127" s="541" t="s">
        <v>137</v>
      </c>
      <c r="T127" s="541" t="s">
        <v>138</v>
      </c>
      <c r="U127" s="541" t="s">
        <v>139</v>
      </c>
      <c r="V127" s="541" t="s">
        <v>140</v>
      </c>
      <c r="W127" s="541" t="s">
        <v>141</v>
      </c>
      <c r="X127" s="541" t="s">
        <v>142</v>
      </c>
      <c r="Y127" s="541" t="s">
        <v>143</v>
      </c>
      <c r="Z127" s="541" t="s">
        <v>144</v>
      </c>
      <c r="AA127" s="541" t="s">
        <v>145</v>
      </c>
      <c r="AB127" s="541" t="s">
        <v>146</v>
      </c>
      <c r="AC127" s="541" t="s">
        <v>147</v>
      </c>
      <c r="AD127" s="541" t="s">
        <v>148</v>
      </c>
      <c r="AE127" s="541" t="s">
        <v>149</v>
      </c>
      <c r="AF127" s="541" t="s">
        <v>150</v>
      </c>
      <c r="AG127" s="541" t="s">
        <v>151</v>
      </c>
      <c r="AH127" s="541" t="s">
        <v>152</v>
      </c>
      <c r="AI127" s="541" t="s">
        <v>153</v>
      </c>
      <c r="AJ127" s="541" t="s">
        <v>154</v>
      </c>
      <c r="AK127" s="541" t="s">
        <v>155</v>
      </c>
      <c r="AL127" s="541" t="s">
        <v>156</v>
      </c>
      <c r="AM127" s="541" t="s">
        <v>157</v>
      </c>
      <c r="AN127" s="541" t="s">
        <v>158</v>
      </c>
      <c r="AO127" s="541" t="s">
        <v>159</v>
      </c>
      <c r="AP127" s="541" t="s">
        <v>160</v>
      </c>
      <c r="AQ127" s="541" t="s">
        <v>161</v>
      </c>
      <c r="AR127" s="541" t="s">
        <v>162</v>
      </c>
      <c r="AS127" s="541" t="s">
        <v>163</v>
      </c>
      <c r="AT127" s="541" t="s">
        <v>164</v>
      </c>
      <c r="AU127" s="541" t="s">
        <v>165</v>
      </c>
      <c r="AV127" s="541" t="s">
        <v>166</v>
      </c>
      <c r="AW127" s="541" t="s">
        <v>167</v>
      </c>
      <c r="AX127" s="541" t="s">
        <v>168</v>
      </c>
      <c r="AY127" s="541" t="s">
        <v>169</v>
      </c>
      <c r="AZ127" s="541" t="s">
        <v>170</v>
      </c>
      <c r="BA127" s="541" t="s">
        <v>171</v>
      </c>
      <c r="BB127" s="541" t="s">
        <v>172</v>
      </c>
      <c r="BC127" s="541" t="s">
        <v>173</v>
      </c>
      <c r="BD127" s="541" t="s">
        <v>174</v>
      </c>
      <c r="BE127" s="541" t="s">
        <v>175</v>
      </c>
      <c r="BF127" s="541" t="s">
        <v>176</v>
      </c>
      <c r="BG127" s="541" t="s">
        <v>177</v>
      </c>
      <c r="BH127" s="541" t="s">
        <v>178</v>
      </c>
      <c r="BI127" s="541" t="s">
        <v>179</v>
      </c>
      <c r="BJ127" s="541" t="s">
        <v>180</v>
      </c>
      <c r="BK127" s="541" t="s">
        <v>181</v>
      </c>
      <c r="BL127" s="541" t="s">
        <v>182</v>
      </c>
      <c r="BM127" s="541" t="s">
        <v>183</v>
      </c>
      <c r="BN127" s="541" t="s">
        <v>184</v>
      </c>
      <c r="BO127" s="541" t="s">
        <v>185</v>
      </c>
      <c r="BP127" s="541" t="s">
        <v>186</v>
      </c>
      <c r="BQ127" s="541" t="s">
        <v>187</v>
      </c>
      <c r="BR127" s="541" t="s">
        <v>188</v>
      </c>
      <c r="BS127" s="541" t="s">
        <v>189</v>
      </c>
      <c r="BT127" s="541" t="s">
        <v>190</v>
      </c>
      <c r="BU127" s="541" t="s">
        <v>191</v>
      </c>
      <c r="BV127" s="541" t="s">
        <v>192</v>
      </c>
      <c r="BW127" s="541" t="s">
        <v>193</v>
      </c>
      <c r="BX127" s="541" t="s">
        <v>194</v>
      </c>
      <c r="BY127" s="541" t="s">
        <v>195</v>
      </c>
      <c r="CA127" s="64"/>
    </row>
    <row r="128" spans="1:79" customFormat="1">
      <c r="A128" s="48"/>
      <c r="B128" s="575" t="s">
        <v>279</v>
      </c>
      <c r="C128" s="649"/>
      <c r="D128" s="576"/>
      <c r="E128" s="576"/>
      <c r="F128" s="576"/>
      <c r="G128" s="576"/>
      <c r="H128" s="576"/>
      <c r="I128" s="576"/>
      <c r="K128" s="575" t="s">
        <v>279</v>
      </c>
      <c r="L128" s="649"/>
      <c r="M128" s="576"/>
      <c r="N128" s="576"/>
      <c r="O128" s="576"/>
      <c r="P128" s="576"/>
      <c r="Q128" s="576"/>
      <c r="R128" s="576"/>
      <c r="S128" s="576"/>
      <c r="T128" s="576"/>
      <c r="U128" s="576"/>
      <c r="V128" s="576"/>
      <c r="W128" s="576"/>
      <c r="X128" s="576"/>
      <c r="Y128" s="576"/>
      <c r="Z128" s="576"/>
      <c r="AA128" s="576"/>
      <c r="AB128" s="576"/>
      <c r="AC128" s="576"/>
      <c r="AD128" s="576"/>
      <c r="AE128" s="576"/>
      <c r="AF128" s="576"/>
      <c r="AG128" s="576"/>
      <c r="AH128" s="576"/>
      <c r="AI128" s="576"/>
      <c r="AJ128" s="576"/>
      <c r="AK128" s="576"/>
      <c r="AL128" s="576"/>
      <c r="AM128" s="576"/>
      <c r="AN128" s="576"/>
      <c r="AO128" s="576"/>
      <c r="AP128" s="576"/>
      <c r="AQ128" s="576"/>
      <c r="AR128" s="576"/>
      <c r="AS128" s="576"/>
      <c r="AT128" s="576"/>
      <c r="AU128" s="576"/>
      <c r="AV128" s="576"/>
      <c r="AW128" s="576"/>
      <c r="AX128" s="576"/>
      <c r="AY128" s="576"/>
      <c r="AZ128" s="576"/>
      <c r="BA128" s="576"/>
      <c r="BB128" s="576"/>
      <c r="BC128" s="576"/>
      <c r="BD128" s="576"/>
      <c r="BE128" s="576"/>
      <c r="BF128" s="576"/>
      <c r="BG128" s="576"/>
      <c r="BH128" s="576"/>
      <c r="BI128" s="576"/>
      <c r="BJ128" s="576"/>
      <c r="BK128" s="576"/>
      <c r="BL128" s="576"/>
      <c r="BM128" s="576"/>
      <c r="BN128" s="576"/>
      <c r="BO128" s="576"/>
      <c r="BP128" s="576"/>
      <c r="BQ128" s="576"/>
      <c r="BR128" s="576"/>
      <c r="BS128" s="576"/>
      <c r="BT128" s="576"/>
      <c r="BU128" s="576"/>
      <c r="BV128" s="576"/>
      <c r="BW128" s="576"/>
      <c r="BX128" s="576"/>
      <c r="BY128" s="576"/>
      <c r="CA128" s="64"/>
    </row>
    <row r="129" spans="1:79" customFormat="1">
      <c r="A129" s="48"/>
      <c r="B129" s="542" t="s">
        <v>90</v>
      </c>
      <c r="C129" s="649"/>
      <c r="D129" s="577">
        <v>0</v>
      </c>
      <c r="E129" s="577">
        <v>1661.5384615384612</v>
      </c>
      <c r="F129" s="577">
        <v>4246.1165747452551</v>
      </c>
      <c r="G129" s="577">
        <v>6928.5840472620457</v>
      </c>
      <c r="H129" s="577">
        <v>9708.9404821095377</v>
      </c>
      <c r="I129" s="577">
        <v>4509.0359131310597</v>
      </c>
      <c r="K129" s="542" t="s">
        <v>90</v>
      </c>
      <c r="L129" s="649"/>
      <c r="M129" s="577">
        <v>0</v>
      </c>
      <c r="N129" s="577">
        <v>0</v>
      </c>
      <c r="O129" s="577">
        <v>0</v>
      </c>
      <c r="P129" s="577">
        <v>0</v>
      </c>
      <c r="Q129" s="577">
        <v>0</v>
      </c>
      <c r="R129" s="577">
        <v>0</v>
      </c>
      <c r="S129" s="577">
        <v>0</v>
      </c>
      <c r="T129" s="577">
        <v>0</v>
      </c>
      <c r="U129" s="577">
        <v>0</v>
      </c>
      <c r="V129" s="577">
        <v>0</v>
      </c>
      <c r="W129" s="577">
        <v>0</v>
      </c>
      <c r="X129" s="577">
        <v>0</v>
      </c>
      <c r="Y129" s="577">
        <v>0</v>
      </c>
      <c r="Z129" s="577">
        <v>65.934065934065927</v>
      </c>
      <c r="AA129" s="577">
        <v>79.12087912087911</v>
      </c>
      <c r="AB129" s="577">
        <v>92.307692307692292</v>
      </c>
      <c r="AC129" s="577">
        <v>105.49450549450549</v>
      </c>
      <c r="AD129" s="577">
        <v>118.68131868131867</v>
      </c>
      <c r="AE129" s="577">
        <v>131.86813186813185</v>
      </c>
      <c r="AF129" s="577">
        <v>145.05494505494505</v>
      </c>
      <c r="AG129" s="577">
        <v>158.24175824175822</v>
      </c>
      <c r="AH129" s="577">
        <v>171.42857142857142</v>
      </c>
      <c r="AI129" s="577">
        <v>184.61538461538458</v>
      </c>
      <c r="AJ129" s="577">
        <v>197.80219780219778</v>
      </c>
      <c r="AK129" s="577">
        <v>210.98901098901098</v>
      </c>
      <c r="AL129" s="577">
        <v>1661.5384615384612</v>
      </c>
      <c r="AM129" s="577">
        <v>192.92824472253881</v>
      </c>
      <c r="AN129" s="577">
        <v>206.51709887786126</v>
      </c>
      <c r="AO129" s="577">
        <v>305.30691483376773</v>
      </c>
      <c r="AP129" s="577">
        <v>319.16804565098778</v>
      </c>
      <c r="AQ129" s="577">
        <v>333.03131123781526</v>
      </c>
      <c r="AR129" s="577">
        <v>346.89671835255098</v>
      </c>
      <c r="AS129" s="577">
        <v>360.76427377489108</v>
      </c>
      <c r="AT129" s="577">
        <v>374.63398430599511</v>
      </c>
      <c r="AU129" s="577">
        <v>388.50585676855394</v>
      </c>
      <c r="AV129" s="577">
        <v>402.37989800685767</v>
      </c>
      <c r="AW129" s="577">
        <v>500.91890074584637</v>
      </c>
      <c r="AX129" s="577">
        <v>515.06532746759001</v>
      </c>
      <c r="AY129" s="577">
        <v>4246.1165747452551</v>
      </c>
      <c r="AZ129" s="577">
        <v>375.93048599732492</v>
      </c>
      <c r="BA129" s="577">
        <v>390.07748869179068</v>
      </c>
      <c r="BB129" s="577">
        <v>526.46369152896114</v>
      </c>
      <c r="BC129" s="577">
        <v>540.99934048855039</v>
      </c>
      <c r="BD129" s="577">
        <v>555.53918146750073</v>
      </c>
      <c r="BE129" s="577">
        <v>570.08322749863146</v>
      </c>
      <c r="BF129" s="577">
        <v>584.63149165529421</v>
      </c>
      <c r="BG129" s="577">
        <v>599.18398705149946</v>
      </c>
      <c r="BH129" s="577">
        <v>613.7407268420427</v>
      </c>
      <c r="BI129" s="577">
        <v>628.30172422263149</v>
      </c>
      <c r="BJ129" s="577">
        <v>764.3414241711871</v>
      </c>
      <c r="BK129" s="577">
        <v>779.29127764663099</v>
      </c>
      <c r="BL129" s="577">
        <v>6928.5840472620457</v>
      </c>
      <c r="BM129" s="577">
        <v>534.93251043148643</v>
      </c>
      <c r="BN129" s="577">
        <v>549.54733988689281</v>
      </c>
      <c r="BO129" s="577">
        <v>755.77798228723714</v>
      </c>
      <c r="BP129" s="577">
        <v>770.98833562411096</v>
      </c>
      <c r="BQ129" s="577">
        <v>786.20486614226149</v>
      </c>
      <c r="BR129" s="577">
        <v>801.42759271538898</v>
      </c>
      <c r="BS129" s="577">
        <v>816.65653427491111</v>
      </c>
      <c r="BT129" s="577">
        <v>831.89170981014058</v>
      </c>
      <c r="BU129" s="577">
        <v>847.13313836846191</v>
      </c>
      <c r="BV129" s="577">
        <v>862.38083905550911</v>
      </c>
      <c r="BW129" s="577">
        <v>1068.0780525539126</v>
      </c>
      <c r="BX129" s="577">
        <v>1083.921580959226</v>
      </c>
      <c r="BY129" s="577">
        <v>9708.9404821095377</v>
      </c>
      <c r="CA129" s="64"/>
    </row>
    <row r="130" spans="1:79" customFormat="1">
      <c r="A130" s="48"/>
      <c r="B130" s="542" t="s">
        <v>91</v>
      </c>
      <c r="C130" s="649"/>
      <c r="D130" s="577">
        <v>0</v>
      </c>
      <c r="E130" s="577">
        <v>1661.5384615384612</v>
      </c>
      <c r="F130" s="577">
        <v>4246.1165747452551</v>
      </c>
      <c r="G130" s="577">
        <v>6928.5840472620457</v>
      </c>
      <c r="H130" s="577">
        <v>9708.9404821095377</v>
      </c>
      <c r="I130" s="577">
        <v>4509.0359131310597</v>
      </c>
      <c r="K130" s="542" t="s">
        <v>91</v>
      </c>
      <c r="L130" s="649"/>
      <c r="M130" s="577">
        <v>0</v>
      </c>
      <c r="N130" s="577">
        <v>0</v>
      </c>
      <c r="O130" s="577">
        <v>0</v>
      </c>
      <c r="P130" s="577">
        <v>0</v>
      </c>
      <c r="Q130" s="577">
        <v>0</v>
      </c>
      <c r="R130" s="577">
        <v>0</v>
      </c>
      <c r="S130" s="577">
        <v>0</v>
      </c>
      <c r="T130" s="577">
        <v>0</v>
      </c>
      <c r="U130" s="577">
        <v>0</v>
      </c>
      <c r="V130" s="577">
        <v>0</v>
      </c>
      <c r="W130" s="577">
        <v>0</v>
      </c>
      <c r="X130" s="577">
        <v>0</v>
      </c>
      <c r="Y130" s="577">
        <v>0</v>
      </c>
      <c r="Z130" s="577">
        <v>65.934065934065927</v>
      </c>
      <c r="AA130" s="577">
        <v>79.12087912087911</v>
      </c>
      <c r="AB130" s="577">
        <v>92.307692307692292</v>
      </c>
      <c r="AC130" s="577">
        <v>105.49450549450549</v>
      </c>
      <c r="AD130" s="577">
        <v>118.68131868131867</v>
      </c>
      <c r="AE130" s="577">
        <v>131.86813186813185</v>
      </c>
      <c r="AF130" s="577">
        <v>145.05494505494505</v>
      </c>
      <c r="AG130" s="577">
        <v>158.24175824175822</v>
      </c>
      <c r="AH130" s="577">
        <v>171.42857142857142</v>
      </c>
      <c r="AI130" s="577">
        <v>184.61538461538458</v>
      </c>
      <c r="AJ130" s="577">
        <v>197.80219780219778</v>
      </c>
      <c r="AK130" s="577">
        <v>210.98901098901098</v>
      </c>
      <c r="AL130" s="577">
        <v>1661.5384615384612</v>
      </c>
      <c r="AM130" s="577">
        <v>192.92824472253881</v>
      </c>
      <c r="AN130" s="577">
        <v>206.51709887786126</v>
      </c>
      <c r="AO130" s="577">
        <v>305.30691483376773</v>
      </c>
      <c r="AP130" s="577">
        <v>319.16804565098778</v>
      </c>
      <c r="AQ130" s="577">
        <v>333.03131123781526</v>
      </c>
      <c r="AR130" s="577">
        <v>346.89671835255098</v>
      </c>
      <c r="AS130" s="577">
        <v>360.76427377489108</v>
      </c>
      <c r="AT130" s="577">
        <v>374.63398430599511</v>
      </c>
      <c r="AU130" s="577">
        <v>388.50585676855394</v>
      </c>
      <c r="AV130" s="577">
        <v>402.37989800685767</v>
      </c>
      <c r="AW130" s="577">
        <v>500.91890074584637</v>
      </c>
      <c r="AX130" s="577">
        <v>515.06532746759001</v>
      </c>
      <c r="AY130" s="577">
        <v>4246.1165747452551</v>
      </c>
      <c r="AZ130" s="577">
        <v>375.93048599732492</v>
      </c>
      <c r="BA130" s="577">
        <v>390.07748869179068</v>
      </c>
      <c r="BB130" s="577">
        <v>526.46369152896114</v>
      </c>
      <c r="BC130" s="577">
        <v>540.99934048855039</v>
      </c>
      <c r="BD130" s="577">
        <v>555.53918146750073</v>
      </c>
      <c r="BE130" s="577">
        <v>570.08322749863146</v>
      </c>
      <c r="BF130" s="577">
        <v>584.63149165529421</v>
      </c>
      <c r="BG130" s="577">
        <v>599.18398705149946</v>
      </c>
      <c r="BH130" s="577">
        <v>613.7407268420427</v>
      </c>
      <c r="BI130" s="577">
        <v>628.30172422263149</v>
      </c>
      <c r="BJ130" s="577">
        <v>764.3414241711871</v>
      </c>
      <c r="BK130" s="577">
        <v>779.29127764663099</v>
      </c>
      <c r="BL130" s="577">
        <v>6928.5840472620457</v>
      </c>
      <c r="BM130" s="577">
        <v>534.93251043148643</v>
      </c>
      <c r="BN130" s="577">
        <v>549.54733988689281</v>
      </c>
      <c r="BO130" s="577">
        <v>755.77798228723714</v>
      </c>
      <c r="BP130" s="577">
        <v>770.98833562411096</v>
      </c>
      <c r="BQ130" s="577">
        <v>786.20486614226149</v>
      </c>
      <c r="BR130" s="577">
        <v>801.42759271538898</v>
      </c>
      <c r="BS130" s="577">
        <v>816.65653427491111</v>
      </c>
      <c r="BT130" s="577">
        <v>831.89170981014058</v>
      </c>
      <c r="BU130" s="577">
        <v>847.13313836846191</v>
      </c>
      <c r="BV130" s="577">
        <v>862.38083905550911</v>
      </c>
      <c r="BW130" s="577">
        <v>1068.0780525539126</v>
      </c>
      <c r="BX130" s="577">
        <v>1083.921580959226</v>
      </c>
      <c r="BY130" s="577">
        <v>9708.9404821095377</v>
      </c>
      <c r="CA130" s="64"/>
    </row>
    <row r="131" spans="1:79" customFormat="1">
      <c r="A131" s="48"/>
      <c r="B131" s="542" t="s">
        <v>92</v>
      </c>
      <c r="C131" s="649"/>
      <c r="D131" s="577">
        <v>0</v>
      </c>
      <c r="E131" s="577">
        <v>1661.5384615384612</v>
      </c>
      <c r="F131" s="577">
        <v>4246.1165747452551</v>
      </c>
      <c r="G131" s="577">
        <v>6928.5840472620457</v>
      </c>
      <c r="H131" s="577">
        <v>9708.9404821095377</v>
      </c>
      <c r="I131" s="577">
        <v>4509.0359131310597</v>
      </c>
      <c r="K131" s="542" t="s">
        <v>92</v>
      </c>
      <c r="L131" s="649"/>
      <c r="M131" s="577">
        <v>0</v>
      </c>
      <c r="N131" s="577">
        <v>0</v>
      </c>
      <c r="O131" s="577">
        <v>0</v>
      </c>
      <c r="P131" s="577">
        <v>0</v>
      </c>
      <c r="Q131" s="577">
        <v>0</v>
      </c>
      <c r="R131" s="577">
        <v>0</v>
      </c>
      <c r="S131" s="577">
        <v>0</v>
      </c>
      <c r="T131" s="577">
        <v>0</v>
      </c>
      <c r="U131" s="577">
        <v>0</v>
      </c>
      <c r="V131" s="577">
        <v>0</v>
      </c>
      <c r="W131" s="577">
        <v>0</v>
      </c>
      <c r="X131" s="577">
        <v>0</v>
      </c>
      <c r="Y131" s="577">
        <v>0</v>
      </c>
      <c r="Z131" s="577">
        <v>65.934065934065927</v>
      </c>
      <c r="AA131" s="577">
        <v>79.12087912087911</v>
      </c>
      <c r="AB131" s="577">
        <v>92.307692307692292</v>
      </c>
      <c r="AC131" s="577">
        <v>105.49450549450549</v>
      </c>
      <c r="AD131" s="577">
        <v>118.68131868131867</v>
      </c>
      <c r="AE131" s="577">
        <v>131.86813186813185</v>
      </c>
      <c r="AF131" s="577">
        <v>145.05494505494505</v>
      </c>
      <c r="AG131" s="577">
        <v>158.24175824175822</v>
      </c>
      <c r="AH131" s="577">
        <v>171.42857142857142</v>
      </c>
      <c r="AI131" s="577">
        <v>184.61538461538458</v>
      </c>
      <c r="AJ131" s="577">
        <v>197.80219780219778</v>
      </c>
      <c r="AK131" s="577">
        <v>210.98901098901098</v>
      </c>
      <c r="AL131" s="577">
        <v>1661.5384615384612</v>
      </c>
      <c r="AM131" s="577">
        <v>192.92824472253881</v>
      </c>
      <c r="AN131" s="577">
        <v>206.51709887786126</v>
      </c>
      <c r="AO131" s="577">
        <v>305.30691483376773</v>
      </c>
      <c r="AP131" s="577">
        <v>319.16804565098778</v>
      </c>
      <c r="AQ131" s="577">
        <v>333.03131123781526</v>
      </c>
      <c r="AR131" s="577">
        <v>346.89671835255098</v>
      </c>
      <c r="AS131" s="577">
        <v>360.76427377489108</v>
      </c>
      <c r="AT131" s="577">
        <v>374.63398430599511</v>
      </c>
      <c r="AU131" s="577">
        <v>388.50585676855394</v>
      </c>
      <c r="AV131" s="577">
        <v>402.37989800685767</v>
      </c>
      <c r="AW131" s="577">
        <v>500.91890074584637</v>
      </c>
      <c r="AX131" s="577">
        <v>515.06532746759001</v>
      </c>
      <c r="AY131" s="577">
        <v>4246.1165747452551</v>
      </c>
      <c r="AZ131" s="577">
        <v>375.93048599732492</v>
      </c>
      <c r="BA131" s="577">
        <v>390.07748869179068</v>
      </c>
      <c r="BB131" s="577">
        <v>526.46369152896114</v>
      </c>
      <c r="BC131" s="577">
        <v>540.99934048855039</v>
      </c>
      <c r="BD131" s="577">
        <v>555.53918146750073</v>
      </c>
      <c r="BE131" s="577">
        <v>570.08322749863146</v>
      </c>
      <c r="BF131" s="577">
        <v>584.63149165529421</v>
      </c>
      <c r="BG131" s="577">
        <v>599.18398705149946</v>
      </c>
      <c r="BH131" s="577">
        <v>613.7407268420427</v>
      </c>
      <c r="BI131" s="577">
        <v>628.30172422263149</v>
      </c>
      <c r="BJ131" s="577">
        <v>764.3414241711871</v>
      </c>
      <c r="BK131" s="577">
        <v>779.29127764663099</v>
      </c>
      <c r="BL131" s="577">
        <v>6928.5840472620457</v>
      </c>
      <c r="BM131" s="577">
        <v>534.93251043148643</v>
      </c>
      <c r="BN131" s="577">
        <v>549.54733988689281</v>
      </c>
      <c r="BO131" s="577">
        <v>755.77798228723714</v>
      </c>
      <c r="BP131" s="577">
        <v>770.98833562411096</v>
      </c>
      <c r="BQ131" s="577">
        <v>786.20486614226149</v>
      </c>
      <c r="BR131" s="577">
        <v>801.42759271538898</v>
      </c>
      <c r="BS131" s="577">
        <v>816.65653427491111</v>
      </c>
      <c r="BT131" s="577">
        <v>831.89170981014058</v>
      </c>
      <c r="BU131" s="577">
        <v>847.13313836846191</v>
      </c>
      <c r="BV131" s="577">
        <v>862.38083905550911</v>
      </c>
      <c r="BW131" s="577">
        <v>1068.0780525539126</v>
      </c>
      <c r="BX131" s="577">
        <v>1083.921580959226</v>
      </c>
      <c r="BY131" s="577">
        <v>9708.9404821095377</v>
      </c>
      <c r="CA131" s="64"/>
    </row>
    <row r="132" spans="1:79" customFormat="1">
      <c r="A132" s="48"/>
      <c r="B132" s="542" t="s">
        <v>93</v>
      </c>
      <c r="C132" s="649"/>
      <c r="D132" s="577">
        <v>0</v>
      </c>
      <c r="E132" s="577">
        <v>1661.5384615384612</v>
      </c>
      <c r="F132" s="577">
        <v>4246.1165747452551</v>
      </c>
      <c r="G132" s="577">
        <v>6928.5840472620457</v>
      </c>
      <c r="H132" s="577">
        <v>9708.9404821095377</v>
      </c>
      <c r="I132" s="577">
        <v>4509.0359131310597</v>
      </c>
      <c r="K132" s="542" t="s">
        <v>93</v>
      </c>
      <c r="L132" s="649"/>
      <c r="M132" s="577">
        <v>0</v>
      </c>
      <c r="N132" s="577">
        <v>0</v>
      </c>
      <c r="O132" s="577">
        <v>0</v>
      </c>
      <c r="P132" s="577">
        <v>0</v>
      </c>
      <c r="Q132" s="577">
        <v>0</v>
      </c>
      <c r="R132" s="577">
        <v>0</v>
      </c>
      <c r="S132" s="577">
        <v>0</v>
      </c>
      <c r="T132" s="577">
        <v>0</v>
      </c>
      <c r="U132" s="577">
        <v>0</v>
      </c>
      <c r="V132" s="577">
        <v>0</v>
      </c>
      <c r="W132" s="577">
        <v>0</v>
      </c>
      <c r="X132" s="577">
        <v>0</v>
      </c>
      <c r="Y132" s="577">
        <v>0</v>
      </c>
      <c r="Z132" s="577">
        <v>65.934065934065927</v>
      </c>
      <c r="AA132" s="577">
        <v>79.12087912087911</v>
      </c>
      <c r="AB132" s="577">
        <v>92.307692307692292</v>
      </c>
      <c r="AC132" s="577">
        <v>105.49450549450549</v>
      </c>
      <c r="AD132" s="577">
        <v>118.68131868131867</v>
      </c>
      <c r="AE132" s="577">
        <v>131.86813186813185</v>
      </c>
      <c r="AF132" s="577">
        <v>145.05494505494505</v>
      </c>
      <c r="AG132" s="577">
        <v>158.24175824175822</v>
      </c>
      <c r="AH132" s="577">
        <v>171.42857142857142</v>
      </c>
      <c r="AI132" s="577">
        <v>184.61538461538458</v>
      </c>
      <c r="AJ132" s="577">
        <v>197.80219780219778</v>
      </c>
      <c r="AK132" s="577">
        <v>210.98901098901098</v>
      </c>
      <c r="AL132" s="577">
        <v>1661.5384615384612</v>
      </c>
      <c r="AM132" s="577">
        <v>192.92824472253881</v>
      </c>
      <c r="AN132" s="577">
        <v>206.51709887786126</v>
      </c>
      <c r="AO132" s="577">
        <v>305.30691483376773</v>
      </c>
      <c r="AP132" s="577">
        <v>319.16804565098778</v>
      </c>
      <c r="AQ132" s="577">
        <v>333.03131123781526</v>
      </c>
      <c r="AR132" s="577">
        <v>346.89671835255098</v>
      </c>
      <c r="AS132" s="577">
        <v>360.76427377489108</v>
      </c>
      <c r="AT132" s="577">
        <v>374.63398430599511</v>
      </c>
      <c r="AU132" s="577">
        <v>388.50585676855394</v>
      </c>
      <c r="AV132" s="577">
        <v>402.37989800685767</v>
      </c>
      <c r="AW132" s="577">
        <v>500.91890074584637</v>
      </c>
      <c r="AX132" s="577">
        <v>515.06532746759001</v>
      </c>
      <c r="AY132" s="577">
        <v>4246.1165747452551</v>
      </c>
      <c r="AZ132" s="577">
        <v>375.93048599732492</v>
      </c>
      <c r="BA132" s="577">
        <v>390.07748869179068</v>
      </c>
      <c r="BB132" s="577">
        <v>526.46369152896114</v>
      </c>
      <c r="BC132" s="577">
        <v>540.99934048855039</v>
      </c>
      <c r="BD132" s="577">
        <v>555.53918146750073</v>
      </c>
      <c r="BE132" s="577">
        <v>570.08322749863146</v>
      </c>
      <c r="BF132" s="577">
        <v>584.63149165529421</v>
      </c>
      <c r="BG132" s="577">
        <v>599.18398705149946</v>
      </c>
      <c r="BH132" s="577">
        <v>613.7407268420427</v>
      </c>
      <c r="BI132" s="577">
        <v>628.30172422263149</v>
      </c>
      <c r="BJ132" s="577">
        <v>764.3414241711871</v>
      </c>
      <c r="BK132" s="577">
        <v>779.29127764663099</v>
      </c>
      <c r="BL132" s="577">
        <v>6928.5840472620457</v>
      </c>
      <c r="BM132" s="577">
        <v>534.93251043148643</v>
      </c>
      <c r="BN132" s="577">
        <v>549.54733988689281</v>
      </c>
      <c r="BO132" s="577">
        <v>755.77798228723714</v>
      </c>
      <c r="BP132" s="577">
        <v>770.98833562411096</v>
      </c>
      <c r="BQ132" s="577">
        <v>786.20486614226149</v>
      </c>
      <c r="BR132" s="577">
        <v>801.42759271538898</v>
      </c>
      <c r="BS132" s="577">
        <v>816.65653427491111</v>
      </c>
      <c r="BT132" s="577">
        <v>831.89170981014058</v>
      </c>
      <c r="BU132" s="577">
        <v>847.13313836846191</v>
      </c>
      <c r="BV132" s="577">
        <v>862.38083905550911</v>
      </c>
      <c r="BW132" s="577">
        <v>1068.0780525539126</v>
      </c>
      <c r="BX132" s="577">
        <v>1083.921580959226</v>
      </c>
      <c r="BY132" s="577">
        <v>9708.9404821095377</v>
      </c>
      <c r="CA132" s="64"/>
    </row>
    <row r="133" spans="1:79" customFormat="1">
      <c r="A133" s="48"/>
      <c r="B133" s="575" t="s">
        <v>280</v>
      </c>
      <c r="C133" s="548"/>
      <c r="D133" s="576">
        <v>0</v>
      </c>
      <c r="E133" s="576">
        <v>4282199.9999999991</v>
      </c>
      <c r="F133" s="576">
        <v>11266131.408558946</v>
      </c>
      <c r="G133" s="576">
        <v>18901879.418614984</v>
      </c>
      <c r="H133" s="576">
        <v>27202121.817553267</v>
      </c>
      <c r="I133" s="576">
        <v>12330466.52894544</v>
      </c>
      <c r="J133" s="153"/>
      <c r="K133" s="575" t="s">
        <v>280</v>
      </c>
      <c r="L133" s="548"/>
      <c r="M133" s="576">
        <v>0</v>
      </c>
      <c r="N133" s="576">
        <v>0</v>
      </c>
      <c r="O133" s="576">
        <v>0</v>
      </c>
      <c r="P133" s="576">
        <v>0</v>
      </c>
      <c r="Q133" s="576">
        <v>0</v>
      </c>
      <c r="R133" s="576">
        <v>0</v>
      </c>
      <c r="S133" s="576">
        <v>0</v>
      </c>
      <c r="T133" s="576">
        <v>0</v>
      </c>
      <c r="U133" s="576">
        <v>0</v>
      </c>
      <c r="V133" s="576">
        <v>0</v>
      </c>
      <c r="W133" s="576">
        <v>0</v>
      </c>
      <c r="X133" s="576">
        <v>0</v>
      </c>
      <c r="Y133" s="576">
        <v>0</v>
      </c>
      <c r="Z133" s="576">
        <v>169928.57142857136</v>
      </c>
      <c r="AA133" s="576">
        <v>203914.28571428565</v>
      </c>
      <c r="AB133" s="576">
        <v>237899.99999999994</v>
      </c>
      <c r="AC133" s="576">
        <v>271885.71428571426</v>
      </c>
      <c r="AD133" s="576">
        <v>305871.42857142852</v>
      </c>
      <c r="AE133" s="576">
        <v>339857.14285714272</v>
      </c>
      <c r="AF133" s="576">
        <v>373842.8571428571</v>
      </c>
      <c r="AG133" s="576">
        <v>407828.5714285713</v>
      </c>
      <c r="AH133" s="576">
        <v>441814.28571428568</v>
      </c>
      <c r="AI133" s="576">
        <v>475799.99999999988</v>
      </c>
      <c r="AJ133" s="576">
        <v>509785.71428571414</v>
      </c>
      <c r="AK133" s="576">
        <v>543771.42857142852</v>
      </c>
      <c r="AL133" s="576">
        <v>4282199.9999999991</v>
      </c>
      <c r="AM133" s="576">
        <v>511892.43611314241</v>
      </c>
      <c r="AN133" s="576">
        <v>547947.45577891544</v>
      </c>
      <c r="AO133" s="576">
        <v>810064.38751986006</v>
      </c>
      <c r="AP133" s="576">
        <v>846841.83310080145</v>
      </c>
      <c r="AQ133" s="576">
        <v>883624.94282084517</v>
      </c>
      <c r="AR133" s="576">
        <v>920413.73461164825</v>
      </c>
      <c r="AS133" s="576">
        <v>957208.22646163497</v>
      </c>
      <c r="AT133" s="576">
        <v>994008.43641617824</v>
      </c>
      <c r="AU133" s="576">
        <v>1030814.3825777799</v>
      </c>
      <c r="AV133" s="576">
        <v>1067626.08310625</v>
      </c>
      <c r="AW133" s="576">
        <v>1329077.5374371759</v>
      </c>
      <c r="AX133" s="576">
        <v>1366611.9526147139</v>
      </c>
      <c r="AY133" s="576">
        <v>11266131.408558946</v>
      </c>
      <c r="AZ133" s="576">
        <v>1025576.4623236037</v>
      </c>
      <c r="BA133" s="576">
        <v>1064170.9193211028</v>
      </c>
      <c r="BB133" s="576">
        <v>1436246.3019398192</v>
      </c>
      <c r="BC133" s="576">
        <v>1475901.0253337061</v>
      </c>
      <c r="BD133" s="576">
        <v>1515567.184981226</v>
      </c>
      <c r="BE133" s="576">
        <v>1555244.8164372309</v>
      </c>
      <c r="BF133" s="576">
        <v>1594933.9553671491</v>
      </c>
      <c r="BG133" s="576">
        <v>1634634.6375473298</v>
      </c>
      <c r="BH133" s="576">
        <v>1674346.8988653882</v>
      </c>
      <c r="BI133" s="576">
        <v>1714070.7753205528</v>
      </c>
      <c r="BJ133" s="576">
        <v>2085200.8629447762</v>
      </c>
      <c r="BK133" s="576">
        <v>2125985.5782330995</v>
      </c>
      <c r="BL133" s="576">
        <v>18901879.418614984</v>
      </c>
      <c r="BM133" s="576">
        <v>1498752.5507793822</v>
      </c>
      <c r="BN133" s="576">
        <v>1539699.7964568376</v>
      </c>
      <c r="BO133" s="576">
        <v>2117508.5766655221</v>
      </c>
      <c r="BP133" s="576">
        <v>2160124.3373780414</v>
      </c>
      <c r="BQ133" s="576">
        <v>2202757.4050704399</v>
      </c>
      <c r="BR133" s="576">
        <v>2245407.832622299</v>
      </c>
      <c r="BS133" s="576">
        <v>2288075.6730749072</v>
      </c>
      <c r="BT133" s="576">
        <v>2330760.9796317634</v>
      </c>
      <c r="BU133" s="576">
        <v>2373463.8056590697</v>
      </c>
      <c r="BV133" s="576">
        <v>2416184.2046862277</v>
      </c>
      <c r="BW133" s="576">
        <v>2992498.4450943712</v>
      </c>
      <c r="BX133" s="576">
        <v>3036888.2104344056</v>
      </c>
      <c r="BY133" s="576">
        <v>27202121.817553267</v>
      </c>
      <c r="CA133" s="64"/>
    </row>
    <row r="134" spans="1:79" customFormat="1">
      <c r="A134" s="48"/>
      <c r="B134" s="542" t="s">
        <v>90</v>
      </c>
      <c r="C134" s="649"/>
      <c r="D134" s="577">
        <v>0</v>
      </c>
      <c r="E134" s="577">
        <v>1712879.9999999998</v>
      </c>
      <c r="F134" s="577">
        <v>4506452.5634235777</v>
      </c>
      <c r="G134" s="577">
        <v>7560751.7674459927</v>
      </c>
      <c r="H134" s="577">
        <v>10880848.727021307</v>
      </c>
      <c r="I134" s="577">
        <v>4932186.6115781758</v>
      </c>
      <c r="K134" s="542" t="s">
        <v>90</v>
      </c>
      <c r="L134" s="649"/>
      <c r="M134" s="577">
        <v>0</v>
      </c>
      <c r="N134" s="577">
        <v>0</v>
      </c>
      <c r="O134" s="577">
        <v>0</v>
      </c>
      <c r="P134" s="577">
        <v>0</v>
      </c>
      <c r="Q134" s="577">
        <v>0</v>
      </c>
      <c r="R134" s="577">
        <v>0</v>
      </c>
      <c r="S134" s="577">
        <v>0</v>
      </c>
      <c r="T134" s="577">
        <v>0</v>
      </c>
      <c r="U134" s="577">
        <v>0</v>
      </c>
      <c r="V134" s="577">
        <v>0</v>
      </c>
      <c r="W134" s="577">
        <v>0</v>
      </c>
      <c r="X134" s="577">
        <v>0</v>
      </c>
      <c r="Y134" s="577">
        <v>0</v>
      </c>
      <c r="Z134" s="577">
        <v>67971.428571428551</v>
      </c>
      <c r="AA134" s="577">
        <v>81565.714285714261</v>
      </c>
      <c r="AB134" s="577">
        <v>95159.999999999971</v>
      </c>
      <c r="AC134" s="577">
        <v>108754.2857142857</v>
      </c>
      <c r="AD134" s="577">
        <v>122348.57142857141</v>
      </c>
      <c r="AE134" s="577">
        <v>135942.8571428571</v>
      </c>
      <c r="AF134" s="577">
        <v>149537.14285714284</v>
      </c>
      <c r="AG134" s="577">
        <v>163131.42857142852</v>
      </c>
      <c r="AH134" s="577">
        <v>176725.71428571426</v>
      </c>
      <c r="AI134" s="577">
        <v>190319.99999999994</v>
      </c>
      <c r="AJ134" s="577">
        <v>203914.28571428565</v>
      </c>
      <c r="AK134" s="577">
        <v>217508.57142857139</v>
      </c>
      <c r="AL134" s="577">
        <v>1712879.9999999998</v>
      </c>
      <c r="AM134" s="577">
        <v>204756.97444525696</v>
      </c>
      <c r="AN134" s="577">
        <v>219178.98231156619</v>
      </c>
      <c r="AO134" s="577">
        <v>324025.75500794401</v>
      </c>
      <c r="AP134" s="577">
        <v>338736.73324032058</v>
      </c>
      <c r="AQ134" s="577">
        <v>353449.97712833807</v>
      </c>
      <c r="AR134" s="577">
        <v>368165.4938446593</v>
      </c>
      <c r="AS134" s="577">
        <v>382883.29058465397</v>
      </c>
      <c r="AT134" s="577">
        <v>397603.37456647132</v>
      </c>
      <c r="AU134" s="577">
        <v>412325.75303111196</v>
      </c>
      <c r="AV134" s="577">
        <v>427050.4332425</v>
      </c>
      <c r="AW134" s="577">
        <v>531631.01497487037</v>
      </c>
      <c r="AX134" s="577">
        <v>546644.78104588552</v>
      </c>
      <c r="AY134" s="577">
        <v>4506452.5634235777</v>
      </c>
      <c r="AZ134" s="577">
        <v>410230.58492944145</v>
      </c>
      <c r="BA134" s="577">
        <v>425668.36772844108</v>
      </c>
      <c r="BB134" s="577">
        <v>574498.5207759277</v>
      </c>
      <c r="BC134" s="577">
        <v>590360.41013348242</v>
      </c>
      <c r="BD134" s="577">
        <v>606226.87399249035</v>
      </c>
      <c r="BE134" s="577">
        <v>622097.92657489236</v>
      </c>
      <c r="BF134" s="577">
        <v>637973.58214685961</v>
      </c>
      <c r="BG134" s="577">
        <v>653853.85501893191</v>
      </c>
      <c r="BH134" s="577">
        <v>669738.75954615534</v>
      </c>
      <c r="BI134" s="577">
        <v>685628.31012822106</v>
      </c>
      <c r="BJ134" s="577">
        <v>834080.34517791052</v>
      </c>
      <c r="BK134" s="577">
        <v>850394.23129323986</v>
      </c>
      <c r="BL134" s="577">
        <v>7560751.7674459927</v>
      </c>
      <c r="BM134" s="577">
        <v>599501.02031175292</v>
      </c>
      <c r="BN134" s="577">
        <v>615879.918582735</v>
      </c>
      <c r="BO134" s="577">
        <v>847003.43066620885</v>
      </c>
      <c r="BP134" s="577">
        <v>864049.73495121649</v>
      </c>
      <c r="BQ134" s="577">
        <v>881102.96202817606</v>
      </c>
      <c r="BR134" s="577">
        <v>898163.1330489195</v>
      </c>
      <c r="BS134" s="577">
        <v>915230.26922996284</v>
      </c>
      <c r="BT134" s="577">
        <v>932304.39185270539</v>
      </c>
      <c r="BU134" s="577">
        <v>949385.52226362785</v>
      </c>
      <c r="BV134" s="577">
        <v>966473.68187449104</v>
      </c>
      <c r="BW134" s="577">
        <v>1196999.3780377484</v>
      </c>
      <c r="BX134" s="577">
        <v>1214755.2841737622</v>
      </c>
      <c r="BY134" s="577">
        <v>10880848.727021307</v>
      </c>
      <c r="CA134" s="64"/>
    </row>
    <row r="135" spans="1:79" customFormat="1">
      <c r="A135" s="48"/>
      <c r="B135" s="542" t="s">
        <v>91</v>
      </c>
      <c r="C135" s="649"/>
      <c r="D135" s="577">
        <v>0</v>
      </c>
      <c r="E135" s="577">
        <v>856439.99999999988</v>
      </c>
      <c r="F135" s="577">
        <v>2253226.2817117888</v>
      </c>
      <c r="G135" s="577">
        <v>3780375.8837229963</v>
      </c>
      <c r="H135" s="577">
        <v>5440424.3635106534</v>
      </c>
      <c r="I135" s="577">
        <v>2466093.3057890879</v>
      </c>
      <c r="K135" s="542" t="s">
        <v>91</v>
      </c>
      <c r="L135" s="649"/>
      <c r="M135" s="577">
        <v>0</v>
      </c>
      <c r="N135" s="577">
        <v>0</v>
      </c>
      <c r="O135" s="577">
        <v>0</v>
      </c>
      <c r="P135" s="577">
        <v>0</v>
      </c>
      <c r="Q135" s="577">
        <v>0</v>
      </c>
      <c r="R135" s="577">
        <v>0</v>
      </c>
      <c r="S135" s="577">
        <v>0</v>
      </c>
      <c r="T135" s="577">
        <v>0</v>
      </c>
      <c r="U135" s="577">
        <v>0</v>
      </c>
      <c r="V135" s="577">
        <v>0</v>
      </c>
      <c r="W135" s="577">
        <v>0</v>
      </c>
      <c r="X135" s="577">
        <v>0</v>
      </c>
      <c r="Y135" s="577">
        <v>0</v>
      </c>
      <c r="Z135" s="577">
        <v>33985.714285714275</v>
      </c>
      <c r="AA135" s="577">
        <v>40782.85714285713</v>
      </c>
      <c r="AB135" s="577">
        <v>47579.999999999985</v>
      </c>
      <c r="AC135" s="577">
        <v>54377.142857142848</v>
      </c>
      <c r="AD135" s="577">
        <v>61174.285714285703</v>
      </c>
      <c r="AE135" s="577">
        <v>67971.428571428551</v>
      </c>
      <c r="AF135" s="577">
        <v>74768.57142857142</v>
      </c>
      <c r="AG135" s="577">
        <v>81565.714285714261</v>
      </c>
      <c r="AH135" s="577">
        <v>88362.85714285713</v>
      </c>
      <c r="AI135" s="577">
        <v>95159.999999999971</v>
      </c>
      <c r="AJ135" s="577">
        <v>101957.14285714283</v>
      </c>
      <c r="AK135" s="577">
        <v>108754.2857142857</v>
      </c>
      <c r="AL135" s="577">
        <v>856439.99999999988</v>
      </c>
      <c r="AM135" s="577">
        <v>102378.48722262848</v>
      </c>
      <c r="AN135" s="577">
        <v>109589.49115578309</v>
      </c>
      <c r="AO135" s="577">
        <v>162012.87750397201</v>
      </c>
      <c r="AP135" s="577">
        <v>169368.36662016029</v>
      </c>
      <c r="AQ135" s="577">
        <v>176724.98856416903</v>
      </c>
      <c r="AR135" s="577">
        <v>184082.74692232965</v>
      </c>
      <c r="AS135" s="577">
        <v>191441.64529232698</v>
      </c>
      <c r="AT135" s="577">
        <v>198801.68728323566</v>
      </c>
      <c r="AU135" s="577">
        <v>206162.87651555598</v>
      </c>
      <c r="AV135" s="577">
        <v>213525.21662125</v>
      </c>
      <c r="AW135" s="577">
        <v>265815.50748743518</v>
      </c>
      <c r="AX135" s="577">
        <v>273322.39052294276</v>
      </c>
      <c r="AY135" s="577">
        <v>2253226.2817117888</v>
      </c>
      <c r="AZ135" s="577">
        <v>205115.29246472073</v>
      </c>
      <c r="BA135" s="577">
        <v>212834.18386422054</v>
      </c>
      <c r="BB135" s="577">
        <v>287249.26038796385</v>
      </c>
      <c r="BC135" s="577">
        <v>295180.20506674121</v>
      </c>
      <c r="BD135" s="577">
        <v>303113.43699624517</v>
      </c>
      <c r="BE135" s="577">
        <v>311048.96328744618</v>
      </c>
      <c r="BF135" s="577">
        <v>318986.79107342981</v>
      </c>
      <c r="BG135" s="577">
        <v>326926.92750946595</v>
      </c>
      <c r="BH135" s="577">
        <v>334869.37977307767</v>
      </c>
      <c r="BI135" s="577">
        <v>342814.15506411053</v>
      </c>
      <c r="BJ135" s="577">
        <v>417040.17258895526</v>
      </c>
      <c r="BK135" s="577">
        <v>425197.11564661993</v>
      </c>
      <c r="BL135" s="577">
        <v>3780375.8837229963</v>
      </c>
      <c r="BM135" s="577">
        <v>299750.51015587646</v>
      </c>
      <c r="BN135" s="577">
        <v>307939.9592913675</v>
      </c>
      <c r="BO135" s="577">
        <v>423501.71533310442</v>
      </c>
      <c r="BP135" s="577">
        <v>432024.86747560825</v>
      </c>
      <c r="BQ135" s="577">
        <v>440551.48101408803</v>
      </c>
      <c r="BR135" s="577">
        <v>449081.56652445975</v>
      </c>
      <c r="BS135" s="577">
        <v>457615.13461498142</v>
      </c>
      <c r="BT135" s="577">
        <v>466152.1959263527</v>
      </c>
      <c r="BU135" s="577">
        <v>474692.76113181392</v>
      </c>
      <c r="BV135" s="577">
        <v>483236.84093724552</v>
      </c>
      <c r="BW135" s="577">
        <v>598499.6890188742</v>
      </c>
      <c r="BX135" s="577">
        <v>607377.6420868811</v>
      </c>
      <c r="BY135" s="577">
        <v>5440424.3635106534</v>
      </c>
      <c r="CA135" s="64"/>
    </row>
    <row r="136" spans="1:79" customFormat="1">
      <c r="A136" s="48"/>
      <c r="B136" s="542" t="s">
        <v>92</v>
      </c>
      <c r="C136" s="649"/>
      <c r="D136" s="577">
        <v>0</v>
      </c>
      <c r="E136" s="577">
        <v>856439.99999999988</v>
      </c>
      <c r="F136" s="577">
        <v>2253226.2817117888</v>
      </c>
      <c r="G136" s="577">
        <v>3780375.8837229963</v>
      </c>
      <c r="H136" s="577">
        <v>5440424.3635106534</v>
      </c>
      <c r="I136" s="577">
        <v>2466093.3057890879</v>
      </c>
      <c r="K136" s="542" t="s">
        <v>92</v>
      </c>
      <c r="L136" s="649"/>
      <c r="M136" s="577">
        <v>0</v>
      </c>
      <c r="N136" s="577">
        <v>0</v>
      </c>
      <c r="O136" s="577">
        <v>0</v>
      </c>
      <c r="P136" s="577">
        <v>0</v>
      </c>
      <c r="Q136" s="577">
        <v>0</v>
      </c>
      <c r="R136" s="577">
        <v>0</v>
      </c>
      <c r="S136" s="577">
        <v>0</v>
      </c>
      <c r="T136" s="577">
        <v>0</v>
      </c>
      <c r="U136" s="577">
        <v>0</v>
      </c>
      <c r="V136" s="577">
        <v>0</v>
      </c>
      <c r="W136" s="577">
        <v>0</v>
      </c>
      <c r="X136" s="577">
        <v>0</v>
      </c>
      <c r="Y136" s="577">
        <v>0</v>
      </c>
      <c r="Z136" s="577">
        <v>33985.714285714275</v>
      </c>
      <c r="AA136" s="577">
        <v>40782.85714285713</v>
      </c>
      <c r="AB136" s="577">
        <v>47579.999999999985</v>
      </c>
      <c r="AC136" s="577">
        <v>54377.142857142848</v>
      </c>
      <c r="AD136" s="577">
        <v>61174.285714285703</v>
      </c>
      <c r="AE136" s="577">
        <v>67971.428571428551</v>
      </c>
      <c r="AF136" s="577">
        <v>74768.57142857142</v>
      </c>
      <c r="AG136" s="577">
        <v>81565.714285714261</v>
      </c>
      <c r="AH136" s="577">
        <v>88362.85714285713</v>
      </c>
      <c r="AI136" s="577">
        <v>95159.999999999971</v>
      </c>
      <c r="AJ136" s="577">
        <v>101957.14285714283</v>
      </c>
      <c r="AK136" s="577">
        <v>108754.2857142857</v>
      </c>
      <c r="AL136" s="577">
        <v>856439.99999999988</v>
      </c>
      <c r="AM136" s="577">
        <v>102378.48722262848</v>
      </c>
      <c r="AN136" s="577">
        <v>109589.49115578309</v>
      </c>
      <c r="AO136" s="577">
        <v>162012.87750397201</v>
      </c>
      <c r="AP136" s="577">
        <v>169368.36662016029</v>
      </c>
      <c r="AQ136" s="577">
        <v>176724.98856416903</v>
      </c>
      <c r="AR136" s="577">
        <v>184082.74692232965</v>
      </c>
      <c r="AS136" s="577">
        <v>191441.64529232698</v>
      </c>
      <c r="AT136" s="577">
        <v>198801.68728323566</v>
      </c>
      <c r="AU136" s="577">
        <v>206162.87651555598</v>
      </c>
      <c r="AV136" s="577">
        <v>213525.21662125</v>
      </c>
      <c r="AW136" s="577">
        <v>265815.50748743518</v>
      </c>
      <c r="AX136" s="577">
        <v>273322.39052294276</v>
      </c>
      <c r="AY136" s="577">
        <v>2253226.2817117888</v>
      </c>
      <c r="AZ136" s="577">
        <v>205115.29246472073</v>
      </c>
      <c r="BA136" s="577">
        <v>212834.18386422054</v>
      </c>
      <c r="BB136" s="577">
        <v>287249.26038796385</v>
      </c>
      <c r="BC136" s="577">
        <v>295180.20506674121</v>
      </c>
      <c r="BD136" s="577">
        <v>303113.43699624517</v>
      </c>
      <c r="BE136" s="577">
        <v>311048.96328744618</v>
      </c>
      <c r="BF136" s="577">
        <v>318986.79107342981</v>
      </c>
      <c r="BG136" s="577">
        <v>326926.92750946595</v>
      </c>
      <c r="BH136" s="577">
        <v>334869.37977307767</v>
      </c>
      <c r="BI136" s="577">
        <v>342814.15506411053</v>
      </c>
      <c r="BJ136" s="577">
        <v>417040.17258895526</v>
      </c>
      <c r="BK136" s="577">
        <v>425197.11564661993</v>
      </c>
      <c r="BL136" s="577">
        <v>3780375.8837229963</v>
      </c>
      <c r="BM136" s="577">
        <v>299750.51015587646</v>
      </c>
      <c r="BN136" s="577">
        <v>307939.9592913675</v>
      </c>
      <c r="BO136" s="577">
        <v>423501.71533310442</v>
      </c>
      <c r="BP136" s="577">
        <v>432024.86747560825</v>
      </c>
      <c r="BQ136" s="577">
        <v>440551.48101408803</v>
      </c>
      <c r="BR136" s="577">
        <v>449081.56652445975</v>
      </c>
      <c r="BS136" s="577">
        <v>457615.13461498142</v>
      </c>
      <c r="BT136" s="577">
        <v>466152.1959263527</v>
      </c>
      <c r="BU136" s="577">
        <v>474692.76113181392</v>
      </c>
      <c r="BV136" s="577">
        <v>483236.84093724552</v>
      </c>
      <c r="BW136" s="577">
        <v>598499.6890188742</v>
      </c>
      <c r="BX136" s="577">
        <v>607377.6420868811</v>
      </c>
      <c r="BY136" s="577">
        <v>5440424.3635106534</v>
      </c>
      <c r="CA136" s="64"/>
    </row>
    <row r="137" spans="1:79" customFormat="1">
      <c r="A137" s="48"/>
      <c r="B137" s="545" t="s">
        <v>93</v>
      </c>
      <c r="C137" s="650"/>
      <c r="D137" s="579">
        <v>0</v>
      </c>
      <c r="E137" s="579">
        <v>856439.99999999988</v>
      </c>
      <c r="F137" s="579">
        <v>2253226.2817117888</v>
      </c>
      <c r="G137" s="579">
        <v>3780375.8837229963</v>
      </c>
      <c r="H137" s="579">
        <v>5440424.3635106534</v>
      </c>
      <c r="I137" s="579">
        <v>2466093.3057890879</v>
      </c>
      <c r="K137" s="545" t="s">
        <v>93</v>
      </c>
      <c r="L137" s="650"/>
      <c r="M137" s="579">
        <v>0</v>
      </c>
      <c r="N137" s="579">
        <v>0</v>
      </c>
      <c r="O137" s="579">
        <v>0</v>
      </c>
      <c r="P137" s="579">
        <v>0</v>
      </c>
      <c r="Q137" s="579">
        <v>0</v>
      </c>
      <c r="R137" s="579">
        <v>0</v>
      </c>
      <c r="S137" s="579">
        <v>0</v>
      </c>
      <c r="T137" s="579">
        <v>0</v>
      </c>
      <c r="U137" s="579">
        <v>0</v>
      </c>
      <c r="V137" s="579">
        <v>0</v>
      </c>
      <c r="W137" s="579">
        <v>0</v>
      </c>
      <c r="X137" s="579">
        <v>0</v>
      </c>
      <c r="Y137" s="579">
        <v>0</v>
      </c>
      <c r="Z137" s="579">
        <v>33985.714285714275</v>
      </c>
      <c r="AA137" s="579">
        <v>40782.85714285713</v>
      </c>
      <c r="AB137" s="579">
        <v>47579.999999999985</v>
      </c>
      <c r="AC137" s="579">
        <v>54377.142857142848</v>
      </c>
      <c r="AD137" s="579">
        <v>61174.285714285703</v>
      </c>
      <c r="AE137" s="579">
        <v>67971.428571428551</v>
      </c>
      <c r="AF137" s="579">
        <v>74768.57142857142</v>
      </c>
      <c r="AG137" s="579">
        <v>81565.714285714261</v>
      </c>
      <c r="AH137" s="579">
        <v>88362.85714285713</v>
      </c>
      <c r="AI137" s="579">
        <v>95159.999999999971</v>
      </c>
      <c r="AJ137" s="579">
        <v>101957.14285714283</v>
      </c>
      <c r="AK137" s="579">
        <v>108754.2857142857</v>
      </c>
      <c r="AL137" s="579">
        <v>856439.99999999988</v>
      </c>
      <c r="AM137" s="579">
        <v>102378.48722262848</v>
      </c>
      <c r="AN137" s="579">
        <v>109589.49115578309</v>
      </c>
      <c r="AO137" s="579">
        <v>162012.87750397201</v>
      </c>
      <c r="AP137" s="579">
        <v>169368.36662016029</v>
      </c>
      <c r="AQ137" s="579">
        <v>176724.98856416903</v>
      </c>
      <c r="AR137" s="579">
        <v>184082.74692232965</v>
      </c>
      <c r="AS137" s="579">
        <v>191441.64529232698</v>
      </c>
      <c r="AT137" s="579">
        <v>198801.68728323566</v>
      </c>
      <c r="AU137" s="579">
        <v>206162.87651555598</v>
      </c>
      <c r="AV137" s="579">
        <v>213525.21662125</v>
      </c>
      <c r="AW137" s="579">
        <v>265815.50748743518</v>
      </c>
      <c r="AX137" s="579">
        <v>273322.39052294276</v>
      </c>
      <c r="AY137" s="579">
        <v>2253226.2817117888</v>
      </c>
      <c r="AZ137" s="579">
        <v>205115.29246472073</v>
      </c>
      <c r="BA137" s="579">
        <v>212834.18386422054</v>
      </c>
      <c r="BB137" s="579">
        <v>287249.26038796385</v>
      </c>
      <c r="BC137" s="579">
        <v>295180.20506674121</v>
      </c>
      <c r="BD137" s="579">
        <v>303113.43699624517</v>
      </c>
      <c r="BE137" s="579">
        <v>311048.96328744618</v>
      </c>
      <c r="BF137" s="579">
        <v>318986.79107342981</v>
      </c>
      <c r="BG137" s="579">
        <v>326926.92750946595</v>
      </c>
      <c r="BH137" s="579">
        <v>334869.37977307767</v>
      </c>
      <c r="BI137" s="579">
        <v>342814.15506411053</v>
      </c>
      <c r="BJ137" s="579">
        <v>417040.17258895526</v>
      </c>
      <c r="BK137" s="579">
        <v>425197.11564661993</v>
      </c>
      <c r="BL137" s="579">
        <v>3780375.8837229963</v>
      </c>
      <c r="BM137" s="579">
        <v>299750.51015587646</v>
      </c>
      <c r="BN137" s="579">
        <v>307939.9592913675</v>
      </c>
      <c r="BO137" s="579">
        <v>423501.71533310442</v>
      </c>
      <c r="BP137" s="579">
        <v>432024.86747560825</v>
      </c>
      <c r="BQ137" s="579">
        <v>440551.48101408803</v>
      </c>
      <c r="BR137" s="579">
        <v>449081.56652445975</v>
      </c>
      <c r="BS137" s="579">
        <v>457615.13461498142</v>
      </c>
      <c r="BT137" s="579">
        <v>466152.1959263527</v>
      </c>
      <c r="BU137" s="579">
        <v>474692.76113181392</v>
      </c>
      <c r="BV137" s="579">
        <v>483236.84093724552</v>
      </c>
      <c r="BW137" s="579">
        <v>598499.6890188742</v>
      </c>
      <c r="BX137" s="579">
        <v>607377.6420868811</v>
      </c>
      <c r="BY137" s="579">
        <v>5440424.3635106534</v>
      </c>
      <c r="CA137" s="64"/>
    </row>
    <row r="138" spans="1:79">
      <c r="K138" s="645"/>
      <c r="L138" s="645"/>
      <c r="M138" s="645"/>
      <c r="N138" s="645"/>
      <c r="O138" s="645"/>
      <c r="P138" s="645"/>
      <c r="Q138" s="645"/>
      <c r="R138" s="645"/>
      <c r="S138" s="645"/>
      <c r="T138" s="645"/>
      <c r="U138" s="645"/>
      <c r="V138" s="645"/>
      <c r="W138" s="645"/>
      <c r="X138" s="645"/>
      <c r="Y138" s="645"/>
      <c r="Z138" s="645"/>
      <c r="AA138" s="645"/>
      <c r="AB138" s="645"/>
      <c r="AC138" s="645"/>
      <c r="AD138" s="645"/>
      <c r="AE138" s="645"/>
      <c r="AF138" s="645"/>
      <c r="AG138" s="645"/>
      <c r="AH138" s="645"/>
      <c r="AI138" s="645"/>
      <c r="AJ138" s="645"/>
      <c r="AK138" s="645"/>
      <c r="AL138" s="645"/>
      <c r="AM138" s="645"/>
      <c r="AN138" s="645"/>
      <c r="AO138" s="645"/>
      <c r="AP138" s="645"/>
      <c r="AQ138" s="645"/>
      <c r="AR138" s="645"/>
      <c r="AS138" s="645"/>
      <c r="AT138" s="645"/>
      <c r="AU138" s="645"/>
      <c r="AV138" s="645"/>
      <c r="AW138" s="645"/>
      <c r="AX138" s="645"/>
      <c r="AY138" s="645"/>
      <c r="AZ138" s="645"/>
      <c r="BA138" s="645"/>
      <c r="BB138" s="645"/>
      <c r="BC138" s="645"/>
      <c r="BD138" s="645"/>
      <c r="BE138" s="645"/>
      <c r="BF138" s="645"/>
      <c r="BG138" s="645"/>
      <c r="BH138" s="645"/>
      <c r="BI138" s="645"/>
      <c r="BJ138" s="645"/>
      <c r="BK138" s="645"/>
      <c r="BL138" s="645"/>
      <c r="BM138" s="645"/>
      <c r="BN138" s="645"/>
      <c r="BO138" s="645"/>
      <c r="BP138" s="645"/>
      <c r="BQ138" s="645"/>
      <c r="BR138" s="645"/>
      <c r="BS138" s="645"/>
      <c r="BT138" s="645"/>
      <c r="BU138" s="645"/>
      <c r="BV138" s="645"/>
      <c r="BW138" s="645"/>
      <c r="BX138" s="645"/>
      <c r="BY138" s="645"/>
      <c r="CA138" s="61"/>
    </row>
    <row r="139" spans="1:79">
      <c r="B139" s="542" t="s">
        <v>107</v>
      </c>
      <c r="C139" s="542"/>
      <c r="D139" s="577">
        <f t="shared" ref="D139:I139" si="12">D133*$C$108</f>
        <v>0</v>
      </c>
      <c r="E139" s="577">
        <f t="shared" si="12"/>
        <v>2569319.9999999995</v>
      </c>
      <c r="F139" s="577">
        <f t="shared" si="12"/>
        <v>6759678.8451353675</v>
      </c>
      <c r="G139" s="577">
        <f t="shared" si="12"/>
        <v>11341127.651168989</v>
      </c>
      <c r="H139" s="577">
        <f t="shared" si="12"/>
        <v>16321273.09053196</v>
      </c>
      <c r="I139" s="577">
        <f t="shared" si="12"/>
        <v>7398279.9173672637</v>
      </c>
      <c r="K139" s="542" t="s">
        <v>107</v>
      </c>
      <c r="L139" s="542">
        <f>L133*$C$144</f>
        <v>0</v>
      </c>
      <c r="M139" s="577">
        <f>M133*$C$144</f>
        <v>0</v>
      </c>
      <c r="N139" s="577">
        <f t="shared" ref="N139:BY139" si="13">N133*$C$144</f>
        <v>0</v>
      </c>
      <c r="O139" s="577">
        <f t="shared" si="13"/>
        <v>0</v>
      </c>
      <c r="P139" s="577">
        <f t="shared" si="13"/>
        <v>0</v>
      </c>
      <c r="Q139" s="577">
        <f t="shared" si="13"/>
        <v>0</v>
      </c>
      <c r="R139" s="577">
        <f t="shared" si="13"/>
        <v>0</v>
      </c>
      <c r="S139" s="577">
        <f t="shared" si="13"/>
        <v>0</v>
      </c>
      <c r="T139" s="577">
        <f t="shared" si="13"/>
        <v>0</v>
      </c>
      <c r="U139" s="577">
        <f t="shared" si="13"/>
        <v>0</v>
      </c>
      <c r="V139" s="577">
        <f t="shared" si="13"/>
        <v>0</v>
      </c>
      <c r="W139" s="577">
        <f t="shared" si="13"/>
        <v>0</v>
      </c>
      <c r="X139" s="577">
        <f t="shared" si="13"/>
        <v>0</v>
      </c>
      <c r="Y139" s="577">
        <f t="shared" si="13"/>
        <v>0</v>
      </c>
      <c r="Z139" s="577">
        <f t="shared" si="13"/>
        <v>101957.14285714281</v>
      </c>
      <c r="AA139" s="577">
        <f t="shared" si="13"/>
        <v>122348.57142857139</v>
      </c>
      <c r="AB139" s="577">
        <f t="shared" si="13"/>
        <v>142739.99999999997</v>
      </c>
      <c r="AC139" s="577">
        <f t="shared" si="13"/>
        <v>163131.42857142855</v>
      </c>
      <c r="AD139" s="577">
        <f t="shared" si="13"/>
        <v>183522.8571428571</v>
      </c>
      <c r="AE139" s="577">
        <f t="shared" si="13"/>
        <v>203914.28571428562</v>
      </c>
      <c r="AF139" s="577">
        <f t="shared" si="13"/>
        <v>224305.71428571426</v>
      </c>
      <c r="AG139" s="577">
        <f t="shared" si="13"/>
        <v>244697.14285714278</v>
      </c>
      <c r="AH139" s="577">
        <f t="shared" si="13"/>
        <v>265088.57142857142</v>
      </c>
      <c r="AI139" s="577">
        <f t="shared" si="13"/>
        <v>285479.99999999994</v>
      </c>
      <c r="AJ139" s="577">
        <f t="shared" si="13"/>
        <v>305871.42857142846</v>
      </c>
      <c r="AK139" s="577">
        <f t="shared" si="13"/>
        <v>326262.8571428571</v>
      </c>
      <c r="AL139" s="577">
        <f t="shared" si="13"/>
        <v>2569319.9999999995</v>
      </c>
      <c r="AM139" s="577">
        <f t="shared" si="13"/>
        <v>307135.46166788542</v>
      </c>
      <c r="AN139" s="577">
        <f t="shared" si="13"/>
        <v>328768.47346734925</v>
      </c>
      <c r="AO139" s="577">
        <f t="shared" si="13"/>
        <v>486038.63251191599</v>
      </c>
      <c r="AP139" s="577">
        <f t="shared" si="13"/>
        <v>508105.09986048087</v>
      </c>
      <c r="AQ139" s="577">
        <f t="shared" si="13"/>
        <v>530174.9656925071</v>
      </c>
      <c r="AR139" s="577">
        <f t="shared" si="13"/>
        <v>552248.24076698895</v>
      </c>
      <c r="AS139" s="577">
        <f t="shared" si="13"/>
        <v>574324.93587698101</v>
      </c>
      <c r="AT139" s="577">
        <f t="shared" si="13"/>
        <v>596405.06184970692</v>
      </c>
      <c r="AU139" s="577">
        <f t="shared" si="13"/>
        <v>618488.62954666791</v>
      </c>
      <c r="AV139" s="577">
        <f t="shared" si="13"/>
        <v>640575.64986374998</v>
      </c>
      <c r="AW139" s="577">
        <f t="shared" si="13"/>
        <v>797446.5224623055</v>
      </c>
      <c r="AX139" s="577">
        <f t="shared" si="13"/>
        <v>819967.17156882829</v>
      </c>
      <c r="AY139" s="577">
        <f t="shared" si="13"/>
        <v>6759678.8451353675</v>
      </c>
      <c r="AZ139" s="577">
        <f t="shared" si="13"/>
        <v>615345.87739416223</v>
      </c>
      <c r="BA139" s="577">
        <f t="shared" si="13"/>
        <v>638502.55159266165</v>
      </c>
      <c r="BB139" s="577">
        <f t="shared" si="13"/>
        <v>861747.78116389154</v>
      </c>
      <c r="BC139" s="577">
        <f t="shared" si="13"/>
        <v>885540.61520022363</v>
      </c>
      <c r="BD139" s="577">
        <f t="shared" si="13"/>
        <v>909340.31098873552</v>
      </c>
      <c r="BE139" s="577">
        <f t="shared" si="13"/>
        <v>933146.88986233855</v>
      </c>
      <c r="BF139" s="577">
        <f t="shared" si="13"/>
        <v>956960.37322028936</v>
      </c>
      <c r="BG139" s="577">
        <f t="shared" si="13"/>
        <v>980780.78252839786</v>
      </c>
      <c r="BH139" s="577">
        <f t="shared" si="13"/>
        <v>1004608.1393192329</v>
      </c>
      <c r="BI139" s="577">
        <f t="shared" si="13"/>
        <v>1028442.4651923316</v>
      </c>
      <c r="BJ139" s="577">
        <f t="shared" si="13"/>
        <v>1251120.5177668657</v>
      </c>
      <c r="BK139" s="577">
        <f t="shared" si="13"/>
        <v>1275591.3469398597</v>
      </c>
      <c r="BL139" s="577">
        <f t="shared" si="13"/>
        <v>11341127.651168989</v>
      </c>
      <c r="BM139" s="577">
        <f t="shared" si="13"/>
        <v>899251.53046762932</v>
      </c>
      <c r="BN139" s="577">
        <f t="shared" si="13"/>
        <v>923819.87787410256</v>
      </c>
      <c r="BO139" s="577">
        <f t="shared" si="13"/>
        <v>1270505.1459993131</v>
      </c>
      <c r="BP139" s="577">
        <f t="shared" si="13"/>
        <v>1296074.6024268249</v>
      </c>
      <c r="BQ139" s="577">
        <f t="shared" si="13"/>
        <v>1321654.4430422639</v>
      </c>
      <c r="BR139" s="577">
        <f t="shared" si="13"/>
        <v>1347244.6995733792</v>
      </c>
      <c r="BS139" s="577">
        <f t="shared" si="13"/>
        <v>1372845.4038449442</v>
      </c>
      <c r="BT139" s="577">
        <f t="shared" si="13"/>
        <v>1398456.5877790579</v>
      </c>
      <c r="BU139" s="577">
        <f t="shared" si="13"/>
        <v>1424078.2833954417</v>
      </c>
      <c r="BV139" s="577">
        <f t="shared" si="13"/>
        <v>1449710.5228117367</v>
      </c>
      <c r="BW139" s="577">
        <f t="shared" si="13"/>
        <v>1795499.0670566226</v>
      </c>
      <c r="BX139" s="577">
        <f t="shared" si="13"/>
        <v>1822132.9262606434</v>
      </c>
      <c r="BY139" s="577">
        <f t="shared" si="13"/>
        <v>16321273.09053196</v>
      </c>
      <c r="CA139" s="61"/>
    </row>
    <row r="140" spans="1:79">
      <c r="B140" s="545" t="s">
        <v>108</v>
      </c>
      <c r="C140" s="545"/>
      <c r="D140" s="579">
        <f t="shared" ref="D140:I140" si="14">D133*$C$109</f>
        <v>0</v>
      </c>
      <c r="E140" s="579">
        <f t="shared" si="14"/>
        <v>1712879.9999999998</v>
      </c>
      <c r="F140" s="579">
        <f t="shared" si="14"/>
        <v>4506452.5634235786</v>
      </c>
      <c r="G140" s="579">
        <f t="shared" si="14"/>
        <v>7560751.7674459936</v>
      </c>
      <c r="H140" s="579">
        <f t="shared" si="14"/>
        <v>10880848.727021307</v>
      </c>
      <c r="I140" s="579">
        <f t="shared" si="14"/>
        <v>4932186.6115781767</v>
      </c>
      <c r="K140" s="545" t="s">
        <v>108</v>
      </c>
      <c r="L140" s="545">
        <f>L133*$C$145</f>
        <v>0</v>
      </c>
      <c r="M140" s="579">
        <f>M133*$C$145</f>
        <v>0</v>
      </c>
      <c r="N140" s="579">
        <f t="shared" ref="N140:BY140" si="15">N133*$C$145</f>
        <v>0</v>
      </c>
      <c r="O140" s="579">
        <f t="shared" si="15"/>
        <v>0</v>
      </c>
      <c r="P140" s="579">
        <f t="shared" si="15"/>
        <v>0</v>
      </c>
      <c r="Q140" s="579">
        <f t="shared" si="15"/>
        <v>0</v>
      </c>
      <c r="R140" s="579">
        <f t="shared" si="15"/>
        <v>0</v>
      </c>
      <c r="S140" s="579">
        <f t="shared" si="15"/>
        <v>0</v>
      </c>
      <c r="T140" s="579">
        <f t="shared" si="15"/>
        <v>0</v>
      </c>
      <c r="U140" s="579">
        <f t="shared" si="15"/>
        <v>0</v>
      </c>
      <c r="V140" s="579">
        <f t="shared" si="15"/>
        <v>0</v>
      </c>
      <c r="W140" s="579">
        <f t="shared" si="15"/>
        <v>0</v>
      </c>
      <c r="X140" s="579">
        <f t="shared" si="15"/>
        <v>0</v>
      </c>
      <c r="Y140" s="579">
        <f t="shared" si="15"/>
        <v>0</v>
      </c>
      <c r="Z140" s="579">
        <f t="shared" si="15"/>
        <v>67971.428571428551</v>
      </c>
      <c r="AA140" s="579">
        <f t="shared" si="15"/>
        <v>81565.714285714261</v>
      </c>
      <c r="AB140" s="579">
        <f t="shared" si="15"/>
        <v>95159.999999999985</v>
      </c>
      <c r="AC140" s="579">
        <f t="shared" si="15"/>
        <v>108754.28571428571</v>
      </c>
      <c r="AD140" s="579">
        <f t="shared" si="15"/>
        <v>122348.57142857142</v>
      </c>
      <c r="AE140" s="579">
        <f t="shared" si="15"/>
        <v>135942.8571428571</v>
      </c>
      <c r="AF140" s="579">
        <f t="shared" si="15"/>
        <v>149537.14285714284</v>
      </c>
      <c r="AG140" s="579">
        <f t="shared" si="15"/>
        <v>163131.42857142852</v>
      </c>
      <c r="AH140" s="579">
        <f t="shared" si="15"/>
        <v>176725.71428571429</v>
      </c>
      <c r="AI140" s="579">
        <f t="shared" si="15"/>
        <v>190319.99999999997</v>
      </c>
      <c r="AJ140" s="579">
        <f t="shared" si="15"/>
        <v>203914.28571428568</v>
      </c>
      <c r="AK140" s="579">
        <f t="shared" si="15"/>
        <v>217508.57142857142</v>
      </c>
      <c r="AL140" s="579">
        <f t="shared" si="15"/>
        <v>1712879.9999999998</v>
      </c>
      <c r="AM140" s="579">
        <f t="shared" si="15"/>
        <v>204756.97444525699</v>
      </c>
      <c r="AN140" s="579">
        <f t="shared" si="15"/>
        <v>219178.98231156619</v>
      </c>
      <c r="AO140" s="579">
        <f t="shared" si="15"/>
        <v>324025.75500794407</v>
      </c>
      <c r="AP140" s="579">
        <f t="shared" si="15"/>
        <v>338736.73324032058</v>
      </c>
      <c r="AQ140" s="579">
        <f t="shared" si="15"/>
        <v>353449.97712833807</v>
      </c>
      <c r="AR140" s="579">
        <f t="shared" si="15"/>
        <v>368165.4938446593</v>
      </c>
      <c r="AS140" s="579">
        <f t="shared" si="15"/>
        <v>382883.29058465402</v>
      </c>
      <c r="AT140" s="579">
        <f t="shared" si="15"/>
        <v>397603.37456647132</v>
      </c>
      <c r="AU140" s="579">
        <f t="shared" si="15"/>
        <v>412325.75303111202</v>
      </c>
      <c r="AV140" s="579">
        <f t="shared" si="15"/>
        <v>427050.43324250006</v>
      </c>
      <c r="AW140" s="579">
        <f t="shared" si="15"/>
        <v>531631.01497487037</v>
      </c>
      <c r="AX140" s="579">
        <f t="shared" si="15"/>
        <v>546644.78104588564</v>
      </c>
      <c r="AY140" s="579">
        <f t="shared" si="15"/>
        <v>4506452.5634235786</v>
      </c>
      <c r="AZ140" s="579">
        <f t="shared" si="15"/>
        <v>410230.58492944151</v>
      </c>
      <c r="BA140" s="579">
        <f t="shared" si="15"/>
        <v>425668.36772844114</v>
      </c>
      <c r="BB140" s="579">
        <f t="shared" si="15"/>
        <v>574498.5207759277</v>
      </c>
      <c r="BC140" s="579">
        <f t="shared" si="15"/>
        <v>590360.41013348242</v>
      </c>
      <c r="BD140" s="579">
        <f t="shared" si="15"/>
        <v>606226.87399249047</v>
      </c>
      <c r="BE140" s="579">
        <f t="shared" si="15"/>
        <v>622097.92657489236</v>
      </c>
      <c r="BF140" s="579">
        <f t="shared" si="15"/>
        <v>637973.58214685973</v>
      </c>
      <c r="BG140" s="579">
        <f t="shared" si="15"/>
        <v>653853.85501893191</v>
      </c>
      <c r="BH140" s="579">
        <f t="shared" si="15"/>
        <v>669738.75954615534</v>
      </c>
      <c r="BI140" s="579">
        <f t="shared" si="15"/>
        <v>685628.31012822117</v>
      </c>
      <c r="BJ140" s="579">
        <f t="shared" si="15"/>
        <v>834080.34517791052</v>
      </c>
      <c r="BK140" s="579">
        <f t="shared" si="15"/>
        <v>850394.23129323986</v>
      </c>
      <c r="BL140" s="579">
        <f t="shared" si="15"/>
        <v>7560751.7674459936</v>
      </c>
      <c r="BM140" s="579">
        <f t="shared" si="15"/>
        <v>599501.02031175292</v>
      </c>
      <c r="BN140" s="579">
        <f t="shared" si="15"/>
        <v>615879.918582735</v>
      </c>
      <c r="BO140" s="579">
        <f t="shared" si="15"/>
        <v>847003.43066620885</v>
      </c>
      <c r="BP140" s="579">
        <f t="shared" si="15"/>
        <v>864049.73495121661</v>
      </c>
      <c r="BQ140" s="579">
        <f t="shared" si="15"/>
        <v>881102.96202817606</v>
      </c>
      <c r="BR140" s="579">
        <f t="shared" si="15"/>
        <v>898163.13304891961</v>
      </c>
      <c r="BS140" s="579">
        <f t="shared" si="15"/>
        <v>915230.26922996296</v>
      </c>
      <c r="BT140" s="579">
        <f t="shared" si="15"/>
        <v>932304.39185270539</v>
      </c>
      <c r="BU140" s="579">
        <f t="shared" si="15"/>
        <v>949385.52226362797</v>
      </c>
      <c r="BV140" s="579">
        <f t="shared" si="15"/>
        <v>966473.68187449116</v>
      </c>
      <c r="BW140" s="579">
        <f t="shared" si="15"/>
        <v>1196999.3780377486</v>
      </c>
      <c r="BX140" s="579">
        <f t="shared" si="15"/>
        <v>1214755.2841737622</v>
      </c>
      <c r="BY140" s="579">
        <f t="shared" si="15"/>
        <v>10880848.727021307</v>
      </c>
      <c r="CA140" s="61"/>
    </row>
    <row r="141" spans="1:79">
      <c r="CA141" s="61"/>
    </row>
    <row r="142" spans="1:79">
      <c r="CA142" s="61"/>
    </row>
    <row r="143" spans="1:79">
      <c r="B143" s="541" t="s">
        <v>105</v>
      </c>
      <c r="C143" s="541"/>
      <c r="CA143" s="61"/>
    </row>
    <row r="144" spans="1:79">
      <c r="B144" s="571" t="s">
        <v>63</v>
      </c>
      <c r="C144" s="572">
        <f>C108</f>
        <v>0.6</v>
      </c>
      <c r="CA144" s="61"/>
    </row>
    <row r="145" spans="1:79">
      <c r="B145" s="573" t="s">
        <v>64</v>
      </c>
      <c r="C145" s="574">
        <f>C109</f>
        <v>0.4</v>
      </c>
      <c r="CA145" s="61"/>
    </row>
    <row r="146" spans="1:79">
      <c r="CA146" s="61"/>
    </row>
    <row r="147" spans="1:79" customFormat="1">
      <c r="A147" s="48"/>
      <c r="B147" s="642" t="s">
        <v>339</v>
      </c>
      <c r="C147" s="643"/>
      <c r="D147" s="643">
        <v>0</v>
      </c>
      <c r="E147" s="643">
        <v>0</v>
      </c>
      <c r="F147" s="643">
        <v>0</v>
      </c>
      <c r="G147" s="643">
        <v>0</v>
      </c>
      <c r="H147" s="643">
        <v>0</v>
      </c>
      <c r="I147" s="643">
        <v>0</v>
      </c>
      <c r="K147" s="642" t="s">
        <v>339</v>
      </c>
      <c r="L147" s="643"/>
      <c r="M147" s="643"/>
      <c r="N147" s="643"/>
      <c r="O147" s="643"/>
      <c r="P147" s="643"/>
      <c r="Q147" s="643"/>
      <c r="R147" s="643"/>
      <c r="S147" s="643"/>
      <c r="T147" s="643"/>
      <c r="U147" s="643"/>
      <c r="V147" s="643"/>
      <c r="W147" s="643"/>
      <c r="X147" s="643"/>
      <c r="Y147" s="643"/>
      <c r="Z147" s="643"/>
      <c r="AA147" s="643"/>
      <c r="AB147" s="643"/>
      <c r="AC147" s="643"/>
      <c r="AD147" s="643"/>
      <c r="AE147" s="643"/>
      <c r="AF147" s="643"/>
      <c r="AG147" s="643"/>
      <c r="AH147" s="643"/>
      <c r="AI147" s="643"/>
      <c r="AJ147" s="643"/>
      <c r="AK147" s="643"/>
      <c r="AL147" s="643"/>
      <c r="AM147" s="643"/>
      <c r="AN147" s="643"/>
      <c r="AO147" s="643"/>
      <c r="AP147" s="643"/>
      <c r="AQ147" s="643"/>
      <c r="AR147" s="643"/>
      <c r="AS147" s="643"/>
      <c r="AT147" s="643"/>
      <c r="AU147" s="643"/>
      <c r="AV147" s="643"/>
      <c r="AW147" s="643"/>
      <c r="AX147" s="643"/>
      <c r="AY147" s="643"/>
      <c r="AZ147" s="643"/>
      <c r="BA147" s="643"/>
      <c r="BB147" s="643"/>
      <c r="BC147" s="643"/>
      <c r="BD147" s="643"/>
      <c r="BE147" s="643"/>
      <c r="BF147" s="643"/>
      <c r="BG147" s="643"/>
      <c r="BH147" s="643"/>
      <c r="BI147" s="643"/>
      <c r="BJ147" s="643"/>
      <c r="BK147" s="643"/>
      <c r="BL147" s="643"/>
      <c r="BM147" s="643"/>
      <c r="BN147" s="643"/>
      <c r="BO147" s="643"/>
      <c r="BP147" s="643"/>
      <c r="BQ147" s="643"/>
      <c r="BR147" s="643"/>
      <c r="BS147" s="643"/>
      <c r="BT147" s="643"/>
      <c r="BU147" s="643"/>
      <c r="BV147" s="643"/>
      <c r="BW147" s="643"/>
      <c r="BX147" s="643"/>
      <c r="BY147" s="643"/>
      <c r="CA147" s="64"/>
    </row>
    <row r="148" spans="1:79" customFormat="1">
      <c r="A148" s="48"/>
      <c r="B148" s="542" t="s">
        <v>90</v>
      </c>
      <c r="C148" s="577"/>
      <c r="D148" s="577">
        <v>0</v>
      </c>
      <c r="E148" s="577">
        <v>65.934065934065941</v>
      </c>
      <c r="F148" s="577">
        <v>65.934065934065941</v>
      </c>
      <c r="G148" s="577">
        <v>65.934065934065956</v>
      </c>
      <c r="H148" s="577">
        <v>65.934065934065984</v>
      </c>
      <c r="I148" s="577">
        <v>52.747252747252766</v>
      </c>
      <c r="K148" s="542" t="s">
        <v>90</v>
      </c>
      <c r="L148" s="577"/>
      <c r="M148" s="577">
        <v>0</v>
      </c>
      <c r="N148" s="577">
        <v>0</v>
      </c>
      <c r="O148" s="577">
        <v>0</v>
      </c>
      <c r="P148" s="577">
        <v>0</v>
      </c>
      <c r="Q148" s="577">
        <v>0</v>
      </c>
      <c r="R148" s="577">
        <v>0</v>
      </c>
      <c r="S148" s="577">
        <v>0</v>
      </c>
      <c r="T148" s="577">
        <v>0</v>
      </c>
      <c r="U148" s="577">
        <v>0</v>
      </c>
      <c r="V148" s="577">
        <v>0</v>
      </c>
      <c r="W148" s="577">
        <v>0</v>
      </c>
      <c r="X148" s="577">
        <v>0</v>
      </c>
      <c r="Y148" s="577">
        <v>0</v>
      </c>
      <c r="Z148" s="577">
        <v>65.934065934065927</v>
      </c>
      <c r="AA148" s="577">
        <v>65.934065934065927</v>
      </c>
      <c r="AB148" s="577">
        <v>65.934065934065927</v>
      </c>
      <c r="AC148" s="577">
        <v>65.934065934065927</v>
      </c>
      <c r="AD148" s="577">
        <v>65.934065934065927</v>
      </c>
      <c r="AE148" s="577">
        <v>65.934065934065927</v>
      </c>
      <c r="AF148" s="577">
        <v>65.934065934065927</v>
      </c>
      <c r="AG148" s="577">
        <v>65.934065934065927</v>
      </c>
      <c r="AH148" s="577">
        <v>65.934065934065927</v>
      </c>
      <c r="AI148" s="577">
        <v>65.934065934065927</v>
      </c>
      <c r="AJ148" s="577">
        <v>65.934065934065927</v>
      </c>
      <c r="AK148" s="577">
        <v>65.934065934065927</v>
      </c>
      <c r="AL148" s="577">
        <v>65.934065934065941</v>
      </c>
      <c r="AM148" s="577">
        <v>65.934065934065927</v>
      </c>
      <c r="AN148" s="577">
        <v>65.934065934065927</v>
      </c>
      <c r="AO148" s="577">
        <v>65.934065934065927</v>
      </c>
      <c r="AP148" s="577">
        <v>65.934065934065927</v>
      </c>
      <c r="AQ148" s="577">
        <v>65.934065934065927</v>
      </c>
      <c r="AR148" s="577">
        <v>65.934065934065927</v>
      </c>
      <c r="AS148" s="577">
        <v>65.934065934065927</v>
      </c>
      <c r="AT148" s="577">
        <v>65.934065934065927</v>
      </c>
      <c r="AU148" s="577">
        <v>65.934065934065927</v>
      </c>
      <c r="AV148" s="577">
        <v>65.934065934065927</v>
      </c>
      <c r="AW148" s="577">
        <v>65.934065934065927</v>
      </c>
      <c r="AX148" s="577">
        <v>65.934065934065927</v>
      </c>
      <c r="AY148" s="577">
        <v>65.934065934065941</v>
      </c>
      <c r="AZ148" s="577">
        <v>65.934065934065927</v>
      </c>
      <c r="BA148" s="577">
        <v>65.934065934065927</v>
      </c>
      <c r="BB148" s="577">
        <v>65.934065934065927</v>
      </c>
      <c r="BC148" s="577">
        <v>65.934065934065927</v>
      </c>
      <c r="BD148" s="577">
        <v>65.934065934065927</v>
      </c>
      <c r="BE148" s="577">
        <v>65.934065934065927</v>
      </c>
      <c r="BF148" s="577">
        <v>65.934065934065984</v>
      </c>
      <c r="BG148" s="577">
        <v>65.934065934065984</v>
      </c>
      <c r="BH148" s="577">
        <v>65.934065934065984</v>
      </c>
      <c r="BI148" s="577">
        <v>65.934065934065984</v>
      </c>
      <c r="BJ148" s="577">
        <v>65.934065934065984</v>
      </c>
      <c r="BK148" s="577">
        <v>65.934065934065984</v>
      </c>
      <c r="BL148" s="577">
        <v>65.934065934065956</v>
      </c>
      <c r="BM148" s="577">
        <v>65.934065934065984</v>
      </c>
      <c r="BN148" s="577">
        <v>65.934065934065984</v>
      </c>
      <c r="BO148" s="577">
        <v>65.934065934065984</v>
      </c>
      <c r="BP148" s="577">
        <v>65.934065934065984</v>
      </c>
      <c r="BQ148" s="577">
        <v>65.934065934065984</v>
      </c>
      <c r="BR148" s="577">
        <v>65.934065934065984</v>
      </c>
      <c r="BS148" s="577">
        <v>65.934065934065984</v>
      </c>
      <c r="BT148" s="577">
        <v>65.934065934065984</v>
      </c>
      <c r="BU148" s="577">
        <v>65.934065934065984</v>
      </c>
      <c r="BV148" s="577">
        <v>65.934065934065984</v>
      </c>
      <c r="BW148" s="577">
        <v>65.934065934065984</v>
      </c>
      <c r="BX148" s="577">
        <v>65.934065934065984</v>
      </c>
      <c r="BY148" s="577">
        <v>65.934065934065984</v>
      </c>
      <c r="CA148" s="64"/>
    </row>
    <row r="149" spans="1:79" customFormat="1">
      <c r="A149" s="48"/>
      <c r="B149" s="542" t="s">
        <v>91</v>
      </c>
      <c r="C149" s="577"/>
      <c r="D149" s="577">
        <v>0</v>
      </c>
      <c r="E149" s="577">
        <v>65.934065934065941</v>
      </c>
      <c r="F149" s="577">
        <v>65.934065934065941</v>
      </c>
      <c r="G149" s="577">
        <v>65.934065934065956</v>
      </c>
      <c r="H149" s="577">
        <v>65.934065934065984</v>
      </c>
      <c r="I149" s="577">
        <v>52.747252747252766</v>
      </c>
      <c r="K149" s="542" t="s">
        <v>91</v>
      </c>
      <c r="L149" s="577"/>
      <c r="M149" s="577">
        <v>0</v>
      </c>
      <c r="N149" s="577">
        <v>0</v>
      </c>
      <c r="O149" s="577">
        <v>0</v>
      </c>
      <c r="P149" s="577">
        <v>0</v>
      </c>
      <c r="Q149" s="577">
        <v>0</v>
      </c>
      <c r="R149" s="577">
        <v>0</v>
      </c>
      <c r="S149" s="577">
        <v>0</v>
      </c>
      <c r="T149" s="577">
        <v>0</v>
      </c>
      <c r="U149" s="577">
        <v>0</v>
      </c>
      <c r="V149" s="577">
        <v>0</v>
      </c>
      <c r="W149" s="577">
        <v>0</v>
      </c>
      <c r="X149" s="577">
        <v>0</v>
      </c>
      <c r="Y149" s="577">
        <v>0</v>
      </c>
      <c r="Z149" s="577">
        <v>65.934065934065927</v>
      </c>
      <c r="AA149" s="577">
        <v>65.934065934065927</v>
      </c>
      <c r="AB149" s="577">
        <v>65.934065934065927</v>
      </c>
      <c r="AC149" s="577">
        <v>65.934065934065927</v>
      </c>
      <c r="AD149" s="577">
        <v>65.934065934065927</v>
      </c>
      <c r="AE149" s="577">
        <v>65.934065934065927</v>
      </c>
      <c r="AF149" s="577">
        <v>65.934065934065927</v>
      </c>
      <c r="AG149" s="577">
        <v>65.934065934065927</v>
      </c>
      <c r="AH149" s="577">
        <v>65.934065934065927</v>
      </c>
      <c r="AI149" s="577">
        <v>65.934065934065927</v>
      </c>
      <c r="AJ149" s="577">
        <v>65.934065934065927</v>
      </c>
      <c r="AK149" s="577">
        <v>65.934065934065927</v>
      </c>
      <c r="AL149" s="577">
        <v>65.934065934065941</v>
      </c>
      <c r="AM149" s="577">
        <v>65.934065934065927</v>
      </c>
      <c r="AN149" s="577">
        <v>65.934065934065927</v>
      </c>
      <c r="AO149" s="577">
        <v>65.934065934065927</v>
      </c>
      <c r="AP149" s="577">
        <v>65.934065934065927</v>
      </c>
      <c r="AQ149" s="577">
        <v>65.934065934065927</v>
      </c>
      <c r="AR149" s="577">
        <v>65.934065934065927</v>
      </c>
      <c r="AS149" s="577">
        <v>65.934065934065927</v>
      </c>
      <c r="AT149" s="577">
        <v>65.934065934065927</v>
      </c>
      <c r="AU149" s="577">
        <v>65.934065934065927</v>
      </c>
      <c r="AV149" s="577">
        <v>65.934065934065927</v>
      </c>
      <c r="AW149" s="577">
        <v>65.934065934065927</v>
      </c>
      <c r="AX149" s="577">
        <v>65.934065934065927</v>
      </c>
      <c r="AY149" s="577">
        <v>65.934065934065941</v>
      </c>
      <c r="AZ149" s="577">
        <v>65.934065934065927</v>
      </c>
      <c r="BA149" s="577">
        <v>65.934065934065927</v>
      </c>
      <c r="BB149" s="577">
        <v>65.934065934065927</v>
      </c>
      <c r="BC149" s="577">
        <v>65.934065934065927</v>
      </c>
      <c r="BD149" s="577">
        <v>65.934065934065927</v>
      </c>
      <c r="BE149" s="577">
        <v>65.934065934065927</v>
      </c>
      <c r="BF149" s="577">
        <v>65.934065934065984</v>
      </c>
      <c r="BG149" s="577">
        <v>65.934065934065984</v>
      </c>
      <c r="BH149" s="577">
        <v>65.934065934065984</v>
      </c>
      <c r="BI149" s="577">
        <v>65.934065934065984</v>
      </c>
      <c r="BJ149" s="577">
        <v>65.934065934065984</v>
      </c>
      <c r="BK149" s="577">
        <v>65.934065934065984</v>
      </c>
      <c r="BL149" s="577">
        <v>65.934065934065956</v>
      </c>
      <c r="BM149" s="577">
        <v>65.934065934065984</v>
      </c>
      <c r="BN149" s="577">
        <v>65.934065934065984</v>
      </c>
      <c r="BO149" s="577">
        <v>65.934065934065984</v>
      </c>
      <c r="BP149" s="577">
        <v>65.934065934065984</v>
      </c>
      <c r="BQ149" s="577">
        <v>65.934065934065984</v>
      </c>
      <c r="BR149" s="577">
        <v>65.934065934065984</v>
      </c>
      <c r="BS149" s="577">
        <v>65.934065934065984</v>
      </c>
      <c r="BT149" s="577">
        <v>65.934065934065984</v>
      </c>
      <c r="BU149" s="577">
        <v>65.934065934065984</v>
      </c>
      <c r="BV149" s="577">
        <v>65.934065934065984</v>
      </c>
      <c r="BW149" s="577">
        <v>65.934065934065984</v>
      </c>
      <c r="BX149" s="577">
        <v>65.934065934065984</v>
      </c>
      <c r="BY149" s="577">
        <v>65.934065934065984</v>
      </c>
      <c r="CA149" s="64"/>
    </row>
    <row r="150" spans="1:79" customFormat="1">
      <c r="A150" s="48"/>
      <c r="B150" s="542" t="s">
        <v>92</v>
      </c>
      <c r="C150" s="577"/>
      <c r="D150" s="577">
        <v>0</v>
      </c>
      <c r="E150" s="577">
        <v>65.934065934065941</v>
      </c>
      <c r="F150" s="577">
        <v>65.934065934065941</v>
      </c>
      <c r="G150" s="577">
        <v>65.934065934065956</v>
      </c>
      <c r="H150" s="577">
        <v>65.934065934065984</v>
      </c>
      <c r="I150" s="577">
        <v>52.747252747252766</v>
      </c>
      <c r="K150" s="542" t="s">
        <v>92</v>
      </c>
      <c r="L150" s="577"/>
      <c r="M150" s="577">
        <v>0</v>
      </c>
      <c r="N150" s="577">
        <v>0</v>
      </c>
      <c r="O150" s="577">
        <v>0</v>
      </c>
      <c r="P150" s="577">
        <v>0</v>
      </c>
      <c r="Q150" s="577">
        <v>0</v>
      </c>
      <c r="R150" s="577">
        <v>0</v>
      </c>
      <c r="S150" s="577">
        <v>0</v>
      </c>
      <c r="T150" s="577">
        <v>0</v>
      </c>
      <c r="U150" s="577">
        <v>0</v>
      </c>
      <c r="V150" s="577">
        <v>0</v>
      </c>
      <c r="W150" s="577">
        <v>0</v>
      </c>
      <c r="X150" s="577">
        <v>0</v>
      </c>
      <c r="Y150" s="577">
        <v>0</v>
      </c>
      <c r="Z150" s="577">
        <v>65.934065934065927</v>
      </c>
      <c r="AA150" s="577">
        <v>65.934065934065927</v>
      </c>
      <c r="AB150" s="577">
        <v>65.934065934065927</v>
      </c>
      <c r="AC150" s="577">
        <v>65.934065934065927</v>
      </c>
      <c r="AD150" s="577">
        <v>65.934065934065927</v>
      </c>
      <c r="AE150" s="577">
        <v>65.934065934065927</v>
      </c>
      <c r="AF150" s="577">
        <v>65.934065934065927</v>
      </c>
      <c r="AG150" s="577">
        <v>65.934065934065927</v>
      </c>
      <c r="AH150" s="577">
        <v>65.934065934065927</v>
      </c>
      <c r="AI150" s="577">
        <v>65.934065934065927</v>
      </c>
      <c r="AJ150" s="577">
        <v>65.934065934065927</v>
      </c>
      <c r="AK150" s="577">
        <v>65.934065934065927</v>
      </c>
      <c r="AL150" s="577">
        <v>65.934065934065941</v>
      </c>
      <c r="AM150" s="577">
        <v>65.934065934065927</v>
      </c>
      <c r="AN150" s="577">
        <v>65.934065934065927</v>
      </c>
      <c r="AO150" s="577">
        <v>65.934065934065927</v>
      </c>
      <c r="AP150" s="577">
        <v>65.934065934065927</v>
      </c>
      <c r="AQ150" s="577">
        <v>65.934065934065927</v>
      </c>
      <c r="AR150" s="577">
        <v>65.934065934065927</v>
      </c>
      <c r="AS150" s="577">
        <v>65.934065934065927</v>
      </c>
      <c r="AT150" s="577">
        <v>65.934065934065927</v>
      </c>
      <c r="AU150" s="577">
        <v>65.934065934065927</v>
      </c>
      <c r="AV150" s="577">
        <v>65.934065934065927</v>
      </c>
      <c r="AW150" s="577">
        <v>65.934065934065927</v>
      </c>
      <c r="AX150" s="577">
        <v>65.934065934065927</v>
      </c>
      <c r="AY150" s="577">
        <v>65.934065934065941</v>
      </c>
      <c r="AZ150" s="577">
        <v>65.934065934065927</v>
      </c>
      <c r="BA150" s="577">
        <v>65.934065934065927</v>
      </c>
      <c r="BB150" s="577">
        <v>65.934065934065927</v>
      </c>
      <c r="BC150" s="577">
        <v>65.934065934065927</v>
      </c>
      <c r="BD150" s="577">
        <v>65.934065934065927</v>
      </c>
      <c r="BE150" s="577">
        <v>65.934065934065927</v>
      </c>
      <c r="BF150" s="577">
        <v>65.934065934065984</v>
      </c>
      <c r="BG150" s="577">
        <v>65.934065934065984</v>
      </c>
      <c r="BH150" s="577">
        <v>65.934065934065984</v>
      </c>
      <c r="BI150" s="577">
        <v>65.934065934065984</v>
      </c>
      <c r="BJ150" s="577">
        <v>65.934065934065984</v>
      </c>
      <c r="BK150" s="577">
        <v>65.934065934065984</v>
      </c>
      <c r="BL150" s="577">
        <v>65.934065934065956</v>
      </c>
      <c r="BM150" s="577">
        <v>65.934065934065984</v>
      </c>
      <c r="BN150" s="577">
        <v>65.934065934065984</v>
      </c>
      <c r="BO150" s="577">
        <v>65.934065934065984</v>
      </c>
      <c r="BP150" s="577">
        <v>65.934065934065984</v>
      </c>
      <c r="BQ150" s="577">
        <v>65.934065934065984</v>
      </c>
      <c r="BR150" s="577">
        <v>65.934065934065984</v>
      </c>
      <c r="BS150" s="577">
        <v>65.934065934065984</v>
      </c>
      <c r="BT150" s="577">
        <v>65.934065934065984</v>
      </c>
      <c r="BU150" s="577">
        <v>65.934065934065984</v>
      </c>
      <c r="BV150" s="577">
        <v>65.934065934065984</v>
      </c>
      <c r="BW150" s="577">
        <v>65.934065934065984</v>
      </c>
      <c r="BX150" s="577">
        <v>65.934065934065984</v>
      </c>
      <c r="BY150" s="577">
        <v>65.934065934065984</v>
      </c>
      <c r="CA150" s="64"/>
    </row>
    <row r="151" spans="1:79" customFormat="1">
      <c r="A151" s="48"/>
      <c r="B151" s="542" t="s">
        <v>93</v>
      </c>
      <c r="C151" s="577"/>
      <c r="D151" s="577">
        <v>0</v>
      </c>
      <c r="E151" s="577">
        <v>65.934065934065941</v>
      </c>
      <c r="F151" s="577">
        <v>65.934065934065941</v>
      </c>
      <c r="G151" s="577">
        <v>65.934065934065956</v>
      </c>
      <c r="H151" s="577">
        <v>65.934065934065984</v>
      </c>
      <c r="I151" s="577">
        <v>52.747252747252766</v>
      </c>
      <c r="K151" s="542" t="s">
        <v>93</v>
      </c>
      <c r="L151" s="577"/>
      <c r="M151" s="577">
        <v>0</v>
      </c>
      <c r="N151" s="577">
        <v>0</v>
      </c>
      <c r="O151" s="577">
        <v>0</v>
      </c>
      <c r="P151" s="577">
        <v>0</v>
      </c>
      <c r="Q151" s="577">
        <v>0</v>
      </c>
      <c r="R151" s="577">
        <v>0</v>
      </c>
      <c r="S151" s="577">
        <v>0</v>
      </c>
      <c r="T151" s="577">
        <v>0</v>
      </c>
      <c r="U151" s="577">
        <v>0</v>
      </c>
      <c r="V151" s="577">
        <v>0</v>
      </c>
      <c r="W151" s="577">
        <v>0</v>
      </c>
      <c r="X151" s="577">
        <v>0</v>
      </c>
      <c r="Y151" s="577">
        <v>0</v>
      </c>
      <c r="Z151" s="577">
        <v>65.934065934065927</v>
      </c>
      <c r="AA151" s="577">
        <v>65.934065934065927</v>
      </c>
      <c r="AB151" s="577">
        <v>65.934065934065927</v>
      </c>
      <c r="AC151" s="577">
        <v>65.934065934065927</v>
      </c>
      <c r="AD151" s="577">
        <v>65.934065934065927</v>
      </c>
      <c r="AE151" s="577">
        <v>65.934065934065927</v>
      </c>
      <c r="AF151" s="577">
        <v>65.934065934065927</v>
      </c>
      <c r="AG151" s="577">
        <v>65.934065934065927</v>
      </c>
      <c r="AH151" s="577">
        <v>65.934065934065927</v>
      </c>
      <c r="AI151" s="577">
        <v>65.934065934065927</v>
      </c>
      <c r="AJ151" s="577">
        <v>65.934065934065927</v>
      </c>
      <c r="AK151" s="577">
        <v>65.934065934065927</v>
      </c>
      <c r="AL151" s="577">
        <v>65.934065934065941</v>
      </c>
      <c r="AM151" s="577">
        <v>65.934065934065927</v>
      </c>
      <c r="AN151" s="577">
        <v>65.934065934065927</v>
      </c>
      <c r="AO151" s="577">
        <v>65.934065934065927</v>
      </c>
      <c r="AP151" s="577">
        <v>65.934065934065927</v>
      </c>
      <c r="AQ151" s="577">
        <v>65.934065934065927</v>
      </c>
      <c r="AR151" s="577">
        <v>65.934065934065927</v>
      </c>
      <c r="AS151" s="577">
        <v>65.934065934065927</v>
      </c>
      <c r="AT151" s="577">
        <v>65.934065934065927</v>
      </c>
      <c r="AU151" s="577">
        <v>65.934065934065927</v>
      </c>
      <c r="AV151" s="577">
        <v>65.934065934065927</v>
      </c>
      <c r="AW151" s="577">
        <v>65.934065934065927</v>
      </c>
      <c r="AX151" s="577">
        <v>65.934065934065927</v>
      </c>
      <c r="AY151" s="577">
        <v>65.934065934065941</v>
      </c>
      <c r="AZ151" s="577">
        <v>65.934065934065927</v>
      </c>
      <c r="BA151" s="577">
        <v>65.934065934065927</v>
      </c>
      <c r="BB151" s="577">
        <v>65.934065934065927</v>
      </c>
      <c r="BC151" s="577">
        <v>65.934065934065927</v>
      </c>
      <c r="BD151" s="577">
        <v>65.934065934065927</v>
      </c>
      <c r="BE151" s="577">
        <v>65.934065934065927</v>
      </c>
      <c r="BF151" s="577">
        <v>65.934065934065984</v>
      </c>
      <c r="BG151" s="577">
        <v>65.934065934065984</v>
      </c>
      <c r="BH151" s="577">
        <v>65.934065934065984</v>
      </c>
      <c r="BI151" s="577">
        <v>65.934065934065984</v>
      </c>
      <c r="BJ151" s="577">
        <v>65.934065934065984</v>
      </c>
      <c r="BK151" s="577">
        <v>65.934065934065984</v>
      </c>
      <c r="BL151" s="577">
        <v>65.934065934065956</v>
      </c>
      <c r="BM151" s="577">
        <v>65.934065934065984</v>
      </c>
      <c r="BN151" s="577">
        <v>65.934065934065984</v>
      </c>
      <c r="BO151" s="577">
        <v>65.934065934065984</v>
      </c>
      <c r="BP151" s="577">
        <v>65.934065934065984</v>
      </c>
      <c r="BQ151" s="577">
        <v>65.934065934065984</v>
      </c>
      <c r="BR151" s="577">
        <v>65.934065934065984</v>
      </c>
      <c r="BS151" s="577">
        <v>65.934065934065984</v>
      </c>
      <c r="BT151" s="577">
        <v>65.934065934065984</v>
      </c>
      <c r="BU151" s="577">
        <v>65.934065934065984</v>
      </c>
      <c r="BV151" s="577">
        <v>65.934065934065984</v>
      </c>
      <c r="BW151" s="577">
        <v>65.934065934065984</v>
      </c>
      <c r="BX151" s="577">
        <v>65.934065934065984</v>
      </c>
      <c r="BY151" s="577">
        <v>65.934065934065984</v>
      </c>
      <c r="CA151" s="64"/>
    </row>
    <row r="152" spans="1:79" customFormat="1">
      <c r="A152" s="48"/>
      <c r="B152" s="575" t="s">
        <v>343</v>
      </c>
      <c r="C152" s="576"/>
      <c r="D152" s="576">
        <v>0</v>
      </c>
      <c r="E152" s="576">
        <v>169928.57142857133</v>
      </c>
      <c r="F152" s="576">
        <v>174941.46428571429</v>
      </c>
      <c r="G152" s="576">
        <v>179874.81357857145</v>
      </c>
      <c r="H152" s="576">
        <v>184731.43354519297</v>
      </c>
      <c r="I152" s="576">
        <v>141895.25656761002</v>
      </c>
      <c r="J152" s="153"/>
      <c r="K152" s="575" t="s">
        <v>343</v>
      </c>
      <c r="L152" s="576"/>
      <c r="M152" s="576"/>
      <c r="N152" s="576"/>
      <c r="O152" s="576"/>
      <c r="P152" s="576"/>
      <c r="Q152" s="576"/>
      <c r="R152" s="576"/>
      <c r="S152" s="576"/>
      <c r="T152" s="576"/>
      <c r="U152" s="576"/>
      <c r="V152" s="576"/>
      <c r="W152" s="576"/>
      <c r="X152" s="576"/>
      <c r="Y152" s="576">
        <v>0</v>
      </c>
      <c r="Z152" s="576">
        <v>169928.57142857136</v>
      </c>
      <c r="AA152" s="576">
        <v>169928.57142857136</v>
      </c>
      <c r="AB152" s="576">
        <v>169928.57142857136</v>
      </c>
      <c r="AC152" s="576">
        <v>169928.57142857136</v>
      </c>
      <c r="AD152" s="576">
        <v>169928.57142857136</v>
      </c>
      <c r="AE152" s="576">
        <v>169928.57142857136</v>
      </c>
      <c r="AF152" s="576">
        <v>169928.57142857136</v>
      </c>
      <c r="AG152" s="576">
        <v>169928.57142857136</v>
      </c>
      <c r="AH152" s="576">
        <v>169928.57142857136</v>
      </c>
      <c r="AI152" s="576">
        <v>169928.57142857136</v>
      </c>
      <c r="AJ152" s="576">
        <v>169928.57142857136</v>
      </c>
      <c r="AK152" s="576">
        <v>169928.57142857136</v>
      </c>
      <c r="AL152" s="576">
        <v>169928.57142857133</v>
      </c>
      <c r="AM152" s="576">
        <v>174941.46428571426</v>
      </c>
      <c r="AN152" s="576">
        <v>174941.46428571426</v>
      </c>
      <c r="AO152" s="576">
        <v>174941.46428571426</v>
      </c>
      <c r="AP152" s="576">
        <v>174941.46428571426</v>
      </c>
      <c r="AQ152" s="576">
        <v>174941.46428571426</v>
      </c>
      <c r="AR152" s="576">
        <v>174941.46428571426</v>
      </c>
      <c r="AS152" s="576">
        <v>174941.46428571426</v>
      </c>
      <c r="AT152" s="576">
        <v>174941.46428571426</v>
      </c>
      <c r="AU152" s="576">
        <v>174941.46428571426</v>
      </c>
      <c r="AV152" s="576">
        <v>174941.46428571426</v>
      </c>
      <c r="AW152" s="576">
        <v>174941.46428571426</v>
      </c>
      <c r="AX152" s="576">
        <v>174941.46428571426</v>
      </c>
      <c r="AY152" s="576">
        <v>174941.46428571429</v>
      </c>
      <c r="AZ152" s="576">
        <v>179874.81357857143</v>
      </c>
      <c r="BA152" s="576">
        <v>179874.81357857143</v>
      </c>
      <c r="BB152" s="576">
        <v>179874.81357857143</v>
      </c>
      <c r="BC152" s="576">
        <v>179874.81357857143</v>
      </c>
      <c r="BD152" s="576">
        <v>179874.81357857143</v>
      </c>
      <c r="BE152" s="576">
        <v>179874.81357857143</v>
      </c>
      <c r="BF152" s="576">
        <v>179874.81357857154</v>
      </c>
      <c r="BG152" s="576">
        <v>179874.81357857154</v>
      </c>
      <c r="BH152" s="576">
        <v>179874.81357857154</v>
      </c>
      <c r="BI152" s="576">
        <v>179874.81357857154</v>
      </c>
      <c r="BJ152" s="576">
        <v>179874.81357857154</v>
      </c>
      <c r="BK152" s="576">
        <v>179874.81357857154</v>
      </c>
      <c r="BL152" s="576">
        <v>179874.81357857145</v>
      </c>
      <c r="BM152" s="576">
        <v>184731.43354519297</v>
      </c>
      <c r="BN152" s="576">
        <v>184731.43354519297</v>
      </c>
      <c r="BO152" s="576">
        <v>184731.43354519297</v>
      </c>
      <c r="BP152" s="576">
        <v>184731.43354519297</v>
      </c>
      <c r="BQ152" s="576">
        <v>184731.43354519297</v>
      </c>
      <c r="BR152" s="576">
        <v>184731.43354519297</v>
      </c>
      <c r="BS152" s="576">
        <v>184731.43354519297</v>
      </c>
      <c r="BT152" s="576">
        <v>184731.43354519297</v>
      </c>
      <c r="BU152" s="576">
        <v>184731.43354519297</v>
      </c>
      <c r="BV152" s="576">
        <v>184731.43354519297</v>
      </c>
      <c r="BW152" s="576">
        <v>184731.43354519297</v>
      </c>
      <c r="BX152" s="576">
        <v>184731.43354519297</v>
      </c>
      <c r="BY152" s="576">
        <v>184731.43354519297</v>
      </c>
      <c r="CA152" s="64"/>
    </row>
    <row r="153" spans="1:79" customFormat="1">
      <c r="A153" s="48"/>
      <c r="B153" s="542" t="s">
        <v>90</v>
      </c>
      <c r="C153" s="577"/>
      <c r="D153" s="577">
        <v>0</v>
      </c>
      <c r="E153" s="577">
        <v>67971.428571428536</v>
      </c>
      <c r="F153" s="577">
        <v>69976.585714285713</v>
      </c>
      <c r="G153" s="577">
        <v>71949.925431428579</v>
      </c>
      <c r="H153" s="577">
        <v>73892.573418077183</v>
      </c>
      <c r="I153" s="577">
        <v>56758.102627044005</v>
      </c>
      <c r="K153" s="542" t="s">
        <v>90</v>
      </c>
      <c r="L153" s="577"/>
      <c r="M153" s="577">
        <v>0</v>
      </c>
      <c r="N153" s="577">
        <v>0</v>
      </c>
      <c r="O153" s="577">
        <v>0</v>
      </c>
      <c r="P153" s="577">
        <v>0</v>
      </c>
      <c r="Q153" s="577">
        <v>0</v>
      </c>
      <c r="R153" s="577">
        <v>0</v>
      </c>
      <c r="S153" s="577">
        <v>0</v>
      </c>
      <c r="T153" s="577">
        <v>0</v>
      </c>
      <c r="U153" s="577">
        <v>0</v>
      </c>
      <c r="V153" s="577">
        <v>0</v>
      </c>
      <c r="W153" s="577">
        <v>0</v>
      </c>
      <c r="X153" s="577">
        <v>0</v>
      </c>
      <c r="Y153" s="577">
        <v>0</v>
      </c>
      <c r="Z153" s="577">
        <v>67971.428571428551</v>
      </c>
      <c r="AA153" s="577">
        <v>67971.428571428551</v>
      </c>
      <c r="AB153" s="577">
        <v>67971.428571428551</v>
      </c>
      <c r="AC153" s="577">
        <v>67971.428571428551</v>
      </c>
      <c r="AD153" s="577">
        <v>67971.428571428551</v>
      </c>
      <c r="AE153" s="577">
        <v>67971.428571428551</v>
      </c>
      <c r="AF153" s="577">
        <v>67971.428571428551</v>
      </c>
      <c r="AG153" s="577">
        <v>67971.428571428551</v>
      </c>
      <c r="AH153" s="577">
        <v>67971.428571428551</v>
      </c>
      <c r="AI153" s="577">
        <v>67971.428571428551</v>
      </c>
      <c r="AJ153" s="577">
        <v>67971.428571428551</v>
      </c>
      <c r="AK153" s="577">
        <v>67971.428571428551</v>
      </c>
      <c r="AL153" s="577">
        <v>67971.428571428536</v>
      </c>
      <c r="AM153" s="577">
        <v>69976.585714285698</v>
      </c>
      <c r="AN153" s="577">
        <v>69976.585714285698</v>
      </c>
      <c r="AO153" s="577">
        <v>69976.585714285698</v>
      </c>
      <c r="AP153" s="577">
        <v>69976.585714285698</v>
      </c>
      <c r="AQ153" s="577">
        <v>69976.585714285698</v>
      </c>
      <c r="AR153" s="577">
        <v>69976.585714285698</v>
      </c>
      <c r="AS153" s="577">
        <v>69976.585714285698</v>
      </c>
      <c r="AT153" s="577">
        <v>69976.585714285698</v>
      </c>
      <c r="AU153" s="577">
        <v>69976.585714285698</v>
      </c>
      <c r="AV153" s="577">
        <v>69976.585714285698</v>
      </c>
      <c r="AW153" s="577">
        <v>69976.585714285698</v>
      </c>
      <c r="AX153" s="577">
        <v>69976.585714285698</v>
      </c>
      <c r="AY153" s="577">
        <v>69976.585714285713</v>
      </c>
      <c r="AZ153" s="577">
        <v>71949.925431428564</v>
      </c>
      <c r="BA153" s="577">
        <v>71949.925431428564</v>
      </c>
      <c r="BB153" s="577">
        <v>71949.925431428564</v>
      </c>
      <c r="BC153" s="577">
        <v>71949.925431428564</v>
      </c>
      <c r="BD153" s="577">
        <v>71949.925431428564</v>
      </c>
      <c r="BE153" s="577">
        <v>71949.925431428564</v>
      </c>
      <c r="BF153" s="577">
        <v>71949.925431428623</v>
      </c>
      <c r="BG153" s="577">
        <v>71949.925431428623</v>
      </c>
      <c r="BH153" s="577">
        <v>71949.925431428623</v>
      </c>
      <c r="BI153" s="577">
        <v>71949.925431428623</v>
      </c>
      <c r="BJ153" s="577">
        <v>71949.925431428623</v>
      </c>
      <c r="BK153" s="577">
        <v>71949.925431428623</v>
      </c>
      <c r="BL153" s="577">
        <v>71949.925431428579</v>
      </c>
      <c r="BM153" s="577">
        <v>73892.573418077183</v>
      </c>
      <c r="BN153" s="577">
        <v>73892.573418077183</v>
      </c>
      <c r="BO153" s="577">
        <v>73892.573418077183</v>
      </c>
      <c r="BP153" s="577">
        <v>73892.573418077183</v>
      </c>
      <c r="BQ153" s="577">
        <v>73892.573418077183</v>
      </c>
      <c r="BR153" s="577">
        <v>73892.573418077183</v>
      </c>
      <c r="BS153" s="577">
        <v>73892.573418077183</v>
      </c>
      <c r="BT153" s="577">
        <v>73892.573418077183</v>
      </c>
      <c r="BU153" s="577">
        <v>73892.573418077183</v>
      </c>
      <c r="BV153" s="577">
        <v>73892.573418077183</v>
      </c>
      <c r="BW153" s="577">
        <v>73892.573418077183</v>
      </c>
      <c r="BX153" s="577">
        <v>73892.573418077183</v>
      </c>
      <c r="BY153" s="577">
        <v>73892.573418077183</v>
      </c>
      <c r="CA153" s="64"/>
    </row>
    <row r="154" spans="1:79" customFormat="1">
      <c r="A154" s="48"/>
      <c r="B154" s="542" t="s">
        <v>91</v>
      </c>
      <c r="C154" s="577"/>
      <c r="D154" s="577">
        <v>0</v>
      </c>
      <c r="E154" s="577">
        <v>33985.714285714268</v>
      </c>
      <c r="F154" s="577">
        <v>34988.292857142857</v>
      </c>
      <c r="G154" s="577">
        <v>35974.96271571429</v>
      </c>
      <c r="H154" s="577">
        <v>36946.286709038592</v>
      </c>
      <c r="I154" s="577">
        <v>28379.051313522003</v>
      </c>
      <c r="K154" s="542" t="s">
        <v>91</v>
      </c>
      <c r="L154" s="577"/>
      <c r="M154" s="577">
        <v>0</v>
      </c>
      <c r="N154" s="577">
        <v>0</v>
      </c>
      <c r="O154" s="577">
        <v>0</v>
      </c>
      <c r="P154" s="577">
        <v>0</v>
      </c>
      <c r="Q154" s="577">
        <v>0</v>
      </c>
      <c r="R154" s="577">
        <v>0</v>
      </c>
      <c r="S154" s="577">
        <v>0</v>
      </c>
      <c r="T154" s="577">
        <v>0</v>
      </c>
      <c r="U154" s="577">
        <v>0</v>
      </c>
      <c r="V154" s="577">
        <v>0</v>
      </c>
      <c r="W154" s="577">
        <v>0</v>
      </c>
      <c r="X154" s="577">
        <v>0</v>
      </c>
      <c r="Y154" s="577">
        <v>0</v>
      </c>
      <c r="Z154" s="577">
        <v>33985.714285714275</v>
      </c>
      <c r="AA154" s="577">
        <v>33985.714285714275</v>
      </c>
      <c r="AB154" s="577">
        <v>33985.714285714275</v>
      </c>
      <c r="AC154" s="577">
        <v>33985.714285714275</v>
      </c>
      <c r="AD154" s="577">
        <v>33985.714285714275</v>
      </c>
      <c r="AE154" s="577">
        <v>33985.714285714275</v>
      </c>
      <c r="AF154" s="577">
        <v>33985.714285714275</v>
      </c>
      <c r="AG154" s="577">
        <v>33985.714285714275</v>
      </c>
      <c r="AH154" s="577">
        <v>33985.714285714275</v>
      </c>
      <c r="AI154" s="577">
        <v>33985.714285714275</v>
      </c>
      <c r="AJ154" s="577">
        <v>33985.714285714275</v>
      </c>
      <c r="AK154" s="577">
        <v>33985.714285714275</v>
      </c>
      <c r="AL154" s="577">
        <v>33985.714285714268</v>
      </c>
      <c r="AM154" s="577">
        <v>34988.292857142849</v>
      </c>
      <c r="AN154" s="577">
        <v>34988.292857142849</v>
      </c>
      <c r="AO154" s="577">
        <v>34988.292857142849</v>
      </c>
      <c r="AP154" s="577">
        <v>34988.292857142849</v>
      </c>
      <c r="AQ154" s="577">
        <v>34988.292857142849</v>
      </c>
      <c r="AR154" s="577">
        <v>34988.292857142849</v>
      </c>
      <c r="AS154" s="577">
        <v>34988.292857142849</v>
      </c>
      <c r="AT154" s="577">
        <v>34988.292857142849</v>
      </c>
      <c r="AU154" s="577">
        <v>34988.292857142849</v>
      </c>
      <c r="AV154" s="577">
        <v>34988.292857142849</v>
      </c>
      <c r="AW154" s="577">
        <v>34988.292857142849</v>
      </c>
      <c r="AX154" s="577">
        <v>34988.292857142849</v>
      </c>
      <c r="AY154" s="577">
        <v>34988.292857142857</v>
      </c>
      <c r="AZ154" s="577">
        <v>35974.962715714282</v>
      </c>
      <c r="BA154" s="577">
        <v>35974.962715714282</v>
      </c>
      <c r="BB154" s="577">
        <v>35974.962715714282</v>
      </c>
      <c r="BC154" s="577">
        <v>35974.962715714282</v>
      </c>
      <c r="BD154" s="577">
        <v>35974.962715714282</v>
      </c>
      <c r="BE154" s="577">
        <v>35974.962715714282</v>
      </c>
      <c r="BF154" s="577">
        <v>35974.962715714311</v>
      </c>
      <c r="BG154" s="577">
        <v>35974.962715714311</v>
      </c>
      <c r="BH154" s="577">
        <v>35974.962715714311</v>
      </c>
      <c r="BI154" s="577">
        <v>35974.962715714311</v>
      </c>
      <c r="BJ154" s="577">
        <v>35974.962715714311</v>
      </c>
      <c r="BK154" s="577">
        <v>35974.962715714311</v>
      </c>
      <c r="BL154" s="577">
        <v>35974.96271571429</v>
      </c>
      <c r="BM154" s="577">
        <v>36946.286709038592</v>
      </c>
      <c r="BN154" s="577">
        <v>36946.286709038592</v>
      </c>
      <c r="BO154" s="577">
        <v>36946.286709038592</v>
      </c>
      <c r="BP154" s="577">
        <v>36946.286709038592</v>
      </c>
      <c r="BQ154" s="577">
        <v>36946.286709038592</v>
      </c>
      <c r="BR154" s="577">
        <v>36946.286709038592</v>
      </c>
      <c r="BS154" s="577">
        <v>36946.286709038592</v>
      </c>
      <c r="BT154" s="577">
        <v>36946.286709038592</v>
      </c>
      <c r="BU154" s="577">
        <v>36946.286709038592</v>
      </c>
      <c r="BV154" s="577">
        <v>36946.286709038592</v>
      </c>
      <c r="BW154" s="577">
        <v>36946.286709038592</v>
      </c>
      <c r="BX154" s="577">
        <v>36946.286709038592</v>
      </c>
      <c r="BY154" s="577">
        <v>36946.286709038592</v>
      </c>
      <c r="CA154" s="64"/>
    </row>
    <row r="155" spans="1:79" customFormat="1">
      <c r="A155" s="48"/>
      <c r="B155" s="542" t="s">
        <v>92</v>
      </c>
      <c r="C155" s="577"/>
      <c r="D155" s="577">
        <v>0</v>
      </c>
      <c r="E155" s="577">
        <v>33985.714285714268</v>
      </c>
      <c r="F155" s="577">
        <v>34988.292857142857</v>
      </c>
      <c r="G155" s="577">
        <v>35974.96271571429</v>
      </c>
      <c r="H155" s="577">
        <v>36946.286709038592</v>
      </c>
      <c r="I155" s="577">
        <v>28379.051313522003</v>
      </c>
      <c r="K155" s="542" t="s">
        <v>92</v>
      </c>
      <c r="L155" s="577"/>
      <c r="M155" s="577">
        <v>0</v>
      </c>
      <c r="N155" s="577">
        <v>0</v>
      </c>
      <c r="O155" s="577">
        <v>0</v>
      </c>
      <c r="P155" s="577">
        <v>0</v>
      </c>
      <c r="Q155" s="577">
        <v>0</v>
      </c>
      <c r="R155" s="577">
        <v>0</v>
      </c>
      <c r="S155" s="577">
        <v>0</v>
      </c>
      <c r="T155" s="577">
        <v>0</v>
      </c>
      <c r="U155" s="577">
        <v>0</v>
      </c>
      <c r="V155" s="577">
        <v>0</v>
      </c>
      <c r="W155" s="577">
        <v>0</v>
      </c>
      <c r="X155" s="577">
        <v>0</v>
      </c>
      <c r="Y155" s="577">
        <v>0</v>
      </c>
      <c r="Z155" s="577">
        <v>33985.714285714275</v>
      </c>
      <c r="AA155" s="577">
        <v>33985.714285714275</v>
      </c>
      <c r="AB155" s="577">
        <v>33985.714285714275</v>
      </c>
      <c r="AC155" s="577">
        <v>33985.714285714275</v>
      </c>
      <c r="AD155" s="577">
        <v>33985.714285714275</v>
      </c>
      <c r="AE155" s="577">
        <v>33985.714285714275</v>
      </c>
      <c r="AF155" s="577">
        <v>33985.714285714275</v>
      </c>
      <c r="AG155" s="577">
        <v>33985.714285714275</v>
      </c>
      <c r="AH155" s="577">
        <v>33985.714285714275</v>
      </c>
      <c r="AI155" s="577">
        <v>33985.714285714275</v>
      </c>
      <c r="AJ155" s="577">
        <v>33985.714285714275</v>
      </c>
      <c r="AK155" s="577">
        <v>33985.714285714275</v>
      </c>
      <c r="AL155" s="577">
        <v>33985.714285714268</v>
      </c>
      <c r="AM155" s="577">
        <v>34988.292857142849</v>
      </c>
      <c r="AN155" s="577">
        <v>34988.292857142849</v>
      </c>
      <c r="AO155" s="577">
        <v>34988.292857142849</v>
      </c>
      <c r="AP155" s="577">
        <v>34988.292857142849</v>
      </c>
      <c r="AQ155" s="577">
        <v>34988.292857142849</v>
      </c>
      <c r="AR155" s="577">
        <v>34988.292857142849</v>
      </c>
      <c r="AS155" s="577">
        <v>34988.292857142849</v>
      </c>
      <c r="AT155" s="577">
        <v>34988.292857142849</v>
      </c>
      <c r="AU155" s="577">
        <v>34988.292857142849</v>
      </c>
      <c r="AV155" s="577">
        <v>34988.292857142849</v>
      </c>
      <c r="AW155" s="577">
        <v>34988.292857142849</v>
      </c>
      <c r="AX155" s="577">
        <v>34988.292857142849</v>
      </c>
      <c r="AY155" s="577">
        <v>34988.292857142857</v>
      </c>
      <c r="AZ155" s="577">
        <v>35974.962715714282</v>
      </c>
      <c r="BA155" s="577">
        <v>35974.962715714282</v>
      </c>
      <c r="BB155" s="577">
        <v>35974.962715714282</v>
      </c>
      <c r="BC155" s="577">
        <v>35974.962715714282</v>
      </c>
      <c r="BD155" s="577">
        <v>35974.962715714282</v>
      </c>
      <c r="BE155" s="577">
        <v>35974.962715714282</v>
      </c>
      <c r="BF155" s="577">
        <v>35974.962715714311</v>
      </c>
      <c r="BG155" s="577">
        <v>35974.962715714311</v>
      </c>
      <c r="BH155" s="577">
        <v>35974.962715714311</v>
      </c>
      <c r="BI155" s="577">
        <v>35974.962715714311</v>
      </c>
      <c r="BJ155" s="577">
        <v>35974.962715714311</v>
      </c>
      <c r="BK155" s="577">
        <v>35974.962715714311</v>
      </c>
      <c r="BL155" s="577">
        <v>35974.96271571429</v>
      </c>
      <c r="BM155" s="577">
        <v>36946.286709038592</v>
      </c>
      <c r="BN155" s="577">
        <v>36946.286709038592</v>
      </c>
      <c r="BO155" s="577">
        <v>36946.286709038592</v>
      </c>
      <c r="BP155" s="577">
        <v>36946.286709038592</v>
      </c>
      <c r="BQ155" s="577">
        <v>36946.286709038592</v>
      </c>
      <c r="BR155" s="577">
        <v>36946.286709038592</v>
      </c>
      <c r="BS155" s="577">
        <v>36946.286709038592</v>
      </c>
      <c r="BT155" s="577">
        <v>36946.286709038592</v>
      </c>
      <c r="BU155" s="577">
        <v>36946.286709038592</v>
      </c>
      <c r="BV155" s="577">
        <v>36946.286709038592</v>
      </c>
      <c r="BW155" s="577">
        <v>36946.286709038592</v>
      </c>
      <c r="BX155" s="577">
        <v>36946.286709038592</v>
      </c>
      <c r="BY155" s="577">
        <v>36946.286709038592</v>
      </c>
      <c r="CA155" s="64"/>
    </row>
    <row r="156" spans="1:79" customFormat="1">
      <c r="A156" s="48"/>
      <c r="B156" s="545" t="s">
        <v>93</v>
      </c>
      <c r="C156" s="579"/>
      <c r="D156" s="579">
        <v>0</v>
      </c>
      <c r="E156" s="579">
        <v>33985.714285714268</v>
      </c>
      <c r="F156" s="579">
        <v>34988.292857142857</v>
      </c>
      <c r="G156" s="579">
        <v>35974.96271571429</v>
      </c>
      <c r="H156" s="579">
        <v>36946.286709038592</v>
      </c>
      <c r="I156" s="579">
        <v>28379.051313522003</v>
      </c>
      <c r="K156" s="545" t="s">
        <v>93</v>
      </c>
      <c r="L156" s="579"/>
      <c r="M156" s="579">
        <v>0</v>
      </c>
      <c r="N156" s="579">
        <v>0</v>
      </c>
      <c r="O156" s="579">
        <v>0</v>
      </c>
      <c r="P156" s="579">
        <v>0</v>
      </c>
      <c r="Q156" s="579">
        <v>0</v>
      </c>
      <c r="R156" s="579">
        <v>0</v>
      </c>
      <c r="S156" s="579">
        <v>0</v>
      </c>
      <c r="T156" s="579">
        <v>0</v>
      </c>
      <c r="U156" s="579">
        <v>0</v>
      </c>
      <c r="V156" s="579">
        <v>0</v>
      </c>
      <c r="W156" s="579">
        <v>0</v>
      </c>
      <c r="X156" s="579">
        <v>0</v>
      </c>
      <c r="Y156" s="579">
        <v>0</v>
      </c>
      <c r="Z156" s="579">
        <v>33985.714285714275</v>
      </c>
      <c r="AA156" s="579">
        <v>33985.714285714275</v>
      </c>
      <c r="AB156" s="579">
        <v>33985.714285714275</v>
      </c>
      <c r="AC156" s="579">
        <v>33985.714285714275</v>
      </c>
      <c r="AD156" s="579">
        <v>33985.714285714275</v>
      </c>
      <c r="AE156" s="579">
        <v>33985.714285714275</v>
      </c>
      <c r="AF156" s="579">
        <v>33985.714285714275</v>
      </c>
      <c r="AG156" s="579">
        <v>33985.714285714275</v>
      </c>
      <c r="AH156" s="579">
        <v>33985.714285714275</v>
      </c>
      <c r="AI156" s="579">
        <v>33985.714285714275</v>
      </c>
      <c r="AJ156" s="579">
        <v>33985.714285714275</v>
      </c>
      <c r="AK156" s="579">
        <v>33985.714285714275</v>
      </c>
      <c r="AL156" s="579">
        <v>33985.714285714268</v>
      </c>
      <c r="AM156" s="579">
        <v>34988.292857142849</v>
      </c>
      <c r="AN156" s="579">
        <v>34988.292857142849</v>
      </c>
      <c r="AO156" s="579">
        <v>34988.292857142849</v>
      </c>
      <c r="AP156" s="579">
        <v>34988.292857142849</v>
      </c>
      <c r="AQ156" s="579">
        <v>34988.292857142849</v>
      </c>
      <c r="AR156" s="579">
        <v>34988.292857142849</v>
      </c>
      <c r="AS156" s="579">
        <v>34988.292857142849</v>
      </c>
      <c r="AT156" s="579">
        <v>34988.292857142849</v>
      </c>
      <c r="AU156" s="579">
        <v>34988.292857142849</v>
      </c>
      <c r="AV156" s="579">
        <v>34988.292857142849</v>
      </c>
      <c r="AW156" s="579">
        <v>34988.292857142849</v>
      </c>
      <c r="AX156" s="579">
        <v>34988.292857142849</v>
      </c>
      <c r="AY156" s="579">
        <v>34988.292857142857</v>
      </c>
      <c r="AZ156" s="579">
        <v>35974.962715714282</v>
      </c>
      <c r="BA156" s="579">
        <v>35974.962715714282</v>
      </c>
      <c r="BB156" s="579">
        <v>35974.962715714282</v>
      </c>
      <c r="BC156" s="579">
        <v>35974.962715714282</v>
      </c>
      <c r="BD156" s="579">
        <v>35974.962715714282</v>
      </c>
      <c r="BE156" s="579">
        <v>35974.962715714282</v>
      </c>
      <c r="BF156" s="579">
        <v>35974.962715714311</v>
      </c>
      <c r="BG156" s="579">
        <v>35974.962715714311</v>
      </c>
      <c r="BH156" s="579">
        <v>35974.962715714311</v>
      </c>
      <c r="BI156" s="579">
        <v>35974.962715714311</v>
      </c>
      <c r="BJ156" s="579">
        <v>35974.962715714311</v>
      </c>
      <c r="BK156" s="579">
        <v>35974.962715714311</v>
      </c>
      <c r="BL156" s="579">
        <v>35974.96271571429</v>
      </c>
      <c r="BM156" s="579">
        <v>36946.286709038592</v>
      </c>
      <c r="BN156" s="579">
        <v>36946.286709038592</v>
      </c>
      <c r="BO156" s="579">
        <v>36946.286709038592</v>
      </c>
      <c r="BP156" s="579">
        <v>36946.286709038592</v>
      </c>
      <c r="BQ156" s="579">
        <v>36946.286709038592</v>
      </c>
      <c r="BR156" s="579">
        <v>36946.286709038592</v>
      </c>
      <c r="BS156" s="579">
        <v>36946.286709038592</v>
      </c>
      <c r="BT156" s="579">
        <v>36946.286709038592</v>
      </c>
      <c r="BU156" s="579">
        <v>36946.286709038592</v>
      </c>
      <c r="BV156" s="579">
        <v>36946.286709038592</v>
      </c>
      <c r="BW156" s="579">
        <v>36946.286709038592</v>
      </c>
      <c r="BX156" s="579">
        <v>36946.286709038592</v>
      </c>
      <c r="BY156" s="579">
        <v>36946.286709038592</v>
      </c>
      <c r="CA156" s="64"/>
    </row>
    <row r="157" spans="1:79">
      <c r="CA157" s="61"/>
    </row>
    <row r="158" spans="1:79">
      <c r="CA158" s="61"/>
    </row>
    <row r="159" spans="1:79" customFormat="1">
      <c r="B159" s="656" t="s">
        <v>412</v>
      </c>
      <c r="C159" s="656"/>
      <c r="D159" s="656"/>
      <c r="E159" s="656"/>
      <c r="F159" s="656"/>
      <c r="G159" s="656"/>
      <c r="H159" s="656"/>
      <c r="I159" s="656"/>
      <c r="K159" s="656" t="s">
        <v>413</v>
      </c>
      <c r="L159" s="656"/>
      <c r="M159" s="656"/>
      <c r="N159" s="656"/>
      <c r="O159" s="656"/>
      <c r="P159" s="656"/>
      <c r="Q159" s="656"/>
      <c r="R159" s="656"/>
      <c r="S159" s="656"/>
      <c r="T159" s="656"/>
      <c r="U159" s="656"/>
      <c r="V159" s="656"/>
      <c r="W159" s="656"/>
      <c r="X159" s="656"/>
      <c r="Y159" s="656"/>
      <c r="Z159" s="656"/>
      <c r="AA159" s="656"/>
      <c r="AB159" s="656"/>
      <c r="AC159" s="656"/>
      <c r="AD159" s="656"/>
      <c r="AE159" s="656"/>
      <c r="AF159" s="656"/>
      <c r="AG159" s="656"/>
      <c r="AH159" s="656"/>
      <c r="AI159" s="656"/>
      <c r="AJ159" s="656"/>
      <c r="AK159" s="656"/>
      <c r="AL159" s="656"/>
      <c r="AM159" s="656"/>
      <c r="AN159" s="656"/>
      <c r="AO159" s="656"/>
      <c r="AP159" s="656"/>
      <c r="AQ159" s="656"/>
      <c r="AR159" s="656"/>
      <c r="AS159" s="656"/>
      <c r="AT159" s="656"/>
      <c r="AU159" s="656"/>
      <c r="AV159" s="656"/>
      <c r="AW159" s="656"/>
      <c r="AX159" s="656"/>
      <c r="AY159" s="656"/>
      <c r="AZ159" s="656"/>
      <c r="BA159" s="656"/>
      <c r="BB159" s="656"/>
      <c r="BC159" s="656"/>
      <c r="BD159" s="656"/>
      <c r="BE159" s="656"/>
      <c r="BF159" s="656"/>
      <c r="BG159" s="656"/>
      <c r="BH159" s="656"/>
      <c r="BI159" s="656"/>
      <c r="BJ159" s="656"/>
      <c r="BK159" s="656"/>
      <c r="BL159" s="656"/>
      <c r="BM159" s="656"/>
      <c r="BN159" s="656"/>
      <c r="BO159" s="656"/>
      <c r="BP159" s="656"/>
      <c r="BQ159" s="656"/>
      <c r="BR159" s="656"/>
      <c r="BS159" s="656"/>
      <c r="BT159" s="656"/>
      <c r="BU159" s="656"/>
      <c r="BV159" s="656"/>
      <c r="BW159" s="656"/>
      <c r="BX159" s="656"/>
      <c r="BY159" s="656"/>
      <c r="CA159" s="64"/>
    </row>
    <row r="160" spans="1:79" s="48" customFormat="1">
      <c r="B160" s="575"/>
      <c r="C160" s="649"/>
      <c r="D160" s="576"/>
      <c r="E160" s="576"/>
      <c r="K160" s="575"/>
      <c r="L160" s="649"/>
      <c r="M160" s="576"/>
      <c r="N160" s="575"/>
      <c r="O160" s="575"/>
      <c r="P160" s="575"/>
      <c r="Q160" s="575"/>
      <c r="R160" s="575"/>
      <c r="S160" s="575"/>
      <c r="T160" s="575"/>
      <c r="U160" s="575"/>
      <c r="V160" s="575"/>
      <c r="W160" s="575"/>
      <c r="X160" s="575"/>
      <c r="Y160" s="575"/>
      <c r="Z160" s="575"/>
      <c r="AA160" s="575"/>
      <c r="AB160" s="575"/>
      <c r="AC160" s="575"/>
      <c r="AD160" s="575"/>
      <c r="AE160" s="575"/>
      <c r="AF160" s="575"/>
      <c r="AG160" s="575"/>
      <c r="AH160" s="575"/>
      <c r="AI160" s="575"/>
      <c r="AJ160" s="575"/>
      <c r="AK160" s="575"/>
      <c r="AL160" s="575"/>
      <c r="AM160" s="575"/>
      <c r="AN160" s="575"/>
      <c r="AO160" s="575"/>
      <c r="AP160" s="575"/>
      <c r="AQ160" s="575"/>
      <c r="AR160" s="575"/>
      <c r="AS160" s="575"/>
      <c r="AT160" s="575"/>
      <c r="AU160" s="575"/>
      <c r="AV160" s="575"/>
      <c r="AW160" s="575"/>
      <c r="AX160" s="575"/>
      <c r="AY160" s="575"/>
      <c r="AZ160" s="575"/>
      <c r="BA160" s="575"/>
      <c r="BB160" s="575"/>
      <c r="BC160" s="575"/>
      <c r="BD160" s="575"/>
      <c r="BE160" s="575"/>
      <c r="BF160" s="575"/>
      <c r="BG160" s="575"/>
      <c r="BH160" s="575"/>
      <c r="BI160" s="575"/>
      <c r="BJ160" s="575"/>
      <c r="BK160" s="575"/>
      <c r="BL160" s="575"/>
      <c r="BM160" s="575"/>
      <c r="BN160" s="575"/>
      <c r="BO160" s="575"/>
      <c r="BP160" s="575"/>
      <c r="BQ160" s="575"/>
      <c r="BR160" s="575"/>
      <c r="BS160" s="575"/>
      <c r="BT160" s="575"/>
      <c r="BU160" s="575"/>
      <c r="BV160" s="575"/>
      <c r="BW160" s="575"/>
      <c r="BX160" s="575"/>
      <c r="BY160" s="575"/>
      <c r="CA160" s="64"/>
    </row>
    <row r="161" spans="2:79" customFormat="1">
      <c r="B161" s="541"/>
      <c r="C161" s="541" t="s">
        <v>60</v>
      </c>
      <c r="D161" s="657" t="s">
        <v>6</v>
      </c>
      <c r="E161" s="657" t="s">
        <v>12</v>
      </c>
      <c r="F161" s="657" t="s">
        <v>13</v>
      </c>
      <c r="G161" s="657" t="s">
        <v>14</v>
      </c>
      <c r="H161" s="657" t="s">
        <v>15</v>
      </c>
      <c r="I161" s="657" t="s">
        <v>57</v>
      </c>
      <c r="J161" s="28"/>
      <c r="K161" s="541" t="s">
        <v>61</v>
      </c>
      <c r="L161" s="541" t="s">
        <v>130</v>
      </c>
      <c r="M161" s="657" t="s">
        <v>131</v>
      </c>
      <c r="N161" s="541" t="s">
        <v>132</v>
      </c>
      <c r="O161" s="541" t="s">
        <v>133</v>
      </c>
      <c r="P161" s="541" t="s">
        <v>134</v>
      </c>
      <c r="Q161" s="541" t="s">
        <v>135</v>
      </c>
      <c r="R161" s="541" t="s">
        <v>136</v>
      </c>
      <c r="S161" s="541" t="s">
        <v>137</v>
      </c>
      <c r="T161" s="541" t="s">
        <v>138</v>
      </c>
      <c r="U161" s="541" t="s">
        <v>139</v>
      </c>
      <c r="V161" s="541" t="s">
        <v>140</v>
      </c>
      <c r="W161" s="541" t="s">
        <v>141</v>
      </c>
      <c r="X161" s="541" t="s">
        <v>142</v>
      </c>
      <c r="Y161" s="541" t="s">
        <v>143</v>
      </c>
      <c r="Z161" s="541" t="s">
        <v>144</v>
      </c>
      <c r="AA161" s="541" t="s">
        <v>145</v>
      </c>
      <c r="AB161" s="541" t="s">
        <v>146</v>
      </c>
      <c r="AC161" s="541" t="s">
        <v>147</v>
      </c>
      <c r="AD161" s="541" t="s">
        <v>148</v>
      </c>
      <c r="AE161" s="541" t="s">
        <v>149</v>
      </c>
      <c r="AF161" s="541" t="s">
        <v>150</v>
      </c>
      <c r="AG161" s="541" t="s">
        <v>151</v>
      </c>
      <c r="AH161" s="541" t="s">
        <v>152</v>
      </c>
      <c r="AI161" s="541" t="s">
        <v>153</v>
      </c>
      <c r="AJ161" s="541" t="s">
        <v>154</v>
      </c>
      <c r="AK161" s="541" t="s">
        <v>155</v>
      </c>
      <c r="AL161" s="541" t="s">
        <v>156</v>
      </c>
      <c r="AM161" s="541" t="s">
        <v>157</v>
      </c>
      <c r="AN161" s="541" t="s">
        <v>158</v>
      </c>
      <c r="AO161" s="541" t="s">
        <v>159</v>
      </c>
      <c r="AP161" s="541" t="s">
        <v>160</v>
      </c>
      <c r="AQ161" s="541" t="s">
        <v>161</v>
      </c>
      <c r="AR161" s="541" t="s">
        <v>162</v>
      </c>
      <c r="AS161" s="541" t="s">
        <v>163</v>
      </c>
      <c r="AT161" s="541" t="s">
        <v>164</v>
      </c>
      <c r="AU161" s="541" t="s">
        <v>165</v>
      </c>
      <c r="AV161" s="541" t="s">
        <v>166</v>
      </c>
      <c r="AW161" s="541" t="s">
        <v>167</v>
      </c>
      <c r="AX161" s="541" t="s">
        <v>168</v>
      </c>
      <c r="AY161" s="541" t="s">
        <v>169</v>
      </c>
      <c r="AZ161" s="541" t="s">
        <v>170</v>
      </c>
      <c r="BA161" s="541" t="s">
        <v>171</v>
      </c>
      <c r="BB161" s="541" t="s">
        <v>172</v>
      </c>
      <c r="BC161" s="541" t="s">
        <v>173</v>
      </c>
      <c r="BD161" s="541" t="s">
        <v>174</v>
      </c>
      <c r="BE161" s="541" t="s">
        <v>175</v>
      </c>
      <c r="BF161" s="541" t="s">
        <v>176</v>
      </c>
      <c r="BG161" s="541" t="s">
        <v>177</v>
      </c>
      <c r="BH161" s="541" t="s">
        <v>178</v>
      </c>
      <c r="BI161" s="541" t="s">
        <v>179</v>
      </c>
      <c r="BJ161" s="541" t="s">
        <v>180</v>
      </c>
      <c r="BK161" s="541" t="s">
        <v>181</v>
      </c>
      <c r="BL161" s="541" t="s">
        <v>182</v>
      </c>
      <c r="BM161" s="541" t="s">
        <v>183</v>
      </c>
      <c r="BN161" s="541" t="s">
        <v>184</v>
      </c>
      <c r="BO161" s="541" t="s">
        <v>185</v>
      </c>
      <c r="BP161" s="541" t="s">
        <v>186</v>
      </c>
      <c r="BQ161" s="541" t="s">
        <v>187</v>
      </c>
      <c r="BR161" s="541" t="s">
        <v>188</v>
      </c>
      <c r="BS161" s="541" t="s">
        <v>189</v>
      </c>
      <c r="BT161" s="541" t="s">
        <v>190</v>
      </c>
      <c r="BU161" s="541" t="s">
        <v>191</v>
      </c>
      <c r="BV161" s="541" t="s">
        <v>192</v>
      </c>
      <c r="BW161" s="541" t="s">
        <v>193</v>
      </c>
      <c r="BX161" s="541" t="s">
        <v>194</v>
      </c>
      <c r="BY161" s="541" t="s">
        <v>195</v>
      </c>
      <c r="CA161" s="64"/>
    </row>
    <row r="162" spans="2:79" customFormat="1">
      <c r="B162" s="542" t="s">
        <v>260</v>
      </c>
      <c r="C162" s="649">
        <v>0</v>
      </c>
      <c r="D162" s="658">
        <v>1661.5384615384612</v>
      </c>
      <c r="E162" s="658">
        <v>2584.578113206795</v>
      </c>
      <c r="F162" s="658">
        <v>2682.4674725167893</v>
      </c>
      <c r="G162" s="658">
        <v>2780.3564348474933</v>
      </c>
      <c r="H162" s="658">
        <v>2878.2450407715037</v>
      </c>
      <c r="I162" s="658">
        <v>2517.4371045762086</v>
      </c>
      <c r="J162" s="28"/>
      <c r="K162" s="542" t="s">
        <v>260</v>
      </c>
      <c r="L162" s="649"/>
      <c r="M162" s="658">
        <v>65.934065934065927</v>
      </c>
      <c r="N162" s="577">
        <v>79.12087912087911</v>
      </c>
      <c r="O162" s="577">
        <v>92.307692307692292</v>
      </c>
      <c r="P162" s="577">
        <v>105.49450549450549</v>
      </c>
      <c r="Q162" s="577">
        <v>118.68131868131867</v>
      </c>
      <c r="R162" s="577">
        <v>131.86813186813185</v>
      </c>
      <c r="S162" s="577">
        <v>145.05494505494505</v>
      </c>
      <c r="T162" s="577">
        <v>158.24175824175822</v>
      </c>
      <c r="U162" s="577">
        <v>171.42857142857142</v>
      </c>
      <c r="V162" s="577">
        <v>184.61538461538458</v>
      </c>
      <c r="W162" s="577">
        <v>197.80219780219778</v>
      </c>
      <c r="X162" s="577">
        <v>210.98901098901098</v>
      </c>
      <c r="Y162" s="577">
        <v>1661.5384615384612</v>
      </c>
      <c r="Z162" s="577">
        <v>126.99417878847289</v>
      </c>
      <c r="AA162" s="577">
        <v>127.39621975698215</v>
      </c>
      <c r="AB162" s="577">
        <v>212.99922252607544</v>
      </c>
      <c r="AC162" s="577">
        <v>213.67354015648226</v>
      </c>
      <c r="AD162" s="577">
        <v>214.3499925564966</v>
      </c>
      <c r="AE162" s="577">
        <v>215.02858648441912</v>
      </c>
      <c r="AF162" s="577">
        <v>215.70932871994606</v>
      </c>
      <c r="AG162" s="577">
        <v>216.39222606423692</v>
      </c>
      <c r="AH162" s="577">
        <v>217.07728533998252</v>
      </c>
      <c r="AI162" s="577">
        <v>217.76451339147309</v>
      </c>
      <c r="AJ162" s="577">
        <v>303.11670294364859</v>
      </c>
      <c r="AK162" s="577">
        <v>304.07631647857903</v>
      </c>
      <c r="AL162" s="577">
        <v>2584.578113206795</v>
      </c>
      <c r="AM162" s="577">
        <v>183.00224127478614</v>
      </c>
      <c r="AN162" s="577">
        <v>183.56038981392945</v>
      </c>
      <c r="AO162" s="577">
        <v>221.15677669519346</v>
      </c>
      <c r="AP162" s="577">
        <v>221.83129483756261</v>
      </c>
      <c r="AQ162" s="577">
        <v>222.50787022968547</v>
      </c>
      <c r="AR162" s="577">
        <v>223.18650914608051</v>
      </c>
      <c r="AS162" s="577">
        <v>223.86721788040319</v>
      </c>
      <c r="AT162" s="577">
        <v>224.55000274550437</v>
      </c>
      <c r="AU162" s="577">
        <v>225.23487007348879</v>
      </c>
      <c r="AV162" s="577">
        <v>225.92182621577385</v>
      </c>
      <c r="AW162" s="577">
        <v>263.42252342534067</v>
      </c>
      <c r="AX162" s="577">
        <v>264.22595017904104</v>
      </c>
      <c r="AY162" s="577">
        <v>2682.4674725167893</v>
      </c>
      <c r="AZ162" s="577">
        <v>159.00202443416148</v>
      </c>
      <c r="BA162" s="577">
        <v>159.46985119510211</v>
      </c>
      <c r="BB162" s="577">
        <v>229.31429075827594</v>
      </c>
      <c r="BC162" s="577">
        <v>229.98899513556054</v>
      </c>
      <c r="BD162" s="577">
        <v>230.6656846747608</v>
      </c>
      <c r="BE162" s="577">
        <v>231.3443652167575</v>
      </c>
      <c r="BF162" s="577">
        <v>232.02504261961684</v>
      </c>
      <c r="BG162" s="577">
        <v>232.70772275864107</v>
      </c>
      <c r="BH162" s="577">
        <v>233.39241152641915</v>
      </c>
      <c r="BI162" s="577">
        <v>234.07911483287762</v>
      </c>
      <c r="BJ162" s="577">
        <v>303.73662838272554</v>
      </c>
      <c r="BK162" s="577">
        <v>304.63030331259512</v>
      </c>
      <c r="BL162" s="577">
        <v>2780.3564348474933</v>
      </c>
      <c r="BM162" s="577">
        <v>183.29762452731913</v>
      </c>
      <c r="BN162" s="577">
        <v>183.81854328568227</v>
      </c>
      <c r="BO162" s="577">
        <v>237.47176875877602</v>
      </c>
      <c r="BP162" s="577">
        <v>238.14664656609688</v>
      </c>
      <c r="BQ162" s="577">
        <v>238.82344232794847</v>
      </c>
      <c r="BR162" s="577">
        <v>239.5021614950206</v>
      </c>
      <c r="BS162" s="577">
        <v>240.18280953349355</v>
      </c>
      <c r="BT162" s="577">
        <v>240.86539192508209</v>
      </c>
      <c r="BU162" s="577">
        <v>241.54991416707963</v>
      </c>
      <c r="BV162" s="577">
        <v>242.2363817724025</v>
      </c>
      <c r="BW162" s="577">
        <v>295.75492102447163</v>
      </c>
      <c r="BX162" s="577">
        <v>296.59543538813102</v>
      </c>
      <c r="BY162" s="577">
        <v>2878.2450407715037</v>
      </c>
      <c r="CA162" s="64"/>
    </row>
    <row r="163" spans="2:79" customFormat="1">
      <c r="B163" s="542" t="s">
        <v>414</v>
      </c>
      <c r="C163" s="649">
        <v>0</v>
      </c>
      <c r="D163" s="658">
        <v>113275.44</v>
      </c>
      <c r="E163" s="658">
        <v>181648.39332020975</v>
      </c>
      <c r="F163" s="658">
        <v>194089.80065076321</v>
      </c>
      <c r="G163" s="658">
        <v>206845.61761162331</v>
      </c>
      <c r="H163" s="658">
        <v>219909.53372246408</v>
      </c>
      <c r="I163" s="658">
        <v>183153.75706101206</v>
      </c>
      <c r="J163" s="28"/>
      <c r="K163" s="542" t="s">
        <v>415</v>
      </c>
      <c r="L163" s="649"/>
      <c r="M163" s="658">
        <v>4495.057142857142</v>
      </c>
      <c r="N163" s="577">
        <v>5394.068571428571</v>
      </c>
      <c r="O163" s="577">
        <v>6293.079999999999</v>
      </c>
      <c r="P163" s="577">
        <v>7192.091428571428</v>
      </c>
      <c r="Q163" s="577">
        <v>8091.102857142856</v>
      </c>
      <c r="R163" s="577">
        <v>8990.1142857142841</v>
      </c>
      <c r="S163" s="577">
        <v>9889.1257142857139</v>
      </c>
      <c r="T163" s="577">
        <v>10788.137142857142</v>
      </c>
      <c r="U163" s="577">
        <v>11687.14857142857</v>
      </c>
      <c r="V163" s="577">
        <v>12586.159999999998</v>
      </c>
      <c r="W163" s="577">
        <v>13485.171428571426</v>
      </c>
      <c r="X163" s="577">
        <v>14384.182857142856</v>
      </c>
      <c r="Y163" s="577">
        <v>113275.44</v>
      </c>
      <c r="Z163" s="577">
        <v>8925.3593923395747</v>
      </c>
      <c r="AA163" s="577">
        <v>8953.6154917027307</v>
      </c>
      <c r="AB163" s="577">
        <v>14969.935074746076</v>
      </c>
      <c r="AC163" s="577">
        <v>15017.32722494846</v>
      </c>
      <c r="AD163" s="577">
        <v>15064.86941026386</v>
      </c>
      <c r="AE163" s="577">
        <v>15112.562105676743</v>
      </c>
      <c r="AF163" s="577">
        <v>15160.405787675292</v>
      </c>
      <c r="AG163" s="577">
        <v>15208.400934256164</v>
      </c>
      <c r="AH163" s="577">
        <v>15256.54802492927</v>
      </c>
      <c r="AI163" s="577">
        <v>15304.847540722567</v>
      </c>
      <c r="AJ163" s="577">
        <v>21303.539559079909</v>
      </c>
      <c r="AK163" s="577">
        <v>21370.982773869095</v>
      </c>
      <c r="AL163" s="577">
        <v>181648.39332020975</v>
      </c>
      <c r="AM163" s="577">
        <v>13241.118071914963</v>
      </c>
      <c r="AN163" s="577">
        <v>13281.502881723745</v>
      </c>
      <c r="AO163" s="577">
        <v>16001.787585913324</v>
      </c>
      <c r="AP163" s="577">
        <v>16050.592312579747</v>
      </c>
      <c r="AQ163" s="577">
        <v>16099.54589144985</v>
      </c>
      <c r="AR163" s="577">
        <v>16148.648776516107</v>
      </c>
      <c r="AS163" s="577">
        <v>16197.901423155645</v>
      </c>
      <c r="AT163" s="577">
        <v>16247.304288134474</v>
      </c>
      <c r="AU163" s="577">
        <v>16296.857829611718</v>
      </c>
      <c r="AV163" s="577">
        <v>16346.562507143864</v>
      </c>
      <c r="AW163" s="577">
        <v>19059.923589893733</v>
      </c>
      <c r="AX163" s="577">
        <v>19118.055492726049</v>
      </c>
      <c r="AY163" s="577">
        <v>194089.80065076321</v>
      </c>
      <c r="AZ163" s="577">
        <v>11829.01283208552</v>
      </c>
      <c r="BA163" s="577">
        <v>11863.816972335013</v>
      </c>
      <c r="BB163" s="577">
        <v>17059.919190421602</v>
      </c>
      <c r="BC163" s="577">
        <v>17110.11406539358</v>
      </c>
      <c r="BD163" s="577">
        <v>17160.456627200725</v>
      </c>
      <c r="BE163" s="577">
        <v>17210.947310377465</v>
      </c>
      <c r="BF163" s="577">
        <v>17261.586550736745</v>
      </c>
      <c r="BG163" s="577">
        <v>17312.374785373791</v>
      </c>
      <c r="BH163" s="577">
        <v>17363.312452669881</v>
      </c>
      <c r="BI163" s="577">
        <v>17414.399992296123</v>
      </c>
      <c r="BJ163" s="577">
        <v>22596.595782347275</v>
      </c>
      <c r="BK163" s="577">
        <v>22663.08105038559</v>
      </c>
      <c r="BL163" s="577">
        <v>206845.61761162331</v>
      </c>
      <c r="BM163" s="577">
        <v>14004.678049035529</v>
      </c>
      <c r="BN163" s="577">
        <v>14044.478343880548</v>
      </c>
      <c r="BO163" s="577">
        <v>18143.801240075529</v>
      </c>
      <c r="BP163" s="577">
        <v>18195.364627426239</v>
      </c>
      <c r="BQ163" s="577">
        <v>18247.074554241306</v>
      </c>
      <c r="BR163" s="577">
        <v>18298.931436975421</v>
      </c>
      <c r="BS163" s="577">
        <v>18350.935693266809</v>
      </c>
      <c r="BT163" s="577">
        <v>18403.087741940595</v>
      </c>
      <c r="BU163" s="577">
        <v>18455.388003012176</v>
      </c>
      <c r="BV163" s="577">
        <v>18507.836897690602</v>
      </c>
      <c r="BW163" s="577">
        <v>22596.8692231924</v>
      </c>
      <c r="BX163" s="577">
        <v>22661.087911726932</v>
      </c>
      <c r="BY163" s="577">
        <v>219909.53372246408</v>
      </c>
      <c r="CA163" s="64"/>
    </row>
    <row r="164" spans="2:79" customFormat="1">
      <c r="B164" s="542" t="s">
        <v>416</v>
      </c>
      <c r="C164" s="649">
        <v>0</v>
      </c>
      <c r="D164" s="658">
        <v>1661538.4615384613</v>
      </c>
      <c r="E164" s="658">
        <v>2664441.5769048841</v>
      </c>
      <c r="F164" s="658">
        <v>2846933.7110813763</v>
      </c>
      <c r="G164" s="658">
        <v>3034037.6454277243</v>
      </c>
      <c r="H164" s="658">
        <v>3225660.8170214421</v>
      </c>
      <c r="I164" s="658">
        <v>2686522.4423947777</v>
      </c>
      <c r="J164" s="28"/>
      <c r="K164" s="542" t="s">
        <v>417</v>
      </c>
      <c r="L164" s="649"/>
      <c r="M164" s="658">
        <v>65934.065934065933</v>
      </c>
      <c r="N164" s="577">
        <v>79120.879120879108</v>
      </c>
      <c r="O164" s="577">
        <v>92307.692307692298</v>
      </c>
      <c r="P164" s="577">
        <v>105494.50549450549</v>
      </c>
      <c r="Q164" s="577">
        <v>118681.31868131868</v>
      </c>
      <c r="R164" s="577">
        <v>131868.13186813187</v>
      </c>
      <c r="S164" s="577">
        <v>145054.94505494504</v>
      </c>
      <c r="T164" s="577">
        <v>158241.75824175822</v>
      </c>
      <c r="U164" s="577">
        <v>171428.57142857142</v>
      </c>
      <c r="V164" s="577">
        <v>184615.3846153846</v>
      </c>
      <c r="W164" s="577">
        <v>197802.19780219777</v>
      </c>
      <c r="X164" s="577">
        <v>210989.01098901097</v>
      </c>
      <c r="Y164" s="577">
        <v>1661538.4615384613</v>
      </c>
      <c r="Z164" s="577">
        <v>130918.29891303669</v>
      </c>
      <c r="AA164" s="577">
        <v>131332.76294747289</v>
      </c>
      <c r="AB164" s="577">
        <v>219580.89850213114</v>
      </c>
      <c r="AC164" s="577">
        <v>220276.05254731752</v>
      </c>
      <c r="AD164" s="577">
        <v>220973.40732649231</v>
      </c>
      <c r="AE164" s="577">
        <v>221672.96980678765</v>
      </c>
      <c r="AF164" s="577">
        <v>222374.74697739235</v>
      </c>
      <c r="AG164" s="577">
        <v>223078.7458496218</v>
      </c>
      <c r="AH164" s="577">
        <v>223784.97345698797</v>
      </c>
      <c r="AI164" s="577">
        <v>224493.43685526957</v>
      </c>
      <c r="AJ164" s="577">
        <v>312483.00906460726</v>
      </c>
      <c r="AK164" s="577">
        <v>313472.27465776709</v>
      </c>
      <c r="AL164" s="577">
        <v>2664441.5769048841</v>
      </c>
      <c r="AM164" s="577">
        <v>194222.39234081723</v>
      </c>
      <c r="AN164" s="577">
        <v>194814.76183202566</v>
      </c>
      <c r="AO164" s="577">
        <v>234716.24146737962</v>
      </c>
      <c r="AP164" s="577">
        <v>235432.11536256055</v>
      </c>
      <c r="AQ164" s="577">
        <v>236150.17264066631</v>
      </c>
      <c r="AR164" s="577">
        <v>236870.41996091587</v>
      </c>
      <c r="AS164" s="577">
        <v>237592.86400283841</v>
      </c>
      <c r="AT164" s="577">
        <v>238317.51146633548</v>
      </c>
      <c r="AU164" s="577">
        <v>239044.36907174299</v>
      </c>
      <c r="AV164" s="577">
        <v>239773.44355989355</v>
      </c>
      <c r="AW164" s="577">
        <v>279573.36664145958</v>
      </c>
      <c r="AX164" s="577">
        <v>280426.05273474078</v>
      </c>
      <c r="AY164" s="577">
        <v>2846933.7110813763</v>
      </c>
      <c r="AZ164" s="577">
        <v>173509.45432250889</v>
      </c>
      <c r="BA164" s="577">
        <v>174019.96584773718</v>
      </c>
      <c r="BB164" s="577">
        <v>250237.04949301973</v>
      </c>
      <c r="BC164" s="577">
        <v>250973.31425913365</v>
      </c>
      <c r="BD164" s="577">
        <v>251711.74531439989</v>
      </c>
      <c r="BE164" s="577">
        <v>252452.3490326243</v>
      </c>
      <c r="BF164" s="577">
        <v>253195.13180636623</v>
      </c>
      <c r="BG164" s="577">
        <v>253940.10004699361</v>
      </c>
      <c r="BH164" s="577">
        <v>254687.26018473841</v>
      </c>
      <c r="BI164" s="577">
        <v>255436.61866875197</v>
      </c>
      <c r="BJ164" s="577">
        <v>331449.72107111459</v>
      </c>
      <c r="BK164" s="577">
        <v>332424.93538033607</v>
      </c>
      <c r="BL164" s="577">
        <v>3034037.6454277243</v>
      </c>
      <c r="BM164" s="577">
        <v>205422.38652911829</v>
      </c>
      <c r="BN164" s="577">
        <v>206006.18228100918</v>
      </c>
      <c r="BO164" s="577">
        <v>266135.56830054877</v>
      </c>
      <c r="BP164" s="577">
        <v>266891.90657908836</v>
      </c>
      <c r="BQ164" s="577">
        <v>267650.39431700023</v>
      </c>
      <c r="BR164" s="577">
        <v>268411.03762289445</v>
      </c>
      <c r="BS164" s="577">
        <v>269173.84262274124</v>
      </c>
      <c r="BT164" s="577">
        <v>269938.81545992044</v>
      </c>
      <c r="BU164" s="577">
        <v>270705.96229527093</v>
      </c>
      <c r="BV164" s="577">
        <v>271475.28930714028</v>
      </c>
      <c r="BW164" s="577">
        <v>331453.73193596862</v>
      </c>
      <c r="BX164" s="577">
        <v>332395.69977074099</v>
      </c>
      <c r="BY164" s="577">
        <v>3225660.8170214421</v>
      </c>
      <c r="CA164" s="64"/>
    </row>
    <row r="165" spans="2:79" customFormat="1">
      <c r="B165" s="660" t="s">
        <v>418</v>
      </c>
      <c r="C165" s="661">
        <v>0</v>
      </c>
      <c r="D165" s="662">
        <v>1774813.9015384612</v>
      </c>
      <c r="E165" s="662">
        <v>2846089.9702250944</v>
      </c>
      <c r="F165" s="662">
        <v>3041023.5117321392</v>
      </c>
      <c r="G165" s="662">
        <v>3240883.2630393477</v>
      </c>
      <c r="H165" s="662">
        <v>3445570.3507439061</v>
      </c>
      <c r="I165" s="662">
        <v>2869676.1994557898</v>
      </c>
      <c r="J165" s="153"/>
      <c r="K165" s="660" t="s">
        <v>419</v>
      </c>
      <c r="L165" s="661"/>
      <c r="M165" s="662">
        <v>70429.123076923075</v>
      </c>
      <c r="N165" s="663">
        <v>84514.947692307673</v>
      </c>
      <c r="O165" s="663">
        <v>98600.772307692299</v>
      </c>
      <c r="P165" s="663">
        <v>112686.59692307691</v>
      </c>
      <c r="Q165" s="663">
        <v>126772.42153846154</v>
      </c>
      <c r="R165" s="663">
        <v>140858.24615384615</v>
      </c>
      <c r="S165" s="663">
        <v>154944.07076923075</v>
      </c>
      <c r="T165" s="663">
        <v>169029.89538461535</v>
      </c>
      <c r="U165" s="663">
        <v>183115.72</v>
      </c>
      <c r="V165" s="663">
        <v>197201.5446153846</v>
      </c>
      <c r="W165" s="663">
        <v>211287.3692307692</v>
      </c>
      <c r="X165" s="663">
        <v>225373.19384615382</v>
      </c>
      <c r="Y165" s="663">
        <v>1774813.9015384612</v>
      </c>
      <c r="Z165" s="663">
        <v>139843.65830537627</v>
      </c>
      <c r="AA165" s="663">
        <v>140286.37843917561</v>
      </c>
      <c r="AB165" s="663">
        <v>234550.83357687722</v>
      </c>
      <c r="AC165" s="663">
        <v>235293.37977226599</v>
      </c>
      <c r="AD165" s="663">
        <v>236038.27673675618</v>
      </c>
      <c r="AE165" s="663">
        <v>236785.53191246439</v>
      </c>
      <c r="AF165" s="663">
        <v>237535.15276506764</v>
      </c>
      <c r="AG165" s="663">
        <v>238287.14678387798</v>
      </c>
      <c r="AH165" s="663">
        <v>239041.52148191724</v>
      </c>
      <c r="AI165" s="663">
        <v>239798.28439599214</v>
      </c>
      <c r="AJ165" s="663">
        <v>333786.54862368718</v>
      </c>
      <c r="AK165" s="663">
        <v>334843.25743163622</v>
      </c>
      <c r="AL165" s="663">
        <v>2846089.9702250944</v>
      </c>
      <c r="AM165" s="663">
        <v>207463.5104127322</v>
      </c>
      <c r="AN165" s="663">
        <v>208096.26471374941</v>
      </c>
      <c r="AO165" s="663">
        <v>250718.02905329294</v>
      </c>
      <c r="AP165" s="663">
        <v>251482.70767514029</v>
      </c>
      <c r="AQ165" s="663">
        <v>252249.71853211615</v>
      </c>
      <c r="AR165" s="663">
        <v>253019.06873743198</v>
      </c>
      <c r="AS165" s="663">
        <v>253790.76542599406</v>
      </c>
      <c r="AT165" s="663">
        <v>254564.81575446995</v>
      </c>
      <c r="AU165" s="663">
        <v>255341.2269013547</v>
      </c>
      <c r="AV165" s="663">
        <v>256120.00606703741</v>
      </c>
      <c r="AW165" s="663">
        <v>298633.29023135331</v>
      </c>
      <c r="AX165" s="663">
        <v>299544.10822746682</v>
      </c>
      <c r="AY165" s="663">
        <v>3041023.5117321392</v>
      </c>
      <c r="AZ165" s="663">
        <v>185338.4671545944</v>
      </c>
      <c r="BA165" s="663">
        <v>185883.7828200722</v>
      </c>
      <c r="BB165" s="663">
        <v>267296.96868344134</v>
      </c>
      <c r="BC165" s="663">
        <v>268083.42832452722</v>
      </c>
      <c r="BD165" s="663">
        <v>268872.20194160059</v>
      </c>
      <c r="BE165" s="663">
        <v>269663.29634300177</v>
      </c>
      <c r="BF165" s="663">
        <v>270456.718357103</v>
      </c>
      <c r="BG165" s="663">
        <v>271252.47483236738</v>
      </c>
      <c r="BH165" s="663">
        <v>272050.57263740827</v>
      </c>
      <c r="BI165" s="663">
        <v>272851.01866104809</v>
      </c>
      <c r="BJ165" s="663">
        <v>354046.31685346185</v>
      </c>
      <c r="BK165" s="663">
        <v>355088.01643072168</v>
      </c>
      <c r="BL165" s="663">
        <v>3240883.2630393477</v>
      </c>
      <c r="BM165" s="663">
        <v>219427.0645781538</v>
      </c>
      <c r="BN165" s="663">
        <v>220050.66062488974</v>
      </c>
      <c r="BO165" s="663">
        <v>284279.36954062432</v>
      </c>
      <c r="BP165" s="663">
        <v>285087.27120651462</v>
      </c>
      <c r="BQ165" s="663">
        <v>285897.46887124155</v>
      </c>
      <c r="BR165" s="663">
        <v>286709.96905986988</v>
      </c>
      <c r="BS165" s="663">
        <v>287524.77831600804</v>
      </c>
      <c r="BT165" s="663">
        <v>288341.90320186102</v>
      </c>
      <c r="BU165" s="663">
        <v>289161.3502982831</v>
      </c>
      <c r="BV165" s="663">
        <v>289983.12620483089</v>
      </c>
      <c r="BW165" s="663">
        <v>354050.60115916101</v>
      </c>
      <c r="BX165" s="663">
        <v>355056.7876824679</v>
      </c>
      <c r="BY165" s="663">
        <v>3445570.3507439061</v>
      </c>
      <c r="CA165" s="64"/>
    </row>
    <row r="166" spans="2:79">
      <c r="CA166" s="61"/>
    </row>
    <row r="167" spans="2:79">
      <c r="D167" s="25"/>
      <c r="CA167" s="61"/>
    </row>
    <row r="168" spans="2:79" customFormat="1">
      <c r="B168" s="656" t="s">
        <v>421</v>
      </c>
      <c r="C168" s="656"/>
      <c r="D168" s="656"/>
      <c r="E168" s="656"/>
      <c r="F168" s="656"/>
      <c r="G168" s="656"/>
      <c r="H168" s="656"/>
      <c r="I168" s="656"/>
      <c r="K168" s="656" t="s">
        <v>422</v>
      </c>
      <c r="L168" s="656"/>
      <c r="M168" s="656"/>
      <c r="N168" s="656"/>
      <c r="O168" s="656"/>
      <c r="P168" s="656"/>
      <c r="Q168" s="656"/>
      <c r="R168" s="656"/>
      <c r="S168" s="656"/>
      <c r="T168" s="656"/>
      <c r="U168" s="656"/>
      <c r="V168" s="656"/>
      <c r="W168" s="656"/>
      <c r="X168" s="656"/>
      <c r="Y168" s="656"/>
      <c r="Z168" s="656"/>
      <c r="AA168" s="656"/>
      <c r="AB168" s="656"/>
      <c r="AC168" s="656"/>
      <c r="AD168" s="656"/>
      <c r="AE168" s="656"/>
      <c r="AF168" s="656"/>
      <c r="AG168" s="656"/>
      <c r="AH168" s="656"/>
      <c r="AI168" s="656"/>
      <c r="AJ168" s="656"/>
      <c r="AK168" s="656"/>
      <c r="AL168" s="656"/>
      <c r="AM168" s="656"/>
      <c r="AN168" s="656"/>
      <c r="AO168" s="656"/>
      <c r="AP168" s="656"/>
      <c r="AQ168" s="656"/>
      <c r="AR168" s="656"/>
      <c r="AS168" s="656"/>
      <c r="AT168" s="656"/>
      <c r="AU168" s="656"/>
      <c r="AV168" s="656"/>
      <c r="AW168" s="656"/>
      <c r="AX168" s="656"/>
      <c r="AY168" s="656"/>
      <c r="AZ168" s="656"/>
      <c r="BA168" s="656"/>
      <c r="BB168" s="656"/>
      <c r="BC168" s="656"/>
      <c r="BD168" s="656"/>
      <c r="BE168" s="656"/>
      <c r="BF168" s="656"/>
      <c r="BG168" s="656"/>
      <c r="BH168" s="656"/>
      <c r="BI168" s="656"/>
      <c r="BJ168" s="656"/>
      <c r="BK168" s="656"/>
      <c r="BL168" s="656"/>
      <c r="BM168" s="656"/>
      <c r="BN168" s="656"/>
      <c r="BO168" s="656"/>
      <c r="BP168" s="656"/>
      <c r="BQ168" s="656"/>
      <c r="BR168" s="656"/>
      <c r="BS168" s="656"/>
      <c r="BT168" s="656"/>
      <c r="BU168" s="656"/>
      <c r="BV168" s="656"/>
      <c r="BW168" s="656"/>
      <c r="BX168" s="656"/>
      <c r="BY168" s="656"/>
      <c r="CA168" s="64"/>
    </row>
    <row r="169" spans="2:79" s="48" customFormat="1">
      <c r="B169" s="575"/>
      <c r="C169" s="649"/>
      <c r="D169" s="576"/>
      <c r="E169" s="576"/>
      <c r="F169" s="576"/>
      <c r="G169" s="576"/>
      <c r="H169" s="576"/>
      <c r="I169" s="576"/>
      <c r="K169" s="575"/>
      <c r="L169" s="649"/>
      <c r="M169" s="576"/>
      <c r="N169" s="576"/>
      <c r="O169" s="576"/>
      <c r="P169" s="576"/>
      <c r="Q169" s="576"/>
      <c r="R169" s="576"/>
      <c r="S169" s="576"/>
      <c r="T169" s="576"/>
      <c r="U169" s="576"/>
      <c r="V169" s="576"/>
      <c r="W169" s="576"/>
      <c r="X169" s="576"/>
      <c r="Y169" s="576"/>
      <c r="Z169" s="576"/>
      <c r="AA169" s="576"/>
      <c r="AB169" s="576"/>
      <c r="AC169" s="576"/>
      <c r="AD169" s="576"/>
      <c r="AE169" s="576"/>
      <c r="AF169" s="576"/>
      <c r="AG169" s="576"/>
      <c r="AH169" s="576"/>
      <c r="AI169" s="576"/>
      <c r="AJ169" s="576"/>
      <c r="AK169" s="576"/>
      <c r="AL169" s="576"/>
      <c r="AM169" s="576"/>
      <c r="AN169" s="576"/>
      <c r="AO169" s="576"/>
      <c r="AP169" s="576"/>
      <c r="AQ169" s="576"/>
      <c r="AR169" s="576"/>
      <c r="AS169" s="576"/>
      <c r="AT169" s="576"/>
      <c r="AU169" s="576"/>
      <c r="AV169" s="576"/>
      <c r="AW169" s="576"/>
      <c r="AX169" s="576"/>
      <c r="AY169" s="576"/>
      <c r="AZ169" s="576"/>
      <c r="BA169" s="576"/>
      <c r="BB169" s="576"/>
      <c r="BC169" s="576"/>
      <c r="BD169" s="576"/>
      <c r="BE169" s="576"/>
      <c r="BF169" s="576"/>
      <c r="BG169" s="576"/>
      <c r="BH169" s="576"/>
      <c r="BI169" s="576"/>
      <c r="BJ169" s="576"/>
      <c r="BK169" s="576"/>
      <c r="BL169" s="576"/>
      <c r="BM169" s="576"/>
      <c r="BN169" s="576"/>
      <c r="BO169" s="576"/>
      <c r="BP169" s="576"/>
      <c r="BQ169" s="576"/>
      <c r="BR169" s="576"/>
      <c r="BS169" s="576"/>
      <c r="BT169" s="576"/>
      <c r="BU169" s="576"/>
      <c r="BV169" s="576"/>
      <c r="BW169" s="576"/>
      <c r="BX169" s="576"/>
      <c r="BY169" s="576"/>
      <c r="CA169" s="64"/>
    </row>
    <row r="170" spans="2:79" customFormat="1">
      <c r="B170" s="541" t="s">
        <v>59</v>
      </c>
      <c r="C170" s="541" t="s">
        <v>60</v>
      </c>
      <c r="D170" s="657" t="s">
        <v>6</v>
      </c>
      <c r="E170" s="657" t="s">
        <v>12</v>
      </c>
      <c r="F170" s="657" t="s">
        <v>13</v>
      </c>
      <c r="G170" s="657" t="s">
        <v>14</v>
      </c>
      <c r="H170" s="657" t="s">
        <v>15</v>
      </c>
      <c r="I170" s="657" t="s">
        <v>57</v>
      </c>
      <c r="J170" s="28"/>
      <c r="K170" s="541" t="s">
        <v>61</v>
      </c>
      <c r="L170" s="541" t="s">
        <v>130</v>
      </c>
      <c r="M170" s="657" t="s">
        <v>131</v>
      </c>
      <c r="N170" s="657" t="s">
        <v>132</v>
      </c>
      <c r="O170" s="657" t="s">
        <v>133</v>
      </c>
      <c r="P170" s="657" t="s">
        <v>134</v>
      </c>
      <c r="Q170" s="657" t="s">
        <v>135</v>
      </c>
      <c r="R170" s="657" t="s">
        <v>136</v>
      </c>
      <c r="S170" s="657" t="s">
        <v>137</v>
      </c>
      <c r="T170" s="657" t="s">
        <v>138</v>
      </c>
      <c r="U170" s="657" t="s">
        <v>139</v>
      </c>
      <c r="V170" s="657" t="s">
        <v>140</v>
      </c>
      <c r="W170" s="657" t="s">
        <v>141</v>
      </c>
      <c r="X170" s="657" t="s">
        <v>142</v>
      </c>
      <c r="Y170" s="657" t="s">
        <v>143</v>
      </c>
      <c r="Z170" s="657" t="s">
        <v>144</v>
      </c>
      <c r="AA170" s="657" t="s">
        <v>145</v>
      </c>
      <c r="AB170" s="657" t="s">
        <v>146</v>
      </c>
      <c r="AC170" s="657" t="s">
        <v>147</v>
      </c>
      <c r="AD170" s="657" t="s">
        <v>148</v>
      </c>
      <c r="AE170" s="657" t="s">
        <v>149</v>
      </c>
      <c r="AF170" s="657" t="s">
        <v>150</v>
      </c>
      <c r="AG170" s="657" t="s">
        <v>151</v>
      </c>
      <c r="AH170" s="657" t="s">
        <v>152</v>
      </c>
      <c r="AI170" s="657" t="s">
        <v>153</v>
      </c>
      <c r="AJ170" s="657" t="s">
        <v>154</v>
      </c>
      <c r="AK170" s="657" t="s">
        <v>155</v>
      </c>
      <c r="AL170" s="657" t="s">
        <v>156</v>
      </c>
      <c r="AM170" s="657" t="s">
        <v>157</v>
      </c>
      <c r="AN170" s="657" t="s">
        <v>158</v>
      </c>
      <c r="AO170" s="657" t="s">
        <v>159</v>
      </c>
      <c r="AP170" s="657" t="s">
        <v>160</v>
      </c>
      <c r="AQ170" s="657" t="s">
        <v>161</v>
      </c>
      <c r="AR170" s="657" t="s">
        <v>162</v>
      </c>
      <c r="AS170" s="657" t="s">
        <v>163</v>
      </c>
      <c r="AT170" s="657" t="s">
        <v>164</v>
      </c>
      <c r="AU170" s="657" t="s">
        <v>165</v>
      </c>
      <c r="AV170" s="657" t="s">
        <v>166</v>
      </c>
      <c r="AW170" s="657" t="s">
        <v>167</v>
      </c>
      <c r="AX170" s="657" t="s">
        <v>168</v>
      </c>
      <c r="AY170" s="657" t="s">
        <v>169</v>
      </c>
      <c r="AZ170" s="657" t="s">
        <v>170</v>
      </c>
      <c r="BA170" s="657" t="s">
        <v>171</v>
      </c>
      <c r="BB170" s="657" t="s">
        <v>172</v>
      </c>
      <c r="BC170" s="657" t="s">
        <v>173</v>
      </c>
      <c r="BD170" s="657" t="s">
        <v>174</v>
      </c>
      <c r="BE170" s="657" t="s">
        <v>175</v>
      </c>
      <c r="BF170" s="657" t="s">
        <v>176</v>
      </c>
      <c r="BG170" s="657" t="s">
        <v>177</v>
      </c>
      <c r="BH170" s="657" t="s">
        <v>178</v>
      </c>
      <c r="BI170" s="657" t="s">
        <v>179</v>
      </c>
      <c r="BJ170" s="657" t="s">
        <v>180</v>
      </c>
      <c r="BK170" s="657" t="s">
        <v>181</v>
      </c>
      <c r="BL170" s="657" t="s">
        <v>182</v>
      </c>
      <c r="BM170" s="657" t="s">
        <v>183</v>
      </c>
      <c r="BN170" s="657" t="s">
        <v>184</v>
      </c>
      <c r="BO170" s="657" t="s">
        <v>185</v>
      </c>
      <c r="BP170" s="657" t="s">
        <v>186</v>
      </c>
      <c r="BQ170" s="657" t="s">
        <v>187</v>
      </c>
      <c r="BR170" s="657" t="s">
        <v>188</v>
      </c>
      <c r="BS170" s="657" t="s">
        <v>189</v>
      </c>
      <c r="BT170" s="657" t="s">
        <v>190</v>
      </c>
      <c r="BU170" s="657" t="s">
        <v>191</v>
      </c>
      <c r="BV170" s="657" t="s">
        <v>192</v>
      </c>
      <c r="BW170" s="657" t="s">
        <v>193</v>
      </c>
      <c r="BX170" s="657" t="s">
        <v>194</v>
      </c>
      <c r="BY170" s="657" t="s">
        <v>195</v>
      </c>
      <c r="CA170" s="64"/>
    </row>
    <row r="171" spans="2:79" customFormat="1">
      <c r="B171" s="542" t="s">
        <v>260</v>
      </c>
      <c r="C171" s="649">
        <v>0</v>
      </c>
      <c r="D171" s="658">
        <v>1661.5384615384612</v>
      </c>
      <c r="E171" s="658">
        <v>2584.578113206795</v>
      </c>
      <c r="F171" s="658">
        <v>2682.4674725167893</v>
      </c>
      <c r="G171" s="658">
        <v>2780.3564348474933</v>
      </c>
      <c r="H171" s="658">
        <v>2878.2450407715037</v>
      </c>
      <c r="I171" s="658">
        <v>2517.4371045762086</v>
      </c>
      <c r="J171" s="28"/>
      <c r="K171" s="542" t="s">
        <v>260</v>
      </c>
      <c r="L171" s="649"/>
      <c r="M171" s="658">
        <v>65.934065934065927</v>
      </c>
      <c r="N171" s="658">
        <v>79.12087912087911</v>
      </c>
      <c r="O171" s="658">
        <v>92.307692307692292</v>
      </c>
      <c r="P171" s="658">
        <v>105.49450549450549</v>
      </c>
      <c r="Q171" s="658">
        <v>118.68131868131867</v>
      </c>
      <c r="R171" s="658">
        <v>131.86813186813185</v>
      </c>
      <c r="S171" s="658">
        <v>145.05494505494505</v>
      </c>
      <c r="T171" s="658">
        <v>158.24175824175822</v>
      </c>
      <c r="U171" s="658">
        <v>171.42857142857142</v>
      </c>
      <c r="V171" s="658">
        <v>184.61538461538458</v>
      </c>
      <c r="W171" s="658">
        <v>197.80219780219778</v>
      </c>
      <c r="X171" s="658">
        <v>210.98901098901098</v>
      </c>
      <c r="Y171" s="658">
        <v>1661.5384615384612</v>
      </c>
      <c r="Z171" s="658">
        <v>126.99417878847289</v>
      </c>
      <c r="AA171" s="658">
        <v>127.39621975698215</v>
      </c>
      <c r="AB171" s="658">
        <v>212.99922252607544</v>
      </c>
      <c r="AC171" s="658">
        <v>213.67354015648226</v>
      </c>
      <c r="AD171" s="658">
        <v>214.3499925564966</v>
      </c>
      <c r="AE171" s="658">
        <v>215.02858648441912</v>
      </c>
      <c r="AF171" s="658">
        <v>215.70932871994606</v>
      </c>
      <c r="AG171" s="658">
        <v>216.39222606423692</v>
      </c>
      <c r="AH171" s="658">
        <v>217.07728533998252</v>
      </c>
      <c r="AI171" s="658">
        <v>217.76451339147309</v>
      </c>
      <c r="AJ171" s="658">
        <v>303.11670294364859</v>
      </c>
      <c r="AK171" s="658">
        <v>304.07631647857903</v>
      </c>
      <c r="AL171" s="658">
        <v>2584.578113206795</v>
      </c>
      <c r="AM171" s="658">
        <v>183.00224127478614</v>
      </c>
      <c r="AN171" s="658">
        <v>183.56038981392945</v>
      </c>
      <c r="AO171" s="658">
        <v>221.15677669519346</v>
      </c>
      <c r="AP171" s="658">
        <v>221.83129483756261</v>
      </c>
      <c r="AQ171" s="658">
        <v>222.50787022968547</v>
      </c>
      <c r="AR171" s="658">
        <v>223.18650914608051</v>
      </c>
      <c r="AS171" s="658">
        <v>223.86721788040319</v>
      </c>
      <c r="AT171" s="658">
        <v>224.55000274550437</v>
      </c>
      <c r="AU171" s="658">
        <v>225.23487007348879</v>
      </c>
      <c r="AV171" s="658">
        <v>225.92182621577385</v>
      </c>
      <c r="AW171" s="658">
        <v>263.42252342534067</v>
      </c>
      <c r="AX171" s="658">
        <v>264.22595017904104</v>
      </c>
      <c r="AY171" s="658">
        <v>2682.4674725167893</v>
      </c>
      <c r="AZ171" s="658">
        <v>159.00202443416148</v>
      </c>
      <c r="BA171" s="658">
        <v>159.46985119510211</v>
      </c>
      <c r="BB171" s="658">
        <v>229.31429075827594</v>
      </c>
      <c r="BC171" s="658">
        <v>229.98899513556054</v>
      </c>
      <c r="BD171" s="658">
        <v>230.6656846747608</v>
      </c>
      <c r="BE171" s="658">
        <v>231.3443652167575</v>
      </c>
      <c r="BF171" s="658">
        <v>232.02504261961684</v>
      </c>
      <c r="BG171" s="658">
        <v>232.70772275864107</v>
      </c>
      <c r="BH171" s="658">
        <v>233.39241152641915</v>
      </c>
      <c r="BI171" s="658">
        <v>234.07911483287762</v>
      </c>
      <c r="BJ171" s="658">
        <v>303.73662838272554</v>
      </c>
      <c r="BK171" s="658">
        <v>304.63030331259512</v>
      </c>
      <c r="BL171" s="658">
        <v>2780.3564348474933</v>
      </c>
      <c r="BM171" s="658">
        <v>183.29762452731913</v>
      </c>
      <c r="BN171" s="658">
        <v>183.81854328568227</v>
      </c>
      <c r="BO171" s="658">
        <v>237.47176875877602</v>
      </c>
      <c r="BP171" s="658">
        <v>238.14664656609688</v>
      </c>
      <c r="BQ171" s="658">
        <v>238.82344232794847</v>
      </c>
      <c r="BR171" s="658">
        <v>239.5021614950206</v>
      </c>
      <c r="BS171" s="658">
        <v>240.18280953349355</v>
      </c>
      <c r="BT171" s="658">
        <v>240.86539192508209</v>
      </c>
      <c r="BU171" s="658">
        <v>241.54991416707963</v>
      </c>
      <c r="BV171" s="658">
        <v>242.2363817724025</v>
      </c>
      <c r="BW171" s="658">
        <v>295.75492102447163</v>
      </c>
      <c r="BX171" s="658">
        <v>296.59543538813102</v>
      </c>
      <c r="BY171" s="658">
        <v>2878.2450407715037</v>
      </c>
      <c r="CA171" s="64"/>
    </row>
    <row r="172" spans="2:79" customFormat="1">
      <c r="B172" s="542" t="s">
        <v>423</v>
      </c>
      <c r="C172" s="649">
        <v>0</v>
      </c>
      <c r="D172" s="658">
        <v>116.30769230769229</v>
      </c>
      <c r="E172" s="658">
        <v>180.92046792447562</v>
      </c>
      <c r="F172" s="658">
        <v>187.77272307617528</v>
      </c>
      <c r="G172" s="658">
        <v>194.62495043932458</v>
      </c>
      <c r="H172" s="658">
        <v>201.47715285400525</v>
      </c>
      <c r="I172" s="658">
        <v>176.2205973203346</v>
      </c>
      <c r="J172" s="28"/>
      <c r="K172" s="542" t="s">
        <v>423</v>
      </c>
      <c r="L172" s="649"/>
      <c r="M172" s="658">
        <v>4.615384615384615</v>
      </c>
      <c r="N172" s="658">
        <v>5.5384615384615383</v>
      </c>
      <c r="O172" s="658">
        <v>6.4615384615384608</v>
      </c>
      <c r="P172" s="658">
        <v>7.384615384615385</v>
      </c>
      <c r="Q172" s="658">
        <v>8.3076923076923084</v>
      </c>
      <c r="R172" s="658">
        <v>9.2307692307692299</v>
      </c>
      <c r="S172" s="658">
        <v>10.153846153846155</v>
      </c>
      <c r="T172" s="658">
        <v>11.076923076923077</v>
      </c>
      <c r="U172" s="658">
        <v>12</v>
      </c>
      <c r="V172" s="658">
        <v>12.923076923076922</v>
      </c>
      <c r="W172" s="658">
        <v>13.846153846153847</v>
      </c>
      <c r="X172" s="658">
        <v>14.76923076923077</v>
      </c>
      <c r="Y172" s="658">
        <v>116.30769230769229</v>
      </c>
      <c r="Z172" s="658">
        <v>8.8895925151931028</v>
      </c>
      <c r="AA172" s="658">
        <v>8.9177353829887505</v>
      </c>
      <c r="AB172" s="658">
        <v>14.909945576825283</v>
      </c>
      <c r="AC172" s="658">
        <v>14.95714781095376</v>
      </c>
      <c r="AD172" s="658">
        <v>15.004499478954763</v>
      </c>
      <c r="AE172" s="658">
        <v>15.05200105390934</v>
      </c>
      <c r="AF172" s="658">
        <v>15.099653010396226</v>
      </c>
      <c r="AG172" s="658">
        <v>15.147455824496586</v>
      </c>
      <c r="AH172" s="658">
        <v>15.195409973798778</v>
      </c>
      <c r="AI172" s="658">
        <v>15.243515937403117</v>
      </c>
      <c r="AJ172" s="658">
        <v>21.218169206055403</v>
      </c>
      <c r="AK172" s="658">
        <v>21.285342153500533</v>
      </c>
      <c r="AL172" s="658">
        <v>180.92046792447562</v>
      </c>
      <c r="AM172" s="658">
        <v>12.810156889235031</v>
      </c>
      <c r="AN172" s="658">
        <v>12.849227286975063</v>
      </c>
      <c r="AO172" s="658">
        <v>15.480974368663544</v>
      </c>
      <c r="AP172" s="658">
        <v>15.528190638629384</v>
      </c>
      <c r="AQ172" s="658">
        <v>15.575550916077985</v>
      </c>
      <c r="AR172" s="658">
        <v>15.623055640225637</v>
      </c>
      <c r="AS172" s="658">
        <v>15.670705251628224</v>
      </c>
      <c r="AT172" s="658">
        <v>15.718500192185308</v>
      </c>
      <c r="AU172" s="658">
        <v>15.766440905144217</v>
      </c>
      <c r="AV172" s="658">
        <v>15.814527835104171</v>
      </c>
      <c r="AW172" s="658">
        <v>18.439576639773847</v>
      </c>
      <c r="AX172" s="658">
        <v>18.495816512532873</v>
      </c>
      <c r="AY172" s="658">
        <v>187.77272307617528</v>
      </c>
      <c r="AZ172" s="658">
        <v>11.130141710391305</v>
      </c>
      <c r="BA172" s="658">
        <v>11.162889583657149</v>
      </c>
      <c r="BB172" s="658">
        <v>16.052000353079318</v>
      </c>
      <c r="BC172" s="658">
        <v>16.099229659489239</v>
      </c>
      <c r="BD172" s="658">
        <v>16.146597927233259</v>
      </c>
      <c r="BE172" s="658">
        <v>16.194105565173025</v>
      </c>
      <c r="BF172" s="658">
        <v>16.241752983373182</v>
      </c>
      <c r="BG172" s="658">
        <v>16.289540593104878</v>
      </c>
      <c r="BH172" s="658">
        <v>16.337468806849341</v>
      </c>
      <c r="BI172" s="658">
        <v>16.385538038301434</v>
      </c>
      <c r="BJ172" s="658">
        <v>21.26156398679079</v>
      </c>
      <c r="BK172" s="658">
        <v>21.324121231881659</v>
      </c>
      <c r="BL172" s="658">
        <v>194.62495043932458</v>
      </c>
      <c r="BM172" s="658">
        <v>12.830833716912339</v>
      </c>
      <c r="BN172" s="658">
        <v>12.867298029997761</v>
      </c>
      <c r="BO172" s="658">
        <v>16.623023813114322</v>
      </c>
      <c r="BP172" s="658">
        <v>16.670265259626785</v>
      </c>
      <c r="BQ172" s="658">
        <v>16.717640962956395</v>
      </c>
      <c r="BR172" s="658">
        <v>16.765151304651443</v>
      </c>
      <c r="BS172" s="658">
        <v>16.81279666734455</v>
      </c>
      <c r="BT172" s="658">
        <v>16.860577434755747</v>
      </c>
      <c r="BU172" s="658">
        <v>16.908493991695575</v>
      </c>
      <c r="BV172" s="658">
        <v>16.956546724068176</v>
      </c>
      <c r="BW172" s="658">
        <v>20.702844471713014</v>
      </c>
      <c r="BX172" s="658">
        <v>20.761680477169172</v>
      </c>
      <c r="BY172" s="658">
        <v>201.47715285400525</v>
      </c>
      <c r="CA172" s="64"/>
    </row>
    <row r="173" spans="2:79" customFormat="1">
      <c r="B173" s="542" t="s">
        <v>424</v>
      </c>
      <c r="C173" s="649">
        <v>0</v>
      </c>
      <c r="D173" s="658">
        <v>45593.364600000001</v>
      </c>
      <c r="E173" s="658">
        <v>73113.478311384431</v>
      </c>
      <c r="F173" s="658">
        <v>78121.144761932199</v>
      </c>
      <c r="G173" s="658">
        <v>83255.361088678386</v>
      </c>
      <c r="H173" s="658">
        <v>88513.587323291809</v>
      </c>
      <c r="I173" s="658">
        <v>73719.38721705736</v>
      </c>
      <c r="J173" s="28"/>
      <c r="K173" s="542" t="s">
        <v>425</v>
      </c>
      <c r="L173" s="649"/>
      <c r="M173" s="658">
        <v>1809.2604999999999</v>
      </c>
      <c r="N173" s="658">
        <v>2171.1125999999999</v>
      </c>
      <c r="O173" s="658">
        <v>2532.9646999999995</v>
      </c>
      <c r="P173" s="658">
        <v>2894.8168000000001</v>
      </c>
      <c r="Q173" s="658">
        <v>3256.6689000000001</v>
      </c>
      <c r="R173" s="658">
        <v>3618.5209999999997</v>
      </c>
      <c r="S173" s="658">
        <v>3980.3731000000002</v>
      </c>
      <c r="T173" s="658">
        <v>4342.2251999999999</v>
      </c>
      <c r="U173" s="658">
        <v>4704.0772999999999</v>
      </c>
      <c r="V173" s="658">
        <v>5065.9293999999991</v>
      </c>
      <c r="W173" s="658">
        <v>5427.7815000000001</v>
      </c>
      <c r="X173" s="658">
        <v>5789.6336000000001</v>
      </c>
      <c r="Y173" s="658">
        <v>45593.364600000001</v>
      </c>
      <c r="Z173" s="658">
        <v>3592.4571554166787</v>
      </c>
      <c r="AA173" s="658">
        <v>3603.8302354103489</v>
      </c>
      <c r="AB173" s="658">
        <v>6025.398867585297</v>
      </c>
      <c r="AC173" s="658">
        <v>6044.4742080417554</v>
      </c>
      <c r="AD173" s="658">
        <v>6063.609937631204</v>
      </c>
      <c r="AE173" s="658">
        <v>6082.8062475348897</v>
      </c>
      <c r="AF173" s="658">
        <v>6102.0633295393063</v>
      </c>
      <c r="AG173" s="658">
        <v>6121.3813760381063</v>
      </c>
      <c r="AH173" s="658">
        <v>6140.7605800340325</v>
      </c>
      <c r="AI173" s="658">
        <v>6160.2011351408337</v>
      </c>
      <c r="AJ173" s="658">
        <v>8574.6746725296634</v>
      </c>
      <c r="AK173" s="658">
        <v>8601.8205664823108</v>
      </c>
      <c r="AL173" s="658">
        <v>73113.478311384431</v>
      </c>
      <c r="AM173" s="658">
        <v>5329.5500239457733</v>
      </c>
      <c r="AN173" s="658">
        <v>5345.8049098938081</v>
      </c>
      <c r="AO173" s="658">
        <v>6440.7195033301141</v>
      </c>
      <c r="AP173" s="658">
        <v>6460.3634058133493</v>
      </c>
      <c r="AQ173" s="658">
        <v>6480.0672213085654</v>
      </c>
      <c r="AR173" s="658">
        <v>6499.8311325477334</v>
      </c>
      <c r="AS173" s="658">
        <v>6519.6553228201474</v>
      </c>
      <c r="AT173" s="658">
        <v>6539.5399759741267</v>
      </c>
      <c r="AU173" s="658">
        <v>6559.4852764187162</v>
      </c>
      <c r="AV173" s="658">
        <v>6579.4914091254059</v>
      </c>
      <c r="AW173" s="658">
        <v>7671.619244932227</v>
      </c>
      <c r="AX173" s="658">
        <v>7695.0173358222346</v>
      </c>
      <c r="AY173" s="658">
        <v>78121.144761932199</v>
      </c>
      <c r="AZ173" s="658">
        <v>4761.1776649144222</v>
      </c>
      <c r="BA173" s="658">
        <v>4775.1863313648428</v>
      </c>
      <c r="BB173" s="658">
        <v>6866.6174741446966</v>
      </c>
      <c r="BC173" s="658">
        <v>6886.8209113209159</v>
      </c>
      <c r="BD173" s="658">
        <v>6907.0837924482921</v>
      </c>
      <c r="BE173" s="658">
        <v>6927.4062924269301</v>
      </c>
      <c r="BF173" s="658">
        <v>6947.7885866715415</v>
      </c>
      <c r="BG173" s="658">
        <v>6968.2308511129522</v>
      </c>
      <c r="BH173" s="658">
        <v>6988.7332621996266</v>
      </c>
      <c r="BI173" s="658">
        <v>7009.295996899189</v>
      </c>
      <c r="BJ173" s="658">
        <v>9095.1298023947784</v>
      </c>
      <c r="BK173" s="658">
        <v>9121.8901227801998</v>
      </c>
      <c r="BL173" s="658">
        <v>83255.361088678386</v>
      </c>
      <c r="BM173" s="658">
        <v>5636.8829147367996</v>
      </c>
      <c r="BN173" s="658">
        <v>5652.9025334119215</v>
      </c>
      <c r="BO173" s="658">
        <v>7302.8799991304004</v>
      </c>
      <c r="BP173" s="658">
        <v>7323.6342625390635</v>
      </c>
      <c r="BQ173" s="658">
        <v>7344.4475080821267</v>
      </c>
      <c r="BR173" s="658">
        <v>7365.3199033826077</v>
      </c>
      <c r="BS173" s="658">
        <v>7386.2516165398911</v>
      </c>
      <c r="BT173" s="658">
        <v>7407.24281613109</v>
      </c>
      <c r="BU173" s="658">
        <v>7428.293671212401</v>
      </c>
      <c r="BV173" s="658">
        <v>7449.4043513204679</v>
      </c>
      <c r="BW173" s="658">
        <v>9095.23986233494</v>
      </c>
      <c r="BX173" s="658">
        <v>9121.087884470091</v>
      </c>
      <c r="BY173" s="658">
        <v>88513.587323291809</v>
      </c>
      <c r="CA173" s="64"/>
    </row>
    <row r="174" spans="2:79" s="669" customFormat="1">
      <c r="B174" s="545" t="s">
        <v>426</v>
      </c>
      <c r="C174" s="650">
        <v>0</v>
      </c>
      <c r="D174" s="667">
        <v>290769.23076923081</v>
      </c>
      <c r="E174" s="667">
        <v>279766.36557501287</v>
      </c>
      <c r="F174" s="667">
        <v>298928.03966354451</v>
      </c>
      <c r="G174" s="667">
        <v>318573.95276991115</v>
      </c>
      <c r="H174" s="667">
        <v>338694.38578725135</v>
      </c>
      <c r="I174" s="667">
        <v>305346.39491299016</v>
      </c>
      <c r="J174" s="668"/>
      <c r="K174" s="545" t="s">
        <v>427</v>
      </c>
      <c r="L174" s="650"/>
      <c r="M174" s="667">
        <v>11538.461538461537</v>
      </c>
      <c r="N174" s="667">
        <v>13846.153846153846</v>
      </c>
      <c r="O174" s="667">
        <v>16153.846153846152</v>
      </c>
      <c r="P174" s="667">
        <v>18461.538461538461</v>
      </c>
      <c r="Q174" s="667">
        <v>20769.23076923077</v>
      </c>
      <c r="R174" s="667">
        <v>23076.923076923074</v>
      </c>
      <c r="S174" s="667">
        <v>25384.615384615387</v>
      </c>
      <c r="T174" s="667">
        <v>27692.307692307691</v>
      </c>
      <c r="U174" s="667">
        <v>30000</v>
      </c>
      <c r="V174" s="667">
        <v>32307.692307692305</v>
      </c>
      <c r="W174" s="667">
        <v>34615.384615384617</v>
      </c>
      <c r="X174" s="667">
        <v>36923.076923076922</v>
      </c>
      <c r="Y174" s="667">
        <v>290769.23076923081</v>
      </c>
      <c r="Z174" s="667">
        <v>13746.421385868854</v>
      </c>
      <c r="AA174" s="667">
        <v>13789.940109484653</v>
      </c>
      <c r="AB174" s="667">
        <v>23055.994342723774</v>
      </c>
      <c r="AC174" s="667">
        <v>23128.985517468347</v>
      </c>
      <c r="AD174" s="667">
        <v>23202.207769281697</v>
      </c>
      <c r="AE174" s="667">
        <v>23275.661829712706</v>
      </c>
      <c r="AF174" s="667">
        <v>23349.348432626204</v>
      </c>
      <c r="AG174" s="667">
        <v>23423.268314210294</v>
      </c>
      <c r="AH174" s="667">
        <v>23497.42221298374</v>
      </c>
      <c r="AI174" s="667">
        <v>23571.81086980331</v>
      </c>
      <c r="AJ174" s="667">
        <v>32810.715951783772</v>
      </c>
      <c r="AK174" s="667">
        <v>32914.588839065545</v>
      </c>
      <c r="AL174" s="667">
        <v>279766.36557501287</v>
      </c>
      <c r="AM174" s="667">
        <v>20393.351195785814</v>
      </c>
      <c r="AN174" s="667">
        <v>20455.549992362696</v>
      </c>
      <c r="AO174" s="667">
        <v>24645.205354074864</v>
      </c>
      <c r="AP174" s="667">
        <v>24720.372113068861</v>
      </c>
      <c r="AQ174" s="667">
        <v>24795.768127269966</v>
      </c>
      <c r="AR174" s="667">
        <v>24871.394095896168</v>
      </c>
      <c r="AS174" s="667">
        <v>24947.250720298034</v>
      </c>
      <c r="AT174" s="667">
        <v>25023.33870396523</v>
      </c>
      <c r="AU174" s="667">
        <v>25099.658752533014</v>
      </c>
      <c r="AV174" s="667">
        <v>25176.211573788827</v>
      </c>
      <c r="AW174" s="667">
        <v>29355.203497353257</v>
      </c>
      <c r="AX174" s="667">
        <v>29444.735537147782</v>
      </c>
      <c r="AY174" s="667">
        <v>298928.03966354451</v>
      </c>
      <c r="AZ174" s="667">
        <v>18218.492703863434</v>
      </c>
      <c r="BA174" s="667">
        <v>18272.096414012409</v>
      </c>
      <c r="BB174" s="667">
        <v>26274.890196767075</v>
      </c>
      <c r="BC174" s="667">
        <v>26352.197997209038</v>
      </c>
      <c r="BD174" s="667">
        <v>26429.733258011995</v>
      </c>
      <c r="BE174" s="667">
        <v>26507.496648425556</v>
      </c>
      <c r="BF174" s="667">
        <v>26585.488839668462</v>
      </c>
      <c r="BG174" s="667">
        <v>26663.710504934337</v>
      </c>
      <c r="BH174" s="667">
        <v>26742.162319397532</v>
      </c>
      <c r="BI174" s="667">
        <v>26820.844960218958</v>
      </c>
      <c r="BJ174" s="667">
        <v>34802.220712467039</v>
      </c>
      <c r="BK174" s="667">
        <v>34904.61821493529</v>
      </c>
      <c r="BL174" s="667">
        <v>318573.95276991115</v>
      </c>
      <c r="BM174" s="667">
        <v>21569.350585557419</v>
      </c>
      <c r="BN174" s="667">
        <v>21630.649139505964</v>
      </c>
      <c r="BO174" s="667">
        <v>27944.23467155762</v>
      </c>
      <c r="BP174" s="667">
        <v>28023.650190804281</v>
      </c>
      <c r="BQ174" s="667">
        <v>28103.291403285028</v>
      </c>
      <c r="BR174" s="667">
        <v>28183.158950403915</v>
      </c>
      <c r="BS174" s="667">
        <v>28263.253475387828</v>
      </c>
      <c r="BT174" s="667">
        <v>28343.575623291643</v>
      </c>
      <c r="BU174" s="667">
        <v>28424.126041003445</v>
      </c>
      <c r="BV174" s="667">
        <v>28504.905377249728</v>
      </c>
      <c r="BW174" s="667">
        <v>34802.641853276706</v>
      </c>
      <c r="BX174" s="667">
        <v>34901.548475927804</v>
      </c>
      <c r="BY174" s="667">
        <v>338694.38578725135</v>
      </c>
      <c r="CA174" s="670"/>
    </row>
    <row r="175" spans="2:79" customFormat="1">
      <c r="B175" s="656" t="s">
        <v>428</v>
      </c>
      <c r="C175" s="656">
        <v>0</v>
      </c>
      <c r="D175" s="664">
        <v>336362.59536923078</v>
      </c>
      <c r="E175" s="664">
        <v>352879.84388639726</v>
      </c>
      <c r="F175" s="664">
        <v>377049.18442547671</v>
      </c>
      <c r="G175" s="664">
        <v>401829.31385858945</v>
      </c>
      <c r="H175" s="664">
        <v>427207.97311054321</v>
      </c>
      <c r="I175" s="664">
        <v>379065.7821300475</v>
      </c>
      <c r="J175" s="153"/>
      <c r="K175" s="656" t="s">
        <v>428</v>
      </c>
      <c r="L175" s="656"/>
      <c r="M175" s="664">
        <v>13347.722038461538</v>
      </c>
      <c r="N175" s="664">
        <v>16017.266446153846</v>
      </c>
      <c r="O175" s="664">
        <v>18686.810853846153</v>
      </c>
      <c r="P175" s="664">
        <v>21356.355261538461</v>
      </c>
      <c r="Q175" s="664">
        <v>24025.89966923077</v>
      </c>
      <c r="R175" s="664">
        <v>26695.444076923075</v>
      </c>
      <c r="S175" s="664">
        <v>29364.988484615387</v>
      </c>
      <c r="T175" s="664">
        <v>32034.532892307692</v>
      </c>
      <c r="U175" s="664">
        <v>34704.077299999997</v>
      </c>
      <c r="V175" s="664">
        <v>37373.621707692306</v>
      </c>
      <c r="W175" s="664">
        <v>40043.166115384614</v>
      </c>
      <c r="X175" s="664">
        <v>42712.710523076923</v>
      </c>
      <c r="Y175" s="664">
        <v>336362.59536923078</v>
      </c>
      <c r="Z175" s="664">
        <v>17338.878541285532</v>
      </c>
      <c r="AA175" s="664">
        <v>17393.770344895001</v>
      </c>
      <c r="AB175" s="664">
        <v>29081.39321030907</v>
      </c>
      <c r="AC175" s="664">
        <v>29173.459725510103</v>
      </c>
      <c r="AD175" s="664">
        <v>29265.817706912901</v>
      </c>
      <c r="AE175" s="664">
        <v>29358.468077247595</v>
      </c>
      <c r="AF175" s="664">
        <v>29451.41176216551</v>
      </c>
      <c r="AG175" s="664">
        <v>29544.6496902484</v>
      </c>
      <c r="AH175" s="664">
        <v>29638.182793017771</v>
      </c>
      <c r="AI175" s="664">
        <v>29732.012004944143</v>
      </c>
      <c r="AJ175" s="664">
        <v>41385.390624313433</v>
      </c>
      <c r="AK175" s="664">
        <v>41516.409405547856</v>
      </c>
      <c r="AL175" s="664">
        <v>352879.84388639726</v>
      </c>
      <c r="AM175" s="664">
        <v>25722.901219731586</v>
      </c>
      <c r="AN175" s="664">
        <v>25801.354902256506</v>
      </c>
      <c r="AO175" s="664">
        <v>31085.924857404978</v>
      </c>
      <c r="AP175" s="664">
        <v>31180.735518882211</v>
      </c>
      <c r="AQ175" s="664">
        <v>31275.835348578534</v>
      </c>
      <c r="AR175" s="664">
        <v>31371.225228443902</v>
      </c>
      <c r="AS175" s="664">
        <v>31466.906043118182</v>
      </c>
      <c r="AT175" s="664">
        <v>31562.878679939357</v>
      </c>
      <c r="AU175" s="664">
        <v>31659.14402895173</v>
      </c>
      <c r="AV175" s="664">
        <v>31755.702982914234</v>
      </c>
      <c r="AW175" s="664">
        <v>37026.822742285483</v>
      </c>
      <c r="AX175" s="664">
        <v>37139.752872970013</v>
      </c>
      <c r="AY175" s="664">
        <v>377049.18442547671</v>
      </c>
      <c r="AZ175" s="664">
        <v>22979.670368777857</v>
      </c>
      <c r="BA175" s="664">
        <v>23047.282745377252</v>
      </c>
      <c r="BB175" s="664">
        <v>33141.507670911771</v>
      </c>
      <c r="BC175" s="664">
        <v>33239.01890852995</v>
      </c>
      <c r="BD175" s="664">
        <v>33336.817050460289</v>
      </c>
      <c r="BE175" s="664">
        <v>33434.902940852488</v>
      </c>
      <c r="BF175" s="664">
        <v>33533.277426340006</v>
      </c>
      <c r="BG175" s="664">
        <v>33631.941356047289</v>
      </c>
      <c r="BH175" s="664">
        <v>33730.895581597157</v>
      </c>
      <c r="BI175" s="664">
        <v>33830.140957118143</v>
      </c>
      <c r="BJ175" s="664">
        <v>43897.350514861813</v>
      </c>
      <c r="BK175" s="664">
        <v>44026.508337715488</v>
      </c>
      <c r="BL175" s="664">
        <v>401829.31385858945</v>
      </c>
      <c r="BM175" s="664">
        <v>27206.23350029422</v>
      </c>
      <c r="BN175" s="664">
        <v>27283.551672917885</v>
      </c>
      <c r="BO175" s="664">
        <v>35247.114670688024</v>
      </c>
      <c r="BP175" s="664">
        <v>35347.284453343345</v>
      </c>
      <c r="BQ175" s="664">
        <v>35447.738911367152</v>
      </c>
      <c r="BR175" s="664">
        <v>35548.478853786524</v>
      </c>
      <c r="BS175" s="664">
        <v>35649.50509192772</v>
      </c>
      <c r="BT175" s="664">
        <v>35750.818439422736</v>
      </c>
      <c r="BU175" s="664">
        <v>35852.419712215844</v>
      </c>
      <c r="BV175" s="664">
        <v>35954.309728570195</v>
      </c>
      <c r="BW175" s="664">
        <v>43897.881715611642</v>
      </c>
      <c r="BX175" s="664">
        <v>44022.636360397897</v>
      </c>
      <c r="BY175" s="664">
        <v>427207.97311054321</v>
      </c>
      <c r="CA175" s="64"/>
    </row>
    <row r="176" spans="2:79">
      <c r="CA176" s="61"/>
    </row>
    <row r="177" spans="1:79">
      <c r="CA177" s="61"/>
    </row>
    <row r="178" spans="1:79" s="34" customFormat="1">
      <c r="A178" s="62"/>
      <c r="B178" s="656" t="s">
        <v>283</v>
      </c>
      <c r="C178" s="656"/>
      <c r="D178" s="656"/>
      <c r="E178" s="656"/>
      <c r="F178" s="656"/>
      <c r="G178" s="656"/>
      <c r="H178" s="656"/>
      <c r="I178" s="656"/>
      <c r="K178" s="656" t="s">
        <v>284</v>
      </c>
      <c r="L178" s="656"/>
      <c r="M178" s="656"/>
      <c r="N178" s="656"/>
      <c r="O178" s="656"/>
      <c r="P178" s="656"/>
      <c r="Q178" s="656"/>
      <c r="R178" s="656"/>
      <c r="S178" s="656"/>
      <c r="T178" s="656"/>
      <c r="U178" s="656"/>
      <c r="V178" s="656"/>
      <c r="W178" s="656"/>
      <c r="X178" s="656"/>
      <c r="Y178" s="656"/>
      <c r="Z178" s="656"/>
      <c r="AA178" s="656"/>
      <c r="AB178" s="656"/>
      <c r="AC178" s="656"/>
      <c r="AD178" s="656"/>
      <c r="AE178" s="656"/>
      <c r="AF178" s="656"/>
      <c r="AG178" s="656"/>
      <c r="AH178" s="656"/>
      <c r="AI178" s="656"/>
      <c r="AJ178" s="656"/>
      <c r="AK178" s="656"/>
      <c r="AL178" s="656"/>
      <c r="AM178" s="656"/>
      <c r="AN178" s="656"/>
      <c r="AO178" s="656"/>
      <c r="AP178" s="656"/>
      <c r="AQ178" s="656"/>
      <c r="AR178" s="656"/>
      <c r="AS178" s="656"/>
      <c r="AT178" s="656"/>
      <c r="AU178" s="656"/>
      <c r="AV178" s="656"/>
      <c r="AW178" s="656"/>
      <c r="AX178" s="656"/>
      <c r="AY178" s="656"/>
      <c r="AZ178" s="656"/>
      <c r="BA178" s="656"/>
      <c r="BB178" s="656"/>
      <c r="BC178" s="656"/>
      <c r="BD178" s="656"/>
      <c r="BE178" s="656"/>
      <c r="BF178" s="656"/>
      <c r="BG178" s="656"/>
      <c r="BH178" s="656"/>
      <c r="BI178" s="656"/>
      <c r="BJ178" s="656"/>
      <c r="BK178" s="656"/>
      <c r="BL178" s="656"/>
      <c r="BM178" s="656"/>
      <c r="BN178" s="656"/>
      <c r="BO178" s="656"/>
      <c r="BP178" s="656"/>
      <c r="BQ178" s="656"/>
      <c r="BR178" s="656"/>
      <c r="BS178" s="656"/>
      <c r="BT178" s="656"/>
      <c r="BU178" s="656"/>
      <c r="BV178" s="656"/>
      <c r="BW178" s="656"/>
      <c r="BX178" s="656"/>
      <c r="BY178" s="656"/>
      <c r="CA178" s="64"/>
    </row>
    <row r="179" spans="1:79" s="48" customFormat="1">
      <c r="B179" s="575"/>
      <c r="C179" s="649"/>
      <c r="D179" s="576"/>
      <c r="E179" s="576"/>
      <c r="F179" s="576"/>
      <c r="G179" s="576"/>
      <c r="H179" s="576"/>
      <c r="I179" s="576"/>
      <c r="K179" s="575"/>
      <c r="L179" s="649"/>
      <c r="M179" s="576"/>
      <c r="N179" s="576"/>
      <c r="O179" s="576"/>
      <c r="P179" s="576"/>
      <c r="Q179" s="576"/>
      <c r="R179" s="576"/>
      <c r="S179" s="576"/>
      <c r="T179" s="576"/>
      <c r="U179" s="576"/>
      <c r="V179" s="576"/>
      <c r="W179" s="576"/>
      <c r="X179" s="576"/>
      <c r="Y179" s="576"/>
      <c r="Z179" s="576"/>
      <c r="AA179" s="576"/>
      <c r="AB179" s="576"/>
      <c r="AC179" s="576"/>
      <c r="AD179" s="576"/>
      <c r="AE179" s="576"/>
      <c r="AF179" s="576"/>
      <c r="AG179" s="576"/>
      <c r="AH179" s="576"/>
      <c r="AI179" s="576"/>
      <c r="AJ179" s="576"/>
      <c r="AK179" s="576"/>
      <c r="AL179" s="576"/>
      <c r="AM179" s="576"/>
      <c r="AN179" s="576"/>
      <c r="AO179" s="576"/>
      <c r="AP179" s="576"/>
      <c r="AQ179" s="576"/>
      <c r="AR179" s="576"/>
      <c r="AS179" s="576"/>
      <c r="AT179" s="576"/>
      <c r="AU179" s="576"/>
      <c r="AV179" s="576"/>
      <c r="AW179" s="576"/>
      <c r="AX179" s="576"/>
      <c r="AY179" s="576"/>
      <c r="AZ179" s="576"/>
      <c r="BA179" s="576"/>
      <c r="BB179" s="576"/>
      <c r="BC179" s="576"/>
      <c r="BD179" s="576"/>
      <c r="BE179" s="576"/>
      <c r="BF179" s="576"/>
      <c r="BG179" s="576"/>
      <c r="BH179" s="576"/>
      <c r="BI179" s="576"/>
      <c r="BJ179" s="576"/>
      <c r="BK179" s="576"/>
      <c r="BL179" s="576"/>
      <c r="BM179" s="576"/>
      <c r="BN179" s="576"/>
      <c r="BO179" s="576"/>
      <c r="BP179" s="576"/>
      <c r="BQ179" s="576"/>
      <c r="BR179" s="576"/>
      <c r="BS179" s="576"/>
      <c r="BT179" s="576"/>
      <c r="BU179" s="576"/>
      <c r="BV179" s="576"/>
      <c r="BW179" s="576"/>
      <c r="BX179" s="576"/>
      <c r="BY179" s="576"/>
      <c r="CA179" s="64"/>
    </row>
    <row r="180" spans="1:79" customFormat="1">
      <c r="A180" s="48"/>
      <c r="B180" s="541" t="s">
        <v>59</v>
      </c>
      <c r="C180" s="541" t="s">
        <v>60</v>
      </c>
      <c r="D180" s="657" t="s">
        <v>6</v>
      </c>
      <c r="E180" s="657" t="s">
        <v>12</v>
      </c>
      <c r="F180" s="657" t="s">
        <v>13</v>
      </c>
      <c r="G180" s="657" t="s">
        <v>14</v>
      </c>
      <c r="H180" s="657" t="s">
        <v>15</v>
      </c>
      <c r="I180" s="657" t="s">
        <v>57</v>
      </c>
      <c r="K180" s="541" t="s">
        <v>61</v>
      </c>
      <c r="L180" s="541" t="s">
        <v>130</v>
      </c>
      <c r="M180" s="657" t="s">
        <v>131</v>
      </c>
      <c r="N180" s="657" t="s">
        <v>132</v>
      </c>
      <c r="O180" s="657" t="s">
        <v>133</v>
      </c>
      <c r="P180" s="657" t="s">
        <v>134</v>
      </c>
      <c r="Q180" s="657" t="s">
        <v>135</v>
      </c>
      <c r="R180" s="657" t="s">
        <v>136</v>
      </c>
      <c r="S180" s="657" t="s">
        <v>137</v>
      </c>
      <c r="T180" s="657" t="s">
        <v>138</v>
      </c>
      <c r="U180" s="657" t="s">
        <v>139</v>
      </c>
      <c r="V180" s="657" t="s">
        <v>140</v>
      </c>
      <c r="W180" s="657" t="s">
        <v>141</v>
      </c>
      <c r="X180" s="657" t="s">
        <v>142</v>
      </c>
      <c r="Y180" s="657" t="s">
        <v>143</v>
      </c>
      <c r="Z180" s="657" t="s">
        <v>144</v>
      </c>
      <c r="AA180" s="657" t="s">
        <v>145</v>
      </c>
      <c r="AB180" s="657" t="s">
        <v>146</v>
      </c>
      <c r="AC180" s="657" t="s">
        <v>147</v>
      </c>
      <c r="AD180" s="657" t="s">
        <v>148</v>
      </c>
      <c r="AE180" s="657" t="s">
        <v>149</v>
      </c>
      <c r="AF180" s="657" t="s">
        <v>150</v>
      </c>
      <c r="AG180" s="657" t="s">
        <v>151</v>
      </c>
      <c r="AH180" s="657" t="s">
        <v>152</v>
      </c>
      <c r="AI180" s="657" t="s">
        <v>153</v>
      </c>
      <c r="AJ180" s="657" t="s">
        <v>154</v>
      </c>
      <c r="AK180" s="657" t="s">
        <v>155</v>
      </c>
      <c r="AL180" s="657" t="s">
        <v>156</v>
      </c>
      <c r="AM180" s="657" t="s">
        <v>157</v>
      </c>
      <c r="AN180" s="657" t="s">
        <v>158</v>
      </c>
      <c r="AO180" s="657" t="s">
        <v>159</v>
      </c>
      <c r="AP180" s="657" t="s">
        <v>160</v>
      </c>
      <c r="AQ180" s="657" t="s">
        <v>161</v>
      </c>
      <c r="AR180" s="657" t="s">
        <v>162</v>
      </c>
      <c r="AS180" s="657" t="s">
        <v>163</v>
      </c>
      <c r="AT180" s="657" t="s">
        <v>164</v>
      </c>
      <c r="AU180" s="657" t="s">
        <v>165</v>
      </c>
      <c r="AV180" s="657" t="s">
        <v>166</v>
      </c>
      <c r="AW180" s="657" t="s">
        <v>167</v>
      </c>
      <c r="AX180" s="657" t="s">
        <v>168</v>
      </c>
      <c r="AY180" s="657" t="s">
        <v>169</v>
      </c>
      <c r="AZ180" s="657" t="s">
        <v>170</v>
      </c>
      <c r="BA180" s="657" t="s">
        <v>171</v>
      </c>
      <c r="BB180" s="657" t="s">
        <v>172</v>
      </c>
      <c r="BC180" s="657" t="s">
        <v>173</v>
      </c>
      <c r="BD180" s="657" t="s">
        <v>174</v>
      </c>
      <c r="BE180" s="657" t="s">
        <v>175</v>
      </c>
      <c r="BF180" s="657" t="s">
        <v>176</v>
      </c>
      <c r="BG180" s="657" t="s">
        <v>177</v>
      </c>
      <c r="BH180" s="657" t="s">
        <v>178</v>
      </c>
      <c r="BI180" s="657" t="s">
        <v>179</v>
      </c>
      <c r="BJ180" s="657" t="s">
        <v>180</v>
      </c>
      <c r="BK180" s="657" t="s">
        <v>181</v>
      </c>
      <c r="BL180" s="657" t="s">
        <v>182</v>
      </c>
      <c r="BM180" s="657" t="s">
        <v>183</v>
      </c>
      <c r="BN180" s="657" t="s">
        <v>184</v>
      </c>
      <c r="BO180" s="657" t="s">
        <v>185</v>
      </c>
      <c r="BP180" s="657" t="s">
        <v>186</v>
      </c>
      <c r="BQ180" s="657" t="s">
        <v>187</v>
      </c>
      <c r="BR180" s="657" t="s">
        <v>188</v>
      </c>
      <c r="BS180" s="657" t="s">
        <v>189</v>
      </c>
      <c r="BT180" s="657" t="s">
        <v>190</v>
      </c>
      <c r="BU180" s="657" t="s">
        <v>191</v>
      </c>
      <c r="BV180" s="657" t="s">
        <v>192</v>
      </c>
      <c r="BW180" s="657" t="s">
        <v>193</v>
      </c>
      <c r="BX180" s="657" t="s">
        <v>194</v>
      </c>
      <c r="BY180" s="657" t="s">
        <v>195</v>
      </c>
      <c r="CA180" s="64"/>
    </row>
    <row r="181" spans="1:79" customFormat="1">
      <c r="A181" s="48"/>
      <c r="B181" s="545" t="s">
        <v>94</v>
      </c>
      <c r="C181" s="650"/>
      <c r="D181" s="667">
        <v>3140000</v>
      </c>
      <c r="E181" s="667">
        <v>3237025.9999999986</v>
      </c>
      <c r="F181" s="667">
        <v>3332518.2670000005</v>
      </c>
      <c r="G181" s="667">
        <v>3426495.2821293999</v>
      </c>
      <c r="H181" s="667">
        <v>3519010.6547468924</v>
      </c>
      <c r="I181" s="667">
        <v>3331010.0407752581</v>
      </c>
      <c r="J181" s="153"/>
      <c r="K181" s="545" t="s">
        <v>201</v>
      </c>
      <c r="L181" s="650"/>
      <c r="M181" s="667">
        <v>261666.66666666669</v>
      </c>
      <c r="N181" s="667">
        <v>261666.66666666669</v>
      </c>
      <c r="O181" s="667">
        <v>261666.66666666669</v>
      </c>
      <c r="P181" s="667">
        <v>261666.66666666669</v>
      </c>
      <c r="Q181" s="667">
        <v>261666.66666666669</v>
      </c>
      <c r="R181" s="667">
        <v>261666.66666666669</v>
      </c>
      <c r="S181" s="667">
        <v>261666.66666666669</v>
      </c>
      <c r="T181" s="667">
        <v>261666.66666666669</v>
      </c>
      <c r="U181" s="667">
        <v>261666.66666666669</v>
      </c>
      <c r="V181" s="667">
        <v>261666.66666666669</v>
      </c>
      <c r="W181" s="667">
        <v>261666.66666666669</v>
      </c>
      <c r="X181" s="667">
        <v>261666.66666666669</v>
      </c>
      <c r="Y181" s="667">
        <v>3140000</v>
      </c>
      <c r="Z181" s="667">
        <v>269752.16666666663</v>
      </c>
      <c r="AA181" s="667">
        <v>269752.16666666663</v>
      </c>
      <c r="AB181" s="667">
        <v>269752.16666666663</v>
      </c>
      <c r="AC181" s="667">
        <v>269752.16666666663</v>
      </c>
      <c r="AD181" s="667">
        <v>269752.16666666663</v>
      </c>
      <c r="AE181" s="667">
        <v>269752.16666666663</v>
      </c>
      <c r="AF181" s="667">
        <v>269752.16666666663</v>
      </c>
      <c r="AG181" s="667">
        <v>269752.16666666663</v>
      </c>
      <c r="AH181" s="667">
        <v>269752.16666666663</v>
      </c>
      <c r="AI181" s="667">
        <v>269752.16666666663</v>
      </c>
      <c r="AJ181" s="667">
        <v>269752.16666666663</v>
      </c>
      <c r="AK181" s="667">
        <v>269752.16666666663</v>
      </c>
      <c r="AL181" s="667">
        <v>3237025.9999999986</v>
      </c>
      <c r="AM181" s="667">
        <v>277709.85558333329</v>
      </c>
      <c r="AN181" s="667">
        <v>277709.85558333329</v>
      </c>
      <c r="AO181" s="667">
        <v>277709.85558333329</v>
      </c>
      <c r="AP181" s="667">
        <v>277709.85558333329</v>
      </c>
      <c r="AQ181" s="667">
        <v>277709.85558333329</v>
      </c>
      <c r="AR181" s="667">
        <v>277709.85558333329</v>
      </c>
      <c r="AS181" s="667">
        <v>277709.85558333329</v>
      </c>
      <c r="AT181" s="667">
        <v>277709.85558333329</v>
      </c>
      <c r="AU181" s="667">
        <v>277709.85558333329</v>
      </c>
      <c r="AV181" s="667">
        <v>277709.85558333329</v>
      </c>
      <c r="AW181" s="667">
        <v>277709.85558333329</v>
      </c>
      <c r="AX181" s="667">
        <v>277709.85558333329</v>
      </c>
      <c r="AY181" s="667">
        <v>3332518.2670000005</v>
      </c>
      <c r="AZ181" s="667">
        <v>285541.27351078327</v>
      </c>
      <c r="BA181" s="667">
        <v>285541.27351078327</v>
      </c>
      <c r="BB181" s="667">
        <v>285541.27351078327</v>
      </c>
      <c r="BC181" s="667">
        <v>285541.27351078327</v>
      </c>
      <c r="BD181" s="667">
        <v>285541.27351078327</v>
      </c>
      <c r="BE181" s="667">
        <v>285541.27351078327</v>
      </c>
      <c r="BF181" s="667">
        <v>285541.27351078327</v>
      </c>
      <c r="BG181" s="667">
        <v>285541.27351078327</v>
      </c>
      <c r="BH181" s="667">
        <v>285541.27351078327</v>
      </c>
      <c r="BI181" s="667">
        <v>285541.27351078327</v>
      </c>
      <c r="BJ181" s="667">
        <v>285541.27351078327</v>
      </c>
      <c r="BK181" s="667">
        <v>285541.27351078327</v>
      </c>
      <c r="BL181" s="667">
        <v>3426495.2821293999</v>
      </c>
      <c r="BM181" s="667">
        <v>293250.88789557439</v>
      </c>
      <c r="BN181" s="667">
        <v>293250.88789557439</v>
      </c>
      <c r="BO181" s="667">
        <v>293250.88789557439</v>
      </c>
      <c r="BP181" s="667">
        <v>293250.88789557439</v>
      </c>
      <c r="BQ181" s="667">
        <v>293250.88789557439</v>
      </c>
      <c r="BR181" s="667">
        <v>293250.88789557439</v>
      </c>
      <c r="BS181" s="667">
        <v>293250.88789557439</v>
      </c>
      <c r="BT181" s="667">
        <v>293250.88789557439</v>
      </c>
      <c r="BU181" s="667">
        <v>293250.88789557439</v>
      </c>
      <c r="BV181" s="667">
        <v>293250.88789557439</v>
      </c>
      <c r="BW181" s="667">
        <v>293250.88789557439</v>
      </c>
      <c r="BX181" s="667">
        <v>293250.88789557439</v>
      </c>
      <c r="BY181" s="667">
        <v>3519010.6547468924</v>
      </c>
      <c r="CA181" s="64"/>
    </row>
    <row r="182" spans="1:79">
      <c r="CA182" s="61"/>
    </row>
    <row r="183" spans="1:79">
      <c r="CA183" s="61"/>
    </row>
    <row r="184" spans="1:79" s="34" customFormat="1">
      <c r="A184" s="62"/>
      <c r="B184" s="656" t="s">
        <v>285</v>
      </c>
      <c r="C184" s="656"/>
      <c r="D184" s="656"/>
      <c r="E184" s="656"/>
      <c r="F184" s="656"/>
      <c r="G184" s="656"/>
      <c r="H184" s="656"/>
      <c r="I184" s="656"/>
      <c r="K184" s="656" t="s">
        <v>286</v>
      </c>
      <c r="L184" s="656"/>
      <c r="M184" s="656"/>
      <c r="N184" s="656"/>
      <c r="O184" s="656"/>
      <c r="P184" s="656"/>
      <c r="Q184" s="656"/>
      <c r="R184" s="656"/>
      <c r="S184" s="656"/>
      <c r="T184" s="656"/>
      <c r="U184" s="656"/>
      <c r="V184" s="656"/>
      <c r="W184" s="656"/>
      <c r="X184" s="656"/>
      <c r="Y184" s="656"/>
      <c r="Z184" s="656"/>
      <c r="AA184" s="656"/>
      <c r="AB184" s="656"/>
      <c r="AC184" s="656"/>
      <c r="AD184" s="656"/>
      <c r="AE184" s="656"/>
      <c r="AF184" s="656"/>
      <c r="AG184" s="656"/>
      <c r="AH184" s="656"/>
      <c r="AI184" s="656"/>
      <c r="AJ184" s="656"/>
      <c r="AK184" s="656"/>
      <c r="AL184" s="656"/>
      <c r="AM184" s="656"/>
      <c r="AN184" s="656"/>
      <c r="AO184" s="656"/>
      <c r="AP184" s="656"/>
      <c r="AQ184" s="656"/>
      <c r="AR184" s="656"/>
      <c r="AS184" s="656"/>
      <c r="AT184" s="656"/>
      <c r="AU184" s="656"/>
      <c r="AV184" s="656"/>
      <c r="AW184" s="656"/>
      <c r="AX184" s="656"/>
      <c r="AY184" s="656"/>
      <c r="AZ184" s="656"/>
      <c r="BA184" s="656"/>
      <c r="BB184" s="656"/>
      <c r="BC184" s="656"/>
      <c r="BD184" s="656"/>
      <c r="BE184" s="656"/>
      <c r="BF184" s="656"/>
      <c r="BG184" s="656"/>
      <c r="BH184" s="656"/>
      <c r="BI184" s="656"/>
      <c r="BJ184" s="656"/>
      <c r="BK184" s="656"/>
      <c r="BL184" s="656"/>
      <c r="BM184" s="656"/>
      <c r="BN184" s="656"/>
      <c r="BO184" s="656"/>
      <c r="BP184" s="656"/>
      <c r="BQ184" s="656"/>
      <c r="BR184" s="656"/>
      <c r="BS184" s="656"/>
      <c r="BT184" s="656"/>
      <c r="BU184" s="656"/>
      <c r="BV184" s="656"/>
      <c r="BW184" s="656"/>
      <c r="BX184" s="656"/>
      <c r="BY184" s="656"/>
      <c r="CA184" s="64"/>
    </row>
    <row r="185" spans="1:79" s="48" customFormat="1">
      <c r="B185" s="575"/>
      <c r="C185" s="649"/>
      <c r="D185" s="576"/>
      <c r="E185" s="576"/>
      <c r="F185" s="576"/>
      <c r="G185" s="576"/>
      <c r="H185" s="576"/>
      <c r="I185" s="576"/>
      <c r="K185" s="575"/>
      <c r="L185" s="649"/>
      <c r="M185" s="576"/>
      <c r="N185" s="576"/>
      <c r="O185" s="576"/>
      <c r="P185" s="576"/>
      <c r="Q185" s="576"/>
      <c r="R185" s="576"/>
      <c r="S185" s="576"/>
      <c r="T185" s="576"/>
      <c r="U185" s="576"/>
      <c r="V185" s="576"/>
      <c r="W185" s="576"/>
      <c r="X185" s="576"/>
      <c r="Y185" s="576"/>
      <c r="Z185" s="576"/>
      <c r="AA185" s="576"/>
      <c r="AB185" s="576"/>
      <c r="AC185" s="576"/>
      <c r="AD185" s="576"/>
      <c r="AE185" s="576"/>
      <c r="AF185" s="576"/>
      <c r="AG185" s="576"/>
      <c r="AH185" s="576"/>
      <c r="AI185" s="576"/>
      <c r="AJ185" s="576"/>
      <c r="AK185" s="576"/>
      <c r="AL185" s="576"/>
      <c r="AM185" s="576"/>
      <c r="AN185" s="576"/>
      <c r="AO185" s="576"/>
      <c r="AP185" s="576"/>
      <c r="AQ185" s="576"/>
      <c r="AR185" s="576"/>
      <c r="AS185" s="576"/>
      <c r="AT185" s="576"/>
      <c r="AU185" s="576"/>
      <c r="AV185" s="576"/>
      <c r="AW185" s="576"/>
      <c r="AX185" s="576"/>
      <c r="AY185" s="576"/>
      <c r="AZ185" s="576"/>
      <c r="BA185" s="576"/>
      <c r="BB185" s="576"/>
      <c r="BC185" s="576"/>
      <c r="BD185" s="576"/>
      <c r="BE185" s="576"/>
      <c r="BF185" s="576"/>
      <c r="BG185" s="576"/>
      <c r="BH185" s="576"/>
      <c r="BI185" s="576"/>
      <c r="BJ185" s="576"/>
      <c r="BK185" s="576"/>
      <c r="BL185" s="576"/>
      <c r="BM185" s="576"/>
      <c r="BN185" s="576"/>
      <c r="BO185" s="576"/>
      <c r="BP185" s="576"/>
      <c r="BQ185" s="576"/>
      <c r="BR185" s="576"/>
      <c r="BS185" s="576"/>
      <c r="BT185" s="576"/>
      <c r="BU185" s="576"/>
      <c r="BV185" s="576"/>
      <c r="BW185" s="576"/>
      <c r="BX185" s="576"/>
      <c r="BY185" s="576"/>
      <c r="CA185" s="64"/>
    </row>
    <row r="186" spans="1:79" customFormat="1">
      <c r="A186" s="48"/>
      <c r="B186" s="541" t="s">
        <v>59</v>
      </c>
      <c r="C186" s="541" t="s">
        <v>60</v>
      </c>
      <c r="D186" s="657" t="s">
        <v>6</v>
      </c>
      <c r="E186" s="657" t="s">
        <v>12</v>
      </c>
      <c r="F186" s="657" t="s">
        <v>13</v>
      </c>
      <c r="G186" s="657" t="s">
        <v>14</v>
      </c>
      <c r="H186" s="657" t="s">
        <v>15</v>
      </c>
      <c r="I186" s="657" t="s">
        <v>57</v>
      </c>
      <c r="K186" s="541" t="s">
        <v>61</v>
      </c>
      <c r="L186" s="541" t="s">
        <v>130</v>
      </c>
      <c r="M186" s="657" t="s">
        <v>131</v>
      </c>
      <c r="N186" s="657" t="s">
        <v>132</v>
      </c>
      <c r="O186" s="657" t="s">
        <v>133</v>
      </c>
      <c r="P186" s="657" t="s">
        <v>134</v>
      </c>
      <c r="Q186" s="657" t="s">
        <v>135</v>
      </c>
      <c r="R186" s="657" t="s">
        <v>136</v>
      </c>
      <c r="S186" s="657" t="s">
        <v>137</v>
      </c>
      <c r="T186" s="657" t="s">
        <v>138</v>
      </c>
      <c r="U186" s="657" t="s">
        <v>139</v>
      </c>
      <c r="V186" s="657" t="s">
        <v>140</v>
      </c>
      <c r="W186" s="657" t="s">
        <v>141</v>
      </c>
      <c r="X186" s="657" t="s">
        <v>142</v>
      </c>
      <c r="Y186" s="657" t="s">
        <v>143</v>
      </c>
      <c r="Z186" s="657" t="s">
        <v>144</v>
      </c>
      <c r="AA186" s="657" t="s">
        <v>145</v>
      </c>
      <c r="AB186" s="657" t="s">
        <v>146</v>
      </c>
      <c r="AC186" s="657" t="s">
        <v>147</v>
      </c>
      <c r="AD186" s="657" t="s">
        <v>148</v>
      </c>
      <c r="AE186" s="657" t="s">
        <v>149</v>
      </c>
      <c r="AF186" s="657" t="s">
        <v>150</v>
      </c>
      <c r="AG186" s="657" t="s">
        <v>151</v>
      </c>
      <c r="AH186" s="657" t="s">
        <v>152</v>
      </c>
      <c r="AI186" s="657" t="s">
        <v>153</v>
      </c>
      <c r="AJ186" s="657" t="s">
        <v>154</v>
      </c>
      <c r="AK186" s="657" t="s">
        <v>155</v>
      </c>
      <c r="AL186" s="657" t="s">
        <v>156</v>
      </c>
      <c r="AM186" s="657" t="s">
        <v>157</v>
      </c>
      <c r="AN186" s="657" t="s">
        <v>158</v>
      </c>
      <c r="AO186" s="657" t="s">
        <v>159</v>
      </c>
      <c r="AP186" s="657" t="s">
        <v>160</v>
      </c>
      <c r="AQ186" s="657" t="s">
        <v>161</v>
      </c>
      <c r="AR186" s="657" t="s">
        <v>162</v>
      </c>
      <c r="AS186" s="657" t="s">
        <v>163</v>
      </c>
      <c r="AT186" s="657" t="s">
        <v>164</v>
      </c>
      <c r="AU186" s="657" t="s">
        <v>165</v>
      </c>
      <c r="AV186" s="657" t="s">
        <v>166</v>
      </c>
      <c r="AW186" s="657" t="s">
        <v>167</v>
      </c>
      <c r="AX186" s="657" t="s">
        <v>168</v>
      </c>
      <c r="AY186" s="657" t="s">
        <v>169</v>
      </c>
      <c r="AZ186" s="657" t="s">
        <v>170</v>
      </c>
      <c r="BA186" s="657" t="s">
        <v>171</v>
      </c>
      <c r="BB186" s="657" t="s">
        <v>172</v>
      </c>
      <c r="BC186" s="657" t="s">
        <v>173</v>
      </c>
      <c r="BD186" s="657" t="s">
        <v>174</v>
      </c>
      <c r="BE186" s="657" t="s">
        <v>175</v>
      </c>
      <c r="BF186" s="657" t="s">
        <v>176</v>
      </c>
      <c r="BG186" s="657" t="s">
        <v>177</v>
      </c>
      <c r="BH186" s="657" t="s">
        <v>178</v>
      </c>
      <c r="BI186" s="657" t="s">
        <v>179</v>
      </c>
      <c r="BJ186" s="657" t="s">
        <v>180</v>
      </c>
      <c r="BK186" s="657" t="s">
        <v>181</v>
      </c>
      <c r="BL186" s="657" t="s">
        <v>182</v>
      </c>
      <c r="BM186" s="657" t="s">
        <v>183</v>
      </c>
      <c r="BN186" s="657" t="s">
        <v>184</v>
      </c>
      <c r="BO186" s="657" t="s">
        <v>185</v>
      </c>
      <c r="BP186" s="657" t="s">
        <v>186</v>
      </c>
      <c r="BQ186" s="657" t="s">
        <v>187</v>
      </c>
      <c r="BR186" s="657" t="s">
        <v>188</v>
      </c>
      <c r="BS186" s="657" t="s">
        <v>189</v>
      </c>
      <c r="BT186" s="657" t="s">
        <v>190</v>
      </c>
      <c r="BU186" s="657" t="s">
        <v>191</v>
      </c>
      <c r="BV186" s="657" t="s">
        <v>192</v>
      </c>
      <c r="BW186" s="657" t="s">
        <v>193</v>
      </c>
      <c r="BX186" s="657" t="s">
        <v>194</v>
      </c>
      <c r="BY186" s="657" t="s">
        <v>195</v>
      </c>
      <c r="CA186" s="64"/>
    </row>
    <row r="187" spans="1:79" customFormat="1">
      <c r="A187" s="48"/>
      <c r="B187" s="542" t="s">
        <v>95</v>
      </c>
      <c r="C187" s="649"/>
      <c r="D187" s="658">
        <v>2</v>
      </c>
      <c r="E187" s="658">
        <v>2</v>
      </c>
      <c r="F187" s="658">
        <v>2</v>
      </c>
      <c r="G187" s="658">
        <v>2</v>
      </c>
      <c r="H187" s="658">
        <v>2</v>
      </c>
      <c r="I187" s="658">
        <v>2</v>
      </c>
      <c r="K187" s="542" t="s">
        <v>95</v>
      </c>
      <c r="L187" s="649"/>
      <c r="M187" s="658">
        <v>2</v>
      </c>
      <c r="N187" s="658">
        <v>2</v>
      </c>
      <c r="O187" s="658">
        <v>2</v>
      </c>
      <c r="P187" s="658">
        <v>2</v>
      </c>
      <c r="Q187" s="658">
        <v>2</v>
      </c>
      <c r="R187" s="658">
        <v>2</v>
      </c>
      <c r="S187" s="658">
        <v>2</v>
      </c>
      <c r="T187" s="658">
        <v>2</v>
      </c>
      <c r="U187" s="658">
        <v>2</v>
      </c>
      <c r="V187" s="658">
        <v>2</v>
      </c>
      <c r="W187" s="658">
        <v>2</v>
      </c>
      <c r="X187" s="658">
        <v>2</v>
      </c>
      <c r="Y187" s="658">
        <v>2</v>
      </c>
      <c r="Z187" s="658">
        <v>2</v>
      </c>
      <c r="AA187" s="658">
        <v>2</v>
      </c>
      <c r="AB187" s="658">
        <v>2</v>
      </c>
      <c r="AC187" s="658">
        <v>2</v>
      </c>
      <c r="AD187" s="658">
        <v>2</v>
      </c>
      <c r="AE187" s="658">
        <v>2</v>
      </c>
      <c r="AF187" s="658">
        <v>2</v>
      </c>
      <c r="AG187" s="658">
        <v>2</v>
      </c>
      <c r="AH187" s="658">
        <v>2</v>
      </c>
      <c r="AI187" s="658">
        <v>2</v>
      </c>
      <c r="AJ187" s="658">
        <v>2</v>
      </c>
      <c r="AK187" s="658">
        <v>2</v>
      </c>
      <c r="AL187" s="658">
        <v>2</v>
      </c>
      <c r="AM187" s="658">
        <v>2</v>
      </c>
      <c r="AN187" s="658">
        <v>2</v>
      </c>
      <c r="AO187" s="658">
        <v>2</v>
      </c>
      <c r="AP187" s="658">
        <v>2</v>
      </c>
      <c r="AQ187" s="658">
        <v>2</v>
      </c>
      <c r="AR187" s="658">
        <v>2</v>
      </c>
      <c r="AS187" s="658">
        <v>2</v>
      </c>
      <c r="AT187" s="658">
        <v>2</v>
      </c>
      <c r="AU187" s="658">
        <v>2</v>
      </c>
      <c r="AV187" s="658">
        <v>2</v>
      </c>
      <c r="AW187" s="658">
        <v>2</v>
      </c>
      <c r="AX187" s="658">
        <v>2</v>
      </c>
      <c r="AY187" s="658">
        <v>2</v>
      </c>
      <c r="AZ187" s="658">
        <v>2</v>
      </c>
      <c r="BA187" s="658">
        <v>2</v>
      </c>
      <c r="BB187" s="658">
        <v>2</v>
      </c>
      <c r="BC187" s="658">
        <v>2</v>
      </c>
      <c r="BD187" s="658">
        <v>2</v>
      </c>
      <c r="BE187" s="658">
        <v>2</v>
      </c>
      <c r="BF187" s="658">
        <v>2</v>
      </c>
      <c r="BG187" s="658">
        <v>2</v>
      </c>
      <c r="BH187" s="658">
        <v>2</v>
      </c>
      <c r="BI187" s="658">
        <v>2</v>
      </c>
      <c r="BJ187" s="658">
        <v>2</v>
      </c>
      <c r="BK187" s="658">
        <v>2</v>
      </c>
      <c r="BL187" s="658">
        <v>2</v>
      </c>
      <c r="BM187" s="658">
        <v>2</v>
      </c>
      <c r="BN187" s="658">
        <v>2</v>
      </c>
      <c r="BO187" s="658">
        <v>2</v>
      </c>
      <c r="BP187" s="658">
        <v>2</v>
      </c>
      <c r="BQ187" s="658">
        <v>2</v>
      </c>
      <c r="BR187" s="658">
        <v>2</v>
      </c>
      <c r="BS187" s="658">
        <v>2</v>
      </c>
      <c r="BT187" s="658">
        <v>2</v>
      </c>
      <c r="BU187" s="658">
        <v>2</v>
      </c>
      <c r="BV187" s="658">
        <v>2</v>
      </c>
      <c r="BW187" s="658">
        <v>2</v>
      </c>
      <c r="BX187" s="658">
        <v>2</v>
      </c>
      <c r="BY187" s="658">
        <v>2</v>
      </c>
      <c r="CA187" s="64"/>
    </row>
    <row r="188" spans="1:79" customFormat="1">
      <c r="A188" s="48"/>
      <c r="B188" s="545" t="s">
        <v>96</v>
      </c>
      <c r="C188" s="672"/>
      <c r="D188" s="672">
        <v>23561291.520000007</v>
      </c>
      <c r="E188" s="672">
        <v>24289335.427967999</v>
      </c>
      <c r="F188" s="672">
        <v>25005870.823093057</v>
      </c>
      <c r="G188" s="672">
        <v>25711036.380304281</v>
      </c>
      <c r="H188" s="672">
        <v>26405234.362572495</v>
      </c>
      <c r="I188" s="672">
        <v>24994553.702787567</v>
      </c>
      <c r="J188" s="153"/>
      <c r="K188" s="545" t="s">
        <v>96</v>
      </c>
      <c r="L188" s="672"/>
      <c r="M188" s="672">
        <v>1963440.96</v>
      </c>
      <c r="N188" s="672">
        <v>1963440.96</v>
      </c>
      <c r="O188" s="672">
        <v>1963440.96</v>
      </c>
      <c r="P188" s="672">
        <v>1963440.96</v>
      </c>
      <c r="Q188" s="672">
        <v>1963440.96</v>
      </c>
      <c r="R188" s="672">
        <v>1963440.96</v>
      </c>
      <c r="S188" s="672">
        <v>1963440.96</v>
      </c>
      <c r="T188" s="672">
        <v>1963440.96</v>
      </c>
      <c r="U188" s="672">
        <v>1963440.96</v>
      </c>
      <c r="V188" s="672">
        <v>1963440.96</v>
      </c>
      <c r="W188" s="672">
        <v>1963440.96</v>
      </c>
      <c r="X188" s="672">
        <v>1963440.96</v>
      </c>
      <c r="Y188" s="672">
        <v>23561291.520000007</v>
      </c>
      <c r="Z188" s="672">
        <v>2024111.2856639998</v>
      </c>
      <c r="AA188" s="672">
        <v>2024111.2856639998</v>
      </c>
      <c r="AB188" s="672">
        <v>2024111.2856639998</v>
      </c>
      <c r="AC188" s="672">
        <v>2024111.2856639998</v>
      </c>
      <c r="AD188" s="672">
        <v>2024111.2856639998</v>
      </c>
      <c r="AE188" s="672">
        <v>2024111.2856639998</v>
      </c>
      <c r="AF188" s="672">
        <v>2024111.2856639998</v>
      </c>
      <c r="AG188" s="672">
        <v>2024111.2856639998</v>
      </c>
      <c r="AH188" s="672">
        <v>2024111.2856639998</v>
      </c>
      <c r="AI188" s="672">
        <v>2024111.2856639998</v>
      </c>
      <c r="AJ188" s="672">
        <v>2024111.2856639998</v>
      </c>
      <c r="AK188" s="672">
        <v>2024111.2856639998</v>
      </c>
      <c r="AL188" s="672">
        <v>24289335.427967999</v>
      </c>
      <c r="AM188" s="672">
        <v>2083822.5685910881</v>
      </c>
      <c r="AN188" s="672">
        <v>2083822.5685910881</v>
      </c>
      <c r="AO188" s="672">
        <v>2083822.5685910881</v>
      </c>
      <c r="AP188" s="672">
        <v>2083822.5685910881</v>
      </c>
      <c r="AQ188" s="672">
        <v>2083822.5685910881</v>
      </c>
      <c r="AR188" s="672">
        <v>2083822.5685910881</v>
      </c>
      <c r="AS188" s="672">
        <v>2083822.5685910881</v>
      </c>
      <c r="AT188" s="672">
        <v>2083822.5685910881</v>
      </c>
      <c r="AU188" s="672">
        <v>2083822.5685910881</v>
      </c>
      <c r="AV188" s="672">
        <v>2083822.5685910881</v>
      </c>
      <c r="AW188" s="672">
        <v>2083822.5685910881</v>
      </c>
      <c r="AX188" s="672">
        <v>2083822.5685910881</v>
      </c>
      <c r="AY188" s="672">
        <v>25005870.823093057</v>
      </c>
      <c r="AZ188" s="672">
        <v>2142586.3650253569</v>
      </c>
      <c r="BA188" s="672">
        <v>2142586.3650253569</v>
      </c>
      <c r="BB188" s="672">
        <v>2142586.3650253569</v>
      </c>
      <c r="BC188" s="672">
        <v>2142586.3650253569</v>
      </c>
      <c r="BD188" s="672">
        <v>2142586.3650253569</v>
      </c>
      <c r="BE188" s="672">
        <v>2142586.3650253569</v>
      </c>
      <c r="BF188" s="672">
        <v>2142586.3650253569</v>
      </c>
      <c r="BG188" s="672">
        <v>2142586.3650253569</v>
      </c>
      <c r="BH188" s="672">
        <v>2142586.3650253569</v>
      </c>
      <c r="BI188" s="672">
        <v>2142586.3650253569</v>
      </c>
      <c r="BJ188" s="672">
        <v>2142586.3650253569</v>
      </c>
      <c r="BK188" s="672">
        <v>2142586.3650253569</v>
      </c>
      <c r="BL188" s="672">
        <v>25711036.380304281</v>
      </c>
      <c r="BM188" s="672">
        <v>2200436.1968810414</v>
      </c>
      <c r="BN188" s="672">
        <v>2200436.1968810414</v>
      </c>
      <c r="BO188" s="672">
        <v>2200436.1968810414</v>
      </c>
      <c r="BP188" s="672">
        <v>2200436.1968810414</v>
      </c>
      <c r="BQ188" s="672">
        <v>2200436.1968810414</v>
      </c>
      <c r="BR188" s="672">
        <v>2200436.1968810414</v>
      </c>
      <c r="BS188" s="672">
        <v>2200436.1968810414</v>
      </c>
      <c r="BT188" s="672">
        <v>2200436.1968810414</v>
      </c>
      <c r="BU188" s="672">
        <v>2200436.1968810414</v>
      </c>
      <c r="BV188" s="672">
        <v>2200436.1968810414</v>
      </c>
      <c r="BW188" s="672">
        <v>2200436.1968810414</v>
      </c>
      <c r="BX188" s="672">
        <v>2200436.1968810414</v>
      </c>
      <c r="BY188" s="672">
        <v>26405234.362572495</v>
      </c>
      <c r="CA188" s="64"/>
    </row>
    <row r="189" spans="1:79">
      <c r="CA189" s="61"/>
    </row>
    <row r="190" spans="1:79">
      <c r="CA190" s="61"/>
    </row>
    <row r="191" spans="1:79" s="34" customFormat="1">
      <c r="A191" s="62"/>
      <c r="B191" s="656" t="s">
        <v>287</v>
      </c>
      <c r="C191" s="656"/>
      <c r="D191" s="656"/>
      <c r="E191" s="656"/>
      <c r="F191" s="656"/>
      <c r="G191" s="656"/>
      <c r="H191" s="656"/>
      <c r="I191" s="656"/>
      <c r="K191" s="656" t="s">
        <v>288</v>
      </c>
      <c r="L191" s="656"/>
      <c r="M191" s="656"/>
      <c r="N191" s="656"/>
      <c r="O191" s="656"/>
      <c r="P191" s="656"/>
      <c r="Q191" s="656"/>
      <c r="R191" s="656"/>
      <c r="S191" s="656"/>
      <c r="T191" s="656"/>
      <c r="U191" s="656"/>
      <c r="V191" s="656"/>
      <c r="W191" s="656"/>
      <c r="X191" s="656"/>
      <c r="Y191" s="656"/>
      <c r="Z191" s="656"/>
      <c r="AA191" s="656"/>
      <c r="AB191" s="656"/>
      <c r="AC191" s="656"/>
      <c r="AD191" s="656"/>
      <c r="AE191" s="656"/>
      <c r="AF191" s="656"/>
      <c r="AG191" s="656"/>
      <c r="AH191" s="656"/>
      <c r="AI191" s="656"/>
      <c r="AJ191" s="656"/>
      <c r="AK191" s="656"/>
      <c r="AL191" s="656"/>
      <c r="AM191" s="656"/>
      <c r="AN191" s="656"/>
      <c r="AO191" s="656"/>
      <c r="AP191" s="656"/>
      <c r="AQ191" s="656"/>
      <c r="AR191" s="656"/>
      <c r="AS191" s="656"/>
      <c r="AT191" s="656"/>
      <c r="AU191" s="656"/>
      <c r="AV191" s="656"/>
      <c r="AW191" s="656"/>
      <c r="AX191" s="656"/>
      <c r="AY191" s="656"/>
      <c r="AZ191" s="656"/>
      <c r="BA191" s="656"/>
      <c r="BB191" s="656"/>
      <c r="BC191" s="656"/>
      <c r="BD191" s="656"/>
      <c r="BE191" s="656"/>
      <c r="BF191" s="656"/>
      <c r="BG191" s="656"/>
      <c r="BH191" s="656"/>
      <c r="BI191" s="656"/>
      <c r="BJ191" s="656"/>
      <c r="BK191" s="656"/>
      <c r="BL191" s="656"/>
      <c r="BM191" s="656"/>
      <c r="BN191" s="656"/>
      <c r="BO191" s="656"/>
      <c r="BP191" s="656"/>
      <c r="BQ191" s="656"/>
      <c r="BR191" s="656"/>
      <c r="BS191" s="656"/>
      <c r="BT191" s="656"/>
      <c r="BU191" s="656"/>
      <c r="BV191" s="656"/>
      <c r="BW191" s="656"/>
      <c r="BX191" s="656"/>
      <c r="BY191" s="656"/>
      <c r="CA191" s="64"/>
    </row>
    <row r="192" spans="1:79" s="48" customFormat="1">
      <c r="B192" s="575"/>
      <c r="C192" s="649"/>
      <c r="D192" s="576"/>
      <c r="E192" s="576"/>
      <c r="F192" s="576"/>
      <c r="G192" s="576"/>
      <c r="H192" s="576"/>
      <c r="I192" s="576"/>
      <c r="K192" s="575"/>
      <c r="L192" s="649"/>
      <c r="M192" s="576"/>
      <c r="N192" s="576"/>
      <c r="O192" s="576"/>
      <c r="P192" s="576"/>
      <c r="Q192" s="576"/>
      <c r="R192" s="576"/>
      <c r="S192" s="576"/>
      <c r="T192" s="576"/>
      <c r="U192" s="576"/>
      <c r="V192" s="576"/>
      <c r="W192" s="576"/>
      <c r="X192" s="576"/>
      <c r="Y192" s="576"/>
      <c r="Z192" s="576"/>
      <c r="AA192" s="576"/>
      <c r="AB192" s="576"/>
      <c r="AC192" s="576"/>
      <c r="AD192" s="576"/>
      <c r="AE192" s="576"/>
      <c r="AF192" s="576"/>
      <c r="AG192" s="576"/>
      <c r="AH192" s="576"/>
      <c r="AI192" s="576"/>
      <c r="AJ192" s="576"/>
      <c r="AK192" s="576"/>
      <c r="AL192" s="576"/>
      <c r="AM192" s="576"/>
      <c r="AN192" s="576"/>
      <c r="AO192" s="576"/>
      <c r="AP192" s="576"/>
      <c r="AQ192" s="576"/>
      <c r="AR192" s="576"/>
      <c r="AS192" s="576"/>
      <c r="AT192" s="576"/>
      <c r="AU192" s="576"/>
      <c r="AV192" s="576"/>
      <c r="AW192" s="576"/>
      <c r="AX192" s="576"/>
      <c r="AY192" s="576"/>
      <c r="AZ192" s="576"/>
      <c r="BA192" s="576"/>
      <c r="BB192" s="576"/>
      <c r="BC192" s="576"/>
      <c r="BD192" s="576"/>
      <c r="BE192" s="576"/>
      <c r="BF192" s="576"/>
      <c r="BG192" s="576"/>
      <c r="BH192" s="576"/>
      <c r="BI192" s="576"/>
      <c r="BJ192" s="576"/>
      <c r="BK192" s="576"/>
      <c r="BL192" s="576"/>
      <c r="BM192" s="576"/>
      <c r="BN192" s="576"/>
      <c r="BO192" s="576"/>
      <c r="BP192" s="576"/>
      <c r="BQ192" s="576"/>
      <c r="BR192" s="576"/>
      <c r="BS192" s="576"/>
      <c r="BT192" s="576"/>
      <c r="BU192" s="576"/>
      <c r="BV192" s="576"/>
      <c r="BW192" s="576"/>
      <c r="BX192" s="576"/>
      <c r="BY192" s="576"/>
      <c r="CA192" s="64"/>
    </row>
    <row r="193" spans="1:79" customFormat="1">
      <c r="A193" s="48"/>
      <c r="B193" s="541" t="s">
        <v>59</v>
      </c>
      <c r="C193" s="541" t="s">
        <v>60</v>
      </c>
      <c r="D193" s="657" t="s">
        <v>6</v>
      </c>
      <c r="E193" s="657" t="s">
        <v>12</v>
      </c>
      <c r="F193" s="657" t="s">
        <v>13</v>
      </c>
      <c r="G193" s="657" t="s">
        <v>14</v>
      </c>
      <c r="H193" s="657" t="s">
        <v>15</v>
      </c>
      <c r="I193" s="657" t="s">
        <v>57</v>
      </c>
      <c r="K193" s="541" t="s">
        <v>61</v>
      </c>
      <c r="L193" s="541" t="s">
        <v>130</v>
      </c>
      <c r="M193" s="657" t="s">
        <v>131</v>
      </c>
      <c r="N193" s="657" t="s">
        <v>132</v>
      </c>
      <c r="O193" s="657" t="s">
        <v>133</v>
      </c>
      <c r="P193" s="657" t="s">
        <v>134</v>
      </c>
      <c r="Q193" s="657" t="s">
        <v>135</v>
      </c>
      <c r="R193" s="657" t="s">
        <v>136</v>
      </c>
      <c r="S193" s="657" t="s">
        <v>137</v>
      </c>
      <c r="T193" s="657" t="s">
        <v>138</v>
      </c>
      <c r="U193" s="657" t="s">
        <v>139</v>
      </c>
      <c r="V193" s="657" t="s">
        <v>140</v>
      </c>
      <c r="W193" s="657" t="s">
        <v>141</v>
      </c>
      <c r="X193" s="657" t="s">
        <v>142</v>
      </c>
      <c r="Y193" s="657" t="s">
        <v>143</v>
      </c>
      <c r="Z193" s="657" t="s">
        <v>144</v>
      </c>
      <c r="AA193" s="657" t="s">
        <v>145</v>
      </c>
      <c r="AB193" s="657" t="s">
        <v>146</v>
      </c>
      <c r="AC193" s="657" t="s">
        <v>147</v>
      </c>
      <c r="AD193" s="657" t="s">
        <v>148</v>
      </c>
      <c r="AE193" s="657" t="s">
        <v>149</v>
      </c>
      <c r="AF193" s="657" t="s">
        <v>150</v>
      </c>
      <c r="AG193" s="657" t="s">
        <v>151</v>
      </c>
      <c r="AH193" s="657" t="s">
        <v>152</v>
      </c>
      <c r="AI193" s="657" t="s">
        <v>153</v>
      </c>
      <c r="AJ193" s="657" t="s">
        <v>154</v>
      </c>
      <c r="AK193" s="657" t="s">
        <v>155</v>
      </c>
      <c r="AL193" s="657" t="s">
        <v>156</v>
      </c>
      <c r="AM193" s="657" t="s">
        <v>157</v>
      </c>
      <c r="AN193" s="657" t="s">
        <v>158</v>
      </c>
      <c r="AO193" s="657" t="s">
        <v>159</v>
      </c>
      <c r="AP193" s="657" t="s">
        <v>160</v>
      </c>
      <c r="AQ193" s="657" t="s">
        <v>161</v>
      </c>
      <c r="AR193" s="657" t="s">
        <v>162</v>
      </c>
      <c r="AS193" s="657" t="s">
        <v>163</v>
      </c>
      <c r="AT193" s="657" t="s">
        <v>164</v>
      </c>
      <c r="AU193" s="657" t="s">
        <v>165</v>
      </c>
      <c r="AV193" s="657" t="s">
        <v>166</v>
      </c>
      <c r="AW193" s="657" t="s">
        <v>167</v>
      </c>
      <c r="AX193" s="657" t="s">
        <v>168</v>
      </c>
      <c r="AY193" s="657" t="s">
        <v>169</v>
      </c>
      <c r="AZ193" s="657" t="s">
        <v>170</v>
      </c>
      <c r="BA193" s="657" t="s">
        <v>171</v>
      </c>
      <c r="BB193" s="657" t="s">
        <v>172</v>
      </c>
      <c r="BC193" s="657" t="s">
        <v>173</v>
      </c>
      <c r="BD193" s="657" t="s">
        <v>174</v>
      </c>
      <c r="BE193" s="657" t="s">
        <v>175</v>
      </c>
      <c r="BF193" s="657" t="s">
        <v>176</v>
      </c>
      <c r="BG193" s="657" t="s">
        <v>177</v>
      </c>
      <c r="BH193" s="657" t="s">
        <v>178</v>
      </c>
      <c r="BI193" s="657" t="s">
        <v>179</v>
      </c>
      <c r="BJ193" s="657" t="s">
        <v>180</v>
      </c>
      <c r="BK193" s="657" t="s">
        <v>181</v>
      </c>
      <c r="BL193" s="657" t="s">
        <v>182</v>
      </c>
      <c r="BM193" s="657" t="s">
        <v>183</v>
      </c>
      <c r="BN193" s="657" t="s">
        <v>184</v>
      </c>
      <c r="BO193" s="657" t="s">
        <v>185</v>
      </c>
      <c r="BP193" s="657" t="s">
        <v>186</v>
      </c>
      <c r="BQ193" s="657" t="s">
        <v>187</v>
      </c>
      <c r="BR193" s="657" t="s">
        <v>188</v>
      </c>
      <c r="BS193" s="657" t="s">
        <v>189</v>
      </c>
      <c r="BT193" s="657" t="s">
        <v>190</v>
      </c>
      <c r="BU193" s="657" t="s">
        <v>191</v>
      </c>
      <c r="BV193" s="657" t="s">
        <v>192</v>
      </c>
      <c r="BW193" s="657" t="s">
        <v>193</v>
      </c>
      <c r="BX193" s="657" t="s">
        <v>194</v>
      </c>
      <c r="BY193" s="657" t="s">
        <v>195</v>
      </c>
      <c r="CA193" s="64"/>
    </row>
    <row r="194" spans="1:79" customFormat="1">
      <c r="A194" s="48"/>
      <c r="B194" s="542" t="s">
        <v>95</v>
      </c>
      <c r="C194" s="649"/>
      <c r="D194" s="658">
        <v>0</v>
      </c>
      <c r="E194" s="658">
        <v>2</v>
      </c>
      <c r="F194" s="658">
        <v>2</v>
      </c>
      <c r="G194" s="658">
        <v>3</v>
      </c>
      <c r="H194" s="658">
        <v>4</v>
      </c>
      <c r="I194" s="658">
        <v>2.2000000000000002</v>
      </c>
      <c r="K194" s="542" t="s">
        <v>95</v>
      </c>
      <c r="L194" s="649"/>
      <c r="M194" s="658">
        <v>0</v>
      </c>
      <c r="N194" s="658">
        <v>0</v>
      </c>
      <c r="O194" s="658">
        <v>0</v>
      </c>
      <c r="P194" s="658">
        <v>0</v>
      </c>
      <c r="Q194" s="658">
        <v>0</v>
      </c>
      <c r="R194" s="658">
        <v>0</v>
      </c>
      <c r="S194" s="658">
        <v>0</v>
      </c>
      <c r="T194" s="658">
        <v>0</v>
      </c>
      <c r="U194" s="658">
        <v>0</v>
      </c>
      <c r="V194" s="658">
        <v>0</v>
      </c>
      <c r="W194" s="658">
        <v>0</v>
      </c>
      <c r="X194" s="658">
        <v>0</v>
      </c>
      <c r="Y194" s="658">
        <v>0</v>
      </c>
      <c r="Z194" s="658">
        <v>2</v>
      </c>
      <c r="AA194" s="658">
        <v>2</v>
      </c>
      <c r="AB194" s="658">
        <v>2</v>
      </c>
      <c r="AC194" s="658">
        <v>2</v>
      </c>
      <c r="AD194" s="658">
        <v>2</v>
      </c>
      <c r="AE194" s="658">
        <v>2</v>
      </c>
      <c r="AF194" s="658">
        <v>2</v>
      </c>
      <c r="AG194" s="658">
        <v>2</v>
      </c>
      <c r="AH194" s="658">
        <v>2</v>
      </c>
      <c r="AI194" s="658">
        <v>2</v>
      </c>
      <c r="AJ194" s="658">
        <v>2</v>
      </c>
      <c r="AK194" s="658">
        <v>2</v>
      </c>
      <c r="AL194" s="658">
        <v>2</v>
      </c>
      <c r="AM194" s="658">
        <v>2</v>
      </c>
      <c r="AN194" s="658">
        <v>2</v>
      </c>
      <c r="AO194" s="658">
        <v>2</v>
      </c>
      <c r="AP194" s="658">
        <v>2</v>
      </c>
      <c r="AQ194" s="658">
        <v>2</v>
      </c>
      <c r="AR194" s="658">
        <v>2</v>
      </c>
      <c r="AS194" s="658">
        <v>2</v>
      </c>
      <c r="AT194" s="658">
        <v>2</v>
      </c>
      <c r="AU194" s="658">
        <v>2</v>
      </c>
      <c r="AV194" s="658">
        <v>2</v>
      </c>
      <c r="AW194" s="658">
        <v>2</v>
      </c>
      <c r="AX194" s="658">
        <v>2</v>
      </c>
      <c r="AY194" s="658">
        <v>2</v>
      </c>
      <c r="AZ194" s="658">
        <v>3</v>
      </c>
      <c r="BA194" s="658">
        <v>3</v>
      </c>
      <c r="BB194" s="658">
        <v>3</v>
      </c>
      <c r="BC194" s="658">
        <v>3</v>
      </c>
      <c r="BD194" s="658">
        <v>3</v>
      </c>
      <c r="BE194" s="658">
        <v>3</v>
      </c>
      <c r="BF194" s="658">
        <v>3</v>
      </c>
      <c r="BG194" s="658">
        <v>3</v>
      </c>
      <c r="BH194" s="658">
        <v>3</v>
      </c>
      <c r="BI194" s="658">
        <v>3</v>
      </c>
      <c r="BJ194" s="658">
        <v>3</v>
      </c>
      <c r="BK194" s="658">
        <v>3</v>
      </c>
      <c r="BL194" s="658">
        <v>3</v>
      </c>
      <c r="BM194" s="658">
        <v>4</v>
      </c>
      <c r="BN194" s="658">
        <v>4</v>
      </c>
      <c r="BO194" s="658">
        <v>4</v>
      </c>
      <c r="BP194" s="658">
        <v>4</v>
      </c>
      <c r="BQ194" s="658">
        <v>4</v>
      </c>
      <c r="BR194" s="658">
        <v>4</v>
      </c>
      <c r="BS194" s="658">
        <v>4</v>
      </c>
      <c r="BT194" s="658">
        <v>4</v>
      </c>
      <c r="BU194" s="658">
        <v>4</v>
      </c>
      <c r="BV194" s="658">
        <v>4</v>
      </c>
      <c r="BW194" s="658">
        <v>4</v>
      </c>
      <c r="BX194" s="658">
        <v>4</v>
      </c>
      <c r="BY194" s="658">
        <v>4</v>
      </c>
      <c r="CA194" s="64"/>
    </row>
    <row r="195" spans="1:79" customFormat="1">
      <c r="A195" s="48"/>
      <c r="B195" s="545" t="s">
        <v>96</v>
      </c>
      <c r="C195" s="672"/>
      <c r="D195" s="672">
        <v>0</v>
      </c>
      <c r="E195" s="672">
        <v>24289335.427967999</v>
      </c>
      <c r="F195" s="672">
        <v>25005870.823093057</v>
      </c>
      <c r="G195" s="672">
        <v>38566554.570456423</v>
      </c>
      <c r="H195" s="672">
        <v>52810468.72514499</v>
      </c>
      <c r="I195" s="672">
        <v>28134445.909332491</v>
      </c>
      <c r="J195" s="153"/>
      <c r="K195" s="545" t="s">
        <v>96</v>
      </c>
      <c r="L195" s="672"/>
      <c r="M195" s="672">
        <v>0</v>
      </c>
      <c r="N195" s="672">
        <v>0</v>
      </c>
      <c r="O195" s="672">
        <v>0</v>
      </c>
      <c r="P195" s="672">
        <v>0</v>
      </c>
      <c r="Q195" s="672">
        <v>0</v>
      </c>
      <c r="R195" s="672">
        <v>0</v>
      </c>
      <c r="S195" s="672">
        <v>0</v>
      </c>
      <c r="T195" s="672">
        <v>0</v>
      </c>
      <c r="U195" s="672">
        <v>0</v>
      </c>
      <c r="V195" s="672">
        <v>0</v>
      </c>
      <c r="W195" s="672">
        <v>0</v>
      </c>
      <c r="X195" s="672">
        <v>0</v>
      </c>
      <c r="Y195" s="672">
        <v>0</v>
      </c>
      <c r="Z195" s="672">
        <v>2024111.2856639998</v>
      </c>
      <c r="AA195" s="672">
        <v>2024111.2856639998</v>
      </c>
      <c r="AB195" s="672">
        <v>2024111.2856639998</v>
      </c>
      <c r="AC195" s="672">
        <v>2024111.2856639998</v>
      </c>
      <c r="AD195" s="672">
        <v>2024111.2856639998</v>
      </c>
      <c r="AE195" s="672">
        <v>2024111.2856639998</v>
      </c>
      <c r="AF195" s="672">
        <v>2024111.2856639998</v>
      </c>
      <c r="AG195" s="672">
        <v>2024111.2856639998</v>
      </c>
      <c r="AH195" s="672">
        <v>2024111.2856639998</v>
      </c>
      <c r="AI195" s="672">
        <v>2024111.2856639998</v>
      </c>
      <c r="AJ195" s="672">
        <v>2024111.2856639998</v>
      </c>
      <c r="AK195" s="672">
        <v>2024111.2856639998</v>
      </c>
      <c r="AL195" s="672">
        <v>24289335.427967999</v>
      </c>
      <c r="AM195" s="672">
        <v>2083822.5685910881</v>
      </c>
      <c r="AN195" s="672">
        <v>2083822.5685910881</v>
      </c>
      <c r="AO195" s="672">
        <v>2083822.5685910881</v>
      </c>
      <c r="AP195" s="672">
        <v>2083822.5685910881</v>
      </c>
      <c r="AQ195" s="672">
        <v>2083822.5685910881</v>
      </c>
      <c r="AR195" s="672">
        <v>2083822.5685910881</v>
      </c>
      <c r="AS195" s="672">
        <v>2083822.5685910881</v>
      </c>
      <c r="AT195" s="672">
        <v>2083822.5685910881</v>
      </c>
      <c r="AU195" s="672">
        <v>2083822.5685910881</v>
      </c>
      <c r="AV195" s="672">
        <v>2083822.5685910881</v>
      </c>
      <c r="AW195" s="672">
        <v>2083822.5685910881</v>
      </c>
      <c r="AX195" s="672">
        <v>2083822.5685910881</v>
      </c>
      <c r="AY195" s="672">
        <v>25005870.823093057</v>
      </c>
      <c r="AZ195" s="672">
        <v>3213879.5475380355</v>
      </c>
      <c r="BA195" s="672">
        <v>3213879.5475380355</v>
      </c>
      <c r="BB195" s="672">
        <v>3213879.5475380355</v>
      </c>
      <c r="BC195" s="672">
        <v>3213879.5475380355</v>
      </c>
      <c r="BD195" s="672">
        <v>3213879.5475380355</v>
      </c>
      <c r="BE195" s="672">
        <v>3213879.5475380355</v>
      </c>
      <c r="BF195" s="672">
        <v>3213879.5475380355</v>
      </c>
      <c r="BG195" s="672">
        <v>3213879.5475380355</v>
      </c>
      <c r="BH195" s="672">
        <v>3213879.5475380355</v>
      </c>
      <c r="BI195" s="672">
        <v>3213879.5475380355</v>
      </c>
      <c r="BJ195" s="672">
        <v>3213879.5475380355</v>
      </c>
      <c r="BK195" s="672">
        <v>3213879.5475380355</v>
      </c>
      <c r="BL195" s="672">
        <v>38566554.570456423</v>
      </c>
      <c r="BM195" s="672">
        <v>4400872.3937620828</v>
      </c>
      <c r="BN195" s="672">
        <v>4400872.3937620828</v>
      </c>
      <c r="BO195" s="672">
        <v>4400872.3937620828</v>
      </c>
      <c r="BP195" s="672">
        <v>4400872.3937620828</v>
      </c>
      <c r="BQ195" s="672">
        <v>4400872.3937620828</v>
      </c>
      <c r="BR195" s="672">
        <v>4400872.3937620828</v>
      </c>
      <c r="BS195" s="672">
        <v>4400872.3937620828</v>
      </c>
      <c r="BT195" s="672">
        <v>4400872.3937620828</v>
      </c>
      <c r="BU195" s="672">
        <v>4400872.3937620828</v>
      </c>
      <c r="BV195" s="672">
        <v>4400872.3937620828</v>
      </c>
      <c r="BW195" s="672">
        <v>4400872.3937620828</v>
      </c>
      <c r="BX195" s="672">
        <v>4400872.3937620828</v>
      </c>
      <c r="BY195" s="672">
        <v>52810468.72514499</v>
      </c>
      <c r="CA195" s="64"/>
    </row>
    <row r="196" spans="1:79">
      <c r="CA196" s="61"/>
    </row>
    <row r="197" spans="1:79">
      <c r="CA197" s="61"/>
    </row>
    <row r="198" spans="1:79" s="34" customFormat="1">
      <c r="A198" s="62"/>
      <c r="B198" s="656" t="s">
        <v>202</v>
      </c>
      <c r="C198" s="656"/>
      <c r="D198" s="656"/>
      <c r="E198" s="656"/>
      <c r="F198" s="656"/>
      <c r="G198" s="656"/>
      <c r="H198" s="656"/>
      <c r="I198" s="656"/>
      <c r="K198" s="656" t="s">
        <v>289</v>
      </c>
      <c r="L198" s="656"/>
      <c r="M198" s="656"/>
      <c r="N198" s="656"/>
      <c r="O198" s="656"/>
      <c r="P198" s="656"/>
      <c r="Q198" s="656"/>
      <c r="R198" s="656"/>
      <c r="S198" s="656"/>
      <c r="T198" s="656"/>
      <c r="U198" s="656"/>
      <c r="V198" s="656"/>
      <c r="W198" s="656"/>
      <c r="X198" s="656"/>
      <c r="Y198" s="656"/>
      <c r="Z198" s="656"/>
      <c r="AA198" s="656"/>
      <c r="AB198" s="656"/>
      <c r="AC198" s="656"/>
      <c r="AD198" s="656"/>
      <c r="AE198" s="656"/>
      <c r="AF198" s="656"/>
      <c r="AG198" s="656"/>
      <c r="AH198" s="656"/>
      <c r="AI198" s="656"/>
      <c r="AJ198" s="656"/>
      <c r="AK198" s="656"/>
      <c r="AL198" s="656"/>
      <c r="AM198" s="656"/>
      <c r="AN198" s="656"/>
      <c r="AO198" s="656"/>
      <c r="AP198" s="656"/>
      <c r="AQ198" s="656"/>
      <c r="AR198" s="656"/>
      <c r="AS198" s="656"/>
      <c r="AT198" s="656"/>
      <c r="AU198" s="656"/>
      <c r="AV198" s="656"/>
      <c r="AW198" s="656"/>
      <c r="AX198" s="656"/>
      <c r="AY198" s="656"/>
      <c r="AZ198" s="656"/>
      <c r="BA198" s="656"/>
      <c r="BB198" s="656"/>
      <c r="BC198" s="656"/>
      <c r="BD198" s="656"/>
      <c r="BE198" s="656"/>
      <c r="BF198" s="656"/>
      <c r="BG198" s="656"/>
      <c r="BH198" s="656"/>
      <c r="BI198" s="656"/>
      <c r="BJ198" s="656"/>
      <c r="BK198" s="656"/>
      <c r="BL198" s="656"/>
      <c r="BM198" s="656"/>
      <c r="BN198" s="656"/>
      <c r="BO198" s="656"/>
      <c r="BP198" s="656"/>
      <c r="BQ198" s="656"/>
      <c r="BR198" s="656"/>
      <c r="BS198" s="656"/>
      <c r="BT198" s="656"/>
      <c r="BU198" s="656"/>
      <c r="BV198" s="656"/>
      <c r="BW198" s="656"/>
      <c r="BX198" s="656"/>
      <c r="BY198" s="656"/>
      <c r="CA198" s="64"/>
    </row>
    <row r="199" spans="1:79" s="48" customFormat="1">
      <c r="B199" s="575"/>
      <c r="C199" s="649"/>
      <c r="D199" s="576"/>
      <c r="E199" s="576"/>
      <c r="F199" s="576"/>
      <c r="G199" s="576"/>
      <c r="H199" s="576"/>
      <c r="I199" s="576"/>
      <c r="K199" s="575"/>
      <c r="L199" s="649"/>
      <c r="M199" s="576"/>
      <c r="N199" s="576"/>
      <c r="O199" s="576"/>
      <c r="P199" s="576"/>
      <c r="Q199" s="576"/>
      <c r="R199" s="576"/>
      <c r="S199" s="576"/>
      <c r="T199" s="576"/>
      <c r="U199" s="576"/>
      <c r="V199" s="576"/>
      <c r="W199" s="576"/>
      <c r="X199" s="576"/>
      <c r="Y199" s="576"/>
      <c r="Z199" s="576"/>
      <c r="AA199" s="576"/>
      <c r="AB199" s="576"/>
      <c r="AC199" s="576"/>
      <c r="AD199" s="576"/>
      <c r="AE199" s="576"/>
      <c r="AF199" s="576"/>
      <c r="AG199" s="576"/>
      <c r="AH199" s="576"/>
      <c r="AI199" s="576"/>
      <c r="AJ199" s="576"/>
      <c r="AK199" s="576"/>
      <c r="AL199" s="576"/>
      <c r="AM199" s="576"/>
      <c r="AN199" s="576"/>
      <c r="AO199" s="576"/>
      <c r="AP199" s="576"/>
      <c r="AQ199" s="576"/>
      <c r="AR199" s="576"/>
      <c r="AS199" s="576"/>
      <c r="AT199" s="576"/>
      <c r="AU199" s="576"/>
      <c r="AV199" s="576"/>
      <c r="AW199" s="576"/>
      <c r="AX199" s="576"/>
      <c r="AY199" s="576"/>
      <c r="AZ199" s="576"/>
      <c r="BA199" s="576"/>
      <c r="BB199" s="576"/>
      <c r="BC199" s="576"/>
      <c r="BD199" s="576"/>
      <c r="BE199" s="576"/>
      <c r="BF199" s="576"/>
      <c r="BG199" s="576"/>
      <c r="BH199" s="576"/>
      <c r="BI199" s="576"/>
      <c r="BJ199" s="576"/>
      <c r="BK199" s="576"/>
      <c r="BL199" s="576"/>
      <c r="BM199" s="576"/>
      <c r="BN199" s="576"/>
      <c r="BO199" s="576"/>
      <c r="BP199" s="576"/>
      <c r="BQ199" s="576"/>
      <c r="BR199" s="576"/>
      <c r="BS199" s="576"/>
      <c r="BT199" s="576"/>
      <c r="BU199" s="576"/>
      <c r="BV199" s="576"/>
      <c r="BW199" s="576"/>
      <c r="BX199" s="576"/>
      <c r="BY199" s="576"/>
      <c r="CA199" s="64"/>
    </row>
    <row r="200" spans="1:79" customFormat="1">
      <c r="A200" s="48"/>
      <c r="B200" s="541" t="s">
        <v>59</v>
      </c>
      <c r="C200" s="541" t="s">
        <v>60</v>
      </c>
      <c r="D200" s="657" t="s">
        <v>6</v>
      </c>
      <c r="E200" s="657" t="s">
        <v>12</v>
      </c>
      <c r="F200" s="657" t="s">
        <v>13</v>
      </c>
      <c r="G200" s="657" t="s">
        <v>14</v>
      </c>
      <c r="H200" s="657" t="s">
        <v>15</v>
      </c>
      <c r="I200" s="657" t="s">
        <v>57</v>
      </c>
      <c r="K200" s="541" t="s">
        <v>61</v>
      </c>
      <c r="L200" s="541" t="s">
        <v>130</v>
      </c>
      <c r="M200" s="657" t="s">
        <v>131</v>
      </c>
      <c r="N200" s="657" t="s">
        <v>132</v>
      </c>
      <c r="O200" s="657" t="s">
        <v>133</v>
      </c>
      <c r="P200" s="657" t="s">
        <v>134</v>
      </c>
      <c r="Q200" s="657" t="s">
        <v>135</v>
      </c>
      <c r="R200" s="657" t="s">
        <v>136</v>
      </c>
      <c r="S200" s="657" t="s">
        <v>137</v>
      </c>
      <c r="T200" s="657" t="s">
        <v>138</v>
      </c>
      <c r="U200" s="657" t="s">
        <v>139</v>
      </c>
      <c r="V200" s="657" t="s">
        <v>140</v>
      </c>
      <c r="W200" s="657" t="s">
        <v>141</v>
      </c>
      <c r="X200" s="657" t="s">
        <v>142</v>
      </c>
      <c r="Y200" s="657" t="s">
        <v>143</v>
      </c>
      <c r="Z200" s="657" t="s">
        <v>144</v>
      </c>
      <c r="AA200" s="657" t="s">
        <v>145</v>
      </c>
      <c r="AB200" s="657" t="s">
        <v>146</v>
      </c>
      <c r="AC200" s="657" t="s">
        <v>147</v>
      </c>
      <c r="AD200" s="657" t="s">
        <v>148</v>
      </c>
      <c r="AE200" s="657" t="s">
        <v>149</v>
      </c>
      <c r="AF200" s="657" t="s">
        <v>150</v>
      </c>
      <c r="AG200" s="657" t="s">
        <v>151</v>
      </c>
      <c r="AH200" s="657" t="s">
        <v>152</v>
      </c>
      <c r="AI200" s="657" t="s">
        <v>153</v>
      </c>
      <c r="AJ200" s="657" t="s">
        <v>154</v>
      </c>
      <c r="AK200" s="657" t="s">
        <v>155</v>
      </c>
      <c r="AL200" s="657" t="s">
        <v>156</v>
      </c>
      <c r="AM200" s="657" t="s">
        <v>157</v>
      </c>
      <c r="AN200" s="657" t="s">
        <v>158</v>
      </c>
      <c r="AO200" s="657" t="s">
        <v>159</v>
      </c>
      <c r="AP200" s="657" t="s">
        <v>160</v>
      </c>
      <c r="AQ200" s="657" t="s">
        <v>161</v>
      </c>
      <c r="AR200" s="657" t="s">
        <v>162</v>
      </c>
      <c r="AS200" s="657" t="s">
        <v>163</v>
      </c>
      <c r="AT200" s="657" t="s">
        <v>164</v>
      </c>
      <c r="AU200" s="657" t="s">
        <v>165</v>
      </c>
      <c r="AV200" s="657" t="s">
        <v>166</v>
      </c>
      <c r="AW200" s="657" t="s">
        <v>167</v>
      </c>
      <c r="AX200" s="657" t="s">
        <v>168</v>
      </c>
      <c r="AY200" s="657" t="s">
        <v>169</v>
      </c>
      <c r="AZ200" s="657" t="s">
        <v>170</v>
      </c>
      <c r="BA200" s="657" t="s">
        <v>171</v>
      </c>
      <c r="BB200" s="657" t="s">
        <v>172</v>
      </c>
      <c r="BC200" s="657" t="s">
        <v>173</v>
      </c>
      <c r="BD200" s="657" t="s">
        <v>174</v>
      </c>
      <c r="BE200" s="657" t="s">
        <v>175</v>
      </c>
      <c r="BF200" s="657" t="s">
        <v>176</v>
      </c>
      <c r="BG200" s="657" t="s">
        <v>177</v>
      </c>
      <c r="BH200" s="657" t="s">
        <v>178</v>
      </c>
      <c r="BI200" s="657" t="s">
        <v>179</v>
      </c>
      <c r="BJ200" s="657" t="s">
        <v>180</v>
      </c>
      <c r="BK200" s="657" t="s">
        <v>181</v>
      </c>
      <c r="BL200" s="657" t="s">
        <v>182</v>
      </c>
      <c r="BM200" s="657" t="s">
        <v>183</v>
      </c>
      <c r="BN200" s="657" t="s">
        <v>184</v>
      </c>
      <c r="BO200" s="657" t="s">
        <v>185</v>
      </c>
      <c r="BP200" s="657" t="s">
        <v>186</v>
      </c>
      <c r="BQ200" s="657" t="s">
        <v>187</v>
      </c>
      <c r="BR200" s="657" t="s">
        <v>188</v>
      </c>
      <c r="BS200" s="657" t="s">
        <v>189</v>
      </c>
      <c r="BT200" s="657" t="s">
        <v>190</v>
      </c>
      <c r="BU200" s="657" t="s">
        <v>191</v>
      </c>
      <c r="BV200" s="657" t="s">
        <v>192</v>
      </c>
      <c r="BW200" s="657" t="s">
        <v>193</v>
      </c>
      <c r="BX200" s="657" t="s">
        <v>194</v>
      </c>
      <c r="BY200" s="657" t="s">
        <v>195</v>
      </c>
      <c r="CA200" s="64"/>
    </row>
    <row r="201" spans="1:79" customFormat="1">
      <c r="A201" s="48"/>
      <c r="B201" s="542" t="s">
        <v>97</v>
      </c>
      <c r="C201" s="649"/>
      <c r="D201" s="658">
        <v>1</v>
      </c>
      <c r="E201" s="658">
        <v>1</v>
      </c>
      <c r="F201" s="658">
        <v>1</v>
      </c>
      <c r="G201" s="658">
        <v>1</v>
      </c>
      <c r="H201" s="658">
        <v>1</v>
      </c>
      <c r="I201" s="658">
        <v>1</v>
      </c>
      <c r="K201" s="542" t="s">
        <v>97</v>
      </c>
      <c r="L201" s="649"/>
      <c r="M201" s="658">
        <v>1</v>
      </c>
      <c r="N201" s="658">
        <v>1</v>
      </c>
      <c r="O201" s="658">
        <v>1</v>
      </c>
      <c r="P201" s="658">
        <v>1</v>
      </c>
      <c r="Q201" s="658">
        <v>1</v>
      </c>
      <c r="R201" s="658">
        <v>1</v>
      </c>
      <c r="S201" s="658">
        <v>1</v>
      </c>
      <c r="T201" s="658">
        <v>1</v>
      </c>
      <c r="U201" s="658">
        <v>1</v>
      </c>
      <c r="V201" s="658">
        <v>1</v>
      </c>
      <c r="W201" s="658">
        <v>1</v>
      </c>
      <c r="X201" s="658">
        <v>1</v>
      </c>
      <c r="Y201" s="658">
        <v>1</v>
      </c>
      <c r="Z201" s="658">
        <v>1</v>
      </c>
      <c r="AA201" s="658">
        <v>1</v>
      </c>
      <c r="AB201" s="658">
        <v>1</v>
      </c>
      <c r="AC201" s="658">
        <v>1</v>
      </c>
      <c r="AD201" s="658">
        <v>1</v>
      </c>
      <c r="AE201" s="658">
        <v>1</v>
      </c>
      <c r="AF201" s="658">
        <v>1</v>
      </c>
      <c r="AG201" s="658">
        <v>1</v>
      </c>
      <c r="AH201" s="658">
        <v>1</v>
      </c>
      <c r="AI201" s="658">
        <v>1</v>
      </c>
      <c r="AJ201" s="658">
        <v>1</v>
      </c>
      <c r="AK201" s="658">
        <v>1</v>
      </c>
      <c r="AL201" s="658">
        <v>1</v>
      </c>
      <c r="AM201" s="658">
        <v>1</v>
      </c>
      <c r="AN201" s="658">
        <v>1</v>
      </c>
      <c r="AO201" s="658">
        <v>1</v>
      </c>
      <c r="AP201" s="658">
        <v>1</v>
      </c>
      <c r="AQ201" s="658">
        <v>1</v>
      </c>
      <c r="AR201" s="658">
        <v>1</v>
      </c>
      <c r="AS201" s="658">
        <v>1</v>
      </c>
      <c r="AT201" s="658">
        <v>1</v>
      </c>
      <c r="AU201" s="658">
        <v>1</v>
      </c>
      <c r="AV201" s="658">
        <v>1</v>
      </c>
      <c r="AW201" s="658">
        <v>1</v>
      </c>
      <c r="AX201" s="658">
        <v>1</v>
      </c>
      <c r="AY201" s="658">
        <v>1</v>
      </c>
      <c r="AZ201" s="658">
        <v>1</v>
      </c>
      <c r="BA201" s="658">
        <v>1</v>
      </c>
      <c r="BB201" s="658">
        <v>1</v>
      </c>
      <c r="BC201" s="658">
        <v>1</v>
      </c>
      <c r="BD201" s="658">
        <v>1</v>
      </c>
      <c r="BE201" s="658">
        <v>1</v>
      </c>
      <c r="BF201" s="658">
        <v>1</v>
      </c>
      <c r="BG201" s="658">
        <v>1</v>
      </c>
      <c r="BH201" s="658">
        <v>1</v>
      </c>
      <c r="BI201" s="658">
        <v>1</v>
      </c>
      <c r="BJ201" s="658">
        <v>1</v>
      </c>
      <c r="BK201" s="658">
        <v>1</v>
      </c>
      <c r="BL201" s="658">
        <v>1</v>
      </c>
      <c r="BM201" s="658">
        <v>1</v>
      </c>
      <c r="BN201" s="658">
        <v>1</v>
      </c>
      <c r="BO201" s="658">
        <v>1</v>
      </c>
      <c r="BP201" s="658">
        <v>1</v>
      </c>
      <c r="BQ201" s="658">
        <v>1</v>
      </c>
      <c r="BR201" s="658">
        <v>1</v>
      </c>
      <c r="BS201" s="658">
        <v>1</v>
      </c>
      <c r="BT201" s="658">
        <v>1</v>
      </c>
      <c r="BU201" s="658">
        <v>1</v>
      </c>
      <c r="BV201" s="658">
        <v>1</v>
      </c>
      <c r="BW201" s="658">
        <v>1</v>
      </c>
      <c r="BX201" s="658">
        <v>1</v>
      </c>
      <c r="BY201" s="658">
        <v>1</v>
      </c>
      <c r="CA201" s="64"/>
    </row>
    <row r="202" spans="1:79" customFormat="1">
      <c r="A202" s="48"/>
      <c r="B202" s="545" t="s">
        <v>98</v>
      </c>
      <c r="C202" s="672"/>
      <c r="D202" s="672">
        <v>36224472</v>
      </c>
      <c r="E202" s="672">
        <v>37343808.184799999</v>
      </c>
      <c r="F202" s="672">
        <v>38445450.526251607</v>
      </c>
      <c r="G202" s="672">
        <v>39529612.231091909</v>
      </c>
      <c r="H202" s="672">
        <v>40596911.761331379</v>
      </c>
      <c r="I202" s="672">
        <v>38428050.94069498</v>
      </c>
      <c r="J202" s="153"/>
      <c r="K202" s="545" t="s">
        <v>98</v>
      </c>
      <c r="L202" s="672"/>
      <c r="M202" s="672">
        <v>3018706</v>
      </c>
      <c r="N202" s="672">
        <v>3018706</v>
      </c>
      <c r="O202" s="672">
        <v>3018706</v>
      </c>
      <c r="P202" s="672">
        <v>3018706</v>
      </c>
      <c r="Q202" s="672">
        <v>3018706</v>
      </c>
      <c r="R202" s="672">
        <v>3018706</v>
      </c>
      <c r="S202" s="672">
        <v>3018706</v>
      </c>
      <c r="T202" s="672">
        <v>3018706</v>
      </c>
      <c r="U202" s="672">
        <v>3018706</v>
      </c>
      <c r="V202" s="672">
        <v>3018706</v>
      </c>
      <c r="W202" s="672">
        <v>3018706</v>
      </c>
      <c r="X202" s="672">
        <v>3018706</v>
      </c>
      <c r="Y202" s="672">
        <v>36224472</v>
      </c>
      <c r="Z202" s="672">
        <v>3111984.0153999999</v>
      </c>
      <c r="AA202" s="672">
        <v>3111984.0153999999</v>
      </c>
      <c r="AB202" s="672">
        <v>3111984.0153999999</v>
      </c>
      <c r="AC202" s="672">
        <v>3111984.0153999999</v>
      </c>
      <c r="AD202" s="672">
        <v>3111984.0153999999</v>
      </c>
      <c r="AE202" s="672">
        <v>3111984.0153999999</v>
      </c>
      <c r="AF202" s="672">
        <v>3111984.0153999999</v>
      </c>
      <c r="AG202" s="672">
        <v>3111984.0153999999</v>
      </c>
      <c r="AH202" s="672">
        <v>3111984.0153999999</v>
      </c>
      <c r="AI202" s="672">
        <v>3111984.0153999999</v>
      </c>
      <c r="AJ202" s="672">
        <v>3111984.0153999999</v>
      </c>
      <c r="AK202" s="672">
        <v>3111984.0153999999</v>
      </c>
      <c r="AL202" s="672">
        <v>37343808.184799999</v>
      </c>
      <c r="AM202" s="672">
        <v>3203787.5438543004</v>
      </c>
      <c r="AN202" s="672">
        <v>3203787.5438543004</v>
      </c>
      <c r="AO202" s="672">
        <v>3203787.5438543004</v>
      </c>
      <c r="AP202" s="672">
        <v>3203787.5438543004</v>
      </c>
      <c r="AQ202" s="672">
        <v>3203787.5438543004</v>
      </c>
      <c r="AR202" s="672">
        <v>3203787.5438543004</v>
      </c>
      <c r="AS202" s="672">
        <v>3203787.5438543004</v>
      </c>
      <c r="AT202" s="672">
        <v>3203787.5438543004</v>
      </c>
      <c r="AU202" s="672">
        <v>3203787.5438543004</v>
      </c>
      <c r="AV202" s="672">
        <v>3203787.5438543004</v>
      </c>
      <c r="AW202" s="672">
        <v>3203787.5438543004</v>
      </c>
      <c r="AX202" s="672">
        <v>3203787.5438543004</v>
      </c>
      <c r="AY202" s="672">
        <v>38445450.526251607</v>
      </c>
      <c r="AZ202" s="672">
        <v>3294134.3525909916</v>
      </c>
      <c r="BA202" s="672">
        <v>3294134.3525909916</v>
      </c>
      <c r="BB202" s="672">
        <v>3294134.3525909916</v>
      </c>
      <c r="BC202" s="672">
        <v>3294134.3525909916</v>
      </c>
      <c r="BD202" s="672">
        <v>3294134.3525909916</v>
      </c>
      <c r="BE202" s="672">
        <v>3294134.3525909916</v>
      </c>
      <c r="BF202" s="672">
        <v>3294134.3525909916</v>
      </c>
      <c r="BG202" s="672">
        <v>3294134.3525909916</v>
      </c>
      <c r="BH202" s="672">
        <v>3294134.3525909916</v>
      </c>
      <c r="BI202" s="672">
        <v>3294134.3525909916</v>
      </c>
      <c r="BJ202" s="672">
        <v>3294134.3525909916</v>
      </c>
      <c r="BK202" s="672">
        <v>3294134.3525909916</v>
      </c>
      <c r="BL202" s="672">
        <v>39529612.231091909</v>
      </c>
      <c r="BM202" s="672">
        <v>3383075.980110948</v>
      </c>
      <c r="BN202" s="672">
        <v>3383075.980110948</v>
      </c>
      <c r="BO202" s="672">
        <v>3383075.980110948</v>
      </c>
      <c r="BP202" s="672">
        <v>3383075.980110948</v>
      </c>
      <c r="BQ202" s="672">
        <v>3383075.980110948</v>
      </c>
      <c r="BR202" s="672">
        <v>3383075.980110948</v>
      </c>
      <c r="BS202" s="672">
        <v>3383075.980110948</v>
      </c>
      <c r="BT202" s="672">
        <v>3383075.980110948</v>
      </c>
      <c r="BU202" s="672">
        <v>3383075.980110948</v>
      </c>
      <c r="BV202" s="672">
        <v>3383075.980110948</v>
      </c>
      <c r="BW202" s="672">
        <v>3383075.980110948</v>
      </c>
      <c r="BX202" s="672">
        <v>3383075.980110948</v>
      </c>
      <c r="BY202" s="672">
        <v>40596911.761331379</v>
      </c>
      <c r="CA202" s="64"/>
    </row>
    <row r="203" spans="1:79">
      <c r="CA203" s="61"/>
    </row>
    <row r="204" spans="1:79">
      <c r="CA204" s="61"/>
    </row>
    <row r="205" spans="1:79" customFormat="1">
      <c r="A205" s="48"/>
      <c r="B205" s="656" t="s">
        <v>203</v>
      </c>
      <c r="C205" s="656"/>
      <c r="D205" s="656"/>
      <c r="E205" s="656"/>
      <c r="F205" s="656"/>
      <c r="G205" s="656"/>
      <c r="H205" s="656"/>
      <c r="I205" s="656"/>
      <c r="K205" s="656" t="s">
        <v>290</v>
      </c>
      <c r="L205" s="656"/>
      <c r="M205" s="656"/>
      <c r="N205" s="656"/>
      <c r="O205" s="656"/>
      <c r="P205" s="656"/>
      <c r="Q205" s="656"/>
      <c r="R205" s="656"/>
      <c r="S205" s="656"/>
      <c r="T205" s="656"/>
      <c r="U205" s="656"/>
      <c r="V205" s="656"/>
      <c r="W205" s="656"/>
      <c r="X205" s="656"/>
      <c r="Y205" s="656"/>
      <c r="Z205" s="656"/>
      <c r="AA205" s="656"/>
      <c r="AB205" s="656"/>
      <c r="AC205" s="656"/>
      <c r="AD205" s="656"/>
      <c r="AE205" s="656"/>
      <c r="AF205" s="656"/>
      <c r="AG205" s="656"/>
      <c r="AH205" s="656"/>
      <c r="AI205" s="656"/>
      <c r="AJ205" s="656"/>
      <c r="AK205" s="656"/>
      <c r="AL205" s="656"/>
      <c r="AM205" s="656"/>
      <c r="AN205" s="656"/>
      <c r="AO205" s="656"/>
      <c r="AP205" s="656"/>
      <c r="AQ205" s="656"/>
      <c r="AR205" s="656"/>
      <c r="AS205" s="656"/>
      <c r="AT205" s="656"/>
      <c r="AU205" s="656"/>
      <c r="AV205" s="656"/>
      <c r="AW205" s="656"/>
      <c r="AX205" s="656"/>
      <c r="AY205" s="656"/>
      <c r="AZ205" s="656"/>
      <c r="BA205" s="656"/>
      <c r="BB205" s="656"/>
      <c r="BC205" s="656"/>
      <c r="BD205" s="656"/>
      <c r="BE205" s="656"/>
      <c r="BF205" s="656"/>
      <c r="BG205" s="656"/>
      <c r="BH205" s="656"/>
      <c r="BI205" s="656"/>
      <c r="BJ205" s="656"/>
      <c r="BK205" s="656"/>
      <c r="BL205" s="656"/>
      <c r="BM205" s="656"/>
      <c r="BN205" s="656"/>
      <c r="BO205" s="656"/>
      <c r="BP205" s="656"/>
      <c r="BQ205" s="656"/>
      <c r="BR205" s="656"/>
      <c r="BS205" s="656"/>
      <c r="BT205" s="656"/>
      <c r="BU205" s="656"/>
      <c r="BV205" s="656"/>
      <c r="BW205" s="656"/>
      <c r="BX205" s="656"/>
      <c r="BY205" s="656"/>
      <c r="CA205" s="64"/>
    </row>
    <row r="206" spans="1:79" s="48" customFormat="1">
      <c r="B206" s="642"/>
      <c r="C206" s="674"/>
      <c r="D206" s="643"/>
      <c r="E206" s="643"/>
      <c r="F206" s="643"/>
      <c r="G206" s="643"/>
      <c r="H206" s="643"/>
      <c r="I206" s="643"/>
      <c r="K206" s="642"/>
      <c r="L206" s="674"/>
      <c r="M206" s="674"/>
      <c r="N206" s="674"/>
      <c r="O206" s="674"/>
      <c r="P206" s="674"/>
      <c r="Q206" s="674"/>
      <c r="R206" s="674"/>
      <c r="S206" s="674"/>
      <c r="T206" s="674"/>
      <c r="U206" s="674"/>
      <c r="V206" s="674"/>
      <c r="W206" s="674"/>
      <c r="X206" s="674"/>
      <c r="Y206" s="674"/>
      <c r="Z206" s="674"/>
      <c r="AA206" s="674"/>
      <c r="AB206" s="674"/>
      <c r="AC206" s="674"/>
      <c r="AD206" s="674"/>
      <c r="AE206" s="674"/>
      <c r="AF206" s="674"/>
      <c r="AG206" s="674"/>
      <c r="AH206" s="674"/>
      <c r="AI206" s="674"/>
      <c r="AJ206" s="674"/>
      <c r="AK206" s="674"/>
      <c r="AL206" s="674"/>
      <c r="AM206" s="674"/>
      <c r="AN206" s="674"/>
      <c r="AO206" s="674"/>
      <c r="AP206" s="674"/>
      <c r="AQ206" s="674"/>
      <c r="AR206" s="674"/>
      <c r="AS206" s="674"/>
      <c r="AT206" s="674"/>
      <c r="AU206" s="674"/>
      <c r="AV206" s="674"/>
      <c r="AW206" s="674"/>
      <c r="AX206" s="674"/>
      <c r="AY206" s="674"/>
      <c r="AZ206" s="674"/>
      <c r="BA206" s="674"/>
      <c r="BB206" s="674"/>
      <c r="BC206" s="674"/>
      <c r="BD206" s="674"/>
      <c r="BE206" s="674"/>
      <c r="BF206" s="674"/>
      <c r="BG206" s="674"/>
      <c r="BH206" s="674"/>
      <c r="BI206" s="674"/>
      <c r="BJ206" s="674"/>
      <c r="BK206" s="674"/>
      <c r="BL206" s="674"/>
      <c r="BM206" s="674"/>
      <c r="BN206" s="674"/>
      <c r="BO206" s="674"/>
      <c r="BP206" s="674"/>
      <c r="BQ206" s="674"/>
      <c r="BR206" s="674"/>
      <c r="BS206" s="674"/>
      <c r="BT206" s="674"/>
      <c r="BU206" s="674"/>
      <c r="BV206" s="674"/>
      <c r="BW206" s="674"/>
      <c r="BX206" s="674"/>
      <c r="BY206" s="674"/>
      <c r="CA206" s="64"/>
    </row>
    <row r="207" spans="1:79" customFormat="1">
      <c r="A207" s="48"/>
      <c r="B207" s="541" t="s">
        <v>59</v>
      </c>
      <c r="C207" s="541" t="s">
        <v>60</v>
      </c>
      <c r="D207" s="657" t="s">
        <v>6</v>
      </c>
      <c r="E207" s="657" t="s">
        <v>12</v>
      </c>
      <c r="F207" s="657" t="s">
        <v>13</v>
      </c>
      <c r="G207" s="657" t="s">
        <v>14</v>
      </c>
      <c r="H207" s="657" t="s">
        <v>15</v>
      </c>
      <c r="I207" s="657" t="s">
        <v>57</v>
      </c>
      <c r="K207" s="541" t="s">
        <v>61</v>
      </c>
      <c r="L207" s="541" t="s">
        <v>130</v>
      </c>
      <c r="M207" s="541" t="s">
        <v>131</v>
      </c>
      <c r="N207" s="541" t="s">
        <v>132</v>
      </c>
      <c r="O207" s="541" t="s">
        <v>133</v>
      </c>
      <c r="P207" s="541" t="s">
        <v>134</v>
      </c>
      <c r="Q207" s="541" t="s">
        <v>135</v>
      </c>
      <c r="R207" s="541" t="s">
        <v>136</v>
      </c>
      <c r="S207" s="541" t="s">
        <v>137</v>
      </c>
      <c r="T207" s="541" t="s">
        <v>138</v>
      </c>
      <c r="U207" s="541" t="s">
        <v>139</v>
      </c>
      <c r="V207" s="541" t="s">
        <v>140</v>
      </c>
      <c r="W207" s="541" t="s">
        <v>141</v>
      </c>
      <c r="X207" s="541" t="s">
        <v>142</v>
      </c>
      <c r="Y207" s="541" t="s">
        <v>143</v>
      </c>
      <c r="Z207" s="541" t="s">
        <v>144</v>
      </c>
      <c r="AA207" s="541" t="s">
        <v>145</v>
      </c>
      <c r="AB207" s="541" t="s">
        <v>146</v>
      </c>
      <c r="AC207" s="541" t="s">
        <v>147</v>
      </c>
      <c r="AD207" s="541" t="s">
        <v>148</v>
      </c>
      <c r="AE207" s="541" t="s">
        <v>149</v>
      </c>
      <c r="AF207" s="541" t="s">
        <v>150</v>
      </c>
      <c r="AG207" s="541" t="s">
        <v>151</v>
      </c>
      <c r="AH207" s="541" t="s">
        <v>152</v>
      </c>
      <c r="AI207" s="541" t="s">
        <v>153</v>
      </c>
      <c r="AJ207" s="541" t="s">
        <v>154</v>
      </c>
      <c r="AK207" s="541" t="s">
        <v>155</v>
      </c>
      <c r="AL207" s="541" t="s">
        <v>156</v>
      </c>
      <c r="AM207" s="541" t="s">
        <v>157</v>
      </c>
      <c r="AN207" s="541" t="s">
        <v>158</v>
      </c>
      <c r="AO207" s="541" t="s">
        <v>159</v>
      </c>
      <c r="AP207" s="541" t="s">
        <v>160</v>
      </c>
      <c r="AQ207" s="541" t="s">
        <v>161</v>
      </c>
      <c r="AR207" s="541" t="s">
        <v>162</v>
      </c>
      <c r="AS207" s="541" t="s">
        <v>163</v>
      </c>
      <c r="AT207" s="541" t="s">
        <v>164</v>
      </c>
      <c r="AU207" s="541" t="s">
        <v>165</v>
      </c>
      <c r="AV207" s="541" t="s">
        <v>166</v>
      </c>
      <c r="AW207" s="541" t="s">
        <v>167</v>
      </c>
      <c r="AX207" s="541" t="s">
        <v>168</v>
      </c>
      <c r="AY207" s="541" t="s">
        <v>169</v>
      </c>
      <c r="AZ207" s="541" t="s">
        <v>170</v>
      </c>
      <c r="BA207" s="541" t="s">
        <v>171</v>
      </c>
      <c r="BB207" s="541" t="s">
        <v>172</v>
      </c>
      <c r="BC207" s="541" t="s">
        <v>173</v>
      </c>
      <c r="BD207" s="541" t="s">
        <v>174</v>
      </c>
      <c r="BE207" s="541" t="s">
        <v>175</v>
      </c>
      <c r="BF207" s="541" t="s">
        <v>176</v>
      </c>
      <c r="BG207" s="541" t="s">
        <v>177</v>
      </c>
      <c r="BH207" s="541" t="s">
        <v>178</v>
      </c>
      <c r="BI207" s="541" t="s">
        <v>179</v>
      </c>
      <c r="BJ207" s="541" t="s">
        <v>180</v>
      </c>
      <c r="BK207" s="541" t="s">
        <v>181</v>
      </c>
      <c r="BL207" s="541" t="s">
        <v>182</v>
      </c>
      <c r="BM207" s="541" t="s">
        <v>183</v>
      </c>
      <c r="BN207" s="541" t="s">
        <v>184</v>
      </c>
      <c r="BO207" s="541" t="s">
        <v>185</v>
      </c>
      <c r="BP207" s="541" t="s">
        <v>186</v>
      </c>
      <c r="BQ207" s="541" t="s">
        <v>187</v>
      </c>
      <c r="BR207" s="541" t="s">
        <v>188</v>
      </c>
      <c r="BS207" s="541" t="s">
        <v>189</v>
      </c>
      <c r="BT207" s="541" t="s">
        <v>190</v>
      </c>
      <c r="BU207" s="541" t="s">
        <v>191</v>
      </c>
      <c r="BV207" s="541" t="s">
        <v>192</v>
      </c>
      <c r="BW207" s="541" t="s">
        <v>193</v>
      </c>
      <c r="BX207" s="541" t="s">
        <v>194</v>
      </c>
      <c r="BY207" s="541" t="s">
        <v>195</v>
      </c>
      <c r="CA207" s="64"/>
    </row>
    <row r="208" spans="1:79" s="665" customFormat="1">
      <c r="A208" s="676"/>
      <c r="B208" s="575" t="s">
        <v>291</v>
      </c>
      <c r="C208" s="548"/>
      <c r="D208" s="659">
        <v>6000000</v>
      </c>
      <c r="E208" s="659">
        <v>6185399.9999999991</v>
      </c>
      <c r="F208" s="659">
        <v>6367869.3000000017</v>
      </c>
      <c r="G208" s="659">
        <v>6547443.2142599979</v>
      </c>
      <c r="H208" s="659">
        <v>6724224.1810450191</v>
      </c>
      <c r="I208" s="659">
        <v>6364987.3390610032</v>
      </c>
      <c r="K208" s="575" t="s">
        <v>291</v>
      </c>
      <c r="L208" s="548"/>
      <c r="M208" s="659">
        <v>500000</v>
      </c>
      <c r="N208" s="659">
        <v>500000</v>
      </c>
      <c r="O208" s="659">
        <v>500000</v>
      </c>
      <c r="P208" s="659">
        <v>500000</v>
      </c>
      <c r="Q208" s="659">
        <v>500000</v>
      </c>
      <c r="R208" s="659">
        <v>500000</v>
      </c>
      <c r="S208" s="659">
        <v>500000</v>
      </c>
      <c r="T208" s="659">
        <v>500000</v>
      </c>
      <c r="U208" s="659">
        <v>500000</v>
      </c>
      <c r="V208" s="659">
        <v>500000</v>
      </c>
      <c r="W208" s="659">
        <v>500000</v>
      </c>
      <c r="X208" s="659">
        <v>500000</v>
      </c>
      <c r="Y208" s="659">
        <v>6000000</v>
      </c>
      <c r="Z208" s="659">
        <v>515449.99999999994</v>
      </c>
      <c r="AA208" s="659">
        <v>515449.99999999994</v>
      </c>
      <c r="AB208" s="659">
        <v>515449.99999999994</v>
      </c>
      <c r="AC208" s="659">
        <v>515449.99999999994</v>
      </c>
      <c r="AD208" s="659">
        <v>515449.99999999994</v>
      </c>
      <c r="AE208" s="659">
        <v>515449.99999999994</v>
      </c>
      <c r="AF208" s="659">
        <v>515449.99999999994</v>
      </c>
      <c r="AG208" s="659">
        <v>515449.99999999994</v>
      </c>
      <c r="AH208" s="659">
        <v>515449.99999999994</v>
      </c>
      <c r="AI208" s="659">
        <v>515449.99999999994</v>
      </c>
      <c r="AJ208" s="659">
        <v>515449.99999999994</v>
      </c>
      <c r="AK208" s="659">
        <v>515449.99999999994</v>
      </c>
      <c r="AL208" s="659">
        <v>6185399.9999999991</v>
      </c>
      <c r="AM208" s="659">
        <v>530655.77500000002</v>
      </c>
      <c r="AN208" s="659">
        <v>530655.77500000002</v>
      </c>
      <c r="AO208" s="659">
        <v>530655.77500000002</v>
      </c>
      <c r="AP208" s="659">
        <v>530655.77500000002</v>
      </c>
      <c r="AQ208" s="659">
        <v>530655.77500000002</v>
      </c>
      <c r="AR208" s="659">
        <v>530655.77500000002</v>
      </c>
      <c r="AS208" s="659">
        <v>530655.77500000002</v>
      </c>
      <c r="AT208" s="659">
        <v>530655.77500000002</v>
      </c>
      <c r="AU208" s="659">
        <v>530655.77500000002</v>
      </c>
      <c r="AV208" s="659">
        <v>530655.77500000002</v>
      </c>
      <c r="AW208" s="659">
        <v>530655.77500000002</v>
      </c>
      <c r="AX208" s="659">
        <v>530655.77500000002</v>
      </c>
      <c r="AY208" s="659">
        <v>6367869.3000000017</v>
      </c>
      <c r="AZ208" s="659">
        <v>545620.26785499998</v>
      </c>
      <c r="BA208" s="659">
        <v>545620.26785499998</v>
      </c>
      <c r="BB208" s="659">
        <v>545620.26785499998</v>
      </c>
      <c r="BC208" s="659">
        <v>545620.26785499998</v>
      </c>
      <c r="BD208" s="659">
        <v>545620.26785499998</v>
      </c>
      <c r="BE208" s="659">
        <v>545620.26785499998</v>
      </c>
      <c r="BF208" s="659">
        <v>545620.26785499998</v>
      </c>
      <c r="BG208" s="659">
        <v>545620.26785499998</v>
      </c>
      <c r="BH208" s="659">
        <v>545620.26785499998</v>
      </c>
      <c r="BI208" s="659">
        <v>545620.26785499998</v>
      </c>
      <c r="BJ208" s="659">
        <v>545620.26785499998</v>
      </c>
      <c r="BK208" s="659">
        <v>545620.26785499998</v>
      </c>
      <c r="BL208" s="659">
        <v>6547443.2142599979</v>
      </c>
      <c r="BM208" s="659">
        <v>560352.01508708496</v>
      </c>
      <c r="BN208" s="659">
        <v>560352.01508708496</v>
      </c>
      <c r="BO208" s="659">
        <v>560352.01508708496</v>
      </c>
      <c r="BP208" s="659">
        <v>560352.01508708496</v>
      </c>
      <c r="BQ208" s="659">
        <v>560352.01508708496</v>
      </c>
      <c r="BR208" s="659">
        <v>560352.01508708496</v>
      </c>
      <c r="BS208" s="659">
        <v>560352.01508708496</v>
      </c>
      <c r="BT208" s="659">
        <v>560352.01508708496</v>
      </c>
      <c r="BU208" s="659">
        <v>560352.01508708496</v>
      </c>
      <c r="BV208" s="659">
        <v>560352.01508708496</v>
      </c>
      <c r="BW208" s="659">
        <v>560352.01508708496</v>
      </c>
      <c r="BX208" s="659">
        <v>560352.01508708496</v>
      </c>
      <c r="BY208" s="659">
        <v>6724224.1810450191</v>
      </c>
      <c r="CA208" s="666"/>
    </row>
    <row r="209" spans="1:79" customFormat="1">
      <c r="A209" s="48"/>
      <c r="B209" s="542" t="s">
        <v>292</v>
      </c>
      <c r="C209" s="671"/>
      <c r="D209" s="673">
        <v>5100000</v>
      </c>
      <c r="E209" s="673">
        <v>5257589.9999999991</v>
      </c>
      <c r="F209" s="673">
        <v>5412688.9050000012</v>
      </c>
      <c r="G209" s="673">
        <v>5565326.732121001</v>
      </c>
      <c r="H209" s="673">
        <v>5715590.5538882678</v>
      </c>
      <c r="I209" s="673">
        <v>5410239.2382018548</v>
      </c>
      <c r="J209" s="153"/>
      <c r="K209" s="542" t="s">
        <v>292</v>
      </c>
      <c r="L209" s="671"/>
      <c r="M209" s="673">
        <v>425000</v>
      </c>
      <c r="N209" s="673">
        <v>425000</v>
      </c>
      <c r="O209" s="673">
        <v>425000</v>
      </c>
      <c r="P209" s="673">
        <v>425000</v>
      </c>
      <c r="Q209" s="673">
        <v>425000</v>
      </c>
      <c r="R209" s="673">
        <v>425000</v>
      </c>
      <c r="S209" s="673">
        <v>425000</v>
      </c>
      <c r="T209" s="673">
        <v>425000</v>
      </c>
      <c r="U209" s="673">
        <v>425000</v>
      </c>
      <c r="V209" s="673">
        <v>425000</v>
      </c>
      <c r="W209" s="673">
        <v>425000</v>
      </c>
      <c r="X209" s="673">
        <v>425000</v>
      </c>
      <c r="Y209" s="673">
        <v>5100000</v>
      </c>
      <c r="Z209" s="673">
        <v>438132.49999999994</v>
      </c>
      <c r="AA209" s="673">
        <v>438132.49999999994</v>
      </c>
      <c r="AB209" s="673">
        <v>438132.49999999994</v>
      </c>
      <c r="AC209" s="673">
        <v>438132.49999999994</v>
      </c>
      <c r="AD209" s="673">
        <v>438132.49999999994</v>
      </c>
      <c r="AE209" s="673">
        <v>438132.49999999994</v>
      </c>
      <c r="AF209" s="673">
        <v>438132.49999999994</v>
      </c>
      <c r="AG209" s="673">
        <v>438132.49999999994</v>
      </c>
      <c r="AH209" s="673">
        <v>438132.49999999994</v>
      </c>
      <c r="AI209" s="673">
        <v>438132.49999999994</v>
      </c>
      <c r="AJ209" s="673">
        <v>438132.49999999994</v>
      </c>
      <c r="AK209" s="673">
        <v>438132.49999999994</v>
      </c>
      <c r="AL209" s="673">
        <v>5257589.9999999991</v>
      </c>
      <c r="AM209" s="673">
        <v>451057.40875</v>
      </c>
      <c r="AN209" s="673">
        <v>451057.40875</v>
      </c>
      <c r="AO209" s="673">
        <v>451057.40875</v>
      </c>
      <c r="AP209" s="673">
        <v>451057.40875</v>
      </c>
      <c r="AQ209" s="673">
        <v>451057.40875</v>
      </c>
      <c r="AR209" s="673">
        <v>451057.40875</v>
      </c>
      <c r="AS209" s="673">
        <v>451057.40875</v>
      </c>
      <c r="AT209" s="673">
        <v>451057.40875</v>
      </c>
      <c r="AU209" s="673">
        <v>451057.40875</v>
      </c>
      <c r="AV209" s="673">
        <v>451057.40875</v>
      </c>
      <c r="AW209" s="673">
        <v>451057.40875</v>
      </c>
      <c r="AX209" s="673">
        <v>451057.40875</v>
      </c>
      <c r="AY209" s="673">
        <v>5412688.9050000012</v>
      </c>
      <c r="AZ209" s="673">
        <v>463777.22767674999</v>
      </c>
      <c r="BA209" s="673">
        <v>463777.22767674999</v>
      </c>
      <c r="BB209" s="673">
        <v>463777.22767674999</v>
      </c>
      <c r="BC209" s="673">
        <v>463777.22767674999</v>
      </c>
      <c r="BD209" s="673">
        <v>463777.22767674999</v>
      </c>
      <c r="BE209" s="673">
        <v>463777.22767674999</v>
      </c>
      <c r="BF209" s="673">
        <v>463777.22767674999</v>
      </c>
      <c r="BG209" s="673">
        <v>463777.22767674999</v>
      </c>
      <c r="BH209" s="673">
        <v>463777.22767674999</v>
      </c>
      <c r="BI209" s="673">
        <v>463777.22767674999</v>
      </c>
      <c r="BJ209" s="673">
        <v>463777.22767674999</v>
      </c>
      <c r="BK209" s="673">
        <v>463777.22767674999</v>
      </c>
      <c r="BL209" s="673">
        <v>5565326.732121001</v>
      </c>
      <c r="BM209" s="673">
        <v>476299.21282402222</v>
      </c>
      <c r="BN209" s="673">
        <v>476299.21282402222</v>
      </c>
      <c r="BO209" s="673">
        <v>476299.21282402222</v>
      </c>
      <c r="BP209" s="673">
        <v>476299.21282402222</v>
      </c>
      <c r="BQ209" s="673">
        <v>476299.21282402222</v>
      </c>
      <c r="BR209" s="673">
        <v>476299.21282402222</v>
      </c>
      <c r="BS209" s="673">
        <v>476299.21282402222</v>
      </c>
      <c r="BT209" s="673">
        <v>476299.21282402222</v>
      </c>
      <c r="BU209" s="673">
        <v>476299.21282402222</v>
      </c>
      <c r="BV209" s="673">
        <v>476299.21282402222</v>
      </c>
      <c r="BW209" s="673">
        <v>476299.21282402222</v>
      </c>
      <c r="BX209" s="673">
        <v>476299.21282402222</v>
      </c>
      <c r="BY209" s="673">
        <v>5715590.5538882678</v>
      </c>
      <c r="CA209" s="64"/>
    </row>
    <row r="210" spans="1:79" customFormat="1">
      <c r="A210" s="48"/>
      <c r="B210" s="545" t="s">
        <v>293</v>
      </c>
      <c r="C210" s="672"/>
      <c r="D210" s="675">
        <v>900000</v>
      </c>
      <c r="E210" s="675">
        <v>927809.99999999988</v>
      </c>
      <c r="F210" s="675">
        <v>955180.3949999999</v>
      </c>
      <c r="G210" s="675">
        <v>982116.4821390002</v>
      </c>
      <c r="H210" s="675">
        <v>1008633.6271567526</v>
      </c>
      <c r="I210" s="675">
        <v>954748.10085915064</v>
      </c>
      <c r="J210" s="153"/>
      <c r="K210" s="545" t="s">
        <v>293</v>
      </c>
      <c r="L210" s="672"/>
      <c r="M210" s="675">
        <v>75000</v>
      </c>
      <c r="N210" s="675">
        <v>75000</v>
      </c>
      <c r="O210" s="675">
        <v>75000</v>
      </c>
      <c r="P210" s="675">
        <v>75000</v>
      </c>
      <c r="Q210" s="675">
        <v>75000</v>
      </c>
      <c r="R210" s="675">
        <v>75000</v>
      </c>
      <c r="S210" s="675">
        <v>75000</v>
      </c>
      <c r="T210" s="675">
        <v>75000</v>
      </c>
      <c r="U210" s="675">
        <v>75000</v>
      </c>
      <c r="V210" s="675">
        <v>75000</v>
      </c>
      <c r="W210" s="675">
        <v>75000</v>
      </c>
      <c r="X210" s="675">
        <v>75000</v>
      </c>
      <c r="Y210" s="675">
        <v>900000</v>
      </c>
      <c r="Z210" s="675">
        <v>77317.499999999985</v>
      </c>
      <c r="AA210" s="675">
        <v>77317.499999999985</v>
      </c>
      <c r="AB210" s="675">
        <v>77317.499999999985</v>
      </c>
      <c r="AC210" s="675">
        <v>77317.499999999985</v>
      </c>
      <c r="AD210" s="675">
        <v>77317.499999999985</v>
      </c>
      <c r="AE210" s="675">
        <v>77317.499999999985</v>
      </c>
      <c r="AF210" s="675">
        <v>77317.499999999985</v>
      </c>
      <c r="AG210" s="675">
        <v>77317.499999999985</v>
      </c>
      <c r="AH210" s="675">
        <v>77317.499999999985</v>
      </c>
      <c r="AI210" s="675">
        <v>77317.499999999985</v>
      </c>
      <c r="AJ210" s="675">
        <v>77317.499999999985</v>
      </c>
      <c r="AK210" s="675">
        <v>77317.499999999985</v>
      </c>
      <c r="AL210" s="675">
        <v>927809.99999999988</v>
      </c>
      <c r="AM210" s="675">
        <v>79598.366250000006</v>
      </c>
      <c r="AN210" s="675">
        <v>79598.366250000006</v>
      </c>
      <c r="AO210" s="675">
        <v>79598.366250000006</v>
      </c>
      <c r="AP210" s="675">
        <v>79598.366250000006</v>
      </c>
      <c r="AQ210" s="675">
        <v>79598.366250000006</v>
      </c>
      <c r="AR210" s="675">
        <v>79598.366250000006</v>
      </c>
      <c r="AS210" s="675">
        <v>79598.366250000006</v>
      </c>
      <c r="AT210" s="675">
        <v>79598.366250000006</v>
      </c>
      <c r="AU210" s="675">
        <v>79598.366250000006</v>
      </c>
      <c r="AV210" s="675">
        <v>79598.366250000006</v>
      </c>
      <c r="AW210" s="675">
        <v>79598.366250000006</v>
      </c>
      <c r="AX210" s="675">
        <v>79598.366250000006</v>
      </c>
      <c r="AY210" s="675">
        <v>955180.3949999999</v>
      </c>
      <c r="AZ210" s="675">
        <v>81843.040178249998</v>
      </c>
      <c r="BA210" s="675">
        <v>81843.040178249998</v>
      </c>
      <c r="BB210" s="675">
        <v>81843.040178249998</v>
      </c>
      <c r="BC210" s="675">
        <v>81843.040178249998</v>
      </c>
      <c r="BD210" s="675">
        <v>81843.040178249998</v>
      </c>
      <c r="BE210" s="675">
        <v>81843.040178249998</v>
      </c>
      <c r="BF210" s="675">
        <v>81843.040178249998</v>
      </c>
      <c r="BG210" s="675">
        <v>81843.040178249998</v>
      </c>
      <c r="BH210" s="675">
        <v>81843.040178249998</v>
      </c>
      <c r="BI210" s="675">
        <v>81843.040178249998</v>
      </c>
      <c r="BJ210" s="675">
        <v>81843.040178249998</v>
      </c>
      <c r="BK210" s="675">
        <v>81843.040178249998</v>
      </c>
      <c r="BL210" s="675">
        <v>982116.4821390002</v>
      </c>
      <c r="BM210" s="675">
        <v>84052.802263062738</v>
      </c>
      <c r="BN210" s="675">
        <v>84052.802263062738</v>
      </c>
      <c r="BO210" s="675">
        <v>84052.802263062738</v>
      </c>
      <c r="BP210" s="675">
        <v>84052.802263062738</v>
      </c>
      <c r="BQ210" s="675">
        <v>84052.802263062738</v>
      </c>
      <c r="BR210" s="675">
        <v>84052.802263062738</v>
      </c>
      <c r="BS210" s="675">
        <v>84052.802263062738</v>
      </c>
      <c r="BT210" s="675">
        <v>84052.802263062738</v>
      </c>
      <c r="BU210" s="675">
        <v>84052.802263062738</v>
      </c>
      <c r="BV210" s="675">
        <v>84052.802263062738</v>
      </c>
      <c r="BW210" s="675">
        <v>84052.802263062738</v>
      </c>
      <c r="BX210" s="675">
        <v>84052.802263062738</v>
      </c>
      <c r="BY210" s="675">
        <v>1008633.6271567526</v>
      </c>
      <c r="CA210" s="64"/>
    </row>
    <row r="211" spans="1:79">
      <c r="CA211" s="61"/>
    </row>
    <row r="212" spans="1:79">
      <c r="CA212" s="61"/>
    </row>
    <row r="213" spans="1:79" customFormat="1">
      <c r="A213" s="48"/>
      <c r="B213" s="656" t="s">
        <v>204</v>
      </c>
      <c r="C213" s="656"/>
      <c r="D213" s="656"/>
      <c r="E213" s="656"/>
      <c r="F213" s="656"/>
      <c r="G213" s="656"/>
      <c r="H213" s="656"/>
      <c r="I213" s="656"/>
      <c r="K213" s="656" t="s">
        <v>294</v>
      </c>
      <c r="L213" s="656"/>
      <c r="M213" s="656"/>
      <c r="N213" s="656"/>
      <c r="O213" s="656"/>
      <c r="P213" s="656"/>
      <c r="Q213" s="656"/>
      <c r="R213" s="656"/>
      <c r="S213" s="656"/>
      <c r="T213" s="656"/>
      <c r="U213" s="656"/>
      <c r="V213" s="656"/>
      <c r="W213" s="656"/>
      <c r="X213" s="656"/>
      <c r="Y213" s="656"/>
      <c r="Z213" s="656"/>
      <c r="AA213" s="656"/>
      <c r="AB213" s="656"/>
      <c r="AC213" s="656"/>
      <c r="AD213" s="656"/>
      <c r="AE213" s="656"/>
      <c r="AF213" s="656"/>
      <c r="AG213" s="656"/>
      <c r="AH213" s="656"/>
      <c r="AI213" s="656"/>
      <c r="AJ213" s="656"/>
      <c r="AK213" s="656"/>
      <c r="AL213" s="656"/>
      <c r="AM213" s="656"/>
      <c r="AN213" s="656"/>
      <c r="AO213" s="656"/>
      <c r="AP213" s="656"/>
      <c r="AQ213" s="656"/>
      <c r="AR213" s="656"/>
      <c r="AS213" s="656"/>
      <c r="AT213" s="656"/>
      <c r="AU213" s="656"/>
      <c r="AV213" s="656"/>
      <c r="AW213" s="656"/>
      <c r="AX213" s="656"/>
      <c r="AY213" s="656"/>
      <c r="AZ213" s="656"/>
      <c r="BA213" s="656"/>
      <c r="BB213" s="656"/>
      <c r="BC213" s="656"/>
      <c r="BD213" s="656"/>
      <c r="BE213" s="656"/>
      <c r="BF213" s="656"/>
      <c r="BG213" s="656"/>
      <c r="BH213" s="656"/>
      <c r="BI213" s="656"/>
      <c r="BJ213" s="656"/>
      <c r="BK213" s="656"/>
      <c r="BL213" s="656"/>
      <c r="BM213" s="656"/>
      <c r="BN213" s="656"/>
      <c r="BO213" s="656"/>
      <c r="BP213" s="656"/>
      <c r="BQ213" s="656"/>
      <c r="BR213" s="656"/>
      <c r="BS213" s="656"/>
      <c r="BT213" s="656"/>
      <c r="BU213" s="656"/>
      <c r="BV213" s="656"/>
      <c r="BW213" s="656"/>
      <c r="BX213" s="656"/>
      <c r="BY213" s="656"/>
      <c r="CA213" s="64"/>
    </row>
    <row r="214" spans="1:79" s="48" customFormat="1">
      <c r="B214" s="642"/>
      <c r="C214" s="674"/>
      <c r="D214" s="643"/>
      <c r="E214" s="642"/>
      <c r="F214" s="643"/>
      <c r="G214" s="643"/>
      <c r="H214" s="643"/>
      <c r="I214" s="643"/>
      <c r="K214" s="642"/>
      <c r="L214" s="674"/>
      <c r="M214" s="674"/>
      <c r="N214" s="674"/>
      <c r="O214" s="674"/>
      <c r="P214" s="674"/>
      <c r="Q214" s="674"/>
      <c r="R214" s="674"/>
      <c r="S214" s="674"/>
      <c r="T214" s="674"/>
      <c r="U214" s="674"/>
      <c r="V214" s="674"/>
      <c r="W214" s="674"/>
      <c r="X214" s="674"/>
      <c r="Y214" s="674"/>
      <c r="Z214" s="674"/>
      <c r="AA214" s="674"/>
      <c r="AB214" s="674"/>
      <c r="AC214" s="674"/>
      <c r="AD214" s="674"/>
      <c r="AE214" s="674"/>
      <c r="AF214" s="674"/>
      <c r="AG214" s="674"/>
      <c r="AH214" s="674"/>
      <c r="AI214" s="674"/>
      <c r="AJ214" s="674"/>
      <c r="AK214" s="674"/>
      <c r="AL214" s="674"/>
      <c r="AM214" s="674"/>
      <c r="AN214" s="674"/>
      <c r="AO214" s="674"/>
      <c r="AP214" s="674"/>
      <c r="AQ214" s="674"/>
      <c r="AR214" s="674"/>
      <c r="AS214" s="674"/>
      <c r="AT214" s="674"/>
      <c r="AU214" s="674"/>
      <c r="AV214" s="674"/>
      <c r="AW214" s="674"/>
      <c r="AX214" s="674"/>
      <c r="AY214" s="674"/>
      <c r="AZ214" s="674"/>
      <c r="BA214" s="674"/>
      <c r="BB214" s="674"/>
      <c r="BC214" s="674"/>
      <c r="BD214" s="674"/>
      <c r="BE214" s="674"/>
      <c r="BF214" s="674"/>
      <c r="BG214" s="674"/>
      <c r="BH214" s="674"/>
      <c r="BI214" s="674"/>
      <c r="BJ214" s="674"/>
      <c r="BK214" s="674"/>
      <c r="BL214" s="674"/>
      <c r="BM214" s="674"/>
      <c r="BN214" s="674"/>
      <c r="BO214" s="674"/>
      <c r="BP214" s="674"/>
      <c r="BQ214" s="674"/>
      <c r="BR214" s="674"/>
      <c r="BS214" s="674"/>
      <c r="BT214" s="674"/>
      <c r="BU214" s="674"/>
      <c r="BV214" s="674"/>
      <c r="BW214" s="674"/>
      <c r="BX214" s="674"/>
      <c r="BY214" s="674"/>
      <c r="CA214" s="64"/>
    </row>
    <row r="215" spans="1:79" customFormat="1">
      <c r="A215" s="48"/>
      <c r="B215" s="541" t="s">
        <v>59</v>
      </c>
      <c r="C215" s="541" t="s">
        <v>60</v>
      </c>
      <c r="D215" s="657" t="s">
        <v>6</v>
      </c>
      <c r="E215" s="541" t="s">
        <v>12</v>
      </c>
      <c r="F215" s="657" t="s">
        <v>13</v>
      </c>
      <c r="G215" s="657" t="s">
        <v>14</v>
      </c>
      <c r="H215" s="657" t="s">
        <v>15</v>
      </c>
      <c r="I215" s="657" t="s">
        <v>57</v>
      </c>
      <c r="K215" s="541" t="s">
        <v>61</v>
      </c>
      <c r="L215" s="541" t="s">
        <v>130</v>
      </c>
      <c r="M215" s="541" t="s">
        <v>131</v>
      </c>
      <c r="N215" s="541" t="s">
        <v>132</v>
      </c>
      <c r="O215" s="541" t="s">
        <v>133</v>
      </c>
      <c r="P215" s="541" t="s">
        <v>134</v>
      </c>
      <c r="Q215" s="541" t="s">
        <v>135</v>
      </c>
      <c r="R215" s="541" t="s">
        <v>136</v>
      </c>
      <c r="S215" s="541" t="s">
        <v>137</v>
      </c>
      <c r="T215" s="541" t="s">
        <v>138</v>
      </c>
      <c r="U215" s="541" t="s">
        <v>139</v>
      </c>
      <c r="V215" s="541" t="s">
        <v>140</v>
      </c>
      <c r="W215" s="541" t="s">
        <v>141</v>
      </c>
      <c r="X215" s="541" t="s">
        <v>142</v>
      </c>
      <c r="Y215" s="541" t="s">
        <v>143</v>
      </c>
      <c r="Z215" s="541" t="s">
        <v>144</v>
      </c>
      <c r="AA215" s="541" t="s">
        <v>145</v>
      </c>
      <c r="AB215" s="541" t="s">
        <v>146</v>
      </c>
      <c r="AC215" s="541" t="s">
        <v>147</v>
      </c>
      <c r="AD215" s="541" t="s">
        <v>148</v>
      </c>
      <c r="AE215" s="541" t="s">
        <v>149</v>
      </c>
      <c r="AF215" s="541" t="s">
        <v>150</v>
      </c>
      <c r="AG215" s="541" t="s">
        <v>151</v>
      </c>
      <c r="AH215" s="541" t="s">
        <v>152</v>
      </c>
      <c r="AI215" s="541" t="s">
        <v>153</v>
      </c>
      <c r="AJ215" s="541" t="s">
        <v>154</v>
      </c>
      <c r="AK215" s="541" t="s">
        <v>155</v>
      </c>
      <c r="AL215" s="541" t="s">
        <v>156</v>
      </c>
      <c r="AM215" s="541" t="s">
        <v>157</v>
      </c>
      <c r="AN215" s="541" t="s">
        <v>158</v>
      </c>
      <c r="AO215" s="541" t="s">
        <v>159</v>
      </c>
      <c r="AP215" s="541" t="s">
        <v>160</v>
      </c>
      <c r="AQ215" s="541" t="s">
        <v>161</v>
      </c>
      <c r="AR215" s="541" t="s">
        <v>162</v>
      </c>
      <c r="AS215" s="541" t="s">
        <v>163</v>
      </c>
      <c r="AT215" s="541" t="s">
        <v>164</v>
      </c>
      <c r="AU215" s="541" t="s">
        <v>165</v>
      </c>
      <c r="AV215" s="541" t="s">
        <v>166</v>
      </c>
      <c r="AW215" s="541" t="s">
        <v>167</v>
      </c>
      <c r="AX215" s="541" t="s">
        <v>168</v>
      </c>
      <c r="AY215" s="541" t="s">
        <v>169</v>
      </c>
      <c r="AZ215" s="541" t="s">
        <v>170</v>
      </c>
      <c r="BA215" s="541" t="s">
        <v>171</v>
      </c>
      <c r="BB215" s="541" t="s">
        <v>172</v>
      </c>
      <c r="BC215" s="541" t="s">
        <v>173</v>
      </c>
      <c r="BD215" s="541" t="s">
        <v>174</v>
      </c>
      <c r="BE215" s="541" t="s">
        <v>175</v>
      </c>
      <c r="BF215" s="541" t="s">
        <v>176</v>
      </c>
      <c r="BG215" s="541" t="s">
        <v>177</v>
      </c>
      <c r="BH215" s="541" t="s">
        <v>178</v>
      </c>
      <c r="BI215" s="541" t="s">
        <v>179</v>
      </c>
      <c r="BJ215" s="541" t="s">
        <v>180</v>
      </c>
      <c r="BK215" s="541" t="s">
        <v>181</v>
      </c>
      <c r="BL215" s="541" t="s">
        <v>182</v>
      </c>
      <c r="BM215" s="541" t="s">
        <v>183</v>
      </c>
      <c r="BN215" s="541" t="s">
        <v>184</v>
      </c>
      <c r="BO215" s="541" t="s">
        <v>185</v>
      </c>
      <c r="BP215" s="541" t="s">
        <v>186</v>
      </c>
      <c r="BQ215" s="541" t="s">
        <v>187</v>
      </c>
      <c r="BR215" s="541" t="s">
        <v>188</v>
      </c>
      <c r="BS215" s="541" t="s">
        <v>189</v>
      </c>
      <c r="BT215" s="541" t="s">
        <v>190</v>
      </c>
      <c r="BU215" s="541" t="s">
        <v>191</v>
      </c>
      <c r="BV215" s="541" t="s">
        <v>192</v>
      </c>
      <c r="BW215" s="541" t="s">
        <v>193</v>
      </c>
      <c r="BX215" s="541" t="s">
        <v>194</v>
      </c>
      <c r="BY215" s="541" t="s">
        <v>195</v>
      </c>
      <c r="CA215" s="64"/>
    </row>
    <row r="216" spans="1:79" customFormat="1">
      <c r="A216" s="48"/>
      <c r="B216" s="575" t="s">
        <v>295</v>
      </c>
      <c r="C216" s="548"/>
      <c r="D216" s="659">
        <v>100609118.01083893</v>
      </c>
      <c r="E216" s="576">
        <v>103717939.75737387</v>
      </c>
      <c r="F216" s="659">
        <v>106777618.98021643</v>
      </c>
      <c r="G216" s="659">
        <v>109788747.83545853</v>
      </c>
      <c r="H216" s="659">
        <v>112753044.02701591</v>
      </c>
      <c r="I216" s="659">
        <v>106729293.72218074</v>
      </c>
      <c r="J216" s="153"/>
      <c r="K216" s="575" t="s">
        <v>295</v>
      </c>
      <c r="L216" s="548"/>
      <c r="M216" s="659">
        <v>8384093.167569913</v>
      </c>
      <c r="N216" s="659">
        <v>8384093.167569913</v>
      </c>
      <c r="O216" s="659">
        <v>8384093.167569913</v>
      </c>
      <c r="P216" s="659">
        <v>8384093.167569913</v>
      </c>
      <c r="Q216" s="659">
        <v>8384093.167569913</v>
      </c>
      <c r="R216" s="659">
        <v>8384093.167569913</v>
      </c>
      <c r="S216" s="659">
        <v>8384093.167569913</v>
      </c>
      <c r="T216" s="659">
        <v>8384093.167569913</v>
      </c>
      <c r="U216" s="659">
        <v>8384093.167569913</v>
      </c>
      <c r="V216" s="659">
        <v>8384093.167569913</v>
      </c>
      <c r="W216" s="659">
        <v>8384093.167569913</v>
      </c>
      <c r="X216" s="659">
        <v>8384093.167569913</v>
      </c>
      <c r="Y216" s="659">
        <v>100609118.01083893</v>
      </c>
      <c r="Z216" s="659">
        <v>8643161.6464478225</v>
      </c>
      <c r="AA216" s="659">
        <v>8643161.6464478225</v>
      </c>
      <c r="AB216" s="659">
        <v>8643161.6464478225</v>
      </c>
      <c r="AC216" s="659">
        <v>8643161.6464478225</v>
      </c>
      <c r="AD216" s="659">
        <v>8643161.6464478225</v>
      </c>
      <c r="AE216" s="659">
        <v>8643161.6464478225</v>
      </c>
      <c r="AF216" s="659">
        <v>8643161.6464478225</v>
      </c>
      <c r="AG216" s="659">
        <v>8643161.6464478225</v>
      </c>
      <c r="AH216" s="659">
        <v>8643161.6464478225</v>
      </c>
      <c r="AI216" s="659">
        <v>8643161.6464478225</v>
      </c>
      <c r="AJ216" s="659">
        <v>8643161.6464478225</v>
      </c>
      <c r="AK216" s="659">
        <v>8643161.6464478225</v>
      </c>
      <c r="AL216" s="659">
        <v>103717939.75737387</v>
      </c>
      <c r="AM216" s="659">
        <v>8898134.9150180332</v>
      </c>
      <c r="AN216" s="659">
        <v>8898134.9150180332</v>
      </c>
      <c r="AO216" s="659">
        <v>8898134.9150180332</v>
      </c>
      <c r="AP216" s="659">
        <v>8898134.9150180332</v>
      </c>
      <c r="AQ216" s="659">
        <v>8898134.9150180332</v>
      </c>
      <c r="AR216" s="659">
        <v>8898134.9150180332</v>
      </c>
      <c r="AS216" s="659">
        <v>8898134.9150180332</v>
      </c>
      <c r="AT216" s="659">
        <v>8898134.9150180332</v>
      </c>
      <c r="AU216" s="659">
        <v>8898134.9150180332</v>
      </c>
      <c r="AV216" s="659">
        <v>8898134.9150180332</v>
      </c>
      <c r="AW216" s="659">
        <v>8898134.9150180332</v>
      </c>
      <c r="AX216" s="659">
        <v>8898134.9150180332</v>
      </c>
      <c r="AY216" s="659">
        <v>106777618.98021643</v>
      </c>
      <c r="AZ216" s="659">
        <v>9149062.3196215425</v>
      </c>
      <c r="BA216" s="659">
        <v>9149062.3196215425</v>
      </c>
      <c r="BB216" s="659">
        <v>9149062.3196215425</v>
      </c>
      <c r="BC216" s="659">
        <v>9149062.3196215425</v>
      </c>
      <c r="BD216" s="659">
        <v>9149062.3196215425</v>
      </c>
      <c r="BE216" s="659">
        <v>9149062.3196215425</v>
      </c>
      <c r="BF216" s="659">
        <v>9149062.3196215425</v>
      </c>
      <c r="BG216" s="659">
        <v>9149062.3196215425</v>
      </c>
      <c r="BH216" s="659">
        <v>9149062.3196215425</v>
      </c>
      <c r="BI216" s="659">
        <v>9149062.3196215425</v>
      </c>
      <c r="BJ216" s="659">
        <v>9149062.3196215425</v>
      </c>
      <c r="BK216" s="659">
        <v>9149062.3196215425</v>
      </c>
      <c r="BL216" s="659">
        <v>109788747.83545853</v>
      </c>
      <c r="BM216" s="659">
        <v>9396087.0022513233</v>
      </c>
      <c r="BN216" s="659">
        <v>9396087.0022513233</v>
      </c>
      <c r="BO216" s="659">
        <v>9396087.0022513233</v>
      </c>
      <c r="BP216" s="659">
        <v>9396087.0022513233</v>
      </c>
      <c r="BQ216" s="659">
        <v>9396087.0022513233</v>
      </c>
      <c r="BR216" s="659">
        <v>9396087.0022513233</v>
      </c>
      <c r="BS216" s="659">
        <v>9396087.0022513233</v>
      </c>
      <c r="BT216" s="659">
        <v>9396087.0022513233</v>
      </c>
      <c r="BU216" s="659">
        <v>9396087.0022513233</v>
      </c>
      <c r="BV216" s="659">
        <v>9396087.0022513233</v>
      </c>
      <c r="BW216" s="659">
        <v>9396087.0022513233</v>
      </c>
      <c r="BX216" s="659">
        <v>9396087.0022513233</v>
      </c>
      <c r="BY216" s="659">
        <v>112753044.02701591</v>
      </c>
      <c r="CA216" s="64"/>
    </row>
    <row r="217" spans="1:79" customFormat="1">
      <c r="A217" s="48"/>
      <c r="B217" s="542" t="s">
        <v>296</v>
      </c>
      <c r="C217" s="671"/>
      <c r="D217" s="677">
        <v>85517750.309213102</v>
      </c>
      <c r="E217" s="577">
        <v>88160248.79376781</v>
      </c>
      <c r="F217" s="677">
        <v>90760976.133183911</v>
      </c>
      <c r="G217" s="677">
        <v>93320435.66013974</v>
      </c>
      <c r="H217" s="677">
        <v>95840087.4229635</v>
      </c>
      <c r="I217" s="677">
        <v>90719899.663853616</v>
      </c>
      <c r="J217" s="153"/>
      <c r="K217" s="542" t="s">
        <v>296</v>
      </c>
      <c r="L217" s="671"/>
      <c r="M217" s="673">
        <v>7126479.1924344255</v>
      </c>
      <c r="N217" s="673">
        <v>7126479.1924344255</v>
      </c>
      <c r="O217" s="673">
        <v>7126479.1924344255</v>
      </c>
      <c r="P217" s="673">
        <v>7126479.1924344255</v>
      </c>
      <c r="Q217" s="673">
        <v>7126479.1924344255</v>
      </c>
      <c r="R217" s="673">
        <v>7126479.1924344255</v>
      </c>
      <c r="S217" s="673">
        <v>7126479.1924344255</v>
      </c>
      <c r="T217" s="673">
        <v>7126479.1924344255</v>
      </c>
      <c r="U217" s="673">
        <v>7126479.1924344255</v>
      </c>
      <c r="V217" s="673">
        <v>7126479.1924344255</v>
      </c>
      <c r="W217" s="673">
        <v>7126479.1924344255</v>
      </c>
      <c r="X217" s="673">
        <v>7126479.1924344255</v>
      </c>
      <c r="Y217" s="673">
        <v>85517750.309213102</v>
      </c>
      <c r="Z217" s="673">
        <v>7346687.3994806493</v>
      </c>
      <c r="AA217" s="673">
        <v>7346687.3994806493</v>
      </c>
      <c r="AB217" s="673">
        <v>7346687.3994806493</v>
      </c>
      <c r="AC217" s="673">
        <v>7346687.3994806493</v>
      </c>
      <c r="AD217" s="673">
        <v>7346687.3994806493</v>
      </c>
      <c r="AE217" s="673">
        <v>7346687.3994806493</v>
      </c>
      <c r="AF217" s="673">
        <v>7346687.3994806493</v>
      </c>
      <c r="AG217" s="673">
        <v>7346687.3994806493</v>
      </c>
      <c r="AH217" s="673">
        <v>7346687.3994806493</v>
      </c>
      <c r="AI217" s="673">
        <v>7346687.3994806493</v>
      </c>
      <c r="AJ217" s="673">
        <v>7346687.3994806493</v>
      </c>
      <c r="AK217" s="673">
        <v>7346687.3994806493</v>
      </c>
      <c r="AL217" s="673">
        <v>88160248.79376781</v>
      </c>
      <c r="AM217" s="673">
        <v>7563414.6777653284</v>
      </c>
      <c r="AN217" s="673">
        <v>7563414.6777653284</v>
      </c>
      <c r="AO217" s="673">
        <v>7563414.6777653284</v>
      </c>
      <c r="AP217" s="673">
        <v>7563414.6777653284</v>
      </c>
      <c r="AQ217" s="673">
        <v>7563414.6777653284</v>
      </c>
      <c r="AR217" s="673">
        <v>7563414.6777653284</v>
      </c>
      <c r="AS217" s="673">
        <v>7563414.6777653284</v>
      </c>
      <c r="AT217" s="673">
        <v>7563414.6777653284</v>
      </c>
      <c r="AU217" s="673">
        <v>7563414.6777653284</v>
      </c>
      <c r="AV217" s="673">
        <v>7563414.6777653284</v>
      </c>
      <c r="AW217" s="673">
        <v>7563414.6777653284</v>
      </c>
      <c r="AX217" s="673">
        <v>7563414.6777653284</v>
      </c>
      <c r="AY217" s="673">
        <v>90760976.133183911</v>
      </c>
      <c r="AZ217" s="673">
        <v>7776702.971678311</v>
      </c>
      <c r="BA217" s="673">
        <v>7776702.971678311</v>
      </c>
      <c r="BB217" s="673">
        <v>7776702.971678311</v>
      </c>
      <c r="BC217" s="673">
        <v>7776702.971678311</v>
      </c>
      <c r="BD217" s="673">
        <v>7776702.971678311</v>
      </c>
      <c r="BE217" s="673">
        <v>7776702.971678311</v>
      </c>
      <c r="BF217" s="673">
        <v>7776702.971678311</v>
      </c>
      <c r="BG217" s="673">
        <v>7776702.971678311</v>
      </c>
      <c r="BH217" s="673">
        <v>7776702.971678311</v>
      </c>
      <c r="BI217" s="673">
        <v>7776702.971678311</v>
      </c>
      <c r="BJ217" s="673">
        <v>7776702.971678311</v>
      </c>
      <c r="BK217" s="673">
        <v>7776702.971678311</v>
      </c>
      <c r="BL217" s="673">
        <v>93320435.66013974</v>
      </c>
      <c r="BM217" s="673">
        <v>7986673.951913625</v>
      </c>
      <c r="BN217" s="673">
        <v>7986673.951913625</v>
      </c>
      <c r="BO217" s="673">
        <v>7986673.951913625</v>
      </c>
      <c r="BP217" s="673">
        <v>7986673.951913625</v>
      </c>
      <c r="BQ217" s="673">
        <v>7986673.951913625</v>
      </c>
      <c r="BR217" s="673">
        <v>7986673.951913625</v>
      </c>
      <c r="BS217" s="673">
        <v>7986673.951913625</v>
      </c>
      <c r="BT217" s="673">
        <v>7986673.951913625</v>
      </c>
      <c r="BU217" s="673">
        <v>7986673.951913625</v>
      </c>
      <c r="BV217" s="673">
        <v>7986673.951913625</v>
      </c>
      <c r="BW217" s="673">
        <v>7986673.951913625</v>
      </c>
      <c r="BX217" s="673">
        <v>7986673.951913625</v>
      </c>
      <c r="BY217" s="673">
        <v>95840087.4229635</v>
      </c>
      <c r="CA217" s="64"/>
    </row>
    <row r="218" spans="1:79" customFormat="1">
      <c r="A218" s="48"/>
      <c r="B218" s="545" t="s">
        <v>297</v>
      </c>
      <c r="C218" s="672"/>
      <c r="D218" s="678">
        <v>15091367.701625841</v>
      </c>
      <c r="E218" s="579">
        <v>15557690.963606084</v>
      </c>
      <c r="F218" s="678">
        <v>16016642.847032459</v>
      </c>
      <c r="G218" s="678">
        <v>16468312.175318776</v>
      </c>
      <c r="H218" s="678">
        <v>16912956.604052383</v>
      </c>
      <c r="I218" s="678">
        <v>16009394.058327109</v>
      </c>
      <c r="J218" s="153"/>
      <c r="K218" s="545" t="s">
        <v>297</v>
      </c>
      <c r="L218" s="672"/>
      <c r="M218" s="675">
        <v>1257613.9751354868</v>
      </c>
      <c r="N218" s="675">
        <v>1257613.9751354868</v>
      </c>
      <c r="O218" s="675">
        <v>1257613.9751354868</v>
      </c>
      <c r="P218" s="675">
        <v>1257613.9751354868</v>
      </c>
      <c r="Q218" s="675">
        <v>1257613.9751354868</v>
      </c>
      <c r="R218" s="675">
        <v>1257613.9751354868</v>
      </c>
      <c r="S218" s="675">
        <v>1257613.9751354868</v>
      </c>
      <c r="T218" s="675">
        <v>1257613.9751354868</v>
      </c>
      <c r="U218" s="675">
        <v>1257613.9751354868</v>
      </c>
      <c r="V218" s="675">
        <v>1257613.9751354868</v>
      </c>
      <c r="W218" s="675">
        <v>1257613.9751354868</v>
      </c>
      <c r="X218" s="675">
        <v>1257613.9751354868</v>
      </c>
      <c r="Y218" s="675">
        <v>15091367.701625841</v>
      </c>
      <c r="Z218" s="675">
        <v>1296474.2469671734</v>
      </c>
      <c r="AA218" s="675">
        <v>1296474.2469671734</v>
      </c>
      <c r="AB218" s="675">
        <v>1296474.2469671734</v>
      </c>
      <c r="AC218" s="675">
        <v>1296474.2469671734</v>
      </c>
      <c r="AD218" s="675">
        <v>1296474.2469671734</v>
      </c>
      <c r="AE218" s="675">
        <v>1296474.2469671734</v>
      </c>
      <c r="AF218" s="675">
        <v>1296474.2469671734</v>
      </c>
      <c r="AG218" s="675">
        <v>1296474.2469671734</v>
      </c>
      <c r="AH218" s="675">
        <v>1296474.2469671734</v>
      </c>
      <c r="AI218" s="675">
        <v>1296474.2469671734</v>
      </c>
      <c r="AJ218" s="675">
        <v>1296474.2469671734</v>
      </c>
      <c r="AK218" s="675">
        <v>1296474.2469671734</v>
      </c>
      <c r="AL218" s="675">
        <v>15557690.963606084</v>
      </c>
      <c r="AM218" s="675">
        <v>1334720.237252705</v>
      </c>
      <c r="AN218" s="675">
        <v>1334720.237252705</v>
      </c>
      <c r="AO218" s="675">
        <v>1334720.237252705</v>
      </c>
      <c r="AP218" s="675">
        <v>1334720.237252705</v>
      </c>
      <c r="AQ218" s="675">
        <v>1334720.237252705</v>
      </c>
      <c r="AR218" s="675">
        <v>1334720.237252705</v>
      </c>
      <c r="AS218" s="675">
        <v>1334720.237252705</v>
      </c>
      <c r="AT218" s="675">
        <v>1334720.237252705</v>
      </c>
      <c r="AU218" s="675">
        <v>1334720.237252705</v>
      </c>
      <c r="AV218" s="675">
        <v>1334720.237252705</v>
      </c>
      <c r="AW218" s="675">
        <v>1334720.237252705</v>
      </c>
      <c r="AX218" s="675">
        <v>1334720.237252705</v>
      </c>
      <c r="AY218" s="675">
        <v>16016642.847032459</v>
      </c>
      <c r="AZ218" s="675">
        <v>1372359.3479432312</v>
      </c>
      <c r="BA218" s="675">
        <v>1372359.3479432312</v>
      </c>
      <c r="BB218" s="675">
        <v>1372359.3479432312</v>
      </c>
      <c r="BC218" s="675">
        <v>1372359.3479432312</v>
      </c>
      <c r="BD218" s="675">
        <v>1372359.3479432312</v>
      </c>
      <c r="BE218" s="675">
        <v>1372359.3479432312</v>
      </c>
      <c r="BF218" s="675">
        <v>1372359.3479432312</v>
      </c>
      <c r="BG218" s="675">
        <v>1372359.3479432312</v>
      </c>
      <c r="BH218" s="675">
        <v>1372359.3479432312</v>
      </c>
      <c r="BI218" s="675">
        <v>1372359.3479432312</v>
      </c>
      <c r="BJ218" s="675">
        <v>1372359.3479432312</v>
      </c>
      <c r="BK218" s="675">
        <v>1372359.3479432312</v>
      </c>
      <c r="BL218" s="675">
        <v>16468312.175318776</v>
      </c>
      <c r="BM218" s="675">
        <v>1409413.0503376985</v>
      </c>
      <c r="BN218" s="675">
        <v>1409413.0503376985</v>
      </c>
      <c r="BO218" s="675">
        <v>1409413.0503376985</v>
      </c>
      <c r="BP218" s="675">
        <v>1409413.0503376985</v>
      </c>
      <c r="BQ218" s="675">
        <v>1409413.0503376985</v>
      </c>
      <c r="BR218" s="675">
        <v>1409413.0503376985</v>
      </c>
      <c r="BS218" s="675">
        <v>1409413.0503376985</v>
      </c>
      <c r="BT218" s="675">
        <v>1409413.0503376985</v>
      </c>
      <c r="BU218" s="675">
        <v>1409413.0503376985</v>
      </c>
      <c r="BV218" s="675">
        <v>1409413.0503376985</v>
      </c>
      <c r="BW218" s="675">
        <v>1409413.0503376985</v>
      </c>
      <c r="BX218" s="675">
        <v>1409413.0503376985</v>
      </c>
      <c r="BY218" s="675">
        <v>16912956.604052383</v>
      </c>
      <c r="CA218" s="64"/>
    </row>
    <row r="219" spans="1:79">
      <c r="CA219" s="61"/>
    </row>
    <row r="220" spans="1:79">
      <c r="CA220" s="61"/>
    </row>
    <row r="221" spans="1:79" customFormat="1">
      <c r="A221" s="48"/>
      <c r="B221" s="656" t="s">
        <v>205</v>
      </c>
      <c r="C221" s="656"/>
      <c r="D221" s="656"/>
      <c r="E221" s="656"/>
      <c r="F221" s="656"/>
      <c r="G221" s="656"/>
      <c r="H221" s="656"/>
      <c r="I221" s="656"/>
      <c r="K221" s="656" t="s">
        <v>298</v>
      </c>
      <c r="L221" s="656"/>
      <c r="M221" s="656"/>
      <c r="N221" s="656"/>
      <c r="O221" s="656"/>
      <c r="P221" s="656"/>
      <c r="Q221" s="656"/>
      <c r="R221" s="656"/>
      <c r="S221" s="656"/>
      <c r="T221" s="656"/>
      <c r="U221" s="656"/>
      <c r="V221" s="656"/>
      <c r="W221" s="656"/>
      <c r="X221" s="656"/>
      <c r="Y221" s="656"/>
      <c r="Z221" s="656"/>
      <c r="AA221" s="656"/>
      <c r="AB221" s="656"/>
      <c r="AC221" s="656"/>
      <c r="AD221" s="656"/>
      <c r="AE221" s="656"/>
      <c r="AF221" s="656"/>
      <c r="AG221" s="656"/>
      <c r="AH221" s="656"/>
      <c r="AI221" s="656"/>
      <c r="AJ221" s="656"/>
      <c r="AK221" s="656"/>
      <c r="AL221" s="656"/>
      <c r="AM221" s="656"/>
      <c r="AN221" s="656"/>
      <c r="AO221" s="656"/>
      <c r="AP221" s="656"/>
      <c r="AQ221" s="656"/>
      <c r="AR221" s="656"/>
      <c r="AS221" s="656"/>
      <c r="AT221" s="656"/>
      <c r="AU221" s="656"/>
      <c r="AV221" s="656"/>
      <c r="AW221" s="656"/>
      <c r="AX221" s="656"/>
      <c r="AY221" s="656"/>
      <c r="AZ221" s="656"/>
      <c r="BA221" s="656"/>
      <c r="BB221" s="656"/>
      <c r="BC221" s="656"/>
      <c r="BD221" s="656"/>
      <c r="BE221" s="656"/>
      <c r="BF221" s="656"/>
      <c r="BG221" s="656"/>
      <c r="BH221" s="656"/>
      <c r="BI221" s="656"/>
      <c r="BJ221" s="656"/>
      <c r="BK221" s="656"/>
      <c r="BL221" s="656"/>
      <c r="BM221" s="656"/>
      <c r="BN221" s="656"/>
      <c r="BO221" s="656"/>
      <c r="BP221" s="656"/>
      <c r="BQ221" s="656"/>
      <c r="BR221" s="656"/>
      <c r="BS221" s="656"/>
      <c r="BT221" s="656"/>
      <c r="BU221" s="656"/>
      <c r="BV221" s="656"/>
      <c r="BW221" s="656"/>
      <c r="BX221" s="656"/>
      <c r="BY221" s="656"/>
      <c r="CA221" s="64"/>
    </row>
    <row r="222" spans="1:79" s="48" customFormat="1">
      <c r="B222" s="575"/>
      <c r="C222" s="649"/>
      <c r="D222" s="576"/>
      <c r="E222" s="576"/>
      <c r="F222" s="576"/>
      <c r="G222" s="576"/>
      <c r="H222" s="576"/>
      <c r="I222" s="576"/>
      <c r="K222" s="575"/>
      <c r="L222" s="649"/>
      <c r="M222" s="576"/>
      <c r="N222" s="576"/>
      <c r="O222" s="576"/>
      <c r="P222" s="576"/>
      <c r="Q222" s="576"/>
      <c r="R222" s="576"/>
      <c r="S222" s="576"/>
      <c r="T222" s="576"/>
      <c r="U222" s="576"/>
      <c r="V222" s="576"/>
      <c r="W222" s="576"/>
      <c r="X222" s="576"/>
      <c r="Y222" s="576"/>
      <c r="Z222" s="576"/>
      <c r="AA222" s="576"/>
      <c r="AB222" s="576"/>
      <c r="AC222" s="576"/>
      <c r="AD222" s="576"/>
      <c r="AE222" s="576"/>
      <c r="AF222" s="576"/>
      <c r="AG222" s="576"/>
      <c r="AH222" s="576"/>
      <c r="AI222" s="576"/>
      <c r="AJ222" s="576"/>
      <c r="AK222" s="576"/>
      <c r="AL222" s="576"/>
      <c r="AM222" s="576"/>
      <c r="AN222" s="576"/>
      <c r="AO222" s="576"/>
      <c r="AP222" s="576"/>
      <c r="AQ222" s="576"/>
      <c r="AR222" s="576"/>
      <c r="AS222" s="576"/>
      <c r="AT222" s="576"/>
      <c r="AU222" s="576"/>
      <c r="AV222" s="576"/>
      <c r="AW222" s="576"/>
      <c r="AX222" s="576"/>
      <c r="AY222" s="576"/>
      <c r="AZ222" s="576"/>
      <c r="BA222" s="576"/>
      <c r="BB222" s="576"/>
      <c r="BC222" s="576"/>
      <c r="BD222" s="576"/>
      <c r="BE222" s="576"/>
      <c r="BF222" s="576"/>
      <c r="BG222" s="576"/>
      <c r="BH222" s="576"/>
      <c r="BI222" s="576"/>
      <c r="BJ222" s="576"/>
      <c r="BK222" s="576"/>
      <c r="BL222" s="576"/>
      <c r="BM222" s="576"/>
      <c r="BN222" s="576"/>
      <c r="BO222" s="576"/>
      <c r="BP222" s="576"/>
      <c r="BQ222" s="576"/>
      <c r="BR222" s="576"/>
      <c r="BS222" s="576"/>
      <c r="BT222" s="576"/>
      <c r="BU222" s="576"/>
      <c r="BV222" s="576"/>
      <c r="BW222" s="576"/>
      <c r="BX222" s="576"/>
      <c r="BY222" s="576"/>
      <c r="CA222" s="64"/>
    </row>
    <row r="223" spans="1:79" customFormat="1">
      <c r="A223" s="48"/>
      <c r="B223" s="541" t="s">
        <v>59</v>
      </c>
      <c r="C223" s="541" t="s">
        <v>60</v>
      </c>
      <c r="D223" s="657" t="s">
        <v>6</v>
      </c>
      <c r="E223" s="657" t="s">
        <v>12</v>
      </c>
      <c r="F223" s="657" t="s">
        <v>13</v>
      </c>
      <c r="G223" s="657" t="s">
        <v>14</v>
      </c>
      <c r="H223" s="657" t="s">
        <v>15</v>
      </c>
      <c r="I223" s="657" t="s">
        <v>62</v>
      </c>
      <c r="K223" s="541" t="s">
        <v>61</v>
      </c>
      <c r="L223" s="541" t="s">
        <v>130</v>
      </c>
      <c r="M223" s="657" t="s">
        <v>131</v>
      </c>
      <c r="N223" s="657" t="s">
        <v>132</v>
      </c>
      <c r="O223" s="657" t="s">
        <v>133</v>
      </c>
      <c r="P223" s="657" t="s">
        <v>134</v>
      </c>
      <c r="Q223" s="657" t="s">
        <v>135</v>
      </c>
      <c r="R223" s="657" t="s">
        <v>136</v>
      </c>
      <c r="S223" s="657" t="s">
        <v>137</v>
      </c>
      <c r="T223" s="657" t="s">
        <v>138</v>
      </c>
      <c r="U223" s="657" t="s">
        <v>139</v>
      </c>
      <c r="V223" s="657" t="s">
        <v>140</v>
      </c>
      <c r="W223" s="657" t="s">
        <v>141</v>
      </c>
      <c r="X223" s="657" t="s">
        <v>142</v>
      </c>
      <c r="Y223" s="657" t="s">
        <v>143</v>
      </c>
      <c r="Z223" s="657" t="s">
        <v>144</v>
      </c>
      <c r="AA223" s="657" t="s">
        <v>145</v>
      </c>
      <c r="AB223" s="657" t="s">
        <v>146</v>
      </c>
      <c r="AC223" s="657" t="s">
        <v>147</v>
      </c>
      <c r="AD223" s="657" t="s">
        <v>148</v>
      </c>
      <c r="AE223" s="657" t="s">
        <v>149</v>
      </c>
      <c r="AF223" s="657" t="s">
        <v>150</v>
      </c>
      <c r="AG223" s="657" t="s">
        <v>151</v>
      </c>
      <c r="AH223" s="657" t="s">
        <v>152</v>
      </c>
      <c r="AI223" s="657" t="s">
        <v>153</v>
      </c>
      <c r="AJ223" s="657" t="s">
        <v>154</v>
      </c>
      <c r="AK223" s="657" t="s">
        <v>155</v>
      </c>
      <c r="AL223" s="657" t="s">
        <v>156</v>
      </c>
      <c r="AM223" s="657" t="s">
        <v>157</v>
      </c>
      <c r="AN223" s="657" t="s">
        <v>158</v>
      </c>
      <c r="AO223" s="657" t="s">
        <v>159</v>
      </c>
      <c r="AP223" s="657" t="s">
        <v>160</v>
      </c>
      <c r="AQ223" s="657" t="s">
        <v>161</v>
      </c>
      <c r="AR223" s="657" t="s">
        <v>162</v>
      </c>
      <c r="AS223" s="657" t="s">
        <v>163</v>
      </c>
      <c r="AT223" s="657" t="s">
        <v>164</v>
      </c>
      <c r="AU223" s="657" t="s">
        <v>165</v>
      </c>
      <c r="AV223" s="657" t="s">
        <v>166</v>
      </c>
      <c r="AW223" s="657" t="s">
        <v>167</v>
      </c>
      <c r="AX223" s="657" t="s">
        <v>168</v>
      </c>
      <c r="AY223" s="657" t="s">
        <v>169</v>
      </c>
      <c r="AZ223" s="657" t="s">
        <v>170</v>
      </c>
      <c r="BA223" s="657" t="s">
        <v>171</v>
      </c>
      <c r="BB223" s="657" t="s">
        <v>172</v>
      </c>
      <c r="BC223" s="657" t="s">
        <v>173</v>
      </c>
      <c r="BD223" s="657" t="s">
        <v>174</v>
      </c>
      <c r="BE223" s="657" t="s">
        <v>175</v>
      </c>
      <c r="BF223" s="657" t="s">
        <v>176</v>
      </c>
      <c r="BG223" s="657" t="s">
        <v>177</v>
      </c>
      <c r="BH223" s="657" t="s">
        <v>178</v>
      </c>
      <c r="BI223" s="657" t="s">
        <v>179</v>
      </c>
      <c r="BJ223" s="657" t="s">
        <v>180</v>
      </c>
      <c r="BK223" s="657" t="s">
        <v>181</v>
      </c>
      <c r="BL223" s="657" t="s">
        <v>182</v>
      </c>
      <c r="BM223" s="657" t="s">
        <v>183</v>
      </c>
      <c r="BN223" s="657" t="s">
        <v>184</v>
      </c>
      <c r="BO223" s="657" t="s">
        <v>185</v>
      </c>
      <c r="BP223" s="657" t="s">
        <v>186</v>
      </c>
      <c r="BQ223" s="657" t="s">
        <v>187</v>
      </c>
      <c r="BR223" s="657" t="s">
        <v>188</v>
      </c>
      <c r="BS223" s="657" t="s">
        <v>189</v>
      </c>
      <c r="BT223" s="657" t="s">
        <v>190</v>
      </c>
      <c r="BU223" s="657" t="s">
        <v>191</v>
      </c>
      <c r="BV223" s="657" t="s">
        <v>192</v>
      </c>
      <c r="BW223" s="657" t="s">
        <v>193</v>
      </c>
      <c r="BX223" s="657" t="s">
        <v>194</v>
      </c>
      <c r="BY223" s="657" t="s">
        <v>195</v>
      </c>
      <c r="CA223" s="64"/>
    </row>
    <row r="224" spans="1:79" customFormat="1" ht="15.75" thickBot="1">
      <c r="A224" s="48"/>
      <c r="B224" s="545" t="s">
        <v>299</v>
      </c>
      <c r="C224" s="650"/>
      <c r="D224" s="667">
        <v>2880000</v>
      </c>
      <c r="E224" s="667">
        <v>5848992</v>
      </c>
      <c r="F224" s="667">
        <v>5848992</v>
      </c>
      <c r="G224" s="667">
        <v>7375350.7872000011</v>
      </c>
      <c r="H224" s="667">
        <v>8942921.2616543993</v>
      </c>
      <c r="I224" s="667">
        <v>30896256.048854399</v>
      </c>
      <c r="J224" s="153"/>
      <c r="K224" s="545" t="s">
        <v>299</v>
      </c>
      <c r="L224" s="650"/>
      <c r="M224" s="667">
        <v>240000</v>
      </c>
      <c r="N224" s="667">
        <v>240000</v>
      </c>
      <c r="O224" s="667">
        <v>240000</v>
      </c>
      <c r="P224" s="667">
        <v>240000</v>
      </c>
      <c r="Q224" s="667">
        <v>240000</v>
      </c>
      <c r="R224" s="667">
        <v>240000</v>
      </c>
      <c r="S224" s="667">
        <v>240000</v>
      </c>
      <c r="T224" s="667">
        <v>240000</v>
      </c>
      <c r="U224" s="667">
        <v>240000</v>
      </c>
      <c r="V224" s="667">
        <v>240000</v>
      </c>
      <c r="W224" s="667">
        <v>240000</v>
      </c>
      <c r="X224" s="667">
        <v>240000</v>
      </c>
      <c r="Y224" s="667">
        <v>2880000</v>
      </c>
      <c r="Z224" s="667">
        <v>487416</v>
      </c>
      <c r="AA224" s="667">
        <v>487416</v>
      </c>
      <c r="AB224" s="667">
        <v>487416</v>
      </c>
      <c r="AC224" s="667">
        <v>487416</v>
      </c>
      <c r="AD224" s="667">
        <v>487416</v>
      </c>
      <c r="AE224" s="667">
        <v>487416</v>
      </c>
      <c r="AF224" s="667">
        <v>487416</v>
      </c>
      <c r="AG224" s="667">
        <v>487416</v>
      </c>
      <c r="AH224" s="667">
        <v>487416</v>
      </c>
      <c r="AI224" s="667">
        <v>487416</v>
      </c>
      <c r="AJ224" s="667">
        <v>487416</v>
      </c>
      <c r="AK224" s="667">
        <v>487416</v>
      </c>
      <c r="AL224" s="667">
        <v>5848992</v>
      </c>
      <c r="AM224" s="667">
        <v>487416</v>
      </c>
      <c r="AN224" s="667">
        <v>487416</v>
      </c>
      <c r="AO224" s="667">
        <v>487416</v>
      </c>
      <c r="AP224" s="667">
        <v>487416</v>
      </c>
      <c r="AQ224" s="667">
        <v>487416</v>
      </c>
      <c r="AR224" s="667">
        <v>487416</v>
      </c>
      <c r="AS224" s="667">
        <v>487416</v>
      </c>
      <c r="AT224" s="667">
        <v>487416</v>
      </c>
      <c r="AU224" s="667">
        <v>487416</v>
      </c>
      <c r="AV224" s="667">
        <v>487416</v>
      </c>
      <c r="AW224" s="667">
        <v>487416</v>
      </c>
      <c r="AX224" s="667">
        <v>487416</v>
      </c>
      <c r="AY224" s="667">
        <v>5848992</v>
      </c>
      <c r="AZ224" s="667">
        <v>614612.56559999997</v>
      </c>
      <c r="BA224" s="667">
        <v>614612.56559999997</v>
      </c>
      <c r="BB224" s="667">
        <v>614612.56559999997</v>
      </c>
      <c r="BC224" s="667">
        <v>614612.56559999997</v>
      </c>
      <c r="BD224" s="667">
        <v>614612.56559999997</v>
      </c>
      <c r="BE224" s="667">
        <v>614612.56559999997</v>
      </c>
      <c r="BF224" s="667">
        <v>614612.56559999997</v>
      </c>
      <c r="BG224" s="667">
        <v>614612.56559999997</v>
      </c>
      <c r="BH224" s="667">
        <v>614612.56559999997</v>
      </c>
      <c r="BI224" s="667">
        <v>614612.56559999997</v>
      </c>
      <c r="BJ224" s="667">
        <v>614612.56559999997</v>
      </c>
      <c r="BK224" s="667">
        <v>614612.56559999997</v>
      </c>
      <c r="BL224" s="667">
        <v>7375350.7872000011</v>
      </c>
      <c r="BM224" s="667">
        <v>745243.43847119994</v>
      </c>
      <c r="BN224" s="667">
        <v>745243.43847119994</v>
      </c>
      <c r="BO224" s="667">
        <v>745243.43847119994</v>
      </c>
      <c r="BP224" s="667">
        <v>745243.43847119994</v>
      </c>
      <c r="BQ224" s="667">
        <v>745243.43847119994</v>
      </c>
      <c r="BR224" s="667">
        <v>745243.43847119994</v>
      </c>
      <c r="BS224" s="667">
        <v>745243.43847119994</v>
      </c>
      <c r="BT224" s="667">
        <v>745243.43847119994</v>
      </c>
      <c r="BU224" s="667">
        <v>745243.43847119994</v>
      </c>
      <c r="BV224" s="667">
        <v>745243.43847119994</v>
      </c>
      <c r="BW224" s="667">
        <v>745243.43847119994</v>
      </c>
      <c r="BX224" s="667">
        <v>745243.43847119994</v>
      </c>
      <c r="BY224" s="667">
        <v>8942921.2616543993</v>
      </c>
      <c r="CA224" s="65"/>
    </row>
    <row r="226" spans="1:79" ht="15.75" thickBot="1"/>
    <row r="227" spans="1:79" customFormat="1">
      <c r="A227" s="48"/>
      <c r="B227" s="690" t="s">
        <v>206</v>
      </c>
      <c r="C227" s="690"/>
      <c r="D227" s="690"/>
      <c r="E227" s="690"/>
      <c r="F227" s="690"/>
      <c r="G227" s="690"/>
      <c r="H227" s="690"/>
      <c r="I227" s="690"/>
      <c r="K227" s="690" t="s">
        <v>300</v>
      </c>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c r="AJ227" s="690"/>
      <c r="AK227" s="690"/>
      <c r="AL227" s="690"/>
      <c r="AM227" s="690"/>
      <c r="AN227" s="690"/>
      <c r="AO227" s="690"/>
      <c r="AP227" s="690"/>
      <c r="AQ227" s="690"/>
      <c r="AR227" s="690"/>
      <c r="AS227" s="690"/>
      <c r="AT227" s="690"/>
      <c r="AU227" s="690"/>
      <c r="AV227" s="690"/>
      <c r="AW227" s="690"/>
      <c r="AX227" s="690"/>
      <c r="AY227" s="690"/>
      <c r="AZ227" s="690"/>
      <c r="BA227" s="690"/>
      <c r="BB227" s="690"/>
      <c r="BC227" s="690"/>
      <c r="BD227" s="690"/>
      <c r="BE227" s="690"/>
      <c r="BF227" s="690"/>
      <c r="BG227" s="690"/>
      <c r="BH227" s="690"/>
      <c r="BI227" s="690"/>
      <c r="BJ227" s="690"/>
      <c r="BK227" s="690"/>
      <c r="BL227" s="690"/>
      <c r="BM227" s="690"/>
      <c r="BN227" s="690"/>
      <c r="BO227" s="690"/>
      <c r="BP227" s="690"/>
      <c r="BQ227" s="690"/>
      <c r="BR227" s="690"/>
      <c r="BS227" s="690"/>
      <c r="BT227" s="690"/>
      <c r="BU227" s="690"/>
      <c r="BV227" s="690"/>
      <c r="BW227" s="690"/>
      <c r="BX227" s="690"/>
      <c r="BY227" s="690"/>
      <c r="CA227" s="63"/>
    </row>
    <row r="228" spans="1:79" s="48" customFormat="1">
      <c r="B228" s="691"/>
      <c r="C228" s="691"/>
      <c r="D228" s="691"/>
      <c r="E228" s="691"/>
      <c r="F228" s="691"/>
      <c r="G228" s="691"/>
      <c r="H228" s="691"/>
      <c r="I228" s="691"/>
      <c r="K228" s="691"/>
      <c r="L228" s="691"/>
      <c r="M228" s="691"/>
      <c r="N228" s="691"/>
      <c r="O228" s="691"/>
      <c r="P228" s="691"/>
      <c r="Q228" s="691"/>
      <c r="R228" s="691"/>
      <c r="S228" s="691"/>
      <c r="T228" s="691"/>
      <c r="U228" s="691"/>
      <c r="V228" s="691"/>
      <c r="W228" s="691"/>
      <c r="X228" s="691"/>
      <c r="Y228" s="691"/>
      <c r="Z228" s="691"/>
      <c r="AA228" s="691"/>
      <c r="AB228" s="691"/>
      <c r="AC228" s="691"/>
      <c r="AD228" s="691"/>
      <c r="AE228" s="691"/>
      <c r="AF228" s="691"/>
      <c r="AG228" s="691"/>
      <c r="AH228" s="691"/>
      <c r="AI228" s="691"/>
      <c r="AJ228" s="691"/>
      <c r="AK228" s="691"/>
      <c r="AL228" s="691"/>
      <c r="AM228" s="691"/>
      <c r="AN228" s="691"/>
      <c r="AO228" s="691"/>
      <c r="AP228" s="691"/>
      <c r="AQ228" s="691"/>
      <c r="AR228" s="691"/>
      <c r="AS228" s="691"/>
      <c r="AT228" s="691"/>
      <c r="AU228" s="691"/>
      <c r="AV228" s="691"/>
      <c r="AW228" s="691"/>
      <c r="AX228" s="691"/>
      <c r="AY228" s="691"/>
      <c r="AZ228" s="691"/>
      <c r="BA228" s="691"/>
      <c r="BB228" s="691"/>
      <c r="BC228" s="691"/>
      <c r="BD228" s="691"/>
      <c r="BE228" s="691"/>
      <c r="BF228" s="691"/>
      <c r="BG228" s="691"/>
      <c r="BH228" s="691"/>
      <c r="BI228" s="691"/>
      <c r="BJ228" s="691"/>
      <c r="BK228" s="691"/>
      <c r="BL228" s="691"/>
      <c r="BM228" s="691"/>
      <c r="BN228" s="691"/>
      <c r="BO228" s="691"/>
      <c r="BP228" s="691"/>
      <c r="BQ228" s="691"/>
      <c r="BR228" s="691"/>
      <c r="BS228" s="691"/>
      <c r="BT228" s="691"/>
      <c r="BU228" s="691"/>
      <c r="BV228" s="691"/>
      <c r="BW228" s="691"/>
      <c r="BX228" s="691"/>
      <c r="BY228" s="691"/>
      <c r="CA228" s="64"/>
    </row>
    <row r="229" spans="1:79" customFormat="1">
      <c r="A229" s="48"/>
      <c r="B229" s="40" t="s">
        <v>59</v>
      </c>
      <c r="C229" s="40" t="s">
        <v>60</v>
      </c>
      <c r="D229" s="40" t="s">
        <v>6</v>
      </c>
      <c r="E229" s="40" t="s">
        <v>12</v>
      </c>
      <c r="F229" s="40" t="s">
        <v>13</v>
      </c>
      <c r="G229" s="40" t="s">
        <v>14</v>
      </c>
      <c r="H229" s="40" t="s">
        <v>15</v>
      </c>
      <c r="I229" s="40" t="s">
        <v>57</v>
      </c>
      <c r="K229" s="40" t="s">
        <v>61</v>
      </c>
      <c r="L229" s="40" t="s">
        <v>130</v>
      </c>
      <c r="M229" s="40" t="s">
        <v>131</v>
      </c>
      <c r="N229" s="40" t="s">
        <v>132</v>
      </c>
      <c r="O229" s="40" t="s">
        <v>133</v>
      </c>
      <c r="P229" s="40" t="s">
        <v>134</v>
      </c>
      <c r="Q229" s="40" t="s">
        <v>135</v>
      </c>
      <c r="R229" s="40" t="s">
        <v>136</v>
      </c>
      <c r="S229" s="40" t="s">
        <v>137</v>
      </c>
      <c r="T229" s="40" t="s">
        <v>138</v>
      </c>
      <c r="U229" s="40" t="s">
        <v>139</v>
      </c>
      <c r="V229" s="40" t="s">
        <v>140</v>
      </c>
      <c r="W229" s="40" t="s">
        <v>141</v>
      </c>
      <c r="X229" s="40" t="s">
        <v>142</v>
      </c>
      <c r="Y229" s="40" t="s">
        <v>143</v>
      </c>
      <c r="Z229" s="40" t="s">
        <v>144</v>
      </c>
      <c r="AA229" s="40" t="s">
        <v>145</v>
      </c>
      <c r="AB229" s="40" t="s">
        <v>146</v>
      </c>
      <c r="AC229" s="40" t="s">
        <v>147</v>
      </c>
      <c r="AD229" s="40" t="s">
        <v>148</v>
      </c>
      <c r="AE229" s="40" t="s">
        <v>149</v>
      </c>
      <c r="AF229" s="40" t="s">
        <v>150</v>
      </c>
      <c r="AG229" s="40" t="s">
        <v>151</v>
      </c>
      <c r="AH229" s="40" t="s">
        <v>152</v>
      </c>
      <c r="AI229" s="40" t="s">
        <v>153</v>
      </c>
      <c r="AJ229" s="40" t="s">
        <v>154</v>
      </c>
      <c r="AK229" s="40" t="s">
        <v>155</v>
      </c>
      <c r="AL229" s="40" t="s">
        <v>156</v>
      </c>
      <c r="AM229" s="40" t="s">
        <v>157</v>
      </c>
      <c r="AN229" s="40" t="s">
        <v>158</v>
      </c>
      <c r="AO229" s="40" t="s">
        <v>159</v>
      </c>
      <c r="AP229" s="40" t="s">
        <v>160</v>
      </c>
      <c r="AQ229" s="40" t="s">
        <v>161</v>
      </c>
      <c r="AR229" s="40" t="s">
        <v>162</v>
      </c>
      <c r="AS229" s="40" t="s">
        <v>163</v>
      </c>
      <c r="AT229" s="40" t="s">
        <v>164</v>
      </c>
      <c r="AU229" s="40" t="s">
        <v>165</v>
      </c>
      <c r="AV229" s="40" t="s">
        <v>166</v>
      </c>
      <c r="AW229" s="40" t="s">
        <v>167</v>
      </c>
      <c r="AX229" s="40" t="s">
        <v>168</v>
      </c>
      <c r="AY229" s="40" t="s">
        <v>169</v>
      </c>
      <c r="AZ229" s="40" t="s">
        <v>170</v>
      </c>
      <c r="BA229" s="40" t="s">
        <v>171</v>
      </c>
      <c r="BB229" s="40" t="s">
        <v>172</v>
      </c>
      <c r="BC229" s="40" t="s">
        <v>173</v>
      </c>
      <c r="BD229" s="40" t="s">
        <v>174</v>
      </c>
      <c r="BE229" s="40" t="s">
        <v>175</v>
      </c>
      <c r="BF229" s="40" t="s">
        <v>176</v>
      </c>
      <c r="BG229" s="40" t="s">
        <v>177</v>
      </c>
      <c r="BH229" s="40" t="s">
        <v>178</v>
      </c>
      <c r="BI229" s="40" t="s">
        <v>179</v>
      </c>
      <c r="BJ229" s="40" t="s">
        <v>180</v>
      </c>
      <c r="BK229" s="40" t="s">
        <v>181</v>
      </c>
      <c r="BL229" s="40" t="s">
        <v>182</v>
      </c>
      <c r="BM229" s="40" t="s">
        <v>183</v>
      </c>
      <c r="BN229" s="40" t="s">
        <v>184</v>
      </c>
      <c r="BO229" s="40" t="s">
        <v>185</v>
      </c>
      <c r="BP229" s="40" t="s">
        <v>186</v>
      </c>
      <c r="BQ229" s="40" t="s">
        <v>187</v>
      </c>
      <c r="BR229" s="40" t="s">
        <v>188</v>
      </c>
      <c r="BS229" s="40" t="s">
        <v>189</v>
      </c>
      <c r="BT229" s="40" t="s">
        <v>190</v>
      </c>
      <c r="BU229" s="40" t="s">
        <v>191</v>
      </c>
      <c r="BV229" s="40" t="s">
        <v>192</v>
      </c>
      <c r="BW229" s="40" t="s">
        <v>193</v>
      </c>
      <c r="BX229" s="40" t="s">
        <v>194</v>
      </c>
      <c r="BY229" s="40" t="s">
        <v>195</v>
      </c>
      <c r="CA229" s="64"/>
    </row>
    <row r="230" spans="1:79" customFormat="1">
      <c r="A230" s="48"/>
      <c r="B230" s="682" t="s">
        <v>301</v>
      </c>
      <c r="C230" s="683"/>
      <c r="D230" s="679">
        <v>7</v>
      </c>
      <c r="E230" s="680">
        <v>7</v>
      </c>
      <c r="F230" s="679">
        <v>7</v>
      </c>
      <c r="G230" s="679">
        <v>7</v>
      </c>
      <c r="H230" s="679">
        <v>7</v>
      </c>
      <c r="I230" s="679">
        <v>7</v>
      </c>
      <c r="J230" s="29"/>
      <c r="K230" s="682" t="s">
        <v>301</v>
      </c>
      <c r="L230" s="683"/>
      <c r="M230" s="679">
        <v>7</v>
      </c>
      <c r="N230" s="680">
        <v>7</v>
      </c>
      <c r="O230" s="680">
        <v>7</v>
      </c>
      <c r="P230" s="680">
        <v>7</v>
      </c>
      <c r="Q230" s="680">
        <v>7</v>
      </c>
      <c r="R230" s="680">
        <v>7</v>
      </c>
      <c r="S230" s="680">
        <v>7</v>
      </c>
      <c r="T230" s="680">
        <v>7</v>
      </c>
      <c r="U230" s="680">
        <v>7</v>
      </c>
      <c r="V230" s="680">
        <v>7</v>
      </c>
      <c r="W230" s="680">
        <v>7</v>
      </c>
      <c r="X230" s="680">
        <v>7</v>
      </c>
      <c r="Y230" s="680">
        <v>7</v>
      </c>
      <c r="Z230" s="680">
        <v>7</v>
      </c>
      <c r="AA230" s="680">
        <v>7</v>
      </c>
      <c r="AB230" s="680">
        <v>7</v>
      </c>
      <c r="AC230" s="680">
        <v>7</v>
      </c>
      <c r="AD230" s="680">
        <v>7</v>
      </c>
      <c r="AE230" s="680">
        <v>7</v>
      </c>
      <c r="AF230" s="680">
        <v>7</v>
      </c>
      <c r="AG230" s="680">
        <v>7</v>
      </c>
      <c r="AH230" s="680">
        <v>7</v>
      </c>
      <c r="AI230" s="680">
        <v>7</v>
      </c>
      <c r="AJ230" s="680">
        <v>7</v>
      </c>
      <c r="AK230" s="680">
        <v>7</v>
      </c>
      <c r="AL230" s="680">
        <v>7</v>
      </c>
      <c r="AM230" s="680">
        <v>7</v>
      </c>
      <c r="AN230" s="680">
        <v>7</v>
      </c>
      <c r="AO230" s="680">
        <v>7</v>
      </c>
      <c r="AP230" s="680">
        <v>7</v>
      </c>
      <c r="AQ230" s="680">
        <v>7</v>
      </c>
      <c r="AR230" s="680">
        <v>7</v>
      </c>
      <c r="AS230" s="680">
        <v>7</v>
      </c>
      <c r="AT230" s="680">
        <v>7</v>
      </c>
      <c r="AU230" s="680">
        <v>7</v>
      </c>
      <c r="AV230" s="680">
        <v>7</v>
      </c>
      <c r="AW230" s="680">
        <v>7</v>
      </c>
      <c r="AX230" s="680">
        <v>7</v>
      </c>
      <c r="AY230" s="680">
        <v>7</v>
      </c>
      <c r="AZ230" s="680">
        <v>7</v>
      </c>
      <c r="BA230" s="680">
        <v>7</v>
      </c>
      <c r="BB230" s="680">
        <v>7</v>
      </c>
      <c r="BC230" s="680">
        <v>7</v>
      </c>
      <c r="BD230" s="680">
        <v>7</v>
      </c>
      <c r="BE230" s="680">
        <v>7</v>
      </c>
      <c r="BF230" s="680">
        <v>7</v>
      </c>
      <c r="BG230" s="680">
        <v>7</v>
      </c>
      <c r="BH230" s="680">
        <v>7</v>
      </c>
      <c r="BI230" s="680">
        <v>7</v>
      </c>
      <c r="BJ230" s="680">
        <v>7</v>
      </c>
      <c r="BK230" s="680">
        <v>7</v>
      </c>
      <c r="BL230" s="680">
        <v>7</v>
      </c>
      <c r="BM230" s="680">
        <v>7</v>
      </c>
      <c r="BN230" s="680">
        <v>7</v>
      </c>
      <c r="BO230" s="680">
        <v>7</v>
      </c>
      <c r="BP230" s="680">
        <v>7</v>
      </c>
      <c r="BQ230" s="680">
        <v>7</v>
      </c>
      <c r="BR230" s="680">
        <v>7</v>
      </c>
      <c r="BS230" s="680">
        <v>7</v>
      </c>
      <c r="BT230" s="680">
        <v>7</v>
      </c>
      <c r="BU230" s="680">
        <v>7</v>
      </c>
      <c r="BV230" s="680">
        <v>7</v>
      </c>
      <c r="BW230" s="680">
        <v>7</v>
      </c>
      <c r="BX230" s="680">
        <v>7</v>
      </c>
      <c r="BY230" s="680">
        <v>7</v>
      </c>
      <c r="CA230" s="64"/>
    </row>
    <row r="231" spans="1:79" customFormat="1">
      <c r="A231" s="48"/>
      <c r="B231" s="681" t="s">
        <v>78</v>
      </c>
      <c r="C231" s="681"/>
      <c r="D231" s="686">
        <v>3</v>
      </c>
      <c r="E231" s="687">
        <v>3</v>
      </c>
      <c r="F231" s="686">
        <v>3</v>
      </c>
      <c r="G231" s="686">
        <v>3</v>
      </c>
      <c r="H231" s="686">
        <v>3</v>
      </c>
      <c r="I231" s="686">
        <v>3</v>
      </c>
      <c r="K231" s="681" t="s">
        <v>78</v>
      </c>
      <c r="L231" s="681"/>
      <c r="M231" s="686">
        <v>3</v>
      </c>
      <c r="N231" s="687">
        <v>3</v>
      </c>
      <c r="O231" s="687">
        <v>3</v>
      </c>
      <c r="P231" s="687">
        <v>3</v>
      </c>
      <c r="Q231" s="687">
        <v>3</v>
      </c>
      <c r="R231" s="687">
        <v>3</v>
      </c>
      <c r="S231" s="687">
        <v>3</v>
      </c>
      <c r="T231" s="687">
        <v>3</v>
      </c>
      <c r="U231" s="687">
        <v>3</v>
      </c>
      <c r="V231" s="687">
        <v>3</v>
      </c>
      <c r="W231" s="687">
        <v>3</v>
      </c>
      <c r="X231" s="687">
        <v>3</v>
      </c>
      <c r="Y231" s="687">
        <v>3</v>
      </c>
      <c r="Z231" s="687">
        <v>3</v>
      </c>
      <c r="AA231" s="687">
        <v>3</v>
      </c>
      <c r="AB231" s="687">
        <v>3</v>
      </c>
      <c r="AC231" s="687">
        <v>3</v>
      </c>
      <c r="AD231" s="687">
        <v>3</v>
      </c>
      <c r="AE231" s="687">
        <v>3</v>
      </c>
      <c r="AF231" s="687">
        <v>3</v>
      </c>
      <c r="AG231" s="687">
        <v>3</v>
      </c>
      <c r="AH231" s="687">
        <v>3</v>
      </c>
      <c r="AI231" s="687">
        <v>3</v>
      </c>
      <c r="AJ231" s="687">
        <v>3</v>
      </c>
      <c r="AK231" s="687">
        <v>3</v>
      </c>
      <c r="AL231" s="687">
        <v>3</v>
      </c>
      <c r="AM231" s="687">
        <v>3</v>
      </c>
      <c r="AN231" s="687">
        <v>3</v>
      </c>
      <c r="AO231" s="687">
        <v>3</v>
      </c>
      <c r="AP231" s="687">
        <v>3</v>
      </c>
      <c r="AQ231" s="687">
        <v>3</v>
      </c>
      <c r="AR231" s="687">
        <v>3</v>
      </c>
      <c r="AS231" s="687">
        <v>3</v>
      </c>
      <c r="AT231" s="687">
        <v>3</v>
      </c>
      <c r="AU231" s="687">
        <v>3</v>
      </c>
      <c r="AV231" s="687">
        <v>3</v>
      </c>
      <c r="AW231" s="687">
        <v>3</v>
      </c>
      <c r="AX231" s="687">
        <v>3</v>
      </c>
      <c r="AY231" s="687">
        <v>3</v>
      </c>
      <c r="AZ231" s="687">
        <v>3</v>
      </c>
      <c r="BA231" s="687">
        <v>3</v>
      </c>
      <c r="BB231" s="687">
        <v>3</v>
      </c>
      <c r="BC231" s="687">
        <v>3</v>
      </c>
      <c r="BD231" s="687">
        <v>3</v>
      </c>
      <c r="BE231" s="687">
        <v>3</v>
      </c>
      <c r="BF231" s="687">
        <v>3</v>
      </c>
      <c r="BG231" s="687">
        <v>3</v>
      </c>
      <c r="BH231" s="687">
        <v>3</v>
      </c>
      <c r="BI231" s="687">
        <v>3</v>
      </c>
      <c r="BJ231" s="687">
        <v>3</v>
      </c>
      <c r="BK231" s="687">
        <v>3</v>
      </c>
      <c r="BL231" s="687">
        <v>3</v>
      </c>
      <c r="BM231" s="687">
        <v>3</v>
      </c>
      <c r="BN231" s="687">
        <v>3</v>
      </c>
      <c r="BO231" s="687">
        <v>3</v>
      </c>
      <c r="BP231" s="687">
        <v>3</v>
      </c>
      <c r="BQ231" s="687">
        <v>3</v>
      </c>
      <c r="BR231" s="687">
        <v>3</v>
      </c>
      <c r="BS231" s="687">
        <v>3</v>
      </c>
      <c r="BT231" s="687">
        <v>3</v>
      </c>
      <c r="BU231" s="687">
        <v>3</v>
      </c>
      <c r="BV231" s="687">
        <v>3</v>
      </c>
      <c r="BW231" s="687">
        <v>3</v>
      </c>
      <c r="BX231" s="687">
        <v>3</v>
      </c>
      <c r="BY231" s="687">
        <v>3</v>
      </c>
      <c r="CA231" s="64"/>
    </row>
    <row r="232" spans="1:79" customFormat="1">
      <c r="A232" s="48"/>
      <c r="B232" s="688" t="s">
        <v>79</v>
      </c>
      <c r="C232" s="681"/>
      <c r="D232" s="686">
        <v>1</v>
      </c>
      <c r="E232" s="687">
        <v>1</v>
      </c>
      <c r="F232" s="686">
        <v>1</v>
      </c>
      <c r="G232" s="686">
        <v>1</v>
      </c>
      <c r="H232" s="686">
        <v>1</v>
      </c>
      <c r="I232" s="686">
        <v>1</v>
      </c>
      <c r="K232" s="688" t="s">
        <v>79</v>
      </c>
      <c r="L232" s="681"/>
      <c r="M232" s="686">
        <v>1</v>
      </c>
      <c r="N232" s="687">
        <v>1</v>
      </c>
      <c r="O232" s="687">
        <v>1</v>
      </c>
      <c r="P232" s="687">
        <v>1</v>
      </c>
      <c r="Q232" s="687">
        <v>1</v>
      </c>
      <c r="R232" s="687">
        <v>1</v>
      </c>
      <c r="S232" s="687">
        <v>1</v>
      </c>
      <c r="T232" s="687">
        <v>1</v>
      </c>
      <c r="U232" s="687">
        <v>1</v>
      </c>
      <c r="V232" s="687">
        <v>1</v>
      </c>
      <c r="W232" s="687">
        <v>1</v>
      </c>
      <c r="X232" s="687">
        <v>1</v>
      </c>
      <c r="Y232" s="687">
        <v>1</v>
      </c>
      <c r="Z232" s="687">
        <v>1</v>
      </c>
      <c r="AA232" s="687">
        <v>1</v>
      </c>
      <c r="AB232" s="687">
        <v>1</v>
      </c>
      <c r="AC232" s="687">
        <v>1</v>
      </c>
      <c r="AD232" s="687">
        <v>1</v>
      </c>
      <c r="AE232" s="687">
        <v>1</v>
      </c>
      <c r="AF232" s="687">
        <v>1</v>
      </c>
      <c r="AG232" s="687">
        <v>1</v>
      </c>
      <c r="AH232" s="687">
        <v>1</v>
      </c>
      <c r="AI232" s="687">
        <v>1</v>
      </c>
      <c r="AJ232" s="687">
        <v>1</v>
      </c>
      <c r="AK232" s="687">
        <v>1</v>
      </c>
      <c r="AL232" s="687">
        <v>1</v>
      </c>
      <c r="AM232" s="687">
        <v>1</v>
      </c>
      <c r="AN232" s="687">
        <v>1</v>
      </c>
      <c r="AO232" s="687">
        <v>1</v>
      </c>
      <c r="AP232" s="687">
        <v>1</v>
      </c>
      <c r="AQ232" s="687">
        <v>1</v>
      </c>
      <c r="AR232" s="687">
        <v>1</v>
      </c>
      <c r="AS232" s="687">
        <v>1</v>
      </c>
      <c r="AT232" s="687">
        <v>1</v>
      </c>
      <c r="AU232" s="687">
        <v>1</v>
      </c>
      <c r="AV232" s="687">
        <v>1</v>
      </c>
      <c r="AW232" s="687">
        <v>1</v>
      </c>
      <c r="AX232" s="687">
        <v>1</v>
      </c>
      <c r="AY232" s="687">
        <v>1</v>
      </c>
      <c r="AZ232" s="687">
        <v>1</v>
      </c>
      <c r="BA232" s="687">
        <v>1</v>
      </c>
      <c r="BB232" s="687">
        <v>1</v>
      </c>
      <c r="BC232" s="687">
        <v>1</v>
      </c>
      <c r="BD232" s="687">
        <v>1</v>
      </c>
      <c r="BE232" s="687">
        <v>1</v>
      </c>
      <c r="BF232" s="687">
        <v>1</v>
      </c>
      <c r="BG232" s="687">
        <v>1</v>
      </c>
      <c r="BH232" s="687">
        <v>1</v>
      </c>
      <c r="BI232" s="687">
        <v>1</v>
      </c>
      <c r="BJ232" s="687">
        <v>1</v>
      </c>
      <c r="BK232" s="687">
        <v>1</v>
      </c>
      <c r="BL232" s="687">
        <v>1</v>
      </c>
      <c r="BM232" s="687">
        <v>1</v>
      </c>
      <c r="BN232" s="687">
        <v>1</v>
      </c>
      <c r="BO232" s="687">
        <v>1</v>
      </c>
      <c r="BP232" s="687">
        <v>1</v>
      </c>
      <c r="BQ232" s="687">
        <v>1</v>
      </c>
      <c r="BR232" s="687">
        <v>1</v>
      </c>
      <c r="BS232" s="687">
        <v>1</v>
      </c>
      <c r="BT232" s="687">
        <v>1</v>
      </c>
      <c r="BU232" s="687">
        <v>1</v>
      </c>
      <c r="BV232" s="687">
        <v>1</v>
      </c>
      <c r="BW232" s="687">
        <v>1</v>
      </c>
      <c r="BX232" s="687">
        <v>1</v>
      </c>
      <c r="BY232" s="687">
        <v>1</v>
      </c>
      <c r="CA232" s="64"/>
    </row>
    <row r="233" spans="1:79" customFormat="1">
      <c r="A233" s="48"/>
      <c r="B233" s="689" t="s">
        <v>80</v>
      </c>
      <c r="C233" s="681"/>
      <c r="D233" s="686">
        <v>1</v>
      </c>
      <c r="E233" s="687">
        <v>1</v>
      </c>
      <c r="F233" s="686">
        <v>1</v>
      </c>
      <c r="G233" s="686">
        <v>1</v>
      </c>
      <c r="H233" s="686">
        <v>1</v>
      </c>
      <c r="I233" s="686">
        <v>1</v>
      </c>
      <c r="K233" s="689" t="s">
        <v>80</v>
      </c>
      <c r="L233" s="681"/>
      <c r="M233" s="686">
        <v>1</v>
      </c>
      <c r="N233" s="687">
        <v>1</v>
      </c>
      <c r="O233" s="687">
        <v>1</v>
      </c>
      <c r="P233" s="687">
        <v>1</v>
      </c>
      <c r="Q233" s="687">
        <v>1</v>
      </c>
      <c r="R233" s="687">
        <v>1</v>
      </c>
      <c r="S233" s="687">
        <v>1</v>
      </c>
      <c r="T233" s="687">
        <v>1</v>
      </c>
      <c r="U233" s="687">
        <v>1</v>
      </c>
      <c r="V233" s="687">
        <v>1</v>
      </c>
      <c r="W233" s="687">
        <v>1</v>
      </c>
      <c r="X233" s="687">
        <v>1</v>
      </c>
      <c r="Y233" s="687">
        <v>1</v>
      </c>
      <c r="Z233" s="687">
        <v>1</v>
      </c>
      <c r="AA233" s="687">
        <v>1</v>
      </c>
      <c r="AB233" s="687">
        <v>1</v>
      </c>
      <c r="AC233" s="687">
        <v>1</v>
      </c>
      <c r="AD233" s="687">
        <v>1</v>
      </c>
      <c r="AE233" s="687">
        <v>1</v>
      </c>
      <c r="AF233" s="687">
        <v>1</v>
      </c>
      <c r="AG233" s="687">
        <v>1</v>
      </c>
      <c r="AH233" s="687">
        <v>1</v>
      </c>
      <c r="AI233" s="687">
        <v>1</v>
      </c>
      <c r="AJ233" s="687">
        <v>1</v>
      </c>
      <c r="AK233" s="687">
        <v>1</v>
      </c>
      <c r="AL233" s="687">
        <v>1</v>
      </c>
      <c r="AM233" s="687">
        <v>1</v>
      </c>
      <c r="AN233" s="687">
        <v>1</v>
      </c>
      <c r="AO233" s="687">
        <v>1</v>
      </c>
      <c r="AP233" s="687">
        <v>1</v>
      </c>
      <c r="AQ233" s="687">
        <v>1</v>
      </c>
      <c r="AR233" s="687">
        <v>1</v>
      </c>
      <c r="AS233" s="687">
        <v>1</v>
      </c>
      <c r="AT233" s="687">
        <v>1</v>
      </c>
      <c r="AU233" s="687">
        <v>1</v>
      </c>
      <c r="AV233" s="687">
        <v>1</v>
      </c>
      <c r="AW233" s="687">
        <v>1</v>
      </c>
      <c r="AX233" s="687">
        <v>1</v>
      </c>
      <c r="AY233" s="687">
        <v>1</v>
      </c>
      <c r="AZ233" s="687">
        <v>1</v>
      </c>
      <c r="BA233" s="687">
        <v>1</v>
      </c>
      <c r="BB233" s="687">
        <v>1</v>
      </c>
      <c r="BC233" s="687">
        <v>1</v>
      </c>
      <c r="BD233" s="687">
        <v>1</v>
      </c>
      <c r="BE233" s="687">
        <v>1</v>
      </c>
      <c r="BF233" s="687">
        <v>1</v>
      </c>
      <c r="BG233" s="687">
        <v>1</v>
      </c>
      <c r="BH233" s="687">
        <v>1</v>
      </c>
      <c r="BI233" s="687">
        <v>1</v>
      </c>
      <c r="BJ233" s="687">
        <v>1</v>
      </c>
      <c r="BK233" s="687">
        <v>1</v>
      </c>
      <c r="BL233" s="687">
        <v>1</v>
      </c>
      <c r="BM233" s="687">
        <v>1</v>
      </c>
      <c r="BN233" s="687">
        <v>1</v>
      </c>
      <c r="BO233" s="687">
        <v>1</v>
      </c>
      <c r="BP233" s="687">
        <v>1</v>
      </c>
      <c r="BQ233" s="687">
        <v>1</v>
      </c>
      <c r="BR233" s="687">
        <v>1</v>
      </c>
      <c r="BS233" s="687">
        <v>1</v>
      </c>
      <c r="BT233" s="687">
        <v>1</v>
      </c>
      <c r="BU233" s="687">
        <v>1</v>
      </c>
      <c r="BV233" s="687">
        <v>1</v>
      </c>
      <c r="BW233" s="687">
        <v>1</v>
      </c>
      <c r="BX233" s="687">
        <v>1</v>
      </c>
      <c r="BY233" s="687">
        <v>1</v>
      </c>
      <c r="CA233" s="64"/>
    </row>
    <row r="234" spans="1:79" customFormat="1">
      <c r="A234" s="48"/>
      <c r="B234" s="688" t="s">
        <v>85</v>
      </c>
      <c r="C234" s="681"/>
      <c r="D234" s="686">
        <v>1</v>
      </c>
      <c r="E234" s="687">
        <v>1</v>
      </c>
      <c r="F234" s="686">
        <v>1</v>
      </c>
      <c r="G234" s="686">
        <v>1</v>
      </c>
      <c r="H234" s="686">
        <v>1</v>
      </c>
      <c r="I234" s="686">
        <v>1</v>
      </c>
      <c r="K234" s="688" t="s">
        <v>85</v>
      </c>
      <c r="L234" s="681"/>
      <c r="M234" s="686">
        <v>1</v>
      </c>
      <c r="N234" s="687">
        <v>1</v>
      </c>
      <c r="O234" s="687">
        <v>1</v>
      </c>
      <c r="P234" s="687">
        <v>1</v>
      </c>
      <c r="Q234" s="687">
        <v>1</v>
      </c>
      <c r="R234" s="687">
        <v>1</v>
      </c>
      <c r="S234" s="687">
        <v>1</v>
      </c>
      <c r="T234" s="687">
        <v>1</v>
      </c>
      <c r="U234" s="687">
        <v>1</v>
      </c>
      <c r="V234" s="687">
        <v>1</v>
      </c>
      <c r="W234" s="687">
        <v>1</v>
      </c>
      <c r="X234" s="687">
        <v>1</v>
      </c>
      <c r="Y234" s="687">
        <v>1</v>
      </c>
      <c r="Z234" s="687">
        <v>1</v>
      </c>
      <c r="AA234" s="687">
        <v>1</v>
      </c>
      <c r="AB234" s="687">
        <v>1</v>
      </c>
      <c r="AC234" s="687">
        <v>1</v>
      </c>
      <c r="AD234" s="687">
        <v>1</v>
      </c>
      <c r="AE234" s="687">
        <v>1</v>
      </c>
      <c r="AF234" s="687">
        <v>1</v>
      </c>
      <c r="AG234" s="687">
        <v>1</v>
      </c>
      <c r="AH234" s="687">
        <v>1</v>
      </c>
      <c r="AI234" s="687">
        <v>1</v>
      </c>
      <c r="AJ234" s="687">
        <v>1</v>
      </c>
      <c r="AK234" s="687">
        <v>1</v>
      </c>
      <c r="AL234" s="687">
        <v>1</v>
      </c>
      <c r="AM234" s="687">
        <v>1</v>
      </c>
      <c r="AN234" s="687">
        <v>1</v>
      </c>
      <c r="AO234" s="687">
        <v>1</v>
      </c>
      <c r="AP234" s="687">
        <v>1</v>
      </c>
      <c r="AQ234" s="687">
        <v>1</v>
      </c>
      <c r="AR234" s="687">
        <v>1</v>
      </c>
      <c r="AS234" s="687">
        <v>1</v>
      </c>
      <c r="AT234" s="687">
        <v>1</v>
      </c>
      <c r="AU234" s="687">
        <v>1</v>
      </c>
      <c r="AV234" s="687">
        <v>1</v>
      </c>
      <c r="AW234" s="687">
        <v>1</v>
      </c>
      <c r="AX234" s="687">
        <v>1</v>
      </c>
      <c r="AY234" s="687">
        <v>1</v>
      </c>
      <c r="AZ234" s="687">
        <v>1</v>
      </c>
      <c r="BA234" s="687">
        <v>1</v>
      </c>
      <c r="BB234" s="687">
        <v>1</v>
      </c>
      <c r="BC234" s="687">
        <v>1</v>
      </c>
      <c r="BD234" s="687">
        <v>1</v>
      </c>
      <c r="BE234" s="687">
        <v>1</v>
      </c>
      <c r="BF234" s="687">
        <v>1</v>
      </c>
      <c r="BG234" s="687">
        <v>1</v>
      </c>
      <c r="BH234" s="687">
        <v>1</v>
      </c>
      <c r="BI234" s="687">
        <v>1</v>
      </c>
      <c r="BJ234" s="687">
        <v>1</v>
      </c>
      <c r="BK234" s="687">
        <v>1</v>
      </c>
      <c r="BL234" s="687">
        <v>1</v>
      </c>
      <c r="BM234" s="687">
        <v>1</v>
      </c>
      <c r="BN234" s="687">
        <v>1</v>
      </c>
      <c r="BO234" s="687">
        <v>1</v>
      </c>
      <c r="BP234" s="687">
        <v>1</v>
      </c>
      <c r="BQ234" s="687">
        <v>1</v>
      </c>
      <c r="BR234" s="687">
        <v>1</v>
      </c>
      <c r="BS234" s="687">
        <v>1</v>
      </c>
      <c r="BT234" s="687">
        <v>1</v>
      </c>
      <c r="BU234" s="687">
        <v>1</v>
      </c>
      <c r="BV234" s="687">
        <v>1</v>
      </c>
      <c r="BW234" s="687">
        <v>1</v>
      </c>
      <c r="BX234" s="687">
        <v>1</v>
      </c>
      <c r="BY234" s="687">
        <v>1</v>
      </c>
      <c r="CA234" s="64"/>
    </row>
    <row r="235" spans="1:79" customFormat="1">
      <c r="A235" s="48"/>
      <c r="B235" s="688" t="s">
        <v>101</v>
      </c>
      <c r="C235" s="681"/>
      <c r="D235" s="686">
        <v>1</v>
      </c>
      <c r="E235" s="687">
        <v>1</v>
      </c>
      <c r="F235" s="686">
        <v>1</v>
      </c>
      <c r="G235" s="686">
        <v>1</v>
      </c>
      <c r="H235" s="686">
        <v>1</v>
      </c>
      <c r="I235" s="686">
        <v>1</v>
      </c>
      <c r="K235" s="688" t="s">
        <v>101</v>
      </c>
      <c r="L235" s="681"/>
      <c r="M235" s="686">
        <v>1</v>
      </c>
      <c r="N235" s="687">
        <v>1</v>
      </c>
      <c r="O235" s="687">
        <v>1</v>
      </c>
      <c r="P235" s="687">
        <v>1</v>
      </c>
      <c r="Q235" s="687">
        <v>1</v>
      </c>
      <c r="R235" s="687">
        <v>1</v>
      </c>
      <c r="S235" s="687">
        <v>1</v>
      </c>
      <c r="T235" s="687">
        <v>1</v>
      </c>
      <c r="U235" s="687">
        <v>1</v>
      </c>
      <c r="V235" s="687">
        <v>1</v>
      </c>
      <c r="W235" s="687">
        <v>1</v>
      </c>
      <c r="X235" s="687">
        <v>1</v>
      </c>
      <c r="Y235" s="687">
        <v>1</v>
      </c>
      <c r="Z235" s="687">
        <v>1</v>
      </c>
      <c r="AA235" s="687">
        <v>1</v>
      </c>
      <c r="AB235" s="687">
        <v>1</v>
      </c>
      <c r="AC235" s="687">
        <v>1</v>
      </c>
      <c r="AD235" s="687">
        <v>1</v>
      </c>
      <c r="AE235" s="687">
        <v>1</v>
      </c>
      <c r="AF235" s="687">
        <v>1</v>
      </c>
      <c r="AG235" s="687">
        <v>1</v>
      </c>
      <c r="AH235" s="687">
        <v>1</v>
      </c>
      <c r="AI235" s="687">
        <v>1</v>
      </c>
      <c r="AJ235" s="687">
        <v>1</v>
      </c>
      <c r="AK235" s="687">
        <v>1</v>
      </c>
      <c r="AL235" s="687">
        <v>1</v>
      </c>
      <c r="AM235" s="687">
        <v>1</v>
      </c>
      <c r="AN235" s="687">
        <v>1</v>
      </c>
      <c r="AO235" s="687">
        <v>1</v>
      </c>
      <c r="AP235" s="687">
        <v>1</v>
      </c>
      <c r="AQ235" s="687">
        <v>1</v>
      </c>
      <c r="AR235" s="687">
        <v>1</v>
      </c>
      <c r="AS235" s="687">
        <v>1</v>
      </c>
      <c r="AT235" s="687">
        <v>1</v>
      </c>
      <c r="AU235" s="687">
        <v>1</v>
      </c>
      <c r="AV235" s="687">
        <v>1</v>
      </c>
      <c r="AW235" s="687">
        <v>1</v>
      </c>
      <c r="AX235" s="687">
        <v>1</v>
      </c>
      <c r="AY235" s="687">
        <v>1</v>
      </c>
      <c r="AZ235" s="687">
        <v>1</v>
      </c>
      <c r="BA235" s="687">
        <v>1</v>
      </c>
      <c r="BB235" s="687">
        <v>1</v>
      </c>
      <c r="BC235" s="687">
        <v>1</v>
      </c>
      <c r="BD235" s="687">
        <v>1</v>
      </c>
      <c r="BE235" s="687">
        <v>1</v>
      </c>
      <c r="BF235" s="687">
        <v>1</v>
      </c>
      <c r="BG235" s="687">
        <v>1</v>
      </c>
      <c r="BH235" s="687">
        <v>1</v>
      </c>
      <c r="BI235" s="687">
        <v>1</v>
      </c>
      <c r="BJ235" s="687">
        <v>1</v>
      </c>
      <c r="BK235" s="687">
        <v>1</v>
      </c>
      <c r="BL235" s="687">
        <v>1</v>
      </c>
      <c r="BM235" s="687">
        <v>1</v>
      </c>
      <c r="BN235" s="687">
        <v>1</v>
      </c>
      <c r="BO235" s="687">
        <v>1</v>
      </c>
      <c r="BP235" s="687">
        <v>1</v>
      </c>
      <c r="BQ235" s="687">
        <v>1</v>
      </c>
      <c r="BR235" s="687">
        <v>1</v>
      </c>
      <c r="BS235" s="687">
        <v>1</v>
      </c>
      <c r="BT235" s="687">
        <v>1</v>
      </c>
      <c r="BU235" s="687">
        <v>1</v>
      </c>
      <c r="BV235" s="687">
        <v>1</v>
      </c>
      <c r="BW235" s="687">
        <v>1</v>
      </c>
      <c r="BX235" s="687">
        <v>1</v>
      </c>
      <c r="BY235" s="687">
        <v>1</v>
      </c>
      <c r="CA235" s="64"/>
    </row>
    <row r="236" spans="1:79" customFormat="1">
      <c r="A236" s="48"/>
      <c r="B236" s="682" t="s">
        <v>302</v>
      </c>
      <c r="C236" s="683"/>
      <c r="D236" s="679">
        <v>184737988.41000006</v>
      </c>
      <c r="E236" s="680">
        <v>190446392.25186899</v>
      </c>
      <c r="F236" s="679">
        <v>196064560.82329914</v>
      </c>
      <c r="G236" s="679">
        <v>201593581.43851623</v>
      </c>
      <c r="H236" s="679">
        <v>207036608.13735613</v>
      </c>
      <c r="I236" s="679">
        <v>195975826.21220812</v>
      </c>
      <c r="J236" s="29"/>
      <c r="K236" s="682" t="s">
        <v>302</v>
      </c>
      <c r="L236" s="683"/>
      <c r="M236" s="679">
        <v>15394832.3675</v>
      </c>
      <c r="N236" s="680">
        <v>15394832.3675</v>
      </c>
      <c r="O236" s="680">
        <v>15394832.3675</v>
      </c>
      <c r="P236" s="680">
        <v>15394832.3675</v>
      </c>
      <c r="Q236" s="680">
        <v>15394832.3675</v>
      </c>
      <c r="R236" s="680">
        <v>15394832.3675</v>
      </c>
      <c r="S236" s="680">
        <v>15394832.3675</v>
      </c>
      <c r="T236" s="680">
        <v>15394832.3675</v>
      </c>
      <c r="U236" s="680">
        <v>15394832.3675</v>
      </c>
      <c r="V236" s="680">
        <v>15394832.3675</v>
      </c>
      <c r="W236" s="680">
        <v>15394832.3675</v>
      </c>
      <c r="X236" s="680">
        <v>15394832.3675</v>
      </c>
      <c r="Y236" s="680">
        <v>184737988.41000006</v>
      </c>
      <c r="Z236" s="680">
        <v>15870532.687655749</v>
      </c>
      <c r="AA236" s="680">
        <v>15870532.687655749</v>
      </c>
      <c r="AB236" s="680">
        <v>15870532.687655749</v>
      </c>
      <c r="AC236" s="680">
        <v>15870532.687655749</v>
      </c>
      <c r="AD236" s="680">
        <v>15870532.687655749</v>
      </c>
      <c r="AE236" s="680">
        <v>15870532.687655749</v>
      </c>
      <c r="AF236" s="680">
        <v>15870532.687655749</v>
      </c>
      <c r="AG236" s="680">
        <v>15870532.687655749</v>
      </c>
      <c r="AH236" s="680">
        <v>15870532.687655749</v>
      </c>
      <c r="AI236" s="680">
        <v>15870532.687655749</v>
      </c>
      <c r="AJ236" s="680">
        <v>15870532.687655749</v>
      </c>
      <c r="AK236" s="680">
        <v>15870532.687655749</v>
      </c>
      <c r="AL236" s="680">
        <v>190446392.25186899</v>
      </c>
      <c r="AM236" s="680">
        <v>16338713.401941596</v>
      </c>
      <c r="AN236" s="680">
        <v>16338713.401941596</v>
      </c>
      <c r="AO236" s="680">
        <v>16338713.401941596</v>
      </c>
      <c r="AP236" s="680">
        <v>16338713.401941596</v>
      </c>
      <c r="AQ236" s="680">
        <v>16338713.401941596</v>
      </c>
      <c r="AR236" s="680">
        <v>16338713.401941596</v>
      </c>
      <c r="AS236" s="680">
        <v>16338713.401941596</v>
      </c>
      <c r="AT236" s="680">
        <v>16338713.401941596</v>
      </c>
      <c r="AU236" s="680">
        <v>16338713.401941596</v>
      </c>
      <c r="AV236" s="680">
        <v>16338713.401941596</v>
      </c>
      <c r="AW236" s="680">
        <v>16338713.401941596</v>
      </c>
      <c r="AX236" s="680">
        <v>16338713.401941596</v>
      </c>
      <c r="AY236" s="680">
        <v>196064560.82329914</v>
      </c>
      <c r="AZ236" s="680">
        <v>16799465.119876351</v>
      </c>
      <c r="BA236" s="680">
        <v>16799465.119876351</v>
      </c>
      <c r="BB236" s="680">
        <v>16799465.119876351</v>
      </c>
      <c r="BC236" s="680">
        <v>16799465.119876351</v>
      </c>
      <c r="BD236" s="680">
        <v>16799465.119876351</v>
      </c>
      <c r="BE236" s="680">
        <v>16799465.119876351</v>
      </c>
      <c r="BF236" s="680">
        <v>16799465.119876351</v>
      </c>
      <c r="BG236" s="680">
        <v>16799465.119876351</v>
      </c>
      <c r="BH236" s="680">
        <v>16799465.119876351</v>
      </c>
      <c r="BI236" s="680">
        <v>16799465.119876351</v>
      </c>
      <c r="BJ236" s="680">
        <v>16799465.119876351</v>
      </c>
      <c r="BK236" s="680">
        <v>16799465.119876351</v>
      </c>
      <c r="BL236" s="680">
        <v>201593581.43851623</v>
      </c>
      <c r="BM236" s="680">
        <v>17253050.678113006</v>
      </c>
      <c r="BN236" s="680">
        <v>17253050.678113006</v>
      </c>
      <c r="BO236" s="680">
        <v>17253050.678113006</v>
      </c>
      <c r="BP236" s="680">
        <v>17253050.678113006</v>
      </c>
      <c r="BQ236" s="680">
        <v>17253050.678113006</v>
      </c>
      <c r="BR236" s="680">
        <v>17253050.678113006</v>
      </c>
      <c r="BS236" s="680">
        <v>17253050.678113006</v>
      </c>
      <c r="BT236" s="680">
        <v>17253050.678113006</v>
      </c>
      <c r="BU236" s="680">
        <v>17253050.678113006</v>
      </c>
      <c r="BV236" s="680">
        <v>17253050.678113006</v>
      </c>
      <c r="BW236" s="680">
        <v>17253050.678113006</v>
      </c>
      <c r="BX236" s="680">
        <v>17253050.678113006</v>
      </c>
      <c r="BY236" s="680">
        <v>207036608.13735613</v>
      </c>
      <c r="CA236" s="64"/>
    </row>
    <row r="237" spans="1:79" customFormat="1">
      <c r="A237" s="48"/>
      <c r="B237" s="681" t="s">
        <v>78</v>
      </c>
      <c r="C237" s="681"/>
      <c r="D237" s="686">
        <v>67373426.645999998</v>
      </c>
      <c r="E237" s="687">
        <v>69455265.529361397</v>
      </c>
      <c r="F237" s="686">
        <v>71504195.862477586</v>
      </c>
      <c r="G237" s="686">
        <v>73520614.185799435</v>
      </c>
      <c r="H237" s="686">
        <v>75505670.768816009</v>
      </c>
      <c r="I237" s="686">
        <v>71471834.598490879</v>
      </c>
      <c r="K237" s="681" t="s">
        <v>78</v>
      </c>
      <c r="L237" s="681"/>
      <c r="M237" s="686">
        <v>5614452.2204999998</v>
      </c>
      <c r="N237" s="687">
        <v>5614452.2204999998</v>
      </c>
      <c r="O237" s="687">
        <v>5614452.2204999998</v>
      </c>
      <c r="P237" s="687">
        <v>5614452.2204999998</v>
      </c>
      <c r="Q237" s="687">
        <v>5614452.2204999998</v>
      </c>
      <c r="R237" s="687">
        <v>5614452.2204999998</v>
      </c>
      <c r="S237" s="687">
        <v>5614452.2204999998</v>
      </c>
      <c r="T237" s="687">
        <v>5614452.2204999998</v>
      </c>
      <c r="U237" s="687">
        <v>5614452.2204999998</v>
      </c>
      <c r="V237" s="687">
        <v>5614452.2204999998</v>
      </c>
      <c r="W237" s="687">
        <v>5614452.2204999998</v>
      </c>
      <c r="X237" s="687">
        <v>5614452.2204999998</v>
      </c>
      <c r="Y237" s="687">
        <v>67373426.645999998</v>
      </c>
      <c r="Z237" s="687">
        <v>5787938.7941134498</v>
      </c>
      <c r="AA237" s="687">
        <v>5787938.7941134498</v>
      </c>
      <c r="AB237" s="687">
        <v>5787938.7941134498</v>
      </c>
      <c r="AC237" s="687">
        <v>5787938.7941134498</v>
      </c>
      <c r="AD237" s="687">
        <v>5787938.7941134498</v>
      </c>
      <c r="AE237" s="687">
        <v>5787938.7941134498</v>
      </c>
      <c r="AF237" s="687">
        <v>5787938.7941134498</v>
      </c>
      <c r="AG237" s="687">
        <v>5787938.7941134498</v>
      </c>
      <c r="AH237" s="687">
        <v>5787938.7941134498</v>
      </c>
      <c r="AI237" s="687">
        <v>5787938.7941134498</v>
      </c>
      <c r="AJ237" s="687">
        <v>5787938.7941134498</v>
      </c>
      <c r="AK237" s="687">
        <v>5787938.7941134498</v>
      </c>
      <c r="AL237" s="687">
        <v>69455265.529361397</v>
      </c>
      <c r="AM237" s="687">
        <v>5958682.9885397973</v>
      </c>
      <c r="AN237" s="687">
        <v>5958682.9885397973</v>
      </c>
      <c r="AO237" s="687">
        <v>5958682.9885397973</v>
      </c>
      <c r="AP237" s="687">
        <v>5958682.9885397973</v>
      </c>
      <c r="AQ237" s="687">
        <v>5958682.9885397973</v>
      </c>
      <c r="AR237" s="687">
        <v>5958682.9885397973</v>
      </c>
      <c r="AS237" s="687">
        <v>5958682.9885397973</v>
      </c>
      <c r="AT237" s="687">
        <v>5958682.9885397973</v>
      </c>
      <c r="AU237" s="687">
        <v>5958682.9885397973</v>
      </c>
      <c r="AV237" s="687">
        <v>5958682.9885397973</v>
      </c>
      <c r="AW237" s="687">
        <v>5958682.9885397973</v>
      </c>
      <c r="AX237" s="687">
        <v>5958682.9885397973</v>
      </c>
      <c r="AY237" s="687">
        <v>71504195.862477586</v>
      </c>
      <c r="AZ237" s="687">
        <v>6126717.8488166193</v>
      </c>
      <c r="BA237" s="687">
        <v>6126717.8488166193</v>
      </c>
      <c r="BB237" s="687">
        <v>6126717.8488166193</v>
      </c>
      <c r="BC237" s="687">
        <v>6126717.8488166193</v>
      </c>
      <c r="BD237" s="687">
        <v>6126717.8488166193</v>
      </c>
      <c r="BE237" s="687">
        <v>6126717.8488166193</v>
      </c>
      <c r="BF237" s="687">
        <v>6126717.8488166193</v>
      </c>
      <c r="BG237" s="687">
        <v>6126717.8488166193</v>
      </c>
      <c r="BH237" s="687">
        <v>6126717.8488166193</v>
      </c>
      <c r="BI237" s="687">
        <v>6126717.8488166193</v>
      </c>
      <c r="BJ237" s="687">
        <v>6126717.8488166193</v>
      </c>
      <c r="BK237" s="687">
        <v>6126717.8488166193</v>
      </c>
      <c r="BL237" s="687">
        <v>73520614.185799435</v>
      </c>
      <c r="BM237" s="687">
        <v>6292139.2307346677</v>
      </c>
      <c r="BN237" s="687">
        <v>6292139.2307346677</v>
      </c>
      <c r="BO237" s="687">
        <v>6292139.2307346677</v>
      </c>
      <c r="BP237" s="687">
        <v>6292139.2307346677</v>
      </c>
      <c r="BQ237" s="687">
        <v>6292139.2307346677</v>
      </c>
      <c r="BR237" s="687">
        <v>6292139.2307346677</v>
      </c>
      <c r="BS237" s="687">
        <v>6292139.2307346677</v>
      </c>
      <c r="BT237" s="687">
        <v>6292139.2307346677</v>
      </c>
      <c r="BU237" s="687">
        <v>6292139.2307346677</v>
      </c>
      <c r="BV237" s="687">
        <v>6292139.2307346677</v>
      </c>
      <c r="BW237" s="687">
        <v>6292139.2307346677</v>
      </c>
      <c r="BX237" s="687">
        <v>6292139.2307346677</v>
      </c>
      <c r="BY237" s="687">
        <v>75505670.768816009</v>
      </c>
      <c r="CA237" s="64"/>
    </row>
    <row r="238" spans="1:79" customFormat="1">
      <c r="A238" s="48"/>
      <c r="B238" s="688" t="s">
        <v>79</v>
      </c>
      <c r="C238" s="681"/>
      <c r="D238" s="686">
        <v>22457808.881999999</v>
      </c>
      <c r="E238" s="687">
        <v>23151755.176453795</v>
      </c>
      <c r="F238" s="686">
        <v>23834731.954159189</v>
      </c>
      <c r="G238" s="686">
        <v>24506871.395266473</v>
      </c>
      <c r="H238" s="686">
        <v>25168556.922938664</v>
      </c>
      <c r="I238" s="686">
        <v>23823944.866163623</v>
      </c>
      <c r="K238" s="688" t="s">
        <v>79</v>
      </c>
      <c r="L238" s="681"/>
      <c r="M238" s="686">
        <v>1871484.0734999999</v>
      </c>
      <c r="N238" s="687">
        <v>1871484.0734999999</v>
      </c>
      <c r="O238" s="687">
        <v>1871484.0734999999</v>
      </c>
      <c r="P238" s="687">
        <v>1871484.0734999999</v>
      </c>
      <c r="Q238" s="687">
        <v>1871484.0734999999</v>
      </c>
      <c r="R238" s="687">
        <v>1871484.0734999999</v>
      </c>
      <c r="S238" s="687">
        <v>1871484.0734999999</v>
      </c>
      <c r="T238" s="687">
        <v>1871484.0734999999</v>
      </c>
      <c r="U238" s="687">
        <v>1871484.0734999999</v>
      </c>
      <c r="V238" s="687">
        <v>1871484.0734999999</v>
      </c>
      <c r="W238" s="687">
        <v>1871484.0734999999</v>
      </c>
      <c r="X238" s="687">
        <v>1871484.0734999999</v>
      </c>
      <c r="Y238" s="687">
        <v>22457808.881999999</v>
      </c>
      <c r="Z238" s="687">
        <v>1929312.9313711498</v>
      </c>
      <c r="AA238" s="687">
        <v>1929312.9313711498</v>
      </c>
      <c r="AB238" s="687">
        <v>1929312.9313711498</v>
      </c>
      <c r="AC238" s="687">
        <v>1929312.9313711498</v>
      </c>
      <c r="AD238" s="687">
        <v>1929312.9313711498</v>
      </c>
      <c r="AE238" s="687">
        <v>1929312.9313711498</v>
      </c>
      <c r="AF238" s="687">
        <v>1929312.9313711498</v>
      </c>
      <c r="AG238" s="687">
        <v>1929312.9313711498</v>
      </c>
      <c r="AH238" s="687">
        <v>1929312.9313711498</v>
      </c>
      <c r="AI238" s="687">
        <v>1929312.9313711498</v>
      </c>
      <c r="AJ238" s="687">
        <v>1929312.9313711498</v>
      </c>
      <c r="AK238" s="687">
        <v>1929312.9313711498</v>
      </c>
      <c r="AL238" s="687">
        <v>23151755.176453795</v>
      </c>
      <c r="AM238" s="687">
        <v>1986227.662846599</v>
      </c>
      <c r="AN238" s="687">
        <v>1986227.662846599</v>
      </c>
      <c r="AO238" s="687">
        <v>1986227.662846599</v>
      </c>
      <c r="AP238" s="687">
        <v>1986227.662846599</v>
      </c>
      <c r="AQ238" s="687">
        <v>1986227.662846599</v>
      </c>
      <c r="AR238" s="687">
        <v>1986227.662846599</v>
      </c>
      <c r="AS238" s="687">
        <v>1986227.662846599</v>
      </c>
      <c r="AT238" s="687">
        <v>1986227.662846599</v>
      </c>
      <c r="AU238" s="687">
        <v>1986227.662846599</v>
      </c>
      <c r="AV238" s="687">
        <v>1986227.662846599</v>
      </c>
      <c r="AW238" s="687">
        <v>1986227.662846599</v>
      </c>
      <c r="AX238" s="687">
        <v>1986227.662846599</v>
      </c>
      <c r="AY238" s="687">
        <v>23834731.954159189</v>
      </c>
      <c r="AZ238" s="687">
        <v>2042239.2829388732</v>
      </c>
      <c r="BA238" s="687">
        <v>2042239.2829388732</v>
      </c>
      <c r="BB238" s="687">
        <v>2042239.2829388732</v>
      </c>
      <c r="BC238" s="687">
        <v>2042239.2829388732</v>
      </c>
      <c r="BD238" s="687">
        <v>2042239.2829388732</v>
      </c>
      <c r="BE238" s="687">
        <v>2042239.2829388732</v>
      </c>
      <c r="BF238" s="687">
        <v>2042239.2829388732</v>
      </c>
      <c r="BG238" s="687">
        <v>2042239.2829388732</v>
      </c>
      <c r="BH238" s="687">
        <v>2042239.2829388732</v>
      </c>
      <c r="BI238" s="687">
        <v>2042239.2829388732</v>
      </c>
      <c r="BJ238" s="687">
        <v>2042239.2829388732</v>
      </c>
      <c r="BK238" s="687">
        <v>2042239.2829388732</v>
      </c>
      <c r="BL238" s="687">
        <v>24506871.395266473</v>
      </c>
      <c r="BM238" s="687">
        <v>2097379.7435782226</v>
      </c>
      <c r="BN238" s="687">
        <v>2097379.7435782226</v>
      </c>
      <c r="BO238" s="687">
        <v>2097379.7435782226</v>
      </c>
      <c r="BP238" s="687">
        <v>2097379.7435782226</v>
      </c>
      <c r="BQ238" s="687">
        <v>2097379.7435782226</v>
      </c>
      <c r="BR238" s="687">
        <v>2097379.7435782226</v>
      </c>
      <c r="BS238" s="687">
        <v>2097379.7435782226</v>
      </c>
      <c r="BT238" s="687">
        <v>2097379.7435782226</v>
      </c>
      <c r="BU238" s="687">
        <v>2097379.7435782226</v>
      </c>
      <c r="BV238" s="687">
        <v>2097379.7435782226</v>
      </c>
      <c r="BW238" s="687">
        <v>2097379.7435782226</v>
      </c>
      <c r="BX238" s="687">
        <v>2097379.7435782226</v>
      </c>
      <c r="BY238" s="687">
        <v>25168556.922938664</v>
      </c>
      <c r="CA238" s="64"/>
    </row>
    <row r="239" spans="1:79" customFormat="1">
      <c r="A239" s="48"/>
      <c r="B239" s="689" t="s">
        <v>80</v>
      </c>
      <c r="C239" s="681"/>
      <c r="D239" s="686">
        <v>36224472</v>
      </c>
      <c r="E239" s="687">
        <v>37343808.184799999</v>
      </c>
      <c r="F239" s="686">
        <v>38445450.526251607</v>
      </c>
      <c r="G239" s="686">
        <v>39529612.231091909</v>
      </c>
      <c r="H239" s="686">
        <v>40596911.761331379</v>
      </c>
      <c r="I239" s="686">
        <v>38428050.94069498</v>
      </c>
      <c r="K239" s="689" t="s">
        <v>80</v>
      </c>
      <c r="L239" s="681"/>
      <c r="M239" s="686">
        <v>3018706</v>
      </c>
      <c r="N239" s="687">
        <v>3018706</v>
      </c>
      <c r="O239" s="687">
        <v>3018706</v>
      </c>
      <c r="P239" s="687">
        <v>3018706</v>
      </c>
      <c r="Q239" s="687">
        <v>3018706</v>
      </c>
      <c r="R239" s="687">
        <v>3018706</v>
      </c>
      <c r="S239" s="687">
        <v>3018706</v>
      </c>
      <c r="T239" s="687">
        <v>3018706</v>
      </c>
      <c r="U239" s="687">
        <v>3018706</v>
      </c>
      <c r="V239" s="687">
        <v>3018706</v>
      </c>
      <c r="W239" s="687">
        <v>3018706</v>
      </c>
      <c r="X239" s="687">
        <v>3018706</v>
      </c>
      <c r="Y239" s="687">
        <v>36224472</v>
      </c>
      <c r="Z239" s="687">
        <v>3111984.0153999999</v>
      </c>
      <c r="AA239" s="687">
        <v>3111984.0153999999</v>
      </c>
      <c r="AB239" s="687">
        <v>3111984.0153999999</v>
      </c>
      <c r="AC239" s="687">
        <v>3111984.0153999999</v>
      </c>
      <c r="AD239" s="687">
        <v>3111984.0153999999</v>
      </c>
      <c r="AE239" s="687">
        <v>3111984.0153999999</v>
      </c>
      <c r="AF239" s="687">
        <v>3111984.0153999999</v>
      </c>
      <c r="AG239" s="687">
        <v>3111984.0153999999</v>
      </c>
      <c r="AH239" s="687">
        <v>3111984.0153999999</v>
      </c>
      <c r="AI239" s="687">
        <v>3111984.0153999999</v>
      </c>
      <c r="AJ239" s="687">
        <v>3111984.0153999999</v>
      </c>
      <c r="AK239" s="687">
        <v>3111984.0153999999</v>
      </c>
      <c r="AL239" s="687">
        <v>37343808.184799999</v>
      </c>
      <c r="AM239" s="687">
        <v>3203787.5438543004</v>
      </c>
      <c r="AN239" s="687">
        <v>3203787.5438543004</v>
      </c>
      <c r="AO239" s="687">
        <v>3203787.5438543004</v>
      </c>
      <c r="AP239" s="687">
        <v>3203787.5438543004</v>
      </c>
      <c r="AQ239" s="687">
        <v>3203787.5438543004</v>
      </c>
      <c r="AR239" s="687">
        <v>3203787.5438543004</v>
      </c>
      <c r="AS239" s="687">
        <v>3203787.5438543004</v>
      </c>
      <c r="AT239" s="687">
        <v>3203787.5438543004</v>
      </c>
      <c r="AU239" s="687">
        <v>3203787.5438543004</v>
      </c>
      <c r="AV239" s="687">
        <v>3203787.5438543004</v>
      </c>
      <c r="AW239" s="687">
        <v>3203787.5438543004</v>
      </c>
      <c r="AX239" s="687">
        <v>3203787.5438543004</v>
      </c>
      <c r="AY239" s="687">
        <v>38445450.526251607</v>
      </c>
      <c r="AZ239" s="687">
        <v>3294134.3525909916</v>
      </c>
      <c r="BA239" s="687">
        <v>3294134.3525909916</v>
      </c>
      <c r="BB239" s="687">
        <v>3294134.3525909916</v>
      </c>
      <c r="BC239" s="687">
        <v>3294134.3525909916</v>
      </c>
      <c r="BD239" s="687">
        <v>3294134.3525909916</v>
      </c>
      <c r="BE239" s="687">
        <v>3294134.3525909916</v>
      </c>
      <c r="BF239" s="687">
        <v>3294134.3525909916</v>
      </c>
      <c r="BG239" s="687">
        <v>3294134.3525909916</v>
      </c>
      <c r="BH239" s="687">
        <v>3294134.3525909916</v>
      </c>
      <c r="BI239" s="687">
        <v>3294134.3525909916</v>
      </c>
      <c r="BJ239" s="687">
        <v>3294134.3525909916</v>
      </c>
      <c r="BK239" s="687">
        <v>3294134.3525909916</v>
      </c>
      <c r="BL239" s="687">
        <v>39529612.231091909</v>
      </c>
      <c r="BM239" s="687">
        <v>3383075.980110948</v>
      </c>
      <c r="BN239" s="687">
        <v>3383075.980110948</v>
      </c>
      <c r="BO239" s="687">
        <v>3383075.980110948</v>
      </c>
      <c r="BP239" s="687">
        <v>3383075.980110948</v>
      </c>
      <c r="BQ239" s="687">
        <v>3383075.980110948</v>
      </c>
      <c r="BR239" s="687">
        <v>3383075.980110948</v>
      </c>
      <c r="BS239" s="687">
        <v>3383075.980110948</v>
      </c>
      <c r="BT239" s="687">
        <v>3383075.980110948</v>
      </c>
      <c r="BU239" s="687">
        <v>3383075.980110948</v>
      </c>
      <c r="BV239" s="687">
        <v>3383075.980110948</v>
      </c>
      <c r="BW239" s="687">
        <v>3383075.980110948</v>
      </c>
      <c r="BX239" s="687">
        <v>3383075.980110948</v>
      </c>
      <c r="BY239" s="687">
        <v>40596911.761331379</v>
      </c>
      <c r="CA239" s="64"/>
    </row>
    <row r="240" spans="1:79" customFormat="1">
      <c r="A240" s="48"/>
      <c r="B240" s="688" t="s">
        <v>85</v>
      </c>
      <c r="C240" s="681"/>
      <c r="D240" s="686">
        <v>22457808.881999999</v>
      </c>
      <c r="E240" s="687">
        <v>23151755.176453795</v>
      </c>
      <c r="F240" s="686">
        <v>23834731.954159189</v>
      </c>
      <c r="G240" s="686">
        <v>24506871.395266473</v>
      </c>
      <c r="H240" s="686">
        <v>25168556.922938664</v>
      </c>
      <c r="I240" s="686">
        <v>23823944.866163623</v>
      </c>
      <c r="K240" s="688" t="s">
        <v>85</v>
      </c>
      <c r="L240" s="681"/>
      <c r="M240" s="686">
        <v>1871484.0734999999</v>
      </c>
      <c r="N240" s="687">
        <v>1871484.0734999999</v>
      </c>
      <c r="O240" s="687">
        <v>1871484.0734999999</v>
      </c>
      <c r="P240" s="687">
        <v>1871484.0734999999</v>
      </c>
      <c r="Q240" s="687">
        <v>1871484.0734999999</v>
      </c>
      <c r="R240" s="687">
        <v>1871484.0734999999</v>
      </c>
      <c r="S240" s="687">
        <v>1871484.0734999999</v>
      </c>
      <c r="T240" s="687">
        <v>1871484.0734999999</v>
      </c>
      <c r="U240" s="687">
        <v>1871484.0734999999</v>
      </c>
      <c r="V240" s="687">
        <v>1871484.0734999999</v>
      </c>
      <c r="W240" s="687">
        <v>1871484.0734999999</v>
      </c>
      <c r="X240" s="687">
        <v>1871484.0734999999</v>
      </c>
      <c r="Y240" s="687">
        <v>22457808.881999999</v>
      </c>
      <c r="Z240" s="687">
        <v>1929312.9313711498</v>
      </c>
      <c r="AA240" s="687">
        <v>1929312.9313711498</v>
      </c>
      <c r="AB240" s="687">
        <v>1929312.9313711498</v>
      </c>
      <c r="AC240" s="687">
        <v>1929312.9313711498</v>
      </c>
      <c r="AD240" s="687">
        <v>1929312.9313711498</v>
      </c>
      <c r="AE240" s="687">
        <v>1929312.9313711498</v>
      </c>
      <c r="AF240" s="687">
        <v>1929312.9313711498</v>
      </c>
      <c r="AG240" s="687">
        <v>1929312.9313711498</v>
      </c>
      <c r="AH240" s="687">
        <v>1929312.9313711498</v>
      </c>
      <c r="AI240" s="687">
        <v>1929312.9313711498</v>
      </c>
      <c r="AJ240" s="687">
        <v>1929312.9313711498</v>
      </c>
      <c r="AK240" s="687">
        <v>1929312.9313711498</v>
      </c>
      <c r="AL240" s="687">
        <v>23151755.176453795</v>
      </c>
      <c r="AM240" s="687">
        <v>1986227.662846599</v>
      </c>
      <c r="AN240" s="687">
        <v>1986227.662846599</v>
      </c>
      <c r="AO240" s="687">
        <v>1986227.662846599</v>
      </c>
      <c r="AP240" s="687">
        <v>1986227.662846599</v>
      </c>
      <c r="AQ240" s="687">
        <v>1986227.662846599</v>
      </c>
      <c r="AR240" s="687">
        <v>1986227.662846599</v>
      </c>
      <c r="AS240" s="687">
        <v>1986227.662846599</v>
      </c>
      <c r="AT240" s="687">
        <v>1986227.662846599</v>
      </c>
      <c r="AU240" s="687">
        <v>1986227.662846599</v>
      </c>
      <c r="AV240" s="687">
        <v>1986227.662846599</v>
      </c>
      <c r="AW240" s="687">
        <v>1986227.662846599</v>
      </c>
      <c r="AX240" s="687">
        <v>1986227.662846599</v>
      </c>
      <c r="AY240" s="687">
        <v>23834731.954159189</v>
      </c>
      <c r="AZ240" s="687">
        <v>2042239.2829388732</v>
      </c>
      <c r="BA240" s="687">
        <v>2042239.2829388732</v>
      </c>
      <c r="BB240" s="687">
        <v>2042239.2829388732</v>
      </c>
      <c r="BC240" s="687">
        <v>2042239.2829388732</v>
      </c>
      <c r="BD240" s="687">
        <v>2042239.2829388732</v>
      </c>
      <c r="BE240" s="687">
        <v>2042239.2829388732</v>
      </c>
      <c r="BF240" s="687">
        <v>2042239.2829388732</v>
      </c>
      <c r="BG240" s="687">
        <v>2042239.2829388732</v>
      </c>
      <c r="BH240" s="687">
        <v>2042239.2829388732</v>
      </c>
      <c r="BI240" s="687">
        <v>2042239.2829388732</v>
      </c>
      <c r="BJ240" s="687">
        <v>2042239.2829388732</v>
      </c>
      <c r="BK240" s="687">
        <v>2042239.2829388732</v>
      </c>
      <c r="BL240" s="687">
        <v>24506871.395266473</v>
      </c>
      <c r="BM240" s="687">
        <v>2097379.7435782226</v>
      </c>
      <c r="BN240" s="687">
        <v>2097379.7435782226</v>
      </c>
      <c r="BO240" s="687">
        <v>2097379.7435782226</v>
      </c>
      <c r="BP240" s="687">
        <v>2097379.7435782226</v>
      </c>
      <c r="BQ240" s="687">
        <v>2097379.7435782226</v>
      </c>
      <c r="BR240" s="687">
        <v>2097379.7435782226</v>
      </c>
      <c r="BS240" s="687">
        <v>2097379.7435782226</v>
      </c>
      <c r="BT240" s="687">
        <v>2097379.7435782226</v>
      </c>
      <c r="BU240" s="687">
        <v>2097379.7435782226</v>
      </c>
      <c r="BV240" s="687">
        <v>2097379.7435782226</v>
      </c>
      <c r="BW240" s="687">
        <v>2097379.7435782226</v>
      </c>
      <c r="BX240" s="687">
        <v>2097379.7435782226</v>
      </c>
      <c r="BY240" s="687">
        <v>25168556.922938664</v>
      </c>
      <c r="CA240" s="64"/>
    </row>
    <row r="241" spans="1:79" customFormat="1">
      <c r="A241" s="48"/>
      <c r="B241" s="692" t="s">
        <v>101</v>
      </c>
      <c r="C241" s="693"/>
      <c r="D241" s="694">
        <v>36224472</v>
      </c>
      <c r="E241" s="695">
        <v>37343808.184799999</v>
      </c>
      <c r="F241" s="694">
        <v>38445450.526251607</v>
      </c>
      <c r="G241" s="694">
        <v>39529612.231091909</v>
      </c>
      <c r="H241" s="694">
        <v>40596911.761331379</v>
      </c>
      <c r="I241" s="694">
        <v>38428050.94069498</v>
      </c>
      <c r="K241" s="692" t="s">
        <v>101</v>
      </c>
      <c r="L241" s="693"/>
      <c r="M241" s="694">
        <v>3018706</v>
      </c>
      <c r="N241" s="695">
        <v>3018706</v>
      </c>
      <c r="O241" s="695">
        <v>3018706</v>
      </c>
      <c r="P241" s="695">
        <v>3018706</v>
      </c>
      <c r="Q241" s="695">
        <v>3018706</v>
      </c>
      <c r="R241" s="695">
        <v>3018706</v>
      </c>
      <c r="S241" s="695">
        <v>3018706</v>
      </c>
      <c r="T241" s="695">
        <v>3018706</v>
      </c>
      <c r="U241" s="695">
        <v>3018706</v>
      </c>
      <c r="V241" s="695">
        <v>3018706</v>
      </c>
      <c r="W241" s="695">
        <v>3018706</v>
      </c>
      <c r="X241" s="695">
        <v>3018706</v>
      </c>
      <c r="Y241" s="695">
        <v>36224472</v>
      </c>
      <c r="Z241" s="695">
        <v>3111984.0153999999</v>
      </c>
      <c r="AA241" s="695">
        <v>3111984.0153999999</v>
      </c>
      <c r="AB241" s="695">
        <v>3111984.0153999999</v>
      </c>
      <c r="AC241" s="695">
        <v>3111984.0153999999</v>
      </c>
      <c r="AD241" s="695">
        <v>3111984.0153999999</v>
      </c>
      <c r="AE241" s="695">
        <v>3111984.0153999999</v>
      </c>
      <c r="AF241" s="695">
        <v>3111984.0153999999</v>
      </c>
      <c r="AG241" s="695">
        <v>3111984.0153999999</v>
      </c>
      <c r="AH241" s="695">
        <v>3111984.0153999999</v>
      </c>
      <c r="AI241" s="695">
        <v>3111984.0153999999</v>
      </c>
      <c r="AJ241" s="695">
        <v>3111984.0153999999</v>
      </c>
      <c r="AK241" s="695">
        <v>3111984.0153999999</v>
      </c>
      <c r="AL241" s="695">
        <v>37343808.184799999</v>
      </c>
      <c r="AM241" s="695">
        <v>3203787.5438543004</v>
      </c>
      <c r="AN241" s="695">
        <v>3203787.5438543004</v>
      </c>
      <c r="AO241" s="695">
        <v>3203787.5438543004</v>
      </c>
      <c r="AP241" s="695">
        <v>3203787.5438543004</v>
      </c>
      <c r="AQ241" s="695">
        <v>3203787.5438543004</v>
      </c>
      <c r="AR241" s="695">
        <v>3203787.5438543004</v>
      </c>
      <c r="AS241" s="695">
        <v>3203787.5438543004</v>
      </c>
      <c r="AT241" s="695">
        <v>3203787.5438543004</v>
      </c>
      <c r="AU241" s="695">
        <v>3203787.5438543004</v>
      </c>
      <c r="AV241" s="695">
        <v>3203787.5438543004</v>
      </c>
      <c r="AW241" s="695">
        <v>3203787.5438543004</v>
      </c>
      <c r="AX241" s="695">
        <v>3203787.5438543004</v>
      </c>
      <c r="AY241" s="695">
        <v>38445450.526251607</v>
      </c>
      <c r="AZ241" s="695">
        <v>3294134.3525909916</v>
      </c>
      <c r="BA241" s="695">
        <v>3294134.3525909916</v>
      </c>
      <c r="BB241" s="695">
        <v>3294134.3525909916</v>
      </c>
      <c r="BC241" s="695">
        <v>3294134.3525909916</v>
      </c>
      <c r="BD241" s="695">
        <v>3294134.3525909916</v>
      </c>
      <c r="BE241" s="695">
        <v>3294134.3525909916</v>
      </c>
      <c r="BF241" s="695">
        <v>3294134.3525909916</v>
      </c>
      <c r="BG241" s="695">
        <v>3294134.3525909916</v>
      </c>
      <c r="BH241" s="695">
        <v>3294134.3525909916</v>
      </c>
      <c r="BI241" s="695">
        <v>3294134.3525909916</v>
      </c>
      <c r="BJ241" s="695">
        <v>3294134.3525909916</v>
      </c>
      <c r="BK241" s="695">
        <v>3294134.3525909916</v>
      </c>
      <c r="BL241" s="695">
        <v>39529612.231091909</v>
      </c>
      <c r="BM241" s="695">
        <v>3383075.980110948</v>
      </c>
      <c r="BN241" s="695">
        <v>3383075.980110948</v>
      </c>
      <c r="BO241" s="695">
        <v>3383075.980110948</v>
      </c>
      <c r="BP241" s="695">
        <v>3383075.980110948</v>
      </c>
      <c r="BQ241" s="695">
        <v>3383075.980110948</v>
      </c>
      <c r="BR241" s="695">
        <v>3383075.980110948</v>
      </c>
      <c r="BS241" s="695">
        <v>3383075.980110948</v>
      </c>
      <c r="BT241" s="695">
        <v>3383075.980110948</v>
      </c>
      <c r="BU241" s="695">
        <v>3383075.980110948</v>
      </c>
      <c r="BV241" s="695">
        <v>3383075.980110948</v>
      </c>
      <c r="BW241" s="695">
        <v>3383075.980110948</v>
      </c>
      <c r="BX241" s="695">
        <v>3383075.980110948</v>
      </c>
      <c r="BY241" s="695">
        <v>40596911.761331379</v>
      </c>
      <c r="CA241" s="64"/>
    </row>
    <row r="242" spans="1:79">
      <c r="CA242" s="61"/>
    </row>
    <row r="243" spans="1:79">
      <c r="CA243" s="61"/>
    </row>
    <row r="244" spans="1:79" customFormat="1">
      <c r="A244" s="48"/>
      <c r="B244" s="690" t="s">
        <v>303</v>
      </c>
      <c r="C244" s="690"/>
      <c r="D244" s="690"/>
      <c r="E244" s="690"/>
      <c r="F244" s="690"/>
      <c r="G244" s="690"/>
      <c r="H244" s="690"/>
      <c r="I244" s="690"/>
      <c r="K244" s="690" t="s">
        <v>304</v>
      </c>
      <c r="L244" s="690"/>
      <c r="M244" s="690"/>
      <c r="N244" s="690"/>
      <c r="O244" s="690"/>
      <c r="P244" s="690"/>
      <c r="Q244" s="690"/>
      <c r="R244" s="690"/>
      <c r="S244" s="690"/>
      <c r="T244" s="690"/>
      <c r="U244" s="690"/>
      <c r="V244" s="690"/>
      <c r="W244" s="690"/>
      <c r="X244" s="690"/>
      <c r="Y244" s="690"/>
      <c r="Z244" s="690"/>
      <c r="AA244" s="690"/>
      <c r="AB244" s="690"/>
      <c r="AC244" s="690"/>
      <c r="AD244" s="690"/>
      <c r="AE244" s="690"/>
      <c r="AF244" s="690"/>
      <c r="AG244" s="690"/>
      <c r="AH244" s="690"/>
      <c r="AI244" s="690"/>
      <c r="AJ244" s="690"/>
      <c r="AK244" s="690"/>
      <c r="AL244" s="690"/>
      <c r="AM244" s="690"/>
      <c r="AN244" s="690"/>
      <c r="AO244" s="690"/>
      <c r="AP244" s="690"/>
      <c r="AQ244" s="690"/>
      <c r="AR244" s="690"/>
      <c r="AS244" s="690"/>
      <c r="AT244" s="690"/>
      <c r="AU244" s="690"/>
      <c r="AV244" s="690"/>
      <c r="AW244" s="690"/>
      <c r="AX244" s="690"/>
      <c r="AY244" s="690"/>
      <c r="AZ244" s="690"/>
      <c r="BA244" s="690"/>
      <c r="BB244" s="690"/>
      <c r="BC244" s="690"/>
      <c r="BD244" s="690"/>
      <c r="BE244" s="690"/>
      <c r="BF244" s="690"/>
      <c r="BG244" s="690"/>
      <c r="BH244" s="690"/>
      <c r="BI244" s="690"/>
      <c r="BJ244" s="690"/>
      <c r="BK244" s="690"/>
      <c r="BL244" s="690"/>
      <c r="BM244" s="690"/>
      <c r="BN244" s="690"/>
      <c r="BO244" s="690"/>
      <c r="BP244" s="690"/>
      <c r="BQ244" s="690"/>
      <c r="BR244" s="690"/>
      <c r="BS244" s="690"/>
      <c r="BT244" s="690"/>
      <c r="BU244" s="690"/>
      <c r="BV244" s="690"/>
      <c r="BW244" s="690"/>
      <c r="BX244" s="690"/>
      <c r="BY244" s="690"/>
      <c r="CA244" s="64"/>
    </row>
    <row r="245" spans="1:79" s="48" customFormat="1">
      <c r="B245" s="691"/>
      <c r="C245" s="691"/>
      <c r="D245" s="691"/>
      <c r="E245" s="691"/>
      <c r="F245" s="691"/>
      <c r="G245" s="691"/>
      <c r="H245" s="691"/>
      <c r="I245" s="691"/>
      <c r="K245" s="691"/>
      <c r="L245" s="691"/>
      <c r="M245" s="691"/>
      <c r="N245" s="691"/>
      <c r="O245" s="691"/>
      <c r="P245" s="691"/>
      <c r="Q245" s="691"/>
      <c r="R245" s="691"/>
      <c r="S245" s="691"/>
      <c r="T245" s="691"/>
      <c r="U245" s="691"/>
      <c r="V245" s="691"/>
      <c r="W245" s="691"/>
      <c r="X245" s="691"/>
      <c r="Y245" s="691"/>
      <c r="Z245" s="691"/>
      <c r="AA245" s="691"/>
      <c r="AB245" s="691"/>
      <c r="AC245" s="691"/>
      <c r="AD245" s="691"/>
      <c r="AE245" s="691"/>
      <c r="AF245" s="691"/>
      <c r="AG245" s="691"/>
      <c r="AH245" s="691"/>
      <c r="AI245" s="691"/>
      <c r="AJ245" s="691"/>
      <c r="AK245" s="691"/>
      <c r="AL245" s="691"/>
      <c r="AM245" s="691"/>
      <c r="AN245" s="691"/>
      <c r="AO245" s="691"/>
      <c r="AP245" s="691"/>
      <c r="AQ245" s="691"/>
      <c r="AR245" s="691"/>
      <c r="AS245" s="691"/>
      <c r="AT245" s="691"/>
      <c r="AU245" s="691"/>
      <c r="AV245" s="691"/>
      <c r="AW245" s="691"/>
      <c r="AX245" s="691"/>
      <c r="AY245" s="691"/>
      <c r="AZ245" s="691"/>
      <c r="BA245" s="691"/>
      <c r="BB245" s="691"/>
      <c r="BC245" s="691"/>
      <c r="BD245" s="691"/>
      <c r="BE245" s="691"/>
      <c r="BF245" s="691"/>
      <c r="BG245" s="691"/>
      <c r="BH245" s="691"/>
      <c r="BI245" s="691"/>
      <c r="BJ245" s="691"/>
      <c r="BK245" s="691"/>
      <c r="BL245" s="691"/>
      <c r="BM245" s="691"/>
      <c r="BN245" s="691"/>
      <c r="BO245" s="691"/>
      <c r="BP245" s="691"/>
      <c r="BQ245" s="691"/>
      <c r="BR245" s="691"/>
      <c r="BS245" s="691"/>
      <c r="BT245" s="691"/>
      <c r="BU245" s="691"/>
      <c r="BV245" s="691"/>
      <c r="BW245" s="691"/>
      <c r="BX245" s="691"/>
      <c r="BY245" s="691"/>
      <c r="CA245" s="64"/>
    </row>
    <row r="246" spans="1:79" customFormat="1">
      <c r="A246" s="48"/>
      <c r="B246" s="40" t="s">
        <v>59</v>
      </c>
      <c r="C246" s="40" t="s">
        <v>60</v>
      </c>
      <c r="D246" s="40" t="s">
        <v>6</v>
      </c>
      <c r="E246" s="40" t="s">
        <v>12</v>
      </c>
      <c r="F246" s="40" t="s">
        <v>13</v>
      </c>
      <c r="G246" s="40" t="s">
        <v>14</v>
      </c>
      <c r="H246" s="40" t="s">
        <v>15</v>
      </c>
      <c r="I246" s="40" t="s">
        <v>57</v>
      </c>
      <c r="K246" s="40" t="s">
        <v>61</v>
      </c>
      <c r="L246" s="40" t="s">
        <v>130</v>
      </c>
      <c r="M246" s="40" t="s">
        <v>131</v>
      </c>
      <c r="N246" s="40" t="s">
        <v>132</v>
      </c>
      <c r="O246" s="40" t="s">
        <v>133</v>
      </c>
      <c r="P246" s="40" t="s">
        <v>134</v>
      </c>
      <c r="Q246" s="40" t="s">
        <v>135</v>
      </c>
      <c r="R246" s="40" t="s">
        <v>136</v>
      </c>
      <c r="S246" s="40" t="s">
        <v>137</v>
      </c>
      <c r="T246" s="40" t="s">
        <v>138</v>
      </c>
      <c r="U246" s="40" t="s">
        <v>139</v>
      </c>
      <c r="V246" s="40" t="s">
        <v>140</v>
      </c>
      <c r="W246" s="40" t="s">
        <v>141</v>
      </c>
      <c r="X246" s="40" t="s">
        <v>142</v>
      </c>
      <c r="Y246" s="40" t="s">
        <v>143</v>
      </c>
      <c r="Z246" s="40" t="s">
        <v>144</v>
      </c>
      <c r="AA246" s="40" t="s">
        <v>145</v>
      </c>
      <c r="AB246" s="40" t="s">
        <v>146</v>
      </c>
      <c r="AC246" s="40" t="s">
        <v>147</v>
      </c>
      <c r="AD246" s="40" t="s">
        <v>148</v>
      </c>
      <c r="AE246" s="40" t="s">
        <v>149</v>
      </c>
      <c r="AF246" s="40" t="s">
        <v>150</v>
      </c>
      <c r="AG246" s="40" t="s">
        <v>151</v>
      </c>
      <c r="AH246" s="40" t="s">
        <v>152</v>
      </c>
      <c r="AI246" s="40" t="s">
        <v>153</v>
      </c>
      <c r="AJ246" s="40" t="s">
        <v>154</v>
      </c>
      <c r="AK246" s="40" t="s">
        <v>155</v>
      </c>
      <c r="AL246" s="40" t="s">
        <v>156</v>
      </c>
      <c r="AM246" s="40" t="s">
        <v>157</v>
      </c>
      <c r="AN246" s="40" t="s">
        <v>158</v>
      </c>
      <c r="AO246" s="40" t="s">
        <v>159</v>
      </c>
      <c r="AP246" s="40" t="s">
        <v>160</v>
      </c>
      <c r="AQ246" s="40" t="s">
        <v>161</v>
      </c>
      <c r="AR246" s="40" t="s">
        <v>162</v>
      </c>
      <c r="AS246" s="40" t="s">
        <v>163</v>
      </c>
      <c r="AT246" s="40" t="s">
        <v>164</v>
      </c>
      <c r="AU246" s="40" t="s">
        <v>165</v>
      </c>
      <c r="AV246" s="40" t="s">
        <v>166</v>
      </c>
      <c r="AW246" s="40" t="s">
        <v>167</v>
      </c>
      <c r="AX246" s="40" t="s">
        <v>168</v>
      </c>
      <c r="AY246" s="40" t="s">
        <v>169</v>
      </c>
      <c r="AZ246" s="40" t="s">
        <v>170</v>
      </c>
      <c r="BA246" s="40" t="s">
        <v>171</v>
      </c>
      <c r="BB246" s="40" t="s">
        <v>172</v>
      </c>
      <c r="BC246" s="40" t="s">
        <v>173</v>
      </c>
      <c r="BD246" s="40" t="s">
        <v>174</v>
      </c>
      <c r="BE246" s="40" t="s">
        <v>175</v>
      </c>
      <c r="BF246" s="40" t="s">
        <v>176</v>
      </c>
      <c r="BG246" s="40" t="s">
        <v>177</v>
      </c>
      <c r="BH246" s="40" t="s">
        <v>178</v>
      </c>
      <c r="BI246" s="40" t="s">
        <v>179</v>
      </c>
      <c r="BJ246" s="40" t="s">
        <v>180</v>
      </c>
      <c r="BK246" s="40" t="s">
        <v>181</v>
      </c>
      <c r="BL246" s="40" t="s">
        <v>182</v>
      </c>
      <c r="BM246" s="40" t="s">
        <v>183</v>
      </c>
      <c r="BN246" s="40" t="s">
        <v>184</v>
      </c>
      <c r="BO246" s="40" t="s">
        <v>185</v>
      </c>
      <c r="BP246" s="40" t="s">
        <v>186</v>
      </c>
      <c r="BQ246" s="40" t="s">
        <v>187</v>
      </c>
      <c r="BR246" s="40" t="s">
        <v>188</v>
      </c>
      <c r="BS246" s="40" t="s">
        <v>189</v>
      </c>
      <c r="BT246" s="40" t="s">
        <v>190</v>
      </c>
      <c r="BU246" s="40" t="s">
        <v>191</v>
      </c>
      <c r="BV246" s="40" t="s">
        <v>192</v>
      </c>
      <c r="BW246" s="40" t="s">
        <v>193</v>
      </c>
      <c r="BX246" s="40" t="s">
        <v>194</v>
      </c>
      <c r="BY246" s="40" t="s">
        <v>195</v>
      </c>
      <c r="CA246" s="64"/>
    </row>
    <row r="247" spans="1:79" customFormat="1">
      <c r="A247" s="48"/>
      <c r="B247" s="682" t="s">
        <v>305</v>
      </c>
      <c r="C247" s="683"/>
      <c r="D247" s="679">
        <v>115449957.99200374</v>
      </c>
      <c r="E247" s="680">
        <v>149688567.96115115</v>
      </c>
      <c r="F247" s="679">
        <v>156736914.53919345</v>
      </c>
      <c r="G247" s="679">
        <v>163922088.88016003</v>
      </c>
      <c r="H247" s="679">
        <v>171241588.55551809</v>
      </c>
      <c r="I247" s="679">
        <v>151407823.58560529</v>
      </c>
      <c r="J247" s="153"/>
      <c r="K247" s="682" t="s">
        <v>305</v>
      </c>
      <c r="L247" s="683"/>
      <c r="M247" s="679">
        <v>7218531.6068755854</v>
      </c>
      <c r="N247" s="680">
        <v>7655313.1024740199</v>
      </c>
      <c r="O247" s="680">
        <v>8092094.5980724543</v>
      </c>
      <c r="P247" s="680">
        <v>8528876.0936708897</v>
      </c>
      <c r="Q247" s="680">
        <v>8965657.5892693251</v>
      </c>
      <c r="R247" s="680">
        <v>9402439.0848677605</v>
      </c>
      <c r="S247" s="680">
        <v>9839220.5804661959</v>
      </c>
      <c r="T247" s="680">
        <v>10276002.076064629</v>
      </c>
      <c r="U247" s="680">
        <v>10712783.571663065</v>
      </c>
      <c r="V247" s="680">
        <v>11149565.067261498</v>
      </c>
      <c r="W247" s="680">
        <v>11586346.562859934</v>
      </c>
      <c r="X247" s="680">
        <v>12023128.058458369</v>
      </c>
      <c r="Y247" s="680">
        <v>115449957.99200374</v>
      </c>
      <c r="Z247" s="680">
        <v>9455966.0259167105</v>
      </c>
      <c r="AA247" s="680">
        <v>9469694.1509965323</v>
      </c>
      <c r="AB247" s="680">
        <v>12392701.558872925</v>
      </c>
      <c r="AC247" s="680">
        <v>12415726.865990451</v>
      </c>
      <c r="AD247" s="680">
        <v>12438825.067132428</v>
      </c>
      <c r="AE247" s="680">
        <v>12461996.393068364</v>
      </c>
      <c r="AF247" s="680">
        <v>12485241.075298343</v>
      </c>
      <c r="AG247" s="680">
        <v>12508559.346055334</v>
      </c>
      <c r="AH247" s="680">
        <v>12531951.438307522</v>
      </c>
      <c r="AI247" s="680">
        <v>12555417.585760618</v>
      </c>
      <c r="AJ247" s="680">
        <v>15469860.704215745</v>
      </c>
      <c r="AK247" s="680">
        <v>15502627.749536179</v>
      </c>
      <c r="AL247" s="680">
        <v>149688567.96115115</v>
      </c>
      <c r="AM247" s="680">
        <v>11636406.419099966</v>
      </c>
      <c r="AN247" s="680">
        <v>11656027.234883998</v>
      </c>
      <c r="AO247" s="680">
        <v>12977667.854556123</v>
      </c>
      <c r="AP247" s="680">
        <v>13001379.456909729</v>
      </c>
      <c r="AQ247" s="680">
        <v>13025163.378575504</v>
      </c>
      <c r="AR247" s="680">
        <v>13049019.840124073</v>
      </c>
      <c r="AS247" s="680">
        <v>13072949.062798787</v>
      </c>
      <c r="AT247" s="680">
        <v>13096951.268517783</v>
      </c>
      <c r="AU247" s="680">
        <v>13121026.679876039</v>
      </c>
      <c r="AV247" s="680">
        <v>13145175.520147432</v>
      </c>
      <c r="AW247" s="680">
        <v>14463452.323041171</v>
      </c>
      <c r="AX247" s="680">
        <v>14491695.500662873</v>
      </c>
      <c r="AY247" s="680">
        <v>156736914.53919345</v>
      </c>
      <c r="AZ247" s="680">
        <v>11032657.306734366</v>
      </c>
      <c r="BA247" s="680">
        <v>11049566.7741205</v>
      </c>
      <c r="BB247" s="680">
        <v>13574074.501129761</v>
      </c>
      <c r="BC247" s="680">
        <v>13598461.502078652</v>
      </c>
      <c r="BD247" s="680">
        <v>13622920.256149579</v>
      </c>
      <c r="BE247" s="680">
        <v>13647450.974459544</v>
      </c>
      <c r="BF247" s="680">
        <v>13672053.868746707</v>
      </c>
      <c r="BG247" s="680">
        <v>13696729.15137223</v>
      </c>
      <c r="BH247" s="680">
        <v>13721477.035322087</v>
      </c>
      <c r="BI247" s="680">
        <v>13746297.734208919</v>
      </c>
      <c r="BJ247" s="680">
        <v>16264049.072764475</v>
      </c>
      <c r="BK247" s="680">
        <v>16296350.703073205</v>
      </c>
      <c r="BL247" s="680">
        <v>163922088.88016003</v>
      </c>
      <c r="BM247" s="680">
        <v>12170733.377542049</v>
      </c>
      <c r="BN247" s="680">
        <v>12190070.208816029</v>
      </c>
      <c r="BO247" s="680">
        <v>14181711.614739148</v>
      </c>
      <c r="BP247" s="680">
        <v>14206763.502545463</v>
      </c>
      <c r="BQ247" s="680">
        <v>14231886.586027795</v>
      </c>
      <c r="BR247" s="680">
        <v>14257081.067519171</v>
      </c>
      <c r="BS247" s="680">
        <v>14282347.149927637</v>
      </c>
      <c r="BT247" s="680">
        <v>14307685.03673788</v>
      </c>
      <c r="BU247" s="680">
        <v>14333094.932012884</v>
      </c>
      <c r="BV247" s="680">
        <v>14358577.040395567</v>
      </c>
      <c r="BW247" s="680">
        <v>16345218.809256149</v>
      </c>
      <c r="BX247" s="680">
        <v>16376419.229998359</v>
      </c>
      <c r="BY247" s="680">
        <v>171241588.55551809</v>
      </c>
      <c r="CA247" s="64"/>
    </row>
    <row r="248" spans="1:79" customFormat="1">
      <c r="A248" s="48"/>
      <c r="B248" s="681" t="s">
        <v>76</v>
      </c>
      <c r="C248" s="681"/>
      <c r="D248" s="686">
        <v>55034468.445402794</v>
      </c>
      <c r="E248" s="687">
        <v>88253223.914550215</v>
      </c>
      <c r="F248" s="686">
        <v>94297837.284842566</v>
      </c>
      <c r="G248" s="686">
        <v>100495205.45245056</v>
      </c>
      <c r="H248" s="686">
        <v>106842262.49301873</v>
      </c>
      <c r="I248" s="686">
        <v>88984599.51805298</v>
      </c>
      <c r="K248" s="681" t="s">
        <v>76</v>
      </c>
      <c r="L248" s="681"/>
      <c r="M248" s="686">
        <v>2183907.4779921742</v>
      </c>
      <c r="N248" s="687">
        <v>2620688.9735906087</v>
      </c>
      <c r="O248" s="687">
        <v>3057470.4691890436</v>
      </c>
      <c r="P248" s="687">
        <v>3494251.964787479</v>
      </c>
      <c r="Q248" s="687">
        <v>3931033.4603859135</v>
      </c>
      <c r="R248" s="687">
        <v>4367814.9559843484</v>
      </c>
      <c r="S248" s="687">
        <v>4804596.4515827838</v>
      </c>
      <c r="T248" s="687">
        <v>5241377.9471812174</v>
      </c>
      <c r="U248" s="687">
        <v>5678159.4427796528</v>
      </c>
      <c r="V248" s="687">
        <v>6114940.9383780872</v>
      </c>
      <c r="W248" s="687">
        <v>6551722.4339765226</v>
      </c>
      <c r="X248" s="687">
        <v>6988503.929574958</v>
      </c>
      <c r="Y248" s="687">
        <v>55034468.445402794</v>
      </c>
      <c r="Z248" s="687">
        <v>4336354.0220333003</v>
      </c>
      <c r="AA248" s="687">
        <v>4350082.1471131211</v>
      </c>
      <c r="AB248" s="687">
        <v>7273089.5549895149</v>
      </c>
      <c r="AC248" s="687">
        <v>7296114.8621070404</v>
      </c>
      <c r="AD248" s="687">
        <v>7319213.0632490171</v>
      </c>
      <c r="AE248" s="687">
        <v>7342384.3891849527</v>
      </c>
      <c r="AF248" s="687">
        <v>7365629.0714149317</v>
      </c>
      <c r="AG248" s="687">
        <v>7388947.3421719242</v>
      </c>
      <c r="AH248" s="687">
        <v>7412339.4344241107</v>
      </c>
      <c r="AI248" s="687">
        <v>7435805.5818772074</v>
      </c>
      <c r="AJ248" s="687">
        <v>10350248.700332334</v>
      </c>
      <c r="AK248" s="687">
        <v>10383015.745652769</v>
      </c>
      <c r="AL248" s="687">
        <v>88253223.914550215</v>
      </c>
      <c r="AM248" s="687">
        <v>6433149.9812373864</v>
      </c>
      <c r="AN248" s="687">
        <v>6452770.7970214179</v>
      </c>
      <c r="AO248" s="687">
        <v>7774411.4166935477</v>
      </c>
      <c r="AP248" s="687">
        <v>7798123.0190471541</v>
      </c>
      <c r="AQ248" s="687">
        <v>7821906.9407129288</v>
      </c>
      <c r="AR248" s="687">
        <v>7845763.4022614975</v>
      </c>
      <c r="AS248" s="687">
        <v>7869692.6249362109</v>
      </c>
      <c r="AT248" s="687">
        <v>7893694.8306552079</v>
      </c>
      <c r="AU248" s="687">
        <v>7917770.2420134628</v>
      </c>
      <c r="AV248" s="687">
        <v>7941919.0822848566</v>
      </c>
      <c r="AW248" s="687">
        <v>9260195.8851785958</v>
      </c>
      <c r="AX248" s="687">
        <v>9288439.0628002975</v>
      </c>
      <c r="AY248" s="687">
        <v>94297837.284842566</v>
      </c>
      <c r="AZ248" s="687">
        <v>5747083.6877585771</v>
      </c>
      <c r="BA248" s="687">
        <v>5763993.155144711</v>
      </c>
      <c r="BB248" s="687">
        <v>8288500.882153973</v>
      </c>
      <c r="BC248" s="687">
        <v>8312887.883102865</v>
      </c>
      <c r="BD248" s="687">
        <v>8337346.6371737914</v>
      </c>
      <c r="BE248" s="687">
        <v>8361877.3554837555</v>
      </c>
      <c r="BF248" s="687">
        <v>8386480.2497709198</v>
      </c>
      <c r="BG248" s="687">
        <v>8411155.5323964413</v>
      </c>
      <c r="BH248" s="687">
        <v>8435903.4163462985</v>
      </c>
      <c r="BI248" s="687">
        <v>8460724.1152331308</v>
      </c>
      <c r="BJ248" s="687">
        <v>10978475.453788687</v>
      </c>
      <c r="BK248" s="687">
        <v>11010777.084097417</v>
      </c>
      <c r="BL248" s="687">
        <v>100495205.45245056</v>
      </c>
      <c r="BM248" s="687">
        <v>6804122.8723337641</v>
      </c>
      <c r="BN248" s="687">
        <v>6823459.7036077455</v>
      </c>
      <c r="BO248" s="687">
        <v>8815101.1095308643</v>
      </c>
      <c r="BP248" s="687">
        <v>8840152.9973371774</v>
      </c>
      <c r="BQ248" s="687">
        <v>8865276.0808195099</v>
      </c>
      <c r="BR248" s="687">
        <v>8890470.5623108856</v>
      </c>
      <c r="BS248" s="687">
        <v>8915736.6447193511</v>
      </c>
      <c r="BT248" s="687">
        <v>8941074.5315295942</v>
      </c>
      <c r="BU248" s="687">
        <v>8966484.4268046003</v>
      </c>
      <c r="BV248" s="687">
        <v>8991966.5351872835</v>
      </c>
      <c r="BW248" s="687">
        <v>10978608.304047866</v>
      </c>
      <c r="BX248" s="687">
        <v>11009808.724790076</v>
      </c>
      <c r="BY248" s="687">
        <v>106842262.49301873</v>
      </c>
      <c r="CA248" s="64"/>
    </row>
    <row r="249" spans="1:79" customFormat="1">
      <c r="A249" s="48"/>
      <c r="B249" s="688" t="s">
        <v>77</v>
      </c>
      <c r="C249" s="681"/>
      <c r="D249" s="686">
        <v>10205000</v>
      </c>
      <c r="E249" s="687">
        <v>10520334.499999994</v>
      </c>
      <c r="F249" s="686">
        <v>10830684.367749996</v>
      </c>
      <c r="G249" s="686">
        <v>11136109.666920548</v>
      </c>
      <c r="H249" s="686">
        <v>11436784.627927402</v>
      </c>
      <c r="I249" s="686">
        <v>10825782.632519588</v>
      </c>
      <c r="K249" s="688" t="s">
        <v>77</v>
      </c>
      <c r="L249" s="681"/>
      <c r="M249" s="686">
        <v>850416.66666666663</v>
      </c>
      <c r="N249" s="687">
        <v>850416.66666666663</v>
      </c>
      <c r="O249" s="687">
        <v>850416.66666666663</v>
      </c>
      <c r="P249" s="687">
        <v>850416.66666666663</v>
      </c>
      <c r="Q249" s="687">
        <v>850416.66666666663</v>
      </c>
      <c r="R249" s="687">
        <v>850416.66666666663</v>
      </c>
      <c r="S249" s="687">
        <v>850416.66666666663</v>
      </c>
      <c r="T249" s="687">
        <v>850416.66666666663</v>
      </c>
      <c r="U249" s="687">
        <v>850416.66666666663</v>
      </c>
      <c r="V249" s="687">
        <v>850416.66666666663</v>
      </c>
      <c r="W249" s="687">
        <v>850416.66666666663</v>
      </c>
      <c r="X249" s="687">
        <v>850416.66666666663</v>
      </c>
      <c r="Y249" s="687">
        <v>10205000</v>
      </c>
      <c r="Z249" s="687">
        <v>876694.54166666651</v>
      </c>
      <c r="AA249" s="687">
        <v>876694.54166666651</v>
      </c>
      <c r="AB249" s="687">
        <v>876694.54166666651</v>
      </c>
      <c r="AC249" s="687">
        <v>876694.54166666651</v>
      </c>
      <c r="AD249" s="687">
        <v>876694.54166666651</v>
      </c>
      <c r="AE249" s="687">
        <v>876694.54166666651</v>
      </c>
      <c r="AF249" s="687">
        <v>876694.54166666651</v>
      </c>
      <c r="AG249" s="687">
        <v>876694.54166666651</v>
      </c>
      <c r="AH249" s="687">
        <v>876694.54166666651</v>
      </c>
      <c r="AI249" s="687">
        <v>876694.54166666651</v>
      </c>
      <c r="AJ249" s="687">
        <v>876694.54166666651</v>
      </c>
      <c r="AK249" s="687">
        <v>876694.54166666651</v>
      </c>
      <c r="AL249" s="687">
        <v>10520334.499999994</v>
      </c>
      <c r="AM249" s="687">
        <v>902557.03064583323</v>
      </c>
      <c r="AN249" s="687">
        <v>902557.03064583323</v>
      </c>
      <c r="AO249" s="687">
        <v>902557.03064583323</v>
      </c>
      <c r="AP249" s="687">
        <v>902557.03064583323</v>
      </c>
      <c r="AQ249" s="687">
        <v>902557.03064583323</v>
      </c>
      <c r="AR249" s="687">
        <v>902557.03064583323</v>
      </c>
      <c r="AS249" s="687">
        <v>902557.03064583323</v>
      </c>
      <c r="AT249" s="687">
        <v>902557.03064583323</v>
      </c>
      <c r="AU249" s="687">
        <v>902557.03064583323</v>
      </c>
      <c r="AV249" s="687">
        <v>902557.03064583323</v>
      </c>
      <c r="AW249" s="687">
        <v>902557.03064583323</v>
      </c>
      <c r="AX249" s="687">
        <v>902557.03064583323</v>
      </c>
      <c r="AY249" s="687">
        <v>10830684.367749996</v>
      </c>
      <c r="AZ249" s="687">
        <v>928009.13891004573</v>
      </c>
      <c r="BA249" s="687">
        <v>928009.13891004573</v>
      </c>
      <c r="BB249" s="687">
        <v>928009.13891004573</v>
      </c>
      <c r="BC249" s="687">
        <v>928009.13891004573</v>
      </c>
      <c r="BD249" s="687">
        <v>928009.13891004573</v>
      </c>
      <c r="BE249" s="687">
        <v>928009.13891004573</v>
      </c>
      <c r="BF249" s="687">
        <v>928009.13891004573</v>
      </c>
      <c r="BG249" s="687">
        <v>928009.13891004573</v>
      </c>
      <c r="BH249" s="687">
        <v>928009.13891004573</v>
      </c>
      <c r="BI249" s="687">
        <v>928009.13891004573</v>
      </c>
      <c r="BJ249" s="687">
        <v>928009.13891004573</v>
      </c>
      <c r="BK249" s="687">
        <v>928009.13891004573</v>
      </c>
      <c r="BL249" s="687">
        <v>11136109.666920548</v>
      </c>
      <c r="BM249" s="687">
        <v>953065.38566061691</v>
      </c>
      <c r="BN249" s="687">
        <v>953065.38566061691</v>
      </c>
      <c r="BO249" s="687">
        <v>953065.38566061691</v>
      </c>
      <c r="BP249" s="687">
        <v>953065.38566061691</v>
      </c>
      <c r="BQ249" s="687">
        <v>953065.38566061691</v>
      </c>
      <c r="BR249" s="687">
        <v>953065.38566061691</v>
      </c>
      <c r="BS249" s="687">
        <v>953065.38566061691</v>
      </c>
      <c r="BT249" s="687">
        <v>953065.38566061691</v>
      </c>
      <c r="BU249" s="687">
        <v>953065.38566061691</v>
      </c>
      <c r="BV249" s="687">
        <v>953065.38566061691</v>
      </c>
      <c r="BW249" s="687">
        <v>953065.38566061691</v>
      </c>
      <c r="BX249" s="687">
        <v>953065.38566061691</v>
      </c>
      <c r="BY249" s="687">
        <v>11436784.627927402</v>
      </c>
      <c r="CA249" s="64"/>
    </row>
    <row r="250" spans="1:79" customFormat="1">
      <c r="A250" s="48"/>
      <c r="B250" s="689" t="s">
        <v>82</v>
      </c>
      <c r="C250" s="681"/>
      <c r="D250" s="686">
        <v>3000000</v>
      </c>
      <c r="E250" s="687">
        <v>3092699.9999999995</v>
      </c>
      <c r="F250" s="686">
        <v>3183934.6500000008</v>
      </c>
      <c r="G250" s="686">
        <v>3273721.607129999</v>
      </c>
      <c r="H250" s="686">
        <v>3362112.0905225095</v>
      </c>
      <c r="I250" s="686">
        <v>3182493.6695305016</v>
      </c>
      <c r="K250" s="689" t="s">
        <v>82</v>
      </c>
      <c r="L250" s="681"/>
      <c r="M250" s="686">
        <v>250000</v>
      </c>
      <c r="N250" s="687">
        <v>250000</v>
      </c>
      <c r="O250" s="687">
        <v>250000</v>
      </c>
      <c r="P250" s="687">
        <v>250000</v>
      </c>
      <c r="Q250" s="687">
        <v>250000</v>
      </c>
      <c r="R250" s="687">
        <v>250000</v>
      </c>
      <c r="S250" s="687">
        <v>250000</v>
      </c>
      <c r="T250" s="687">
        <v>250000</v>
      </c>
      <c r="U250" s="687">
        <v>250000</v>
      </c>
      <c r="V250" s="687">
        <v>250000</v>
      </c>
      <c r="W250" s="687">
        <v>250000</v>
      </c>
      <c r="X250" s="687">
        <v>250000</v>
      </c>
      <c r="Y250" s="687">
        <v>3000000</v>
      </c>
      <c r="Z250" s="687">
        <v>257724.99999999997</v>
      </c>
      <c r="AA250" s="687">
        <v>257724.99999999997</v>
      </c>
      <c r="AB250" s="687">
        <v>257724.99999999997</v>
      </c>
      <c r="AC250" s="687">
        <v>257724.99999999997</v>
      </c>
      <c r="AD250" s="687">
        <v>257724.99999999997</v>
      </c>
      <c r="AE250" s="687">
        <v>257724.99999999997</v>
      </c>
      <c r="AF250" s="687">
        <v>257724.99999999997</v>
      </c>
      <c r="AG250" s="687">
        <v>257724.99999999997</v>
      </c>
      <c r="AH250" s="687">
        <v>257724.99999999997</v>
      </c>
      <c r="AI250" s="687">
        <v>257724.99999999997</v>
      </c>
      <c r="AJ250" s="687">
        <v>257724.99999999997</v>
      </c>
      <c r="AK250" s="687">
        <v>257724.99999999997</v>
      </c>
      <c r="AL250" s="687">
        <v>3092699.9999999995</v>
      </c>
      <c r="AM250" s="687">
        <v>265327.88750000001</v>
      </c>
      <c r="AN250" s="687">
        <v>265327.88750000001</v>
      </c>
      <c r="AO250" s="687">
        <v>265327.88750000001</v>
      </c>
      <c r="AP250" s="687">
        <v>265327.88750000001</v>
      </c>
      <c r="AQ250" s="687">
        <v>265327.88750000001</v>
      </c>
      <c r="AR250" s="687">
        <v>265327.88750000001</v>
      </c>
      <c r="AS250" s="687">
        <v>265327.88750000001</v>
      </c>
      <c r="AT250" s="687">
        <v>265327.88750000001</v>
      </c>
      <c r="AU250" s="687">
        <v>265327.88750000001</v>
      </c>
      <c r="AV250" s="687">
        <v>265327.88750000001</v>
      </c>
      <c r="AW250" s="687">
        <v>265327.88750000001</v>
      </c>
      <c r="AX250" s="687">
        <v>265327.88750000001</v>
      </c>
      <c r="AY250" s="687">
        <v>3183934.6500000008</v>
      </c>
      <c r="AZ250" s="687">
        <v>272810.13392749999</v>
      </c>
      <c r="BA250" s="687">
        <v>272810.13392749999</v>
      </c>
      <c r="BB250" s="687">
        <v>272810.13392749999</v>
      </c>
      <c r="BC250" s="687">
        <v>272810.13392749999</v>
      </c>
      <c r="BD250" s="687">
        <v>272810.13392749999</v>
      </c>
      <c r="BE250" s="687">
        <v>272810.13392749999</v>
      </c>
      <c r="BF250" s="687">
        <v>272810.13392749999</v>
      </c>
      <c r="BG250" s="687">
        <v>272810.13392749999</v>
      </c>
      <c r="BH250" s="687">
        <v>272810.13392749999</v>
      </c>
      <c r="BI250" s="687">
        <v>272810.13392749999</v>
      </c>
      <c r="BJ250" s="687">
        <v>272810.13392749999</v>
      </c>
      <c r="BK250" s="687">
        <v>272810.13392749999</v>
      </c>
      <c r="BL250" s="687">
        <v>3273721.607129999</v>
      </c>
      <c r="BM250" s="687">
        <v>280176.00754354248</v>
      </c>
      <c r="BN250" s="687">
        <v>280176.00754354248</v>
      </c>
      <c r="BO250" s="687">
        <v>280176.00754354248</v>
      </c>
      <c r="BP250" s="687">
        <v>280176.00754354248</v>
      </c>
      <c r="BQ250" s="687">
        <v>280176.00754354248</v>
      </c>
      <c r="BR250" s="687">
        <v>280176.00754354248</v>
      </c>
      <c r="BS250" s="687">
        <v>280176.00754354248</v>
      </c>
      <c r="BT250" s="687">
        <v>280176.00754354248</v>
      </c>
      <c r="BU250" s="687">
        <v>280176.00754354248</v>
      </c>
      <c r="BV250" s="687">
        <v>280176.00754354248</v>
      </c>
      <c r="BW250" s="687">
        <v>280176.00754354248</v>
      </c>
      <c r="BX250" s="687">
        <v>280176.00754354248</v>
      </c>
      <c r="BY250" s="687">
        <v>3362112.0905225095</v>
      </c>
      <c r="CA250" s="64"/>
    </row>
    <row r="251" spans="1:79" customFormat="1">
      <c r="A251" s="48"/>
      <c r="B251" s="688" t="s">
        <v>83</v>
      </c>
      <c r="C251" s="681"/>
      <c r="D251" s="686">
        <v>3720000</v>
      </c>
      <c r="E251" s="687">
        <v>3834948</v>
      </c>
      <c r="F251" s="686">
        <v>3948078.9660000014</v>
      </c>
      <c r="G251" s="686">
        <v>4059414.7928412016</v>
      </c>
      <c r="H251" s="686">
        <v>4169018.992247913</v>
      </c>
      <c r="I251" s="686">
        <v>3946292.1502178237</v>
      </c>
      <c r="K251" s="688" t="s">
        <v>83</v>
      </c>
      <c r="L251" s="681"/>
      <c r="M251" s="686">
        <v>310000</v>
      </c>
      <c r="N251" s="687">
        <v>310000</v>
      </c>
      <c r="O251" s="687">
        <v>310000</v>
      </c>
      <c r="P251" s="687">
        <v>310000</v>
      </c>
      <c r="Q251" s="687">
        <v>310000</v>
      </c>
      <c r="R251" s="687">
        <v>310000</v>
      </c>
      <c r="S251" s="687">
        <v>310000</v>
      </c>
      <c r="T251" s="687">
        <v>310000</v>
      </c>
      <c r="U251" s="687">
        <v>310000</v>
      </c>
      <c r="V251" s="687">
        <v>310000</v>
      </c>
      <c r="W251" s="687">
        <v>310000</v>
      </c>
      <c r="X251" s="687">
        <v>310000</v>
      </c>
      <c r="Y251" s="687">
        <v>3720000</v>
      </c>
      <c r="Z251" s="687">
        <v>319579</v>
      </c>
      <c r="AA251" s="687">
        <v>319579</v>
      </c>
      <c r="AB251" s="687">
        <v>319579</v>
      </c>
      <c r="AC251" s="687">
        <v>319579</v>
      </c>
      <c r="AD251" s="687">
        <v>319579</v>
      </c>
      <c r="AE251" s="687">
        <v>319579</v>
      </c>
      <c r="AF251" s="687">
        <v>319579</v>
      </c>
      <c r="AG251" s="687">
        <v>319579</v>
      </c>
      <c r="AH251" s="687">
        <v>319579</v>
      </c>
      <c r="AI251" s="687">
        <v>319579</v>
      </c>
      <c r="AJ251" s="687">
        <v>319579</v>
      </c>
      <c r="AK251" s="687">
        <v>319579</v>
      </c>
      <c r="AL251" s="687">
        <v>3834948</v>
      </c>
      <c r="AM251" s="687">
        <v>329006.58050000004</v>
      </c>
      <c r="AN251" s="687">
        <v>329006.58050000004</v>
      </c>
      <c r="AO251" s="687">
        <v>329006.58050000004</v>
      </c>
      <c r="AP251" s="687">
        <v>329006.58050000004</v>
      </c>
      <c r="AQ251" s="687">
        <v>329006.58050000004</v>
      </c>
      <c r="AR251" s="687">
        <v>329006.58050000004</v>
      </c>
      <c r="AS251" s="687">
        <v>329006.58050000004</v>
      </c>
      <c r="AT251" s="687">
        <v>329006.58050000004</v>
      </c>
      <c r="AU251" s="687">
        <v>329006.58050000004</v>
      </c>
      <c r="AV251" s="687">
        <v>329006.58050000004</v>
      </c>
      <c r="AW251" s="687">
        <v>329006.58050000004</v>
      </c>
      <c r="AX251" s="687">
        <v>329006.58050000004</v>
      </c>
      <c r="AY251" s="687">
        <v>3948078.9660000014</v>
      </c>
      <c r="AZ251" s="687">
        <v>338284.56607010006</v>
      </c>
      <c r="BA251" s="687">
        <v>338284.56607010006</v>
      </c>
      <c r="BB251" s="687">
        <v>338284.56607010006</v>
      </c>
      <c r="BC251" s="687">
        <v>338284.56607010006</v>
      </c>
      <c r="BD251" s="687">
        <v>338284.56607010006</v>
      </c>
      <c r="BE251" s="687">
        <v>338284.56607010006</v>
      </c>
      <c r="BF251" s="687">
        <v>338284.56607010006</v>
      </c>
      <c r="BG251" s="687">
        <v>338284.56607010006</v>
      </c>
      <c r="BH251" s="687">
        <v>338284.56607010006</v>
      </c>
      <c r="BI251" s="687">
        <v>338284.56607010006</v>
      </c>
      <c r="BJ251" s="687">
        <v>338284.56607010006</v>
      </c>
      <c r="BK251" s="687">
        <v>338284.56607010006</v>
      </c>
      <c r="BL251" s="687">
        <v>4059414.7928412016</v>
      </c>
      <c r="BM251" s="687">
        <v>347418.24935399275</v>
      </c>
      <c r="BN251" s="687">
        <v>347418.24935399275</v>
      </c>
      <c r="BO251" s="687">
        <v>347418.24935399275</v>
      </c>
      <c r="BP251" s="687">
        <v>347418.24935399275</v>
      </c>
      <c r="BQ251" s="687">
        <v>347418.24935399275</v>
      </c>
      <c r="BR251" s="687">
        <v>347418.24935399275</v>
      </c>
      <c r="BS251" s="687">
        <v>347418.24935399275</v>
      </c>
      <c r="BT251" s="687">
        <v>347418.24935399275</v>
      </c>
      <c r="BU251" s="687">
        <v>347418.24935399275</v>
      </c>
      <c r="BV251" s="687">
        <v>347418.24935399275</v>
      </c>
      <c r="BW251" s="687">
        <v>347418.24935399275</v>
      </c>
      <c r="BX251" s="687">
        <v>347418.24935399275</v>
      </c>
      <c r="BY251" s="687">
        <v>4169018.992247913</v>
      </c>
      <c r="CA251" s="64"/>
    </row>
    <row r="252" spans="1:79" customFormat="1">
      <c r="A252" s="48"/>
      <c r="B252" s="688" t="s">
        <v>84</v>
      </c>
      <c r="C252" s="681"/>
      <c r="D252" s="686">
        <v>1920000</v>
      </c>
      <c r="E252" s="687">
        <v>1979328</v>
      </c>
      <c r="F252" s="686">
        <v>2037718.1760000002</v>
      </c>
      <c r="G252" s="686">
        <v>2095181.8285632001</v>
      </c>
      <c r="H252" s="686">
        <v>2151751.7379344064</v>
      </c>
      <c r="I252" s="686">
        <v>2036795.9484995212</v>
      </c>
      <c r="K252" s="688" t="s">
        <v>84</v>
      </c>
      <c r="L252" s="681"/>
      <c r="M252" s="686">
        <v>160000</v>
      </c>
      <c r="N252" s="687">
        <v>160000</v>
      </c>
      <c r="O252" s="687">
        <v>160000</v>
      </c>
      <c r="P252" s="687">
        <v>160000</v>
      </c>
      <c r="Q252" s="687">
        <v>160000</v>
      </c>
      <c r="R252" s="687">
        <v>160000</v>
      </c>
      <c r="S252" s="687">
        <v>160000</v>
      </c>
      <c r="T252" s="687">
        <v>160000</v>
      </c>
      <c r="U252" s="687">
        <v>160000</v>
      </c>
      <c r="V252" s="687">
        <v>160000</v>
      </c>
      <c r="W252" s="687">
        <v>160000</v>
      </c>
      <c r="X252" s="687">
        <v>160000</v>
      </c>
      <c r="Y252" s="687">
        <v>1920000</v>
      </c>
      <c r="Z252" s="687">
        <v>164944</v>
      </c>
      <c r="AA252" s="687">
        <v>164944</v>
      </c>
      <c r="AB252" s="687">
        <v>164944</v>
      </c>
      <c r="AC252" s="687">
        <v>164944</v>
      </c>
      <c r="AD252" s="687">
        <v>164944</v>
      </c>
      <c r="AE252" s="687">
        <v>164944</v>
      </c>
      <c r="AF252" s="687">
        <v>164944</v>
      </c>
      <c r="AG252" s="687">
        <v>164944</v>
      </c>
      <c r="AH252" s="687">
        <v>164944</v>
      </c>
      <c r="AI252" s="687">
        <v>164944</v>
      </c>
      <c r="AJ252" s="687">
        <v>164944</v>
      </c>
      <c r="AK252" s="687">
        <v>164944</v>
      </c>
      <c r="AL252" s="687">
        <v>1979328</v>
      </c>
      <c r="AM252" s="687">
        <v>169809.84800000003</v>
      </c>
      <c r="AN252" s="687">
        <v>169809.84800000003</v>
      </c>
      <c r="AO252" s="687">
        <v>169809.84800000003</v>
      </c>
      <c r="AP252" s="687">
        <v>169809.84800000003</v>
      </c>
      <c r="AQ252" s="687">
        <v>169809.84800000003</v>
      </c>
      <c r="AR252" s="687">
        <v>169809.84800000003</v>
      </c>
      <c r="AS252" s="687">
        <v>169809.84800000003</v>
      </c>
      <c r="AT252" s="687">
        <v>169809.84800000003</v>
      </c>
      <c r="AU252" s="687">
        <v>169809.84800000003</v>
      </c>
      <c r="AV252" s="687">
        <v>169809.84800000003</v>
      </c>
      <c r="AW252" s="687">
        <v>169809.84800000003</v>
      </c>
      <c r="AX252" s="687">
        <v>169809.84800000003</v>
      </c>
      <c r="AY252" s="687">
        <v>2037718.1760000002</v>
      </c>
      <c r="AZ252" s="687">
        <v>174598.48571360004</v>
      </c>
      <c r="BA252" s="687">
        <v>174598.48571360004</v>
      </c>
      <c r="BB252" s="687">
        <v>174598.48571360004</v>
      </c>
      <c r="BC252" s="687">
        <v>174598.48571360004</v>
      </c>
      <c r="BD252" s="687">
        <v>174598.48571360004</v>
      </c>
      <c r="BE252" s="687">
        <v>174598.48571360004</v>
      </c>
      <c r="BF252" s="687">
        <v>174598.48571360004</v>
      </c>
      <c r="BG252" s="687">
        <v>174598.48571360004</v>
      </c>
      <c r="BH252" s="687">
        <v>174598.48571360004</v>
      </c>
      <c r="BI252" s="687">
        <v>174598.48571360004</v>
      </c>
      <c r="BJ252" s="687">
        <v>174598.48571360004</v>
      </c>
      <c r="BK252" s="687">
        <v>174598.48571360004</v>
      </c>
      <c r="BL252" s="687">
        <v>2095181.8285632001</v>
      </c>
      <c r="BM252" s="687">
        <v>179312.64482786722</v>
      </c>
      <c r="BN252" s="687">
        <v>179312.64482786722</v>
      </c>
      <c r="BO252" s="687">
        <v>179312.64482786722</v>
      </c>
      <c r="BP252" s="687">
        <v>179312.64482786722</v>
      </c>
      <c r="BQ252" s="687">
        <v>179312.64482786722</v>
      </c>
      <c r="BR252" s="687">
        <v>179312.64482786722</v>
      </c>
      <c r="BS252" s="687">
        <v>179312.64482786722</v>
      </c>
      <c r="BT252" s="687">
        <v>179312.64482786722</v>
      </c>
      <c r="BU252" s="687">
        <v>179312.64482786722</v>
      </c>
      <c r="BV252" s="687">
        <v>179312.64482786722</v>
      </c>
      <c r="BW252" s="687">
        <v>179312.64482786722</v>
      </c>
      <c r="BX252" s="687">
        <v>179312.64482786722</v>
      </c>
      <c r="BY252" s="687">
        <v>2151751.7379344064</v>
      </c>
      <c r="CA252" s="64"/>
    </row>
    <row r="253" spans="1:79" customFormat="1">
      <c r="A253" s="48"/>
      <c r="B253" s="684" t="s">
        <v>86</v>
      </c>
      <c r="C253" s="685"/>
      <c r="D253" s="686">
        <v>21650489.546600938</v>
      </c>
      <c r="E253" s="687">
        <v>21650489.546600938</v>
      </c>
      <c r="F253" s="686">
        <v>21650489.546600938</v>
      </c>
      <c r="G253" s="686">
        <v>21650489.546600938</v>
      </c>
      <c r="H253" s="686">
        <v>21650489.546600938</v>
      </c>
      <c r="I253" s="686">
        <v>21650489.546600938</v>
      </c>
      <c r="K253" s="684" t="s">
        <v>86</v>
      </c>
      <c r="L253" s="685"/>
      <c r="M253" s="686">
        <v>1804207.4622167447</v>
      </c>
      <c r="N253" s="687">
        <v>1804207.4622167447</v>
      </c>
      <c r="O253" s="687">
        <v>1804207.4622167447</v>
      </c>
      <c r="P253" s="687">
        <v>1804207.4622167447</v>
      </c>
      <c r="Q253" s="687">
        <v>1804207.4622167447</v>
      </c>
      <c r="R253" s="687">
        <v>1804207.4622167447</v>
      </c>
      <c r="S253" s="687">
        <v>1804207.4622167447</v>
      </c>
      <c r="T253" s="687">
        <v>1804207.4622167447</v>
      </c>
      <c r="U253" s="687">
        <v>1804207.4622167447</v>
      </c>
      <c r="V253" s="687">
        <v>1804207.4622167447</v>
      </c>
      <c r="W253" s="687">
        <v>1804207.4622167447</v>
      </c>
      <c r="X253" s="687">
        <v>1804207.4622167447</v>
      </c>
      <c r="Y253" s="687">
        <v>21650489.546600938</v>
      </c>
      <c r="Z253" s="687">
        <v>1804207.4622167447</v>
      </c>
      <c r="AA253" s="687">
        <v>1804207.4622167447</v>
      </c>
      <c r="AB253" s="687">
        <v>1804207.4622167447</v>
      </c>
      <c r="AC253" s="687">
        <v>1804207.4622167447</v>
      </c>
      <c r="AD253" s="687">
        <v>1804207.4622167447</v>
      </c>
      <c r="AE253" s="687">
        <v>1804207.4622167447</v>
      </c>
      <c r="AF253" s="687">
        <v>1804207.4622167447</v>
      </c>
      <c r="AG253" s="687">
        <v>1804207.4622167447</v>
      </c>
      <c r="AH253" s="687">
        <v>1804207.4622167447</v>
      </c>
      <c r="AI253" s="687">
        <v>1804207.4622167447</v>
      </c>
      <c r="AJ253" s="687">
        <v>1804207.4622167447</v>
      </c>
      <c r="AK253" s="687">
        <v>1804207.4622167447</v>
      </c>
      <c r="AL253" s="687">
        <v>21650489.546600938</v>
      </c>
      <c r="AM253" s="687">
        <v>1804207.4622167447</v>
      </c>
      <c r="AN253" s="687">
        <v>1804207.4622167447</v>
      </c>
      <c r="AO253" s="687">
        <v>1804207.4622167447</v>
      </c>
      <c r="AP253" s="687">
        <v>1804207.4622167447</v>
      </c>
      <c r="AQ253" s="687">
        <v>1804207.4622167447</v>
      </c>
      <c r="AR253" s="687">
        <v>1804207.4622167447</v>
      </c>
      <c r="AS253" s="687">
        <v>1804207.4622167447</v>
      </c>
      <c r="AT253" s="687">
        <v>1804207.4622167447</v>
      </c>
      <c r="AU253" s="687">
        <v>1804207.4622167447</v>
      </c>
      <c r="AV253" s="687">
        <v>1804207.4622167447</v>
      </c>
      <c r="AW253" s="687">
        <v>1804207.4622167447</v>
      </c>
      <c r="AX253" s="687">
        <v>1804207.4622167447</v>
      </c>
      <c r="AY253" s="687">
        <v>21650489.546600938</v>
      </c>
      <c r="AZ253" s="687">
        <v>1804207.4622167447</v>
      </c>
      <c r="BA253" s="687">
        <v>1804207.4622167447</v>
      </c>
      <c r="BB253" s="687">
        <v>1804207.4622167447</v>
      </c>
      <c r="BC253" s="687">
        <v>1804207.4622167447</v>
      </c>
      <c r="BD253" s="687">
        <v>1804207.4622167447</v>
      </c>
      <c r="BE253" s="687">
        <v>1804207.4622167447</v>
      </c>
      <c r="BF253" s="687">
        <v>1804207.4622167447</v>
      </c>
      <c r="BG253" s="687">
        <v>1804207.4622167447</v>
      </c>
      <c r="BH253" s="687">
        <v>1804207.4622167447</v>
      </c>
      <c r="BI253" s="687">
        <v>1804207.4622167447</v>
      </c>
      <c r="BJ253" s="687">
        <v>1804207.4622167447</v>
      </c>
      <c r="BK253" s="687">
        <v>1804207.4622167447</v>
      </c>
      <c r="BL253" s="687">
        <v>21650489.546600938</v>
      </c>
      <c r="BM253" s="687">
        <v>1804207.4622167447</v>
      </c>
      <c r="BN253" s="687">
        <v>1804207.4622167447</v>
      </c>
      <c r="BO253" s="687">
        <v>1804207.4622167447</v>
      </c>
      <c r="BP253" s="687">
        <v>1804207.4622167447</v>
      </c>
      <c r="BQ253" s="687">
        <v>1804207.4622167447</v>
      </c>
      <c r="BR253" s="687">
        <v>1804207.4622167447</v>
      </c>
      <c r="BS253" s="687">
        <v>1804207.4622167447</v>
      </c>
      <c r="BT253" s="687">
        <v>1804207.4622167447</v>
      </c>
      <c r="BU253" s="687">
        <v>1804207.4622167447</v>
      </c>
      <c r="BV253" s="687">
        <v>1804207.4622167447</v>
      </c>
      <c r="BW253" s="687">
        <v>1804207.4622167447</v>
      </c>
      <c r="BX253" s="687">
        <v>1804207.4622167447</v>
      </c>
      <c r="BY253" s="687">
        <v>21650489.546600938</v>
      </c>
      <c r="CA253" s="64"/>
    </row>
    <row r="254" spans="1:79" customFormat="1">
      <c r="A254" s="48"/>
      <c r="B254" s="681" t="s">
        <v>87</v>
      </c>
      <c r="C254" s="681"/>
      <c r="D254" s="686">
        <v>2160000</v>
      </c>
      <c r="E254" s="687">
        <v>2226744</v>
      </c>
      <c r="F254" s="686">
        <v>2292432.9479999999</v>
      </c>
      <c r="G254" s="686">
        <v>2357079.5571336006</v>
      </c>
      <c r="H254" s="686">
        <v>2420720.7051762068</v>
      </c>
      <c r="I254" s="686">
        <v>2291395.4420619616</v>
      </c>
      <c r="K254" s="681" t="s">
        <v>87</v>
      </c>
      <c r="L254" s="681"/>
      <c r="M254" s="686">
        <v>180000</v>
      </c>
      <c r="N254" s="687">
        <v>180000</v>
      </c>
      <c r="O254" s="687">
        <v>180000</v>
      </c>
      <c r="P254" s="687">
        <v>180000</v>
      </c>
      <c r="Q254" s="687">
        <v>180000</v>
      </c>
      <c r="R254" s="687">
        <v>180000</v>
      </c>
      <c r="S254" s="687">
        <v>180000</v>
      </c>
      <c r="T254" s="687">
        <v>180000</v>
      </c>
      <c r="U254" s="687">
        <v>180000</v>
      </c>
      <c r="V254" s="687">
        <v>180000</v>
      </c>
      <c r="W254" s="687">
        <v>180000</v>
      </c>
      <c r="X254" s="687">
        <v>180000</v>
      </c>
      <c r="Y254" s="687">
        <v>2160000</v>
      </c>
      <c r="Z254" s="687">
        <v>185562</v>
      </c>
      <c r="AA254" s="687">
        <v>185562</v>
      </c>
      <c r="AB254" s="687">
        <v>185562</v>
      </c>
      <c r="AC254" s="687">
        <v>185562</v>
      </c>
      <c r="AD254" s="687">
        <v>185562</v>
      </c>
      <c r="AE254" s="687">
        <v>185562</v>
      </c>
      <c r="AF254" s="687">
        <v>185562</v>
      </c>
      <c r="AG254" s="687">
        <v>185562</v>
      </c>
      <c r="AH254" s="687">
        <v>185562</v>
      </c>
      <c r="AI254" s="687">
        <v>185562</v>
      </c>
      <c r="AJ254" s="687">
        <v>185562</v>
      </c>
      <c r="AK254" s="687">
        <v>185562</v>
      </c>
      <c r="AL254" s="687">
        <v>2226744</v>
      </c>
      <c r="AM254" s="687">
        <v>191036.07900000003</v>
      </c>
      <c r="AN254" s="687">
        <v>191036.07900000003</v>
      </c>
      <c r="AO254" s="687">
        <v>191036.07900000003</v>
      </c>
      <c r="AP254" s="687">
        <v>191036.07900000003</v>
      </c>
      <c r="AQ254" s="687">
        <v>191036.07900000003</v>
      </c>
      <c r="AR254" s="687">
        <v>191036.07900000003</v>
      </c>
      <c r="AS254" s="687">
        <v>191036.07900000003</v>
      </c>
      <c r="AT254" s="687">
        <v>191036.07900000003</v>
      </c>
      <c r="AU254" s="687">
        <v>191036.07900000003</v>
      </c>
      <c r="AV254" s="687">
        <v>191036.07900000003</v>
      </c>
      <c r="AW254" s="687">
        <v>191036.07900000003</v>
      </c>
      <c r="AX254" s="687">
        <v>191036.07900000003</v>
      </c>
      <c r="AY254" s="687">
        <v>2292432.9479999999</v>
      </c>
      <c r="AZ254" s="687">
        <v>196423.29642780003</v>
      </c>
      <c r="BA254" s="687">
        <v>196423.29642780003</v>
      </c>
      <c r="BB254" s="687">
        <v>196423.29642780003</v>
      </c>
      <c r="BC254" s="687">
        <v>196423.29642780003</v>
      </c>
      <c r="BD254" s="687">
        <v>196423.29642780003</v>
      </c>
      <c r="BE254" s="687">
        <v>196423.29642780003</v>
      </c>
      <c r="BF254" s="687">
        <v>196423.29642780003</v>
      </c>
      <c r="BG254" s="687">
        <v>196423.29642780003</v>
      </c>
      <c r="BH254" s="687">
        <v>196423.29642780003</v>
      </c>
      <c r="BI254" s="687">
        <v>196423.29642780003</v>
      </c>
      <c r="BJ254" s="687">
        <v>196423.29642780003</v>
      </c>
      <c r="BK254" s="687">
        <v>196423.29642780003</v>
      </c>
      <c r="BL254" s="687">
        <v>2357079.5571336006</v>
      </c>
      <c r="BM254" s="687">
        <v>201726.72543135061</v>
      </c>
      <c r="BN254" s="687">
        <v>201726.72543135061</v>
      </c>
      <c r="BO254" s="687">
        <v>201726.72543135061</v>
      </c>
      <c r="BP254" s="687">
        <v>201726.72543135061</v>
      </c>
      <c r="BQ254" s="687">
        <v>201726.72543135061</v>
      </c>
      <c r="BR254" s="687">
        <v>201726.72543135061</v>
      </c>
      <c r="BS254" s="687">
        <v>201726.72543135061</v>
      </c>
      <c r="BT254" s="687">
        <v>201726.72543135061</v>
      </c>
      <c r="BU254" s="687">
        <v>201726.72543135061</v>
      </c>
      <c r="BV254" s="687">
        <v>201726.72543135061</v>
      </c>
      <c r="BW254" s="687">
        <v>201726.72543135061</v>
      </c>
      <c r="BX254" s="687">
        <v>201726.72543135061</v>
      </c>
      <c r="BY254" s="687">
        <v>2420720.7051762068</v>
      </c>
      <c r="CA254" s="64"/>
    </row>
    <row r="255" spans="1:79" customFormat="1">
      <c r="A255" s="48"/>
      <c r="B255" s="688" t="s">
        <v>306</v>
      </c>
      <c r="C255" s="681"/>
      <c r="D255" s="686">
        <v>5760000</v>
      </c>
      <c r="E255" s="687">
        <v>5760000</v>
      </c>
      <c r="F255" s="686">
        <v>5760000</v>
      </c>
      <c r="G255" s="686">
        <v>5760000</v>
      </c>
      <c r="H255" s="686">
        <v>5760000</v>
      </c>
      <c r="I255" s="686">
        <v>5760000</v>
      </c>
      <c r="K255" s="688" t="s">
        <v>307</v>
      </c>
      <c r="L255" s="681"/>
      <c r="M255" s="686">
        <v>480000</v>
      </c>
      <c r="N255" s="687">
        <v>480000</v>
      </c>
      <c r="O255" s="687">
        <v>480000</v>
      </c>
      <c r="P255" s="687">
        <v>480000</v>
      </c>
      <c r="Q255" s="687">
        <v>480000</v>
      </c>
      <c r="R255" s="687">
        <v>480000</v>
      </c>
      <c r="S255" s="687">
        <v>480000</v>
      </c>
      <c r="T255" s="687">
        <v>480000</v>
      </c>
      <c r="U255" s="687">
        <v>480000</v>
      </c>
      <c r="V255" s="687">
        <v>480000</v>
      </c>
      <c r="W255" s="687">
        <v>480000</v>
      </c>
      <c r="X255" s="687">
        <v>480000</v>
      </c>
      <c r="Y255" s="687">
        <v>5760000</v>
      </c>
      <c r="Z255" s="687">
        <v>480000</v>
      </c>
      <c r="AA255" s="687">
        <v>480000</v>
      </c>
      <c r="AB255" s="687">
        <v>480000</v>
      </c>
      <c r="AC255" s="687">
        <v>480000</v>
      </c>
      <c r="AD255" s="687">
        <v>480000</v>
      </c>
      <c r="AE255" s="687">
        <v>480000</v>
      </c>
      <c r="AF255" s="687">
        <v>480000</v>
      </c>
      <c r="AG255" s="687">
        <v>480000</v>
      </c>
      <c r="AH255" s="687">
        <v>480000</v>
      </c>
      <c r="AI255" s="687">
        <v>480000</v>
      </c>
      <c r="AJ255" s="687">
        <v>480000</v>
      </c>
      <c r="AK255" s="687">
        <v>480000</v>
      </c>
      <c r="AL255" s="687">
        <v>5760000</v>
      </c>
      <c r="AM255" s="687">
        <v>480000</v>
      </c>
      <c r="AN255" s="687">
        <v>480000</v>
      </c>
      <c r="AO255" s="687">
        <v>480000</v>
      </c>
      <c r="AP255" s="687">
        <v>480000</v>
      </c>
      <c r="AQ255" s="687">
        <v>480000</v>
      </c>
      <c r="AR255" s="687">
        <v>480000</v>
      </c>
      <c r="AS255" s="687">
        <v>480000</v>
      </c>
      <c r="AT255" s="687">
        <v>480000</v>
      </c>
      <c r="AU255" s="687">
        <v>480000</v>
      </c>
      <c r="AV255" s="687">
        <v>480000</v>
      </c>
      <c r="AW255" s="687">
        <v>480000</v>
      </c>
      <c r="AX255" s="687">
        <v>480000</v>
      </c>
      <c r="AY255" s="687">
        <v>5760000</v>
      </c>
      <c r="AZ255" s="687">
        <v>480000</v>
      </c>
      <c r="BA255" s="687">
        <v>480000</v>
      </c>
      <c r="BB255" s="687">
        <v>480000</v>
      </c>
      <c r="BC255" s="687">
        <v>480000</v>
      </c>
      <c r="BD255" s="687">
        <v>480000</v>
      </c>
      <c r="BE255" s="687">
        <v>480000</v>
      </c>
      <c r="BF255" s="687">
        <v>480000</v>
      </c>
      <c r="BG255" s="687">
        <v>480000</v>
      </c>
      <c r="BH255" s="687">
        <v>480000</v>
      </c>
      <c r="BI255" s="687">
        <v>480000</v>
      </c>
      <c r="BJ255" s="687">
        <v>480000</v>
      </c>
      <c r="BK255" s="687">
        <v>480000</v>
      </c>
      <c r="BL255" s="687">
        <v>5760000</v>
      </c>
      <c r="BM255" s="687">
        <v>480000</v>
      </c>
      <c r="BN255" s="687">
        <v>480000</v>
      </c>
      <c r="BO255" s="687">
        <v>480000</v>
      </c>
      <c r="BP255" s="687">
        <v>480000</v>
      </c>
      <c r="BQ255" s="687">
        <v>480000</v>
      </c>
      <c r="BR255" s="687">
        <v>480000</v>
      </c>
      <c r="BS255" s="687">
        <v>480000</v>
      </c>
      <c r="BT255" s="687">
        <v>480000</v>
      </c>
      <c r="BU255" s="687">
        <v>480000</v>
      </c>
      <c r="BV255" s="687">
        <v>480000</v>
      </c>
      <c r="BW255" s="687">
        <v>480000</v>
      </c>
      <c r="BX255" s="687">
        <v>480000</v>
      </c>
      <c r="BY255" s="687">
        <v>5760000</v>
      </c>
      <c r="CA255" s="64"/>
    </row>
    <row r="256" spans="1:79" customFormat="1" ht="15.75" thickBot="1">
      <c r="A256" s="48"/>
      <c r="B256" s="696" t="s">
        <v>81</v>
      </c>
      <c r="C256" s="693"/>
      <c r="D256" s="694">
        <v>12000000</v>
      </c>
      <c r="E256" s="695">
        <v>12370799.999999998</v>
      </c>
      <c r="F256" s="694">
        <v>12735738.600000003</v>
      </c>
      <c r="G256" s="694">
        <v>13094886.428519996</v>
      </c>
      <c r="H256" s="694">
        <v>13448448.362090038</v>
      </c>
      <c r="I256" s="694">
        <v>12729974.678122006</v>
      </c>
      <c r="K256" s="696" t="s">
        <v>81</v>
      </c>
      <c r="L256" s="693"/>
      <c r="M256" s="694">
        <v>1000000</v>
      </c>
      <c r="N256" s="695">
        <v>1000000</v>
      </c>
      <c r="O256" s="695">
        <v>1000000</v>
      </c>
      <c r="P256" s="695">
        <v>1000000</v>
      </c>
      <c r="Q256" s="695">
        <v>1000000</v>
      </c>
      <c r="R256" s="695">
        <v>1000000</v>
      </c>
      <c r="S256" s="695">
        <v>1000000</v>
      </c>
      <c r="T256" s="695">
        <v>1000000</v>
      </c>
      <c r="U256" s="695">
        <v>1000000</v>
      </c>
      <c r="V256" s="695">
        <v>1000000</v>
      </c>
      <c r="W256" s="695">
        <v>1000000</v>
      </c>
      <c r="X256" s="695">
        <v>1000000</v>
      </c>
      <c r="Y256" s="695">
        <v>12000000</v>
      </c>
      <c r="Z256" s="695">
        <v>1030899.9999999999</v>
      </c>
      <c r="AA256" s="695">
        <v>1030899.9999999999</v>
      </c>
      <c r="AB256" s="695">
        <v>1030899.9999999999</v>
      </c>
      <c r="AC256" s="695">
        <v>1030899.9999999999</v>
      </c>
      <c r="AD256" s="695">
        <v>1030899.9999999999</v>
      </c>
      <c r="AE256" s="695">
        <v>1030899.9999999999</v>
      </c>
      <c r="AF256" s="695">
        <v>1030899.9999999999</v>
      </c>
      <c r="AG256" s="695">
        <v>1030899.9999999999</v>
      </c>
      <c r="AH256" s="695">
        <v>1030899.9999999999</v>
      </c>
      <c r="AI256" s="695">
        <v>1030899.9999999999</v>
      </c>
      <c r="AJ256" s="695">
        <v>1030899.9999999999</v>
      </c>
      <c r="AK256" s="695">
        <v>1030899.9999999999</v>
      </c>
      <c r="AL256" s="695">
        <v>12370799.999999998</v>
      </c>
      <c r="AM256" s="695">
        <v>1061311.55</v>
      </c>
      <c r="AN256" s="695">
        <v>1061311.55</v>
      </c>
      <c r="AO256" s="695">
        <v>1061311.55</v>
      </c>
      <c r="AP256" s="695">
        <v>1061311.55</v>
      </c>
      <c r="AQ256" s="695">
        <v>1061311.55</v>
      </c>
      <c r="AR256" s="695">
        <v>1061311.55</v>
      </c>
      <c r="AS256" s="695">
        <v>1061311.55</v>
      </c>
      <c r="AT256" s="695">
        <v>1061311.55</v>
      </c>
      <c r="AU256" s="695">
        <v>1061311.55</v>
      </c>
      <c r="AV256" s="695">
        <v>1061311.55</v>
      </c>
      <c r="AW256" s="695">
        <v>1061311.55</v>
      </c>
      <c r="AX256" s="695">
        <v>1061311.55</v>
      </c>
      <c r="AY256" s="695">
        <v>12735738.600000003</v>
      </c>
      <c r="AZ256" s="695">
        <v>1091240.53571</v>
      </c>
      <c r="BA256" s="695">
        <v>1091240.53571</v>
      </c>
      <c r="BB256" s="695">
        <v>1091240.53571</v>
      </c>
      <c r="BC256" s="695">
        <v>1091240.53571</v>
      </c>
      <c r="BD256" s="695">
        <v>1091240.53571</v>
      </c>
      <c r="BE256" s="695">
        <v>1091240.53571</v>
      </c>
      <c r="BF256" s="695">
        <v>1091240.53571</v>
      </c>
      <c r="BG256" s="695">
        <v>1091240.53571</v>
      </c>
      <c r="BH256" s="695">
        <v>1091240.53571</v>
      </c>
      <c r="BI256" s="695">
        <v>1091240.53571</v>
      </c>
      <c r="BJ256" s="695">
        <v>1091240.53571</v>
      </c>
      <c r="BK256" s="695">
        <v>1091240.53571</v>
      </c>
      <c r="BL256" s="695">
        <v>13094886.428519996</v>
      </c>
      <c r="BM256" s="695">
        <v>1120704.0301741699</v>
      </c>
      <c r="BN256" s="695">
        <v>1120704.0301741699</v>
      </c>
      <c r="BO256" s="695">
        <v>1120704.0301741699</v>
      </c>
      <c r="BP256" s="695">
        <v>1120704.0301741699</v>
      </c>
      <c r="BQ256" s="695">
        <v>1120704.0301741699</v>
      </c>
      <c r="BR256" s="695">
        <v>1120704.0301741699</v>
      </c>
      <c r="BS256" s="695">
        <v>1120704.0301741699</v>
      </c>
      <c r="BT256" s="695">
        <v>1120704.0301741699</v>
      </c>
      <c r="BU256" s="695">
        <v>1120704.0301741699</v>
      </c>
      <c r="BV256" s="695">
        <v>1120704.0301741699</v>
      </c>
      <c r="BW256" s="695">
        <v>1120704.0301741699</v>
      </c>
      <c r="BX256" s="695">
        <v>1120704.0301741699</v>
      </c>
      <c r="BY256" s="695">
        <v>13448448.362090038</v>
      </c>
      <c r="CA256" s="65"/>
    </row>
    <row r="257" spans="2:79">
      <c r="D257" s="38"/>
    </row>
    <row r="258" spans="2:79" ht="15.75" thickBot="1"/>
    <row r="259" spans="2:79" ht="15" customHeight="1">
      <c r="B259" s="656" t="s">
        <v>126</v>
      </c>
      <c r="C259" s="656"/>
      <c r="D259" s="656"/>
      <c r="E259" s="656"/>
      <c r="F259" s="656"/>
      <c r="G259" s="656"/>
      <c r="H259" s="656"/>
      <c r="I259" s="656"/>
      <c r="K259" s="656" t="s">
        <v>208</v>
      </c>
      <c r="L259" s="656"/>
      <c r="M259" s="656"/>
      <c r="N259" s="656"/>
      <c r="O259" s="656"/>
      <c r="P259" s="656"/>
      <c r="Q259" s="656"/>
      <c r="R259" s="656"/>
      <c r="S259" s="656"/>
      <c r="T259" s="656"/>
      <c r="U259" s="656"/>
      <c r="V259" s="656"/>
      <c r="W259" s="656"/>
      <c r="X259" s="656"/>
      <c r="Y259" s="656"/>
      <c r="Z259" s="656"/>
      <c r="AA259" s="656"/>
      <c r="AB259" s="656"/>
      <c r="AC259" s="656"/>
      <c r="AD259" s="656"/>
      <c r="AE259" s="656"/>
      <c r="AF259" s="656"/>
      <c r="AG259" s="656"/>
      <c r="AH259" s="656"/>
      <c r="AI259" s="656"/>
      <c r="AJ259" s="656"/>
      <c r="AK259" s="656"/>
      <c r="AL259" s="656"/>
      <c r="AM259" s="656"/>
      <c r="AN259" s="656"/>
      <c r="AO259" s="656"/>
      <c r="AP259" s="656"/>
      <c r="AQ259" s="656"/>
      <c r="AR259" s="656"/>
      <c r="AS259" s="656"/>
      <c r="AT259" s="656"/>
      <c r="AU259" s="656"/>
      <c r="AV259" s="656"/>
      <c r="AW259" s="656"/>
      <c r="AX259" s="656"/>
      <c r="AY259" s="656"/>
      <c r="AZ259" s="656"/>
      <c r="BA259" s="656"/>
      <c r="BB259" s="656"/>
      <c r="BC259" s="656"/>
      <c r="BD259" s="656"/>
      <c r="BE259" s="656"/>
      <c r="BF259" s="656"/>
      <c r="BG259" s="656"/>
      <c r="BH259" s="656"/>
      <c r="BI259" s="656"/>
      <c r="BJ259" s="656"/>
      <c r="BK259" s="656"/>
      <c r="BL259" s="656"/>
      <c r="BM259" s="656"/>
      <c r="BN259" s="656"/>
      <c r="BO259" s="656"/>
      <c r="BP259" s="656"/>
      <c r="BQ259" s="656"/>
      <c r="BR259" s="656"/>
      <c r="BS259" s="656"/>
      <c r="BT259" s="656"/>
      <c r="BU259" s="656"/>
      <c r="BV259" s="656"/>
      <c r="BW259" s="656"/>
      <c r="BX259" s="656"/>
      <c r="BY259" s="656"/>
      <c r="CA259" s="60"/>
    </row>
    <row r="260" spans="2:79">
      <c r="B260" s="575"/>
      <c r="C260" s="649"/>
      <c r="D260" s="576"/>
      <c r="E260" s="576"/>
      <c r="F260" s="576"/>
      <c r="G260" s="576"/>
      <c r="H260" s="576"/>
      <c r="I260" s="576"/>
      <c r="K260" s="575"/>
      <c r="L260" s="649"/>
      <c r="M260" s="576"/>
      <c r="N260" s="576"/>
      <c r="O260" s="576"/>
      <c r="P260" s="576"/>
      <c r="Q260" s="576"/>
      <c r="R260" s="576"/>
      <c r="S260" s="576"/>
      <c r="T260" s="576"/>
      <c r="U260" s="576"/>
      <c r="V260" s="576"/>
      <c r="W260" s="576"/>
      <c r="X260" s="576"/>
      <c r="Y260" s="576"/>
      <c r="Z260" s="576"/>
      <c r="AA260" s="576"/>
      <c r="AB260" s="576"/>
      <c r="AC260" s="576"/>
      <c r="AD260" s="576"/>
      <c r="AE260" s="576"/>
      <c r="AF260" s="576"/>
      <c r="AG260" s="576"/>
      <c r="AH260" s="576"/>
      <c r="AI260" s="576"/>
      <c r="AJ260" s="576"/>
      <c r="AK260" s="576"/>
      <c r="AL260" s="576"/>
      <c r="AM260" s="576"/>
      <c r="AN260" s="576"/>
      <c r="AO260" s="576"/>
      <c r="AP260" s="576"/>
      <c r="AQ260" s="576"/>
      <c r="AR260" s="576"/>
      <c r="AS260" s="576"/>
      <c r="AT260" s="576"/>
      <c r="AU260" s="576"/>
      <c r="AV260" s="576"/>
      <c r="AW260" s="576"/>
      <c r="AX260" s="576"/>
      <c r="AY260" s="576"/>
      <c r="AZ260" s="576"/>
      <c r="BA260" s="576"/>
      <c r="BB260" s="576"/>
      <c r="BC260" s="576"/>
      <c r="BD260" s="576"/>
      <c r="BE260" s="576"/>
      <c r="BF260" s="576"/>
      <c r="BG260" s="576"/>
      <c r="BH260" s="576"/>
      <c r="BI260" s="576"/>
      <c r="BJ260" s="576"/>
      <c r="BK260" s="576"/>
      <c r="BL260" s="576"/>
      <c r="BM260" s="576"/>
      <c r="BN260" s="576"/>
      <c r="BO260" s="576"/>
      <c r="BP260" s="576"/>
      <c r="BQ260" s="576"/>
      <c r="BR260" s="576"/>
      <c r="BS260" s="576"/>
      <c r="BT260" s="576"/>
      <c r="BU260" s="576"/>
      <c r="BV260" s="576"/>
      <c r="BW260" s="576"/>
      <c r="BX260" s="576"/>
      <c r="BY260" s="576"/>
      <c r="CA260" s="61"/>
    </row>
    <row r="261" spans="2:79">
      <c r="B261" s="541" t="s">
        <v>59</v>
      </c>
      <c r="C261" s="541" t="s">
        <v>60</v>
      </c>
      <c r="D261" s="657" t="s">
        <v>6</v>
      </c>
      <c r="E261" s="657" t="s">
        <v>12</v>
      </c>
      <c r="F261" s="657" t="s">
        <v>13</v>
      </c>
      <c r="G261" s="657" t="s">
        <v>14</v>
      </c>
      <c r="H261" s="657" t="s">
        <v>15</v>
      </c>
      <c r="I261" s="657" t="s">
        <v>57</v>
      </c>
      <c r="K261" s="541" t="s">
        <v>61</v>
      </c>
      <c r="L261" s="541" t="s">
        <v>130</v>
      </c>
      <c r="M261" s="657" t="s">
        <v>131</v>
      </c>
      <c r="N261" s="657" t="s">
        <v>132</v>
      </c>
      <c r="O261" s="657" t="s">
        <v>133</v>
      </c>
      <c r="P261" s="657" t="s">
        <v>134</v>
      </c>
      <c r="Q261" s="657" t="s">
        <v>135</v>
      </c>
      <c r="R261" s="657" t="s">
        <v>136</v>
      </c>
      <c r="S261" s="657" t="s">
        <v>137</v>
      </c>
      <c r="T261" s="657" t="s">
        <v>138</v>
      </c>
      <c r="U261" s="657" t="s">
        <v>139</v>
      </c>
      <c r="V261" s="657" t="s">
        <v>140</v>
      </c>
      <c r="W261" s="657" t="s">
        <v>141</v>
      </c>
      <c r="X261" s="657" t="s">
        <v>142</v>
      </c>
      <c r="Y261" s="657" t="s">
        <v>143</v>
      </c>
      <c r="Z261" s="657" t="s">
        <v>144</v>
      </c>
      <c r="AA261" s="657" t="s">
        <v>145</v>
      </c>
      <c r="AB261" s="657" t="s">
        <v>146</v>
      </c>
      <c r="AC261" s="657" t="s">
        <v>147</v>
      </c>
      <c r="AD261" s="657" t="s">
        <v>148</v>
      </c>
      <c r="AE261" s="657" t="s">
        <v>149</v>
      </c>
      <c r="AF261" s="657" t="s">
        <v>150</v>
      </c>
      <c r="AG261" s="657" t="s">
        <v>151</v>
      </c>
      <c r="AH261" s="657" t="s">
        <v>152</v>
      </c>
      <c r="AI261" s="657" t="s">
        <v>153</v>
      </c>
      <c r="AJ261" s="657" t="s">
        <v>154</v>
      </c>
      <c r="AK261" s="657" t="s">
        <v>155</v>
      </c>
      <c r="AL261" s="657" t="s">
        <v>156</v>
      </c>
      <c r="AM261" s="657" t="s">
        <v>157</v>
      </c>
      <c r="AN261" s="657" t="s">
        <v>158</v>
      </c>
      <c r="AO261" s="657" t="s">
        <v>159</v>
      </c>
      <c r="AP261" s="657" t="s">
        <v>160</v>
      </c>
      <c r="AQ261" s="657" t="s">
        <v>161</v>
      </c>
      <c r="AR261" s="657" t="s">
        <v>162</v>
      </c>
      <c r="AS261" s="657" t="s">
        <v>163</v>
      </c>
      <c r="AT261" s="657" t="s">
        <v>164</v>
      </c>
      <c r="AU261" s="657" t="s">
        <v>165</v>
      </c>
      <c r="AV261" s="657" t="s">
        <v>166</v>
      </c>
      <c r="AW261" s="657" t="s">
        <v>167</v>
      </c>
      <c r="AX261" s="657" t="s">
        <v>168</v>
      </c>
      <c r="AY261" s="657" t="s">
        <v>169</v>
      </c>
      <c r="AZ261" s="657" t="s">
        <v>170</v>
      </c>
      <c r="BA261" s="657" t="s">
        <v>171</v>
      </c>
      <c r="BB261" s="657" t="s">
        <v>172</v>
      </c>
      <c r="BC261" s="657" t="s">
        <v>173</v>
      </c>
      <c r="BD261" s="657" t="s">
        <v>174</v>
      </c>
      <c r="BE261" s="657" t="s">
        <v>175</v>
      </c>
      <c r="BF261" s="657" t="s">
        <v>176</v>
      </c>
      <c r="BG261" s="657" t="s">
        <v>177</v>
      </c>
      <c r="BH261" s="657" t="s">
        <v>178</v>
      </c>
      <c r="BI261" s="657" t="s">
        <v>179</v>
      </c>
      <c r="BJ261" s="657" t="s">
        <v>180</v>
      </c>
      <c r="BK261" s="657" t="s">
        <v>181</v>
      </c>
      <c r="BL261" s="657" t="s">
        <v>182</v>
      </c>
      <c r="BM261" s="657" t="s">
        <v>183</v>
      </c>
      <c r="BN261" s="657" t="s">
        <v>184</v>
      </c>
      <c r="BO261" s="657" t="s">
        <v>185</v>
      </c>
      <c r="BP261" s="657" t="s">
        <v>186</v>
      </c>
      <c r="BQ261" s="657" t="s">
        <v>187</v>
      </c>
      <c r="BR261" s="657" t="s">
        <v>188</v>
      </c>
      <c r="BS261" s="657" t="s">
        <v>189</v>
      </c>
      <c r="BT261" s="657" t="s">
        <v>190</v>
      </c>
      <c r="BU261" s="657" t="s">
        <v>191</v>
      </c>
      <c r="BV261" s="657" t="s">
        <v>192</v>
      </c>
      <c r="BW261" s="657" t="s">
        <v>193</v>
      </c>
      <c r="BX261" s="657" t="s">
        <v>194</v>
      </c>
      <c r="BY261" s="657" t="s">
        <v>195</v>
      </c>
      <c r="CA261" s="61"/>
    </row>
    <row r="262" spans="2:79">
      <c r="B262" s="545" t="s">
        <v>127</v>
      </c>
      <c r="C262" s="650">
        <f>E.R!C49*EGRESOS!$B$265</f>
        <v>0</v>
      </c>
      <c r="D262" s="667">
        <f>E.R!D49*EGRESOS!$B$265</f>
        <v>5668250.4516527513</v>
      </c>
      <c r="E262" s="667">
        <f>E.R!E49*EGRESOS!$B$265</f>
        <v>165171793.13882291</v>
      </c>
      <c r="F262" s="667">
        <f>E.R!F49*EGRESOS!$B$265</f>
        <v>263249458.91309687</v>
      </c>
      <c r="G262" s="667">
        <f>E.R!G49*EGRESOS!$B$265</f>
        <v>370195419.78793788</v>
      </c>
      <c r="H262" s="667">
        <f>E.R!H49*EGRESOS!$B$265</f>
        <v>492623474.73828775</v>
      </c>
      <c r="I262" s="667"/>
      <c r="K262" s="545" t="s">
        <v>127</v>
      </c>
      <c r="L262" s="650"/>
      <c r="M262" s="667"/>
      <c r="N262" s="667"/>
      <c r="O262" s="667"/>
      <c r="P262" s="667"/>
      <c r="Q262" s="667"/>
      <c r="R262" s="667"/>
      <c r="S262" s="667"/>
      <c r="T262" s="667"/>
      <c r="U262" s="667"/>
      <c r="V262" s="667"/>
      <c r="W262" s="667"/>
      <c r="X262" s="667"/>
      <c r="Y262" s="667"/>
      <c r="Z262" s="667"/>
      <c r="AA262" s="667"/>
      <c r="AB262" s="667"/>
      <c r="AC262" s="667"/>
      <c r="AD262" s="667"/>
      <c r="AE262" s="667"/>
      <c r="AF262" s="667"/>
      <c r="AG262" s="667"/>
      <c r="AH262" s="667"/>
      <c r="AI262" s="667"/>
      <c r="AJ262" s="667"/>
      <c r="AK262" s="667"/>
      <c r="AL262" s="667"/>
      <c r="AM262" s="667"/>
      <c r="AN262" s="667"/>
      <c r="AO262" s="667"/>
      <c r="AP262" s="667"/>
      <c r="AQ262" s="667"/>
      <c r="AR262" s="667"/>
      <c r="AS262" s="667"/>
      <c r="AT262" s="667"/>
      <c r="AU262" s="667"/>
      <c r="AV262" s="667"/>
      <c r="AW262" s="667"/>
      <c r="AX262" s="667"/>
      <c r="AY262" s="667"/>
      <c r="AZ262" s="667"/>
      <c r="BA262" s="667"/>
      <c r="BB262" s="667"/>
      <c r="BC262" s="667"/>
      <c r="BD262" s="667"/>
      <c r="BE262" s="667"/>
      <c r="BF262" s="667"/>
      <c r="BG262" s="667"/>
      <c r="BH262" s="667"/>
      <c r="BI262" s="667"/>
      <c r="BJ262" s="667"/>
      <c r="BK262" s="667"/>
      <c r="BL262" s="667"/>
      <c r="BM262" s="667"/>
      <c r="BN262" s="667"/>
      <c r="BO262" s="667"/>
      <c r="BP262" s="667"/>
      <c r="BQ262" s="667"/>
      <c r="BR262" s="667"/>
      <c r="BS262" s="667"/>
      <c r="BT262" s="667"/>
      <c r="BU262" s="667"/>
      <c r="BV262" s="667"/>
      <c r="BW262" s="667"/>
      <c r="BX262" s="667"/>
      <c r="BY262" s="667"/>
      <c r="CA262" s="61"/>
    </row>
    <row r="263" spans="2:79">
      <c r="CA263" s="61"/>
    </row>
    <row r="264" spans="2:79">
      <c r="B264" s="541" t="s">
        <v>128</v>
      </c>
      <c r="CA264" s="61"/>
    </row>
    <row r="265" spans="2:79">
      <c r="B265" s="697">
        <v>0.6</v>
      </c>
      <c r="CA265" s="61"/>
    </row>
    <row r="266" spans="2:79">
      <c r="CA266" s="61"/>
    </row>
    <row r="267" spans="2:79">
      <c r="CA267" s="61"/>
    </row>
    <row r="268" spans="2:79">
      <c r="B268" s="656" t="s">
        <v>207</v>
      </c>
      <c r="C268" s="656"/>
      <c r="D268" s="656"/>
      <c r="E268" s="656"/>
      <c r="F268" s="656"/>
      <c r="G268" s="656"/>
      <c r="H268" s="656"/>
      <c r="I268" s="656"/>
      <c r="K268" s="656" t="s">
        <v>209</v>
      </c>
      <c r="L268" s="656"/>
      <c r="M268" s="656"/>
      <c r="N268" s="656"/>
      <c r="O268" s="656"/>
      <c r="P268" s="656"/>
      <c r="Q268" s="656"/>
      <c r="R268" s="656"/>
      <c r="S268" s="656"/>
      <c r="T268" s="656"/>
      <c r="U268" s="656"/>
      <c r="V268" s="656"/>
      <c r="W268" s="656"/>
      <c r="X268" s="656"/>
      <c r="Y268" s="656"/>
      <c r="Z268" s="656"/>
      <c r="AA268" s="656"/>
      <c r="AB268" s="656"/>
      <c r="AC268" s="656"/>
      <c r="AD268" s="656"/>
      <c r="AE268" s="656"/>
      <c r="AF268" s="656"/>
      <c r="AG268" s="656"/>
      <c r="AH268" s="656"/>
      <c r="AI268" s="656"/>
      <c r="AJ268" s="656"/>
      <c r="AK268" s="656"/>
      <c r="AL268" s="656"/>
      <c r="AM268" s="656"/>
      <c r="AN268" s="656"/>
      <c r="AO268" s="656"/>
      <c r="AP268" s="656"/>
      <c r="AQ268" s="656"/>
      <c r="AR268" s="656"/>
      <c r="AS268" s="656"/>
      <c r="AT268" s="656"/>
      <c r="AU268" s="656"/>
      <c r="AV268" s="656"/>
      <c r="AW268" s="656"/>
      <c r="AX268" s="656"/>
      <c r="AY268" s="656"/>
      <c r="AZ268" s="656"/>
      <c r="BA268" s="656"/>
      <c r="BB268" s="656"/>
      <c r="BC268" s="656"/>
      <c r="BD268" s="656"/>
      <c r="BE268" s="656"/>
      <c r="BF268" s="656"/>
      <c r="BG268" s="656"/>
      <c r="BH268" s="656"/>
      <c r="BI268" s="656"/>
      <c r="BJ268" s="656"/>
      <c r="BK268" s="656"/>
      <c r="BL268" s="656"/>
      <c r="BM268" s="656"/>
      <c r="BN268" s="656"/>
      <c r="BO268" s="656"/>
      <c r="BP268" s="656"/>
      <c r="BQ268" s="656"/>
      <c r="BR268" s="656"/>
      <c r="BS268" s="656"/>
      <c r="BT268" s="656"/>
      <c r="BU268" s="656"/>
      <c r="BV268" s="656"/>
      <c r="BW268" s="656"/>
      <c r="BX268" s="656"/>
      <c r="BY268" s="656"/>
      <c r="CA268" s="61"/>
    </row>
    <row r="269" spans="2:79">
      <c r="B269" s="575"/>
      <c r="C269" s="649"/>
      <c r="D269" s="576"/>
      <c r="E269" s="576"/>
      <c r="F269" s="576"/>
      <c r="G269" s="576"/>
      <c r="H269" s="576"/>
      <c r="I269" s="576"/>
      <c r="K269" s="575"/>
      <c r="L269" s="649"/>
      <c r="M269" s="576"/>
      <c r="N269" s="576"/>
      <c r="O269" s="576"/>
      <c r="P269" s="576"/>
      <c r="Q269" s="576"/>
      <c r="R269" s="576"/>
      <c r="S269" s="576"/>
      <c r="T269" s="576"/>
      <c r="U269" s="576"/>
      <c r="V269" s="576"/>
      <c r="W269" s="576"/>
      <c r="X269" s="576"/>
      <c r="Y269" s="576"/>
      <c r="Z269" s="576"/>
      <c r="AA269" s="576"/>
      <c r="AB269" s="576"/>
      <c r="AC269" s="576"/>
      <c r="AD269" s="576"/>
      <c r="AE269" s="576"/>
      <c r="AF269" s="576"/>
      <c r="AG269" s="576"/>
      <c r="AH269" s="576"/>
      <c r="AI269" s="576"/>
      <c r="AJ269" s="576"/>
      <c r="AK269" s="576"/>
      <c r="AL269" s="576"/>
      <c r="AM269" s="576"/>
      <c r="AN269" s="576"/>
      <c r="AO269" s="576"/>
      <c r="AP269" s="576"/>
      <c r="AQ269" s="576"/>
      <c r="AR269" s="576"/>
      <c r="AS269" s="576"/>
      <c r="AT269" s="576"/>
      <c r="AU269" s="576"/>
      <c r="AV269" s="576"/>
      <c r="AW269" s="576"/>
      <c r="AX269" s="576"/>
      <c r="AY269" s="576"/>
      <c r="AZ269" s="576"/>
      <c r="BA269" s="576"/>
      <c r="BB269" s="576"/>
      <c r="BC269" s="576"/>
      <c r="BD269" s="576"/>
      <c r="BE269" s="576"/>
      <c r="BF269" s="576"/>
      <c r="BG269" s="576"/>
      <c r="BH269" s="576"/>
      <c r="BI269" s="576"/>
      <c r="BJ269" s="576"/>
      <c r="BK269" s="576"/>
      <c r="BL269" s="576"/>
      <c r="BM269" s="576"/>
      <c r="BN269" s="576"/>
      <c r="BO269" s="576"/>
      <c r="BP269" s="576"/>
      <c r="BQ269" s="576"/>
      <c r="BR269" s="576"/>
      <c r="BS269" s="576"/>
      <c r="BT269" s="576"/>
      <c r="BU269" s="576"/>
      <c r="BV269" s="576"/>
      <c r="BW269" s="576"/>
      <c r="BX269" s="576"/>
      <c r="BY269" s="576"/>
      <c r="CA269" s="61"/>
    </row>
    <row r="270" spans="2:79">
      <c r="B270" s="541" t="s">
        <v>59</v>
      </c>
      <c r="C270" s="541" t="s">
        <v>60</v>
      </c>
      <c r="D270" s="657" t="s">
        <v>6</v>
      </c>
      <c r="E270" s="657" t="s">
        <v>12</v>
      </c>
      <c r="F270" s="657" t="s">
        <v>13</v>
      </c>
      <c r="G270" s="657" t="s">
        <v>14</v>
      </c>
      <c r="H270" s="657" t="s">
        <v>15</v>
      </c>
      <c r="I270" s="657" t="s">
        <v>57</v>
      </c>
      <c r="K270" s="541" t="s">
        <v>61</v>
      </c>
      <c r="L270" s="541" t="s">
        <v>130</v>
      </c>
      <c r="M270" s="657" t="s">
        <v>131</v>
      </c>
      <c r="N270" s="657" t="s">
        <v>132</v>
      </c>
      <c r="O270" s="657" t="s">
        <v>133</v>
      </c>
      <c r="P270" s="657" t="s">
        <v>134</v>
      </c>
      <c r="Q270" s="657" t="s">
        <v>135</v>
      </c>
      <c r="R270" s="657" t="s">
        <v>136</v>
      </c>
      <c r="S270" s="657" t="s">
        <v>137</v>
      </c>
      <c r="T270" s="657" t="s">
        <v>138</v>
      </c>
      <c r="U270" s="657" t="s">
        <v>139</v>
      </c>
      <c r="V270" s="657" t="s">
        <v>140</v>
      </c>
      <c r="W270" s="657" t="s">
        <v>141</v>
      </c>
      <c r="X270" s="657" t="s">
        <v>142</v>
      </c>
      <c r="Y270" s="657" t="s">
        <v>143</v>
      </c>
      <c r="Z270" s="657" t="s">
        <v>144</v>
      </c>
      <c r="AA270" s="657" t="s">
        <v>145</v>
      </c>
      <c r="AB270" s="657" t="s">
        <v>146</v>
      </c>
      <c r="AC270" s="657" t="s">
        <v>147</v>
      </c>
      <c r="AD270" s="657" t="s">
        <v>148</v>
      </c>
      <c r="AE270" s="657" t="s">
        <v>149</v>
      </c>
      <c r="AF270" s="657" t="s">
        <v>150</v>
      </c>
      <c r="AG270" s="657" t="s">
        <v>151</v>
      </c>
      <c r="AH270" s="657" t="s">
        <v>152</v>
      </c>
      <c r="AI270" s="657" t="s">
        <v>153</v>
      </c>
      <c r="AJ270" s="657" t="s">
        <v>154</v>
      </c>
      <c r="AK270" s="657" t="s">
        <v>155</v>
      </c>
      <c r="AL270" s="657" t="s">
        <v>156</v>
      </c>
      <c r="AM270" s="657" t="s">
        <v>157</v>
      </c>
      <c r="AN270" s="657" t="s">
        <v>158</v>
      </c>
      <c r="AO270" s="657" t="s">
        <v>159</v>
      </c>
      <c r="AP270" s="657" t="s">
        <v>160</v>
      </c>
      <c r="AQ270" s="657" t="s">
        <v>161</v>
      </c>
      <c r="AR270" s="657" t="s">
        <v>162</v>
      </c>
      <c r="AS270" s="657" t="s">
        <v>163</v>
      </c>
      <c r="AT270" s="657" t="s">
        <v>164</v>
      </c>
      <c r="AU270" s="657" t="s">
        <v>165</v>
      </c>
      <c r="AV270" s="657" t="s">
        <v>166</v>
      </c>
      <c r="AW270" s="657" t="s">
        <v>167</v>
      </c>
      <c r="AX270" s="657" t="s">
        <v>168</v>
      </c>
      <c r="AY270" s="657" t="s">
        <v>169</v>
      </c>
      <c r="AZ270" s="657" t="s">
        <v>170</v>
      </c>
      <c r="BA270" s="657" t="s">
        <v>171</v>
      </c>
      <c r="BB270" s="657" t="s">
        <v>172</v>
      </c>
      <c r="BC270" s="657" t="s">
        <v>173</v>
      </c>
      <c r="BD270" s="657" t="s">
        <v>174</v>
      </c>
      <c r="BE270" s="657" t="s">
        <v>175</v>
      </c>
      <c r="BF270" s="657" t="s">
        <v>176</v>
      </c>
      <c r="BG270" s="657" t="s">
        <v>177</v>
      </c>
      <c r="BH270" s="657" t="s">
        <v>178</v>
      </c>
      <c r="BI270" s="657" t="s">
        <v>179</v>
      </c>
      <c r="BJ270" s="657" t="s">
        <v>180</v>
      </c>
      <c r="BK270" s="657" t="s">
        <v>181</v>
      </c>
      <c r="BL270" s="657" t="s">
        <v>182</v>
      </c>
      <c r="BM270" s="657" t="s">
        <v>183</v>
      </c>
      <c r="BN270" s="657" t="s">
        <v>184</v>
      </c>
      <c r="BO270" s="657" t="s">
        <v>185</v>
      </c>
      <c r="BP270" s="657" t="s">
        <v>186</v>
      </c>
      <c r="BQ270" s="657" t="s">
        <v>187</v>
      </c>
      <c r="BR270" s="657" t="s">
        <v>188</v>
      </c>
      <c r="BS270" s="657" t="s">
        <v>189</v>
      </c>
      <c r="BT270" s="657" t="s">
        <v>190</v>
      </c>
      <c r="BU270" s="657" t="s">
        <v>191</v>
      </c>
      <c r="BV270" s="657" t="s">
        <v>192</v>
      </c>
      <c r="BW270" s="657" t="s">
        <v>193</v>
      </c>
      <c r="BX270" s="657" t="s">
        <v>194</v>
      </c>
      <c r="BY270" s="657" t="s">
        <v>195</v>
      </c>
      <c r="CA270" s="61"/>
    </row>
    <row r="271" spans="2:79">
      <c r="B271" s="545" t="s">
        <v>244</v>
      </c>
      <c r="C271" s="650">
        <f>E.R!C46</f>
        <v>0</v>
      </c>
      <c r="D271" s="667">
        <f>E.R!D46</f>
        <v>4653041.4155358411</v>
      </c>
      <c r="E271" s="667">
        <f>E.R!E46</f>
        <v>135588785.41246659</v>
      </c>
      <c r="F271" s="667">
        <f>E.R!F46</f>
        <v>216100302.09284076</v>
      </c>
      <c r="G271" s="667">
        <f>E.R!G46</f>
        <v>303891762.51248628</v>
      </c>
      <c r="H271" s="667">
        <f>E.R!H46</f>
        <v>404392404.63590789</v>
      </c>
      <c r="I271" s="667"/>
      <c r="K271" s="545" t="s">
        <v>244</v>
      </c>
      <c r="L271" s="650"/>
      <c r="M271" s="667"/>
      <c r="N271" s="667"/>
      <c r="O271" s="667"/>
      <c r="P271" s="667"/>
      <c r="Q271" s="667"/>
      <c r="R271" s="667"/>
      <c r="S271" s="667"/>
      <c r="T271" s="667"/>
      <c r="U271" s="667"/>
      <c r="V271" s="667"/>
      <c r="W271" s="667"/>
      <c r="X271" s="667"/>
      <c r="Y271" s="667"/>
      <c r="Z271" s="667"/>
      <c r="AA271" s="667"/>
      <c r="AB271" s="667"/>
      <c r="AC271" s="667"/>
      <c r="AD271" s="667"/>
      <c r="AE271" s="667"/>
      <c r="AF271" s="667"/>
      <c r="AG271" s="667"/>
      <c r="AH271" s="667"/>
      <c r="AI271" s="667"/>
      <c r="AJ271" s="667"/>
      <c r="AK271" s="667"/>
      <c r="AL271" s="667"/>
      <c r="AM271" s="667"/>
      <c r="AN271" s="667"/>
      <c r="AO271" s="667"/>
      <c r="AP271" s="667"/>
      <c r="AQ271" s="667"/>
      <c r="AR271" s="667"/>
      <c r="AS271" s="667"/>
      <c r="AT271" s="667"/>
      <c r="AU271" s="667"/>
      <c r="AV271" s="667"/>
      <c r="AW271" s="667"/>
      <c r="AX271" s="667"/>
      <c r="AY271" s="667"/>
      <c r="AZ271" s="667"/>
      <c r="BA271" s="667"/>
      <c r="BB271" s="667"/>
      <c r="BC271" s="667"/>
      <c r="BD271" s="667"/>
      <c r="BE271" s="667"/>
      <c r="BF271" s="667"/>
      <c r="BG271" s="667"/>
      <c r="BH271" s="667"/>
      <c r="BI271" s="667"/>
      <c r="BJ271" s="667"/>
      <c r="BK271" s="667"/>
      <c r="BL271" s="667"/>
      <c r="BM271" s="667"/>
      <c r="BN271" s="667"/>
      <c r="BO271" s="667"/>
      <c r="BP271" s="667"/>
      <c r="BQ271" s="667"/>
      <c r="BR271" s="667"/>
      <c r="BS271" s="667"/>
      <c r="BT271" s="667"/>
      <c r="BU271" s="667"/>
      <c r="BV271" s="667"/>
      <c r="BW271" s="667"/>
      <c r="BX271" s="667"/>
      <c r="BY271" s="667"/>
      <c r="CA271" s="61"/>
    </row>
    <row r="272" spans="2:79">
      <c r="CA272" s="61"/>
    </row>
    <row r="273" spans="2:79">
      <c r="CA273" s="61"/>
    </row>
    <row r="274" spans="2:79">
      <c r="CA274" s="61"/>
    </row>
    <row r="275" spans="2:79">
      <c r="B275" s="656" t="s">
        <v>245</v>
      </c>
      <c r="C275" s="656"/>
      <c r="D275" s="656"/>
      <c r="E275" s="656"/>
      <c r="F275" s="656"/>
      <c r="G275" s="656"/>
      <c r="H275" s="656"/>
      <c r="I275" s="656"/>
      <c r="K275" s="656" t="s">
        <v>246</v>
      </c>
      <c r="L275" s="656"/>
      <c r="M275" s="656"/>
      <c r="N275" s="656"/>
      <c r="O275" s="656"/>
      <c r="P275" s="656"/>
      <c r="Q275" s="656"/>
      <c r="R275" s="656"/>
      <c r="S275" s="656"/>
      <c r="T275" s="656"/>
      <c r="U275" s="656"/>
      <c r="V275" s="656"/>
      <c r="W275" s="656"/>
      <c r="X275" s="656"/>
      <c r="Y275" s="656"/>
      <c r="Z275" s="656"/>
      <c r="AA275" s="656"/>
      <c r="AB275" s="656"/>
      <c r="AC275" s="656"/>
      <c r="AD275" s="656"/>
      <c r="AE275" s="656"/>
      <c r="AF275" s="656"/>
      <c r="AG275" s="656"/>
      <c r="AH275" s="656"/>
      <c r="AI275" s="656"/>
      <c r="AJ275" s="656"/>
      <c r="AK275" s="656"/>
      <c r="AL275" s="656"/>
      <c r="AM275" s="656"/>
      <c r="AN275" s="656"/>
      <c r="AO275" s="656"/>
      <c r="AP275" s="656"/>
      <c r="AQ275" s="656"/>
      <c r="AR275" s="656"/>
      <c r="AS275" s="656"/>
      <c r="AT275" s="656"/>
      <c r="AU275" s="656"/>
      <c r="AV275" s="656"/>
      <c r="AW275" s="656"/>
      <c r="AX275" s="656"/>
      <c r="AY275" s="656"/>
      <c r="AZ275" s="656"/>
      <c r="BA275" s="656"/>
      <c r="BB275" s="656"/>
      <c r="BC275" s="656"/>
      <c r="BD275" s="656"/>
      <c r="BE275" s="656"/>
      <c r="BF275" s="656"/>
      <c r="BG275" s="656"/>
      <c r="BH275" s="656"/>
      <c r="BI275" s="656"/>
      <c r="BJ275" s="656"/>
      <c r="BK275" s="656"/>
      <c r="BL275" s="656"/>
      <c r="BM275" s="656"/>
      <c r="BN275" s="656"/>
      <c r="BO275" s="656"/>
      <c r="BP275" s="656"/>
      <c r="BQ275" s="656"/>
      <c r="BR275" s="656"/>
      <c r="BS275" s="656"/>
      <c r="BT275" s="656"/>
      <c r="BU275" s="656"/>
      <c r="BV275" s="656"/>
      <c r="BW275" s="656"/>
      <c r="BX275" s="656"/>
      <c r="BY275" s="656"/>
      <c r="CA275" s="61"/>
    </row>
    <row r="276" spans="2:79">
      <c r="B276" s="642"/>
      <c r="C276" s="674"/>
      <c r="D276" s="643"/>
      <c r="E276" s="642"/>
      <c r="F276" s="643"/>
      <c r="G276" s="643"/>
      <c r="H276" s="643"/>
      <c r="I276" s="643"/>
      <c r="K276" s="642"/>
      <c r="L276" s="674"/>
      <c r="M276" s="643"/>
      <c r="N276" s="642"/>
      <c r="O276" s="642"/>
      <c r="P276" s="674"/>
      <c r="Q276" s="643"/>
      <c r="R276" s="642"/>
      <c r="S276" s="642"/>
      <c r="T276" s="674"/>
      <c r="U276" s="643"/>
      <c r="V276" s="642"/>
      <c r="W276" s="642"/>
      <c r="X276" s="674"/>
      <c r="Y276" s="643"/>
      <c r="Z276" s="642"/>
      <c r="AA276" s="642"/>
      <c r="AB276" s="674"/>
      <c r="AC276" s="643"/>
      <c r="AD276" s="642"/>
      <c r="AE276" s="642"/>
      <c r="AF276" s="674"/>
      <c r="AG276" s="643"/>
      <c r="AH276" s="642"/>
      <c r="AI276" s="642"/>
      <c r="AJ276" s="674"/>
      <c r="AK276" s="643"/>
      <c r="AL276" s="642"/>
      <c r="AM276" s="642"/>
      <c r="AN276" s="674"/>
      <c r="AO276" s="643"/>
      <c r="AP276" s="642"/>
      <c r="AQ276" s="642"/>
      <c r="AR276" s="674"/>
      <c r="AS276" s="643"/>
      <c r="AT276" s="642"/>
      <c r="AU276" s="642"/>
      <c r="AV276" s="674"/>
      <c r="AW276" s="643"/>
      <c r="AX276" s="642"/>
      <c r="AY276" s="642"/>
      <c r="AZ276" s="674"/>
      <c r="BA276" s="643"/>
      <c r="BB276" s="642"/>
      <c r="BC276" s="642"/>
      <c r="BD276" s="674"/>
      <c r="BE276" s="643"/>
      <c r="BF276" s="642"/>
      <c r="BG276" s="642"/>
      <c r="BH276" s="674"/>
      <c r="BI276" s="643"/>
      <c r="BJ276" s="642"/>
      <c r="BK276" s="642"/>
      <c r="BL276" s="674"/>
      <c r="BM276" s="643"/>
      <c r="BN276" s="642"/>
      <c r="BO276" s="642"/>
      <c r="BP276" s="674"/>
      <c r="BQ276" s="643"/>
      <c r="BR276" s="642"/>
      <c r="BS276" s="642"/>
      <c r="BT276" s="674"/>
      <c r="BU276" s="643"/>
      <c r="BV276" s="642"/>
      <c r="BW276" s="642"/>
      <c r="BX276" s="674"/>
      <c r="BY276" s="643"/>
      <c r="CA276" s="61"/>
    </row>
    <row r="277" spans="2:79">
      <c r="B277" s="541" t="s">
        <v>59</v>
      </c>
      <c r="C277" s="541" t="s">
        <v>60</v>
      </c>
      <c r="D277" s="657" t="s">
        <v>6</v>
      </c>
      <c r="E277" s="541" t="s">
        <v>12</v>
      </c>
      <c r="F277" s="657" t="s">
        <v>13</v>
      </c>
      <c r="G277" s="657" t="s">
        <v>14</v>
      </c>
      <c r="H277" s="657" t="s">
        <v>15</v>
      </c>
      <c r="I277" s="657" t="s">
        <v>250</v>
      </c>
      <c r="K277" s="541" t="s">
        <v>61</v>
      </c>
      <c r="L277" s="541" t="s">
        <v>130</v>
      </c>
      <c r="M277" s="657" t="s">
        <v>131</v>
      </c>
      <c r="N277" s="541" t="s">
        <v>132</v>
      </c>
      <c r="O277" s="541" t="s">
        <v>133</v>
      </c>
      <c r="P277" s="541" t="s">
        <v>134</v>
      </c>
      <c r="Q277" s="657" t="s">
        <v>135</v>
      </c>
      <c r="R277" s="541" t="s">
        <v>136</v>
      </c>
      <c r="S277" s="541" t="s">
        <v>137</v>
      </c>
      <c r="T277" s="541" t="s">
        <v>138</v>
      </c>
      <c r="U277" s="657" t="s">
        <v>139</v>
      </c>
      <c r="V277" s="541" t="s">
        <v>140</v>
      </c>
      <c r="W277" s="541" t="s">
        <v>141</v>
      </c>
      <c r="X277" s="541" t="s">
        <v>142</v>
      </c>
      <c r="Y277" s="657" t="s">
        <v>143</v>
      </c>
      <c r="Z277" s="541" t="s">
        <v>144</v>
      </c>
      <c r="AA277" s="541" t="s">
        <v>145</v>
      </c>
      <c r="AB277" s="541" t="s">
        <v>146</v>
      </c>
      <c r="AC277" s="657" t="s">
        <v>147</v>
      </c>
      <c r="AD277" s="541" t="s">
        <v>148</v>
      </c>
      <c r="AE277" s="541" t="s">
        <v>149</v>
      </c>
      <c r="AF277" s="541" t="s">
        <v>150</v>
      </c>
      <c r="AG277" s="657" t="s">
        <v>151</v>
      </c>
      <c r="AH277" s="541" t="s">
        <v>152</v>
      </c>
      <c r="AI277" s="541" t="s">
        <v>153</v>
      </c>
      <c r="AJ277" s="541" t="s">
        <v>154</v>
      </c>
      <c r="AK277" s="657" t="s">
        <v>155</v>
      </c>
      <c r="AL277" s="541" t="s">
        <v>156</v>
      </c>
      <c r="AM277" s="541" t="s">
        <v>157</v>
      </c>
      <c r="AN277" s="541" t="s">
        <v>158</v>
      </c>
      <c r="AO277" s="657" t="s">
        <v>159</v>
      </c>
      <c r="AP277" s="541" t="s">
        <v>160</v>
      </c>
      <c r="AQ277" s="541" t="s">
        <v>161</v>
      </c>
      <c r="AR277" s="541" t="s">
        <v>162</v>
      </c>
      <c r="AS277" s="657" t="s">
        <v>163</v>
      </c>
      <c r="AT277" s="541" t="s">
        <v>164</v>
      </c>
      <c r="AU277" s="541" t="s">
        <v>165</v>
      </c>
      <c r="AV277" s="541" t="s">
        <v>166</v>
      </c>
      <c r="AW277" s="657" t="s">
        <v>167</v>
      </c>
      <c r="AX277" s="541" t="s">
        <v>168</v>
      </c>
      <c r="AY277" s="541" t="s">
        <v>169</v>
      </c>
      <c r="AZ277" s="541" t="s">
        <v>170</v>
      </c>
      <c r="BA277" s="657" t="s">
        <v>171</v>
      </c>
      <c r="BB277" s="541" t="s">
        <v>172</v>
      </c>
      <c r="BC277" s="541" t="s">
        <v>173</v>
      </c>
      <c r="BD277" s="541" t="s">
        <v>174</v>
      </c>
      <c r="BE277" s="657" t="s">
        <v>175</v>
      </c>
      <c r="BF277" s="541" t="s">
        <v>176</v>
      </c>
      <c r="BG277" s="541" t="s">
        <v>177</v>
      </c>
      <c r="BH277" s="541" t="s">
        <v>178</v>
      </c>
      <c r="BI277" s="657" t="s">
        <v>179</v>
      </c>
      <c r="BJ277" s="541" t="s">
        <v>180</v>
      </c>
      <c r="BK277" s="541" t="s">
        <v>181</v>
      </c>
      <c r="BL277" s="541" t="s">
        <v>182</v>
      </c>
      <c r="BM277" s="657" t="s">
        <v>183</v>
      </c>
      <c r="BN277" s="541" t="s">
        <v>184</v>
      </c>
      <c r="BO277" s="541" t="s">
        <v>185</v>
      </c>
      <c r="BP277" s="541" t="s">
        <v>186</v>
      </c>
      <c r="BQ277" s="657" t="s">
        <v>187</v>
      </c>
      <c r="BR277" s="541" t="s">
        <v>188</v>
      </c>
      <c r="BS277" s="541" t="s">
        <v>189</v>
      </c>
      <c r="BT277" s="541" t="s">
        <v>190</v>
      </c>
      <c r="BU277" s="657" t="s">
        <v>191</v>
      </c>
      <c r="BV277" s="541" t="s">
        <v>192</v>
      </c>
      <c r="BW277" s="541" t="s">
        <v>193</v>
      </c>
      <c r="BX277" s="541" t="s">
        <v>194</v>
      </c>
      <c r="BY277" s="657" t="s">
        <v>195</v>
      </c>
      <c r="CA277" s="61"/>
    </row>
    <row r="278" spans="2:79" s="67" customFormat="1">
      <c r="B278" s="575" t="s">
        <v>249</v>
      </c>
      <c r="C278" s="548"/>
      <c r="D278" s="659">
        <f>SUM(D279:D280)</f>
        <v>26128543.114824764</v>
      </c>
      <c r="E278" s="576">
        <f>SUM(E279:E280)</f>
        <v>26128543.114824764</v>
      </c>
      <c r="F278" s="659">
        <f>SUM(F279:F280)</f>
        <v>26128543.114824764</v>
      </c>
      <c r="G278" s="659">
        <f>SUM(G279:G280)</f>
        <v>26128543.114824768</v>
      </c>
      <c r="H278" s="659">
        <f>SUM(H279:H280)</f>
        <v>26128543.114824764</v>
      </c>
      <c r="I278" s="659">
        <f>SUM(D278:H278)</f>
        <v>130642715.57412383</v>
      </c>
      <c r="K278" s="575" t="s">
        <v>249</v>
      </c>
      <c r="L278" s="548">
        <f>SUM(L279:L280)</f>
        <v>0</v>
      </c>
      <c r="M278" s="659">
        <f t="shared" ref="M278:Z278" si="16">SUM(M279:M280)</f>
        <v>2177378.5929020639</v>
      </c>
      <c r="N278" s="576">
        <f t="shared" si="16"/>
        <v>2177378.5929020639</v>
      </c>
      <c r="O278" s="575">
        <f t="shared" si="16"/>
        <v>2177378.5929020639</v>
      </c>
      <c r="P278" s="548">
        <f t="shared" si="16"/>
        <v>2177378.5929020639</v>
      </c>
      <c r="Q278" s="659">
        <f t="shared" si="16"/>
        <v>2177378.5929020639</v>
      </c>
      <c r="R278" s="576">
        <f t="shared" si="16"/>
        <v>2177378.5929020639</v>
      </c>
      <c r="S278" s="575">
        <f t="shared" si="16"/>
        <v>2177378.5929020639</v>
      </c>
      <c r="T278" s="548">
        <f t="shared" si="16"/>
        <v>2177378.5929020639</v>
      </c>
      <c r="U278" s="659">
        <f t="shared" si="16"/>
        <v>2177378.5929020639</v>
      </c>
      <c r="V278" s="576">
        <f t="shared" si="16"/>
        <v>2177378.5929020639</v>
      </c>
      <c r="W278" s="575">
        <f t="shared" si="16"/>
        <v>2177378.5929020639</v>
      </c>
      <c r="X278" s="548">
        <f t="shared" si="16"/>
        <v>2177378.5929020639</v>
      </c>
      <c r="Y278" s="659">
        <f>SUM(M278:X278)</f>
        <v>26128543.114824768</v>
      </c>
      <c r="Z278" s="576">
        <f t="shared" si="16"/>
        <v>2177378.5929020639</v>
      </c>
      <c r="AA278" s="575">
        <f t="shared" ref="AA278:AK278" si="17">SUM(AA279:AA280)</f>
        <v>2177378.5929020639</v>
      </c>
      <c r="AB278" s="548">
        <f t="shared" si="17"/>
        <v>2177378.5929020639</v>
      </c>
      <c r="AC278" s="659">
        <f t="shared" si="17"/>
        <v>2177378.5929020639</v>
      </c>
      <c r="AD278" s="576">
        <f t="shared" si="17"/>
        <v>2177378.5929020639</v>
      </c>
      <c r="AE278" s="575">
        <f t="shared" si="17"/>
        <v>2177378.5929020639</v>
      </c>
      <c r="AF278" s="548">
        <f t="shared" si="17"/>
        <v>2177378.5929020639</v>
      </c>
      <c r="AG278" s="659">
        <f t="shared" si="17"/>
        <v>2177378.5929020639</v>
      </c>
      <c r="AH278" s="576">
        <f t="shared" si="17"/>
        <v>2177378.5929020639</v>
      </c>
      <c r="AI278" s="575">
        <f t="shared" si="17"/>
        <v>2177378.5929020639</v>
      </c>
      <c r="AJ278" s="548">
        <f t="shared" si="17"/>
        <v>2177378.5929020639</v>
      </c>
      <c r="AK278" s="659">
        <f t="shared" si="17"/>
        <v>2177378.5929020639</v>
      </c>
      <c r="AL278" s="576">
        <f>SUM(Z278:AK278)</f>
        <v>26128543.114824768</v>
      </c>
      <c r="AM278" s="575">
        <f t="shared" ref="AM278:AX278" si="18">SUM(AM279:AM280)</f>
        <v>2177378.5929020639</v>
      </c>
      <c r="AN278" s="548">
        <f t="shared" si="18"/>
        <v>2177378.5929020639</v>
      </c>
      <c r="AO278" s="659">
        <f t="shared" si="18"/>
        <v>2177378.5929020639</v>
      </c>
      <c r="AP278" s="576">
        <f t="shared" si="18"/>
        <v>2177378.5929020639</v>
      </c>
      <c r="AQ278" s="575">
        <f t="shared" si="18"/>
        <v>2177378.5929020639</v>
      </c>
      <c r="AR278" s="548">
        <f t="shared" si="18"/>
        <v>2177378.5929020639</v>
      </c>
      <c r="AS278" s="659">
        <f t="shared" si="18"/>
        <v>2177378.5929020639</v>
      </c>
      <c r="AT278" s="576">
        <f t="shared" si="18"/>
        <v>2177378.5929020639</v>
      </c>
      <c r="AU278" s="575">
        <f t="shared" si="18"/>
        <v>2177378.5929020639</v>
      </c>
      <c r="AV278" s="548">
        <f t="shared" si="18"/>
        <v>2177378.5929020639</v>
      </c>
      <c r="AW278" s="659">
        <f t="shared" si="18"/>
        <v>2177378.5929020639</v>
      </c>
      <c r="AX278" s="576">
        <f t="shared" si="18"/>
        <v>2177378.5929020639</v>
      </c>
      <c r="AY278" s="575">
        <f>SUM(AM278:AX278)</f>
        <v>26128543.114824768</v>
      </c>
      <c r="AZ278" s="548">
        <f t="shared" ref="AZ278:BK278" si="19">SUM(AZ279:AZ280)</f>
        <v>2177378.5929020639</v>
      </c>
      <c r="BA278" s="659">
        <f t="shared" si="19"/>
        <v>2177378.5929020639</v>
      </c>
      <c r="BB278" s="576">
        <f t="shared" si="19"/>
        <v>2177378.5929020639</v>
      </c>
      <c r="BC278" s="575">
        <f t="shared" si="19"/>
        <v>2177378.5929020639</v>
      </c>
      <c r="BD278" s="548">
        <f t="shared" si="19"/>
        <v>2177378.5929020639</v>
      </c>
      <c r="BE278" s="659">
        <f t="shared" si="19"/>
        <v>2177378.5929020639</v>
      </c>
      <c r="BF278" s="576">
        <f t="shared" si="19"/>
        <v>2177378.5929020639</v>
      </c>
      <c r="BG278" s="575">
        <f t="shared" si="19"/>
        <v>2177378.5929020639</v>
      </c>
      <c r="BH278" s="548">
        <f t="shared" si="19"/>
        <v>2177378.5929020639</v>
      </c>
      <c r="BI278" s="659">
        <f t="shared" si="19"/>
        <v>2177378.5929020639</v>
      </c>
      <c r="BJ278" s="576">
        <f t="shared" si="19"/>
        <v>2177378.5929020639</v>
      </c>
      <c r="BK278" s="575">
        <f t="shared" si="19"/>
        <v>2177378.5929020639</v>
      </c>
      <c r="BL278" s="548">
        <f>SUM(AZ278:BK278)</f>
        <v>26128543.114824768</v>
      </c>
      <c r="BM278" s="659">
        <f t="shared" ref="BM278:BX278" si="20">SUM(BM279:BM280)</f>
        <v>2177378.5929020639</v>
      </c>
      <c r="BN278" s="576">
        <f t="shared" si="20"/>
        <v>2177378.5929020639</v>
      </c>
      <c r="BO278" s="575">
        <f t="shared" si="20"/>
        <v>2177378.5929020639</v>
      </c>
      <c r="BP278" s="548">
        <f t="shared" si="20"/>
        <v>2177378.5929020639</v>
      </c>
      <c r="BQ278" s="659">
        <f t="shared" si="20"/>
        <v>2177378.5929020639</v>
      </c>
      <c r="BR278" s="576">
        <f t="shared" si="20"/>
        <v>2177378.5929020639</v>
      </c>
      <c r="BS278" s="575">
        <f t="shared" si="20"/>
        <v>2177378.5929020639</v>
      </c>
      <c r="BT278" s="548">
        <f t="shared" si="20"/>
        <v>2177378.5929020639</v>
      </c>
      <c r="BU278" s="659">
        <f t="shared" si="20"/>
        <v>2177378.5929020639</v>
      </c>
      <c r="BV278" s="576">
        <f t="shared" si="20"/>
        <v>2177378.5929020639</v>
      </c>
      <c r="BW278" s="575">
        <f t="shared" si="20"/>
        <v>2177378.5929020639</v>
      </c>
      <c r="BX278" s="548">
        <f t="shared" si="20"/>
        <v>2177378.5929020639</v>
      </c>
      <c r="BY278" s="659">
        <f>SUM(BM278:BX278)</f>
        <v>26128543.114824768</v>
      </c>
      <c r="CA278" s="68"/>
    </row>
    <row r="279" spans="2:79" s="67" customFormat="1">
      <c r="B279" s="542" t="s">
        <v>247</v>
      </c>
      <c r="C279" s="671"/>
      <c r="D279" s="677">
        <f>'TABLA DE AMORTIZACION'!G92</f>
        <v>18474854.843480278</v>
      </c>
      <c r="E279" s="577">
        <f>'TABLA DE AMORTIZACION'!G104</f>
        <v>16092261.68461073</v>
      </c>
      <c r="F279" s="677">
        <f>'TABLA DE AMORTIZACION'!G116</f>
        <v>12967967.275385091</v>
      </c>
      <c r="G279" s="677">
        <f>'TABLA DE AMORTIZACION'!G128</f>
        <v>8871080.0165675059</v>
      </c>
      <c r="H279" s="677">
        <f>'TABLA DE AMORTIZACION'!G140</f>
        <v>3498831.7540800017</v>
      </c>
      <c r="I279" s="677">
        <f>SUM(D279:H279)</f>
        <v>59904995.574123606</v>
      </c>
      <c r="K279" s="542" t="s">
        <v>247</v>
      </c>
      <c r="L279" s="671">
        <f>'TABLA DE AMORTIZACION'!C149</f>
        <v>0</v>
      </c>
      <c r="M279" s="677">
        <f>'TABLA DE AMORTIZACION'!D149</f>
        <v>1615783.0624252737</v>
      </c>
      <c r="N279" s="577">
        <f>'TABLA DE AMORTIZACION'!E149</f>
        <v>1602955.1603374181</v>
      </c>
      <c r="O279" s="542">
        <f>'TABLA DE AMORTIZACION'!F149</f>
        <v>1589834.2447495516</v>
      </c>
      <c r="P279" s="671">
        <f>'TABLA DE AMORTIZACION'!G149</f>
        <v>1576413.6226801868</v>
      </c>
      <c r="Q279" s="677">
        <f>'TABLA DE AMORTIZACION'!H149</f>
        <v>1562686.4482675055</v>
      </c>
      <c r="R279" s="577">
        <f>'TABLA DE AMORTIZACION'!I149</f>
        <v>1548645.7192772808</v>
      </c>
      <c r="S279" s="542">
        <f>'TABLA DE AMORTIZACION'!J149</f>
        <v>1534284.2735310383</v>
      </c>
      <c r="T279" s="671">
        <f>'TABLA DE AMORTIZACION'!K149</f>
        <v>1519594.7852526261</v>
      </c>
      <c r="U279" s="677">
        <f>'TABLA DE AMORTIZACION'!L149</f>
        <v>1504569.7613313354</v>
      </c>
      <c r="V279" s="577">
        <f>'TABLA DE AMORTIZACION'!M149</f>
        <v>1489201.5374996637</v>
      </c>
      <c r="W279" s="542">
        <f>'TABLA DE AMORTIZACION'!N149</f>
        <v>1473482.2744237701</v>
      </c>
      <c r="X279" s="671">
        <f>'TABLA DE AMORTIZACION'!O149</f>
        <v>1457403.9537046298</v>
      </c>
      <c r="Y279" s="677">
        <f>SUM(M279:X279)</f>
        <v>18474854.843480278</v>
      </c>
      <c r="Z279" s="577">
        <f>'TABLA DE AMORTIZACION'!P149</f>
        <v>1440958.3737878478</v>
      </c>
      <c r="AA279" s="542">
        <f>'TABLA DE AMORTIZACION'!Q149</f>
        <v>1424137.145780043</v>
      </c>
      <c r="AB279" s="671">
        <f>'TABLA DE AMORTIZACION'!R149</f>
        <v>1406931.6891696735</v>
      </c>
      <c r="AC279" s="677">
        <f>'TABLA DE AMORTIZACION'!S149</f>
        <v>1389333.2274501158</v>
      </c>
      <c r="AD279" s="577">
        <f>'TABLA DE AMORTIZACION'!T149</f>
        <v>1371332.7836427668</v>
      </c>
      <c r="AE279" s="542">
        <f>'TABLA DE AMORTIZACION'!U149</f>
        <v>1352921.1757178854</v>
      </c>
      <c r="AF279" s="671">
        <f>'TABLA DE AMORTIZACION'!V149</f>
        <v>1334089.0119108374</v>
      </c>
      <c r="AG279" s="677">
        <f>'TABLA DE AMORTIZACION'!W149</f>
        <v>1314826.6859313555</v>
      </c>
      <c r="AH279" s="577">
        <f>'TABLA DE AMORTIZACION'!X149</f>
        <v>1295124.3720633669</v>
      </c>
      <c r="AI279" s="542">
        <f>'TABLA DE AMORTIZACION'!Y149</f>
        <v>1274972.0201528957</v>
      </c>
      <c r="AJ279" s="671">
        <f>'TABLA DE AMORTIZACION'!Z149</f>
        <v>1254359.3504814764</v>
      </c>
      <c r="AK279" s="677">
        <f>'TABLA DE AMORTIZACION'!AA149</f>
        <v>1233275.848522468</v>
      </c>
      <c r="AL279" s="577">
        <f>SUM(Z279:AK279)</f>
        <v>16092261.68461073</v>
      </c>
      <c r="AM279" s="542">
        <f>'TABLA DE AMORTIZACION'!AB149</f>
        <v>1211710.7595775917</v>
      </c>
      <c r="AN279" s="671">
        <f>'TABLA DE AMORTIZACION'!AC149</f>
        <v>1189653.0832909571</v>
      </c>
      <c r="AO279" s="677">
        <f>'TABLA DE AMORTIZACION'!AD149</f>
        <v>1167091.5680377795</v>
      </c>
      <c r="AP279" s="577">
        <f>'TABLA DE AMORTIZACION'!AE149</f>
        <v>1144014.7051849235</v>
      </c>
      <c r="AQ279" s="542">
        <f>'TABLA DE AMORTIZACION'!AF149</f>
        <v>1120410.7232203467</v>
      </c>
      <c r="AR279" s="671">
        <f>'TABLA DE AMORTIZACION'!AG149</f>
        <v>1096267.5817484495</v>
      </c>
      <c r="AS279" s="677">
        <f>'TABLA DE AMORTIZACION'!AH149</f>
        <v>1071572.9653482677</v>
      </c>
      <c r="AT279" s="577">
        <f>'TABLA DE AMORTIZACION'!AI149</f>
        <v>1046314.2772913728</v>
      </c>
      <c r="AU279" s="542">
        <f>'TABLA DE AMORTIZACION'!AJ149</f>
        <v>1020478.6331162794</v>
      </c>
      <c r="AV279" s="671">
        <f>'TABLA DE AMORTIZACION'!AK149</f>
        <v>994052.85405607859</v>
      </c>
      <c r="AW279" s="677">
        <f>'TABLA DE AMORTIZACION'!AL149</f>
        <v>967023.46031594637</v>
      </c>
      <c r="AX279" s="577">
        <f>'TABLA DE AMORTIZACION'!AM149</f>
        <v>939376.66419709858</v>
      </c>
      <c r="AY279" s="542">
        <f>SUM(AM279:AX279)</f>
        <v>12967967.275385091</v>
      </c>
      <c r="AZ279" s="671">
        <f>'TABLA DE AMORTIZACION'!AN149</f>
        <v>911098.3630636821</v>
      </c>
      <c r="BA279" s="677">
        <f>'TABLA DE AMORTIZACION'!AO149</f>
        <v>882174.13214901823</v>
      </c>
      <c r="BB279" s="577">
        <f>'TABLA DE AMORTIZACION'!AP149</f>
        <v>852589.2171975266</v>
      </c>
      <c r="BC279" s="542">
        <f>'TABLA DE AMORTIZACION'!AQ149</f>
        <v>822328.52693857648</v>
      </c>
      <c r="BD279" s="671">
        <f>'TABLA DE AMORTIZACION'!AR149</f>
        <v>791376.62538842694</v>
      </c>
      <c r="BE279" s="677">
        <f>'TABLA DE AMORTIZACION'!AS149</f>
        <v>759717.72397632827</v>
      </c>
      <c r="BF279" s="577">
        <f>'TABLA DE AMORTIZACION'!AT149</f>
        <v>727335.67349076981</v>
      </c>
      <c r="BG279" s="542">
        <f>'TABLA DE AMORTIZACION'!AU149</f>
        <v>694213.95584176353</v>
      </c>
      <c r="BH279" s="671">
        <f>'TABLA DE AMORTIZACION'!AV149</f>
        <v>660335.67563496355</v>
      </c>
      <c r="BI279" s="677">
        <f>'TABLA DE AMORTIZACION'!AW149</f>
        <v>625683.55155332224</v>
      </c>
      <c r="BJ279" s="577">
        <f>'TABLA DE AMORTIZACION'!AX149</f>
        <v>590239.90754188702</v>
      </c>
      <c r="BK279" s="542">
        <f>'TABLA DE AMORTIZACION'!AY149</f>
        <v>553986.66379124171</v>
      </c>
      <c r="BL279" s="671">
        <f>SUM(AZ279:BK279)</f>
        <v>8871080.0165675059</v>
      </c>
      <c r="BM279" s="677">
        <f>'TABLA DE AMORTIZACION'!AZ149</f>
        <v>516905.32751499262</v>
      </c>
      <c r="BN279" s="577">
        <f>'TABLA DE AMORTIZACION'!BA149</f>
        <v>478976.98351659381</v>
      </c>
      <c r="BO279" s="542">
        <f>'TABLA DE AMORTIZACION'!BB149</f>
        <v>440182.28454070282</v>
      </c>
      <c r="BP279" s="671">
        <f>'TABLA DE AMORTIZACION'!BC149</f>
        <v>400501.44140414143</v>
      </c>
      <c r="BQ279" s="677">
        <f>'TABLA DE AMORTIZACION'!BD149</f>
        <v>359914.21290143009</v>
      </c>
      <c r="BR279" s="577">
        <f>'TABLA DE AMORTIZACION'!BE149</f>
        <v>318399.89547974512</v>
      </c>
      <c r="BS279" s="542">
        <f>'TABLA DE AMORTIZACION'!BF149</f>
        <v>275937.31267803226</v>
      </c>
      <c r="BT279" s="671">
        <f>'TABLA DE AMORTIZACION'!BG149</f>
        <v>232504.80432489028</v>
      </c>
      <c r="BU279" s="677">
        <f>'TABLA DE AMORTIZACION'!BH149</f>
        <v>188080.21548971339</v>
      </c>
      <c r="BV279" s="577">
        <f>'TABLA DE AMORTIZACION'!BI149</f>
        <v>142640.88518145698</v>
      </c>
      <c r="BW279" s="542">
        <f>'TABLA DE AMORTIZACION'!BJ149</f>
        <v>96163.634789261952</v>
      </c>
      <c r="BX279" s="671">
        <f>'TABLA DE AMORTIZACION'!BK149</f>
        <v>48624.756259040863</v>
      </c>
      <c r="BY279" s="677">
        <f>SUM(BM279:BX279)</f>
        <v>3498831.7540800017</v>
      </c>
      <c r="CA279" s="68"/>
    </row>
    <row r="280" spans="2:79" s="67" customFormat="1" ht="15.75" thickBot="1">
      <c r="B280" s="545" t="s">
        <v>248</v>
      </c>
      <c r="C280" s="672"/>
      <c r="D280" s="678">
        <f>'TABLA DE AMORTIZACION'!H92</f>
        <v>7653688.2713444866</v>
      </c>
      <c r="E280" s="579">
        <f>'TABLA DE AMORTIZACION'!H104</f>
        <v>10036281.430214036</v>
      </c>
      <c r="F280" s="678">
        <f>'TABLA DE AMORTIZACION'!H116</f>
        <v>13160575.839439675</v>
      </c>
      <c r="G280" s="678">
        <f>'TABLA DE AMORTIZACION'!H128</f>
        <v>17257463.098257262</v>
      </c>
      <c r="H280" s="678">
        <f>'TABLA DE AMORTIZACION'!H140</f>
        <v>22629711.360744763</v>
      </c>
      <c r="I280" s="678">
        <f>SUM(D280:H280)</f>
        <v>70737720.000000224</v>
      </c>
      <c r="K280" s="545" t="s">
        <v>248</v>
      </c>
      <c r="L280" s="672">
        <f>'TABLA DE AMORTIZACION'!C150</f>
        <v>0</v>
      </c>
      <c r="M280" s="678">
        <f>'TABLA DE AMORTIZACION'!D150</f>
        <v>561595.53047679015</v>
      </c>
      <c r="N280" s="579">
        <f>'TABLA DE AMORTIZACION'!E150</f>
        <v>574423.43256464577</v>
      </c>
      <c r="O280" s="545">
        <f>'TABLA DE AMORTIZACION'!F150</f>
        <v>587544.34815251222</v>
      </c>
      <c r="P280" s="672">
        <f>'TABLA DE AMORTIZACION'!G150</f>
        <v>600964.9702218771</v>
      </c>
      <c r="Q280" s="678">
        <f>'TABLA DE AMORTIZACION'!H150</f>
        <v>614692.14463455835</v>
      </c>
      <c r="R280" s="579">
        <f>'TABLA DE AMORTIZACION'!I150</f>
        <v>628732.87362478301</v>
      </c>
      <c r="S280" s="545">
        <f>'TABLA DE AMORTIZACION'!J150</f>
        <v>643094.31937102554</v>
      </c>
      <c r="T280" s="672">
        <f>'TABLA DE AMORTIZACION'!K150</f>
        <v>657783.8076494378</v>
      </c>
      <c r="U280" s="678">
        <f>'TABLA DE AMORTIZACION'!L150</f>
        <v>672808.83157072845</v>
      </c>
      <c r="V280" s="579">
        <f>'TABLA DE AMORTIZACION'!M150</f>
        <v>688177.0554024002</v>
      </c>
      <c r="W280" s="545">
        <f>'TABLA DE AMORTIZACION'!N150</f>
        <v>703896.31847829372</v>
      </c>
      <c r="X280" s="672">
        <f>'TABLA DE AMORTIZACION'!O150</f>
        <v>719974.63919743407</v>
      </c>
      <c r="Y280" s="678">
        <f>SUM(M280:X280)</f>
        <v>7653688.2713444866</v>
      </c>
      <c r="Z280" s="579">
        <f>'TABLA DE AMORTIZACION'!P150</f>
        <v>736420.21911421604</v>
      </c>
      <c r="AA280" s="545">
        <f>'TABLA DE AMORTIZACION'!Q150</f>
        <v>753241.44712202088</v>
      </c>
      <c r="AB280" s="672">
        <f>'TABLA DE AMORTIZACION'!R150</f>
        <v>770446.90373239038</v>
      </c>
      <c r="AC280" s="678">
        <f>'TABLA DE AMORTIZACION'!S150</f>
        <v>788045.36545194802</v>
      </c>
      <c r="AD280" s="579">
        <f>'TABLA DE AMORTIZACION'!T150</f>
        <v>806045.80925929709</v>
      </c>
      <c r="AE280" s="545">
        <f>'TABLA DE AMORTIZACION'!U150</f>
        <v>824457.41718417848</v>
      </c>
      <c r="AF280" s="672">
        <f>'TABLA DE AMORTIZACION'!V150</f>
        <v>843289.58099122648</v>
      </c>
      <c r="AG280" s="678">
        <f>'TABLA DE AMORTIZACION'!W150</f>
        <v>862551.9069707084</v>
      </c>
      <c r="AH280" s="579">
        <f>'TABLA DE AMORTIZACION'!X150</f>
        <v>882254.22083869693</v>
      </c>
      <c r="AI280" s="545">
        <f>'TABLA DE AMORTIZACION'!Y150</f>
        <v>902406.57274916815</v>
      </c>
      <c r="AJ280" s="672">
        <f>'TABLA DE AMORTIZACION'!Z150</f>
        <v>923019.24242058746</v>
      </c>
      <c r="AK280" s="678">
        <f>'TABLA DE AMORTIZACION'!AA150</f>
        <v>944102.74437959585</v>
      </c>
      <c r="AL280" s="579">
        <f>SUM(Z280:AK280)</f>
        <v>10036281.430214036</v>
      </c>
      <c r="AM280" s="545">
        <f>'TABLA DE AMORTIZACION'!AB150</f>
        <v>965667.83332447219</v>
      </c>
      <c r="AN280" s="672">
        <f>'TABLA DE AMORTIZACION'!AC150</f>
        <v>987725.50961110671</v>
      </c>
      <c r="AO280" s="678">
        <f>'TABLA DE AMORTIZACION'!AD150</f>
        <v>1010287.0248642843</v>
      </c>
      <c r="AP280" s="579">
        <f>'TABLA DE AMORTIZACION'!AE150</f>
        <v>1033363.8877171404</v>
      </c>
      <c r="AQ280" s="545">
        <f>'TABLA DE AMORTIZACION'!AF150</f>
        <v>1056967.8696817171</v>
      </c>
      <c r="AR280" s="672">
        <f>'TABLA DE AMORTIZACION'!AG150</f>
        <v>1081111.0111536144</v>
      </c>
      <c r="AS280" s="678">
        <f>'TABLA DE AMORTIZACION'!AH150</f>
        <v>1105805.6275537962</v>
      </c>
      <c r="AT280" s="579">
        <f>'TABLA DE AMORTIZACION'!AI150</f>
        <v>1131064.315610691</v>
      </c>
      <c r="AU280" s="545">
        <f>'TABLA DE AMORTIZACION'!AJ150</f>
        <v>1156899.9597857846</v>
      </c>
      <c r="AV280" s="672">
        <f>'TABLA DE AMORTIZACION'!AK150</f>
        <v>1183325.7388459854</v>
      </c>
      <c r="AW280" s="678">
        <f>'TABLA DE AMORTIZACION'!AL150</f>
        <v>1210355.1325861174</v>
      </c>
      <c r="AX280" s="579">
        <f>'TABLA DE AMORTIZACION'!AM150</f>
        <v>1238001.9287049654</v>
      </c>
      <c r="AY280" s="545">
        <f>SUM(AM280:AX280)</f>
        <v>13160575.839439675</v>
      </c>
      <c r="AZ280" s="672">
        <f>'TABLA DE AMORTIZACION'!AN150</f>
        <v>1266280.2298383818</v>
      </c>
      <c r="BA280" s="678">
        <f>'TABLA DE AMORTIZACION'!AO150</f>
        <v>1295204.4607530455</v>
      </c>
      <c r="BB280" s="579">
        <f>'TABLA DE AMORTIZACION'!AP150</f>
        <v>1324789.3757045371</v>
      </c>
      <c r="BC280" s="545">
        <f>'TABLA DE AMORTIZACION'!AQ150</f>
        <v>1355050.0659634874</v>
      </c>
      <c r="BD280" s="672">
        <f>'TABLA DE AMORTIZACION'!AR150</f>
        <v>1386001.9675136369</v>
      </c>
      <c r="BE280" s="678">
        <f>'TABLA DE AMORTIZACION'!AS150</f>
        <v>1417660.8689257356</v>
      </c>
      <c r="BF280" s="579">
        <f>'TABLA DE AMORTIZACION'!AT150</f>
        <v>1450042.9194112942</v>
      </c>
      <c r="BG280" s="545">
        <f>'TABLA DE AMORTIZACION'!AU150</f>
        <v>1483164.6370603004</v>
      </c>
      <c r="BH280" s="672">
        <f>'TABLA DE AMORTIZACION'!AV150</f>
        <v>1517042.9172671004</v>
      </c>
      <c r="BI280" s="678">
        <f>'TABLA DE AMORTIZACION'!AW150</f>
        <v>1551695.0413487416</v>
      </c>
      <c r="BJ280" s="579">
        <f>'TABLA DE AMORTIZACION'!AX150</f>
        <v>1587138.685360177</v>
      </c>
      <c r="BK280" s="545">
        <f>'TABLA DE AMORTIZACION'!AY150</f>
        <v>1623391.9291108223</v>
      </c>
      <c r="BL280" s="672">
        <f>SUM(AZ280:BK280)</f>
        <v>17257463.098257262</v>
      </c>
      <c r="BM280" s="678">
        <f>'TABLA DE AMORTIZACION'!AZ150</f>
        <v>1660473.2653870713</v>
      </c>
      <c r="BN280" s="579">
        <f>'TABLA DE AMORTIZACION'!BA150</f>
        <v>1698401.6093854699</v>
      </c>
      <c r="BO280" s="545">
        <f>'TABLA DE AMORTIZACION'!BB150</f>
        <v>1737196.308361361</v>
      </c>
      <c r="BP280" s="672">
        <f>'TABLA DE AMORTIZACION'!BC150</f>
        <v>1776877.1514979224</v>
      </c>
      <c r="BQ280" s="678">
        <f>'TABLA DE AMORTIZACION'!BD150</f>
        <v>1817464.3800006337</v>
      </c>
      <c r="BR280" s="579">
        <f>'TABLA DE AMORTIZACION'!BE150</f>
        <v>1858978.6974223186</v>
      </c>
      <c r="BS280" s="545">
        <f>'TABLA DE AMORTIZACION'!BF150</f>
        <v>1901441.2802240315</v>
      </c>
      <c r="BT280" s="672">
        <f>'TABLA DE AMORTIZACION'!BG150</f>
        <v>1944873.7885771736</v>
      </c>
      <c r="BU280" s="678">
        <f>'TABLA DE AMORTIZACION'!BH150</f>
        <v>1989298.3774123504</v>
      </c>
      <c r="BV280" s="579">
        <f>'TABLA DE AMORTIZACION'!BI150</f>
        <v>2034737.7077206068</v>
      </c>
      <c r="BW280" s="545">
        <f>'TABLA DE AMORTIZACION'!BJ150</f>
        <v>2081214.9581128019</v>
      </c>
      <c r="BX280" s="672">
        <f>'TABLA DE AMORTIZACION'!BK150</f>
        <v>2128753.836643023</v>
      </c>
      <c r="BY280" s="678">
        <f>SUM(BM280:BX280)</f>
        <v>22629711.360744763</v>
      </c>
      <c r="CA280" s="69"/>
    </row>
    <row r="282" spans="2:79">
      <c r="H282" s="38"/>
    </row>
  </sheetData>
  <sheetProtection sheet="1" objects="1" scenarios="1" formatCells="0" formatColumns="0" formatRows="0" insertColumns="0" insertRows="0" insertHyperlinks="0" deleteColumns="0" deleteRows="0" sort="0" autoFilter="0" pivotTables="0"/>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sheetPr>
    <tabColor theme="2" tint="-0.249977111117893"/>
  </sheetPr>
  <dimension ref="B2:BU154"/>
  <sheetViews>
    <sheetView showGridLines="0" zoomScale="90" zoomScaleNormal="90" workbookViewId="0">
      <selection activeCell="E6" sqref="E6"/>
    </sheetView>
  </sheetViews>
  <sheetFormatPr baseColWidth="10" defaultRowHeight="15" outlineLevelRow="1"/>
  <cols>
    <col min="1" max="1" width="2" style="255" customWidth="1"/>
    <col min="2" max="2" width="38.5703125" style="269" bestFit="1" customWidth="1"/>
    <col min="3" max="5" width="16.42578125" style="255" customWidth="1"/>
    <col min="6" max="6" width="12.5703125" style="255" bestFit="1" customWidth="1"/>
    <col min="7" max="7" width="18.85546875" style="255" bestFit="1" customWidth="1"/>
    <col min="8" max="8" width="27.5703125" style="255" bestFit="1" customWidth="1"/>
    <col min="9" max="9" width="11.7109375" style="255" bestFit="1" customWidth="1"/>
    <col min="10" max="10" width="11.5703125" style="255" bestFit="1" customWidth="1"/>
    <col min="11" max="11" width="13.28515625" style="255" bestFit="1" customWidth="1"/>
    <col min="12" max="12" width="17.42578125" style="255" bestFit="1" customWidth="1"/>
    <col min="13" max="13" width="14.28515625" style="255" bestFit="1" customWidth="1"/>
    <col min="14" max="14" width="17.140625" style="255" bestFit="1" customWidth="1"/>
    <col min="15" max="15" width="16.42578125" style="255" customWidth="1"/>
    <col min="16" max="16" width="11.5703125" style="255" bestFit="1" customWidth="1"/>
    <col min="17" max="17" width="13.28515625" style="255" bestFit="1" customWidth="1"/>
    <col min="18" max="18" width="12" style="255" bestFit="1" customWidth="1"/>
    <col min="19" max="22" width="11.5703125" style="255" bestFit="1" customWidth="1"/>
    <col min="23" max="23" width="12.5703125" style="255" bestFit="1" customWidth="1"/>
    <col min="24" max="24" width="16.7109375" style="255" bestFit="1" customWidth="1"/>
    <col min="25" max="25" width="13.7109375" style="255" bestFit="1" customWidth="1"/>
    <col min="26" max="26" width="16.28515625" style="255" bestFit="1" customWidth="1"/>
    <col min="27" max="27" width="15.28515625" style="255" bestFit="1" customWidth="1"/>
    <col min="28" max="28" width="11.5703125" style="255" bestFit="1" customWidth="1"/>
    <col min="29" max="29" width="13.28515625" style="255" bestFit="1" customWidth="1"/>
    <col min="30" max="30" width="12" style="255" bestFit="1" customWidth="1"/>
    <col min="31" max="34" width="11.5703125" style="255" bestFit="1" customWidth="1"/>
    <col min="35" max="35" width="12.5703125" style="255" bestFit="1" customWidth="1"/>
    <col min="36" max="36" width="16.7109375" style="255" bestFit="1" customWidth="1"/>
    <col min="37" max="37" width="13.7109375" style="255" bestFit="1" customWidth="1"/>
    <col min="38" max="38" width="16.28515625" style="255" bestFit="1" customWidth="1"/>
    <col min="39" max="39" width="15.28515625" style="255" bestFit="1" customWidth="1"/>
    <col min="40" max="40" width="11.5703125" style="255" bestFit="1" customWidth="1"/>
    <col min="41" max="41" width="13.28515625" style="255" bestFit="1" customWidth="1"/>
    <col min="42" max="42" width="12" style="255" bestFit="1" customWidth="1"/>
    <col min="43" max="46" width="11.5703125" style="255" bestFit="1" customWidth="1"/>
    <col min="47" max="47" width="12.5703125" style="255" bestFit="1" customWidth="1"/>
    <col min="48" max="48" width="16.7109375" style="255" bestFit="1" customWidth="1"/>
    <col min="49" max="49" width="13.7109375" style="255" bestFit="1" customWidth="1"/>
    <col min="50" max="50" width="16.28515625" style="255" bestFit="1" customWidth="1"/>
    <col min="51" max="51" width="15.28515625" style="255" bestFit="1" customWidth="1"/>
    <col min="52" max="52" width="11.5703125" style="255" bestFit="1" customWidth="1"/>
    <col min="53" max="53" width="13.28515625" style="255" bestFit="1" customWidth="1"/>
    <col min="54" max="54" width="12" style="255" bestFit="1" customWidth="1"/>
    <col min="55" max="58" width="11.5703125" style="255" bestFit="1" customWidth="1"/>
    <col min="59" max="59" width="12.5703125" style="255" bestFit="1" customWidth="1"/>
    <col min="60" max="60" width="16.7109375" style="255" bestFit="1" customWidth="1"/>
    <col min="61" max="61" width="13.7109375" style="255" bestFit="1" customWidth="1"/>
    <col min="62" max="62" width="16.28515625" style="255" bestFit="1" customWidth="1"/>
    <col min="63" max="63" width="15.28515625" style="255" bestFit="1" customWidth="1"/>
    <col min="64" max="64" width="14.85546875" style="255" bestFit="1" customWidth="1"/>
    <col min="65" max="65" width="15.7109375" style="255" bestFit="1" customWidth="1"/>
    <col min="66" max="66" width="11.42578125" style="255"/>
    <col min="67" max="67" width="19" style="255" bestFit="1" customWidth="1"/>
    <col min="68" max="73" width="15" style="255" bestFit="1" customWidth="1"/>
    <col min="74" max="16384" width="11.42578125" style="255"/>
  </cols>
  <sheetData>
    <row r="2" spans="2:10">
      <c r="B2" s="702" t="s">
        <v>475</v>
      </c>
      <c r="C2" s="702"/>
      <c r="F2" s="256"/>
      <c r="G2" s="256"/>
      <c r="H2" s="256"/>
      <c r="I2" s="256"/>
      <c r="J2" s="256"/>
    </row>
    <row r="3" spans="2:10">
      <c r="B3" s="464" t="s">
        <v>476</v>
      </c>
      <c r="C3" s="465">
        <f>DATOS!C22</f>
        <v>70737720</v>
      </c>
      <c r="E3" s="257"/>
      <c r="F3" s="258"/>
      <c r="G3" s="259"/>
      <c r="H3" s="259"/>
      <c r="I3" s="260"/>
      <c r="J3" s="256"/>
    </row>
    <row r="4" spans="2:10">
      <c r="B4" s="464" t="s">
        <v>477</v>
      </c>
      <c r="C4" s="464">
        <f>DATOS!B6</f>
        <v>5</v>
      </c>
      <c r="D4" s="277">
        <f>DATOS!C6</f>
        <v>0</v>
      </c>
      <c r="F4" s="258"/>
      <c r="G4" s="258"/>
      <c r="H4" s="258"/>
      <c r="I4" s="256"/>
      <c r="J4" s="256"/>
    </row>
    <row r="5" spans="2:10">
      <c r="B5" s="464" t="s">
        <v>478</v>
      </c>
      <c r="C5" s="464">
        <f>DATOS!B7</f>
        <v>60</v>
      </c>
      <c r="D5" s="277">
        <f>DATOS!C7</f>
        <v>0</v>
      </c>
      <c r="F5" s="258"/>
      <c r="G5" s="258"/>
      <c r="H5" s="258"/>
      <c r="I5" s="256"/>
      <c r="J5" s="256"/>
    </row>
    <row r="6" spans="2:10">
      <c r="B6" s="464" t="s">
        <v>479</v>
      </c>
      <c r="C6" s="466">
        <v>0.31130000000000002</v>
      </c>
      <c r="D6" s="255" t="s">
        <v>0</v>
      </c>
      <c r="F6" s="258"/>
      <c r="G6" s="261"/>
      <c r="H6" s="262"/>
      <c r="I6" s="256"/>
      <c r="J6" s="256"/>
    </row>
    <row r="7" spans="2:10">
      <c r="B7" s="464" t="s">
        <v>480</v>
      </c>
      <c r="C7" s="467">
        <f>+(1+C6)^(1/12)-1</f>
        <v>2.2841887785261861E-2</v>
      </c>
      <c r="D7" s="255" t="s">
        <v>88</v>
      </c>
      <c r="F7" s="258"/>
      <c r="G7" s="263"/>
      <c r="H7" s="263"/>
      <c r="I7" s="256"/>
      <c r="J7" s="256"/>
    </row>
    <row r="8" spans="2:10">
      <c r="B8" s="469" t="s">
        <v>481</v>
      </c>
      <c r="C8" s="470">
        <f>PMT(C7,C5,-C3)</f>
        <v>2177378.592902062</v>
      </c>
      <c r="F8" s="258"/>
      <c r="G8" s="264"/>
      <c r="H8" s="264"/>
      <c r="I8" s="256"/>
      <c r="J8" s="256"/>
    </row>
    <row r="10" spans="2:10" s="266" customFormat="1" ht="14.25">
      <c r="B10" s="519" t="s">
        <v>550</v>
      </c>
      <c r="C10" s="519" t="s">
        <v>551</v>
      </c>
      <c r="D10" s="519" t="s">
        <v>552</v>
      </c>
      <c r="E10" s="519" t="s">
        <v>553</v>
      </c>
      <c r="F10" s="519" t="s">
        <v>554</v>
      </c>
      <c r="G10" s="519" t="s">
        <v>103</v>
      </c>
      <c r="H10" s="519" t="s">
        <v>104</v>
      </c>
    </row>
    <row r="11" spans="2:10">
      <c r="B11" s="520" t="s">
        <v>130</v>
      </c>
      <c r="C11" s="464"/>
      <c r="D11" s="464"/>
      <c r="E11" s="464"/>
      <c r="F11" s="471">
        <f>C3</f>
        <v>70737720</v>
      </c>
      <c r="G11" s="464"/>
      <c r="H11" s="464"/>
    </row>
    <row r="12" spans="2:10">
      <c r="B12" s="520" t="s">
        <v>131</v>
      </c>
      <c r="C12" s="468">
        <f>$C$8</f>
        <v>2177378.592902062</v>
      </c>
      <c r="D12" s="471">
        <f>F11*$C$7</f>
        <v>1615783.0624252737</v>
      </c>
      <c r="E12" s="468">
        <f>C12-D12</f>
        <v>561595.53047678829</v>
      </c>
      <c r="F12" s="471">
        <f>F11-E12</f>
        <v>70176124.469523206</v>
      </c>
      <c r="G12" s="464"/>
      <c r="H12" s="464"/>
    </row>
    <row r="13" spans="2:10">
      <c r="B13" s="520" t="s">
        <v>132</v>
      </c>
      <c r="C13" s="468">
        <f t="shared" ref="C13:C71" si="0">$C$8</f>
        <v>2177378.592902062</v>
      </c>
      <c r="D13" s="471">
        <f t="shared" ref="D13:D71" si="1">F12*$C$7</f>
        <v>1602955.1603374181</v>
      </c>
      <c r="E13" s="468">
        <f t="shared" ref="E13:E21" si="2">C13-D13</f>
        <v>574423.43256464391</v>
      </c>
      <c r="F13" s="471">
        <f t="shared" ref="F13:F21" si="3">F12-E13</f>
        <v>69601701.03695856</v>
      </c>
      <c r="G13" s="464"/>
      <c r="H13" s="464"/>
    </row>
    <row r="14" spans="2:10">
      <c r="B14" s="520" t="s">
        <v>133</v>
      </c>
      <c r="C14" s="468">
        <f t="shared" si="0"/>
        <v>2177378.592902062</v>
      </c>
      <c r="D14" s="471">
        <f t="shared" si="1"/>
        <v>1589834.2447495516</v>
      </c>
      <c r="E14" s="468">
        <f t="shared" si="2"/>
        <v>587544.34815251036</v>
      </c>
      <c r="F14" s="471">
        <f t="shared" si="3"/>
        <v>69014156.688806057</v>
      </c>
      <c r="G14" s="464"/>
      <c r="H14" s="464"/>
    </row>
    <row r="15" spans="2:10">
      <c r="B15" s="520" t="s">
        <v>134</v>
      </c>
      <c r="C15" s="468">
        <f t="shared" si="0"/>
        <v>2177378.592902062</v>
      </c>
      <c r="D15" s="471">
        <f t="shared" si="1"/>
        <v>1576413.6226801872</v>
      </c>
      <c r="E15" s="468">
        <f t="shared" si="2"/>
        <v>600964.97022187477</v>
      </c>
      <c r="F15" s="471">
        <f t="shared" si="3"/>
        <v>68413191.71858418</v>
      </c>
      <c r="G15" s="464"/>
      <c r="H15" s="464"/>
    </row>
    <row r="16" spans="2:10">
      <c r="B16" s="520" t="s">
        <v>135</v>
      </c>
      <c r="C16" s="468">
        <f t="shared" si="0"/>
        <v>2177378.592902062</v>
      </c>
      <c r="D16" s="471">
        <f t="shared" si="1"/>
        <v>1562686.448267506</v>
      </c>
      <c r="E16" s="468">
        <f t="shared" si="2"/>
        <v>614692.14463455603</v>
      </c>
      <c r="F16" s="471">
        <f t="shared" si="3"/>
        <v>67798499.57394962</v>
      </c>
      <c r="G16" s="464"/>
      <c r="H16" s="464"/>
    </row>
    <row r="17" spans="2:8">
      <c r="B17" s="520" t="s">
        <v>136</v>
      </c>
      <c r="C17" s="468">
        <f t="shared" si="0"/>
        <v>2177378.592902062</v>
      </c>
      <c r="D17" s="471">
        <f t="shared" si="1"/>
        <v>1548645.7192772813</v>
      </c>
      <c r="E17" s="468">
        <f t="shared" si="2"/>
        <v>628732.87362478068</v>
      </c>
      <c r="F17" s="471">
        <f t="shared" si="3"/>
        <v>67169766.700324833</v>
      </c>
      <c r="G17" s="464"/>
      <c r="H17" s="464"/>
    </row>
    <row r="18" spans="2:8">
      <c r="B18" s="520" t="s">
        <v>137</v>
      </c>
      <c r="C18" s="468">
        <f t="shared" si="0"/>
        <v>2177378.592902062</v>
      </c>
      <c r="D18" s="471">
        <f t="shared" si="1"/>
        <v>1534284.2735310388</v>
      </c>
      <c r="E18" s="468">
        <f t="shared" si="2"/>
        <v>643094.31937102322</v>
      </c>
      <c r="F18" s="471">
        <f t="shared" si="3"/>
        <v>66526672.380953811</v>
      </c>
      <c r="G18" s="464"/>
      <c r="H18" s="464"/>
    </row>
    <row r="19" spans="2:8">
      <c r="B19" s="520" t="s">
        <v>138</v>
      </c>
      <c r="C19" s="468">
        <f t="shared" si="0"/>
        <v>2177378.592902062</v>
      </c>
      <c r="D19" s="471">
        <f t="shared" si="1"/>
        <v>1519594.7852526265</v>
      </c>
      <c r="E19" s="468">
        <f t="shared" si="2"/>
        <v>657783.80764943548</v>
      </c>
      <c r="F19" s="471">
        <f t="shared" si="3"/>
        <v>65868888.573304377</v>
      </c>
      <c r="G19" s="464"/>
      <c r="H19" s="464"/>
    </row>
    <row r="20" spans="2:8">
      <c r="B20" s="520" t="s">
        <v>139</v>
      </c>
      <c r="C20" s="468">
        <f t="shared" si="0"/>
        <v>2177378.592902062</v>
      </c>
      <c r="D20" s="471">
        <f t="shared" si="1"/>
        <v>1504569.7613313359</v>
      </c>
      <c r="E20" s="468">
        <f t="shared" si="2"/>
        <v>672808.83157072612</v>
      </c>
      <c r="F20" s="471">
        <f t="shared" si="3"/>
        <v>65196079.741733648</v>
      </c>
      <c r="G20" s="464"/>
      <c r="H20" s="464"/>
    </row>
    <row r="21" spans="2:8">
      <c r="B21" s="520" t="s">
        <v>140</v>
      </c>
      <c r="C21" s="468">
        <f t="shared" si="0"/>
        <v>2177378.592902062</v>
      </c>
      <c r="D21" s="471">
        <f t="shared" si="1"/>
        <v>1489201.5374996641</v>
      </c>
      <c r="E21" s="468">
        <f t="shared" si="2"/>
        <v>688177.05540239788</v>
      </c>
      <c r="F21" s="471">
        <f t="shared" si="3"/>
        <v>64507902.68633125</v>
      </c>
      <c r="G21" s="464"/>
      <c r="H21" s="464"/>
    </row>
    <row r="22" spans="2:8">
      <c r="B22" s="520" t="s">
        <v>141</v>
      </c>
      <c r="C22" s="468">
        <f t="shared" si="0"/>
        <v>2177378.592902062</v>
      </c>
      <c r="D22" s="471">
        <f t="shared" si="1"/>
        <v>1473482.2744237706</v>
      </c>
      <c r="E22" s="468">
        <f t="shared" ref="E22:E71" si="4">C22-D22</f>
        <v>703896.31847829139</v>
      </c>
      <c r="F22" s="471">
        <f t="shared" ref="F22:F71" si="5">F21-E22</f>
        <v>63804006.367852956</v>
      </c>
      <c r="G22" s="464"/>
      <c r="H22" s="464"/>
    </row>
    <row r="23" spans="2:8">
      <c r="B23" s="520" t="s">
        <v>142</v>
      </c>
      <c r="C23" s="468">
        <f t="shared" si="0"/>
        <v>2177378.592902062</v>
      </c>
      <c r="D23" s="471">
        <f t="shared" si="1"/>
        <v>1457403.9537046305</v>
      </c>
      <c r="E23" s="468">
        <f t="shared" si="4"/>
        <v>719974.6391974315</v>
      </c>
      <c r="F23" s="471">
        <f t="shared" si="5"/>
        <v>63084031.728655525</v>
      </c>
      <c r="G23" s="471">
        <f>SUM(D12:D23)</f>
        <v>18474854.843480285</v>
      </c>
      <c r="H23" s="471">
        <f>SUM(E12:E23)</f>
        <v>7653688.2713444605</v>
      </c>
    </row>
    <row r="24" spans="2:8">
      <c r="B24" s="606" t="s">
        <v>144</v>
      </c>
      <c r="C24" s="468">
        <f t="shared" si="0"/>
        <v>2177378.592902062</v>
      </c>
      <c r="D24" s="471">
        <f t="shared" si="1"/>
        <v>1440958.3737878483</v>
      </c>
      <c r="E24" s="468">
        <f t="shared" si="4"/>
        <v>736420.21911421372</v>
      </c>
      <c r="F24" s="471">
        <f t="shared" si="5"/>
        <v>62347611.50954131</v>
      </c>
      <c r="G24" s="464"/>
      <c r="H24" s="464"/>
    </row>
    <row r="25" spans="2:8">
      <c r="B25" s="606" t="s">
        <v>145</v>
      </c>
      <c r="C25" s="468">
        <f t="shared" si="0"/>
        <v>2177378.592902062</v>
      </c>
      <c r="D25" s="471">
        <f t="shared" si="1"/>
        <v>1424137.1457800434</v>
      </c>
      <c r="E25" s="468">
        <f t="shared" si="4"/>
        <v>753241.44712201855</v>
      </c>
      <c r="F25" s="471">
        <f t="shared" si="5"/>
        <v>61594370.062419295</v>
      </c>
      <c r="G25" s="464"/>
      <c r="H25" s="464"/>
    </row>
    <row r="26" spans="2:8">
      <c r="B26" s="606" t="s">
        <v>146</v>
      </c>
      <c r="C26" s="468">
        <f t="shared" si="0"/>
        <v>2177378.592902062</v>
      </c>
      <c r="D26" s="471">
        <f t="shared" si="1"/>
        <v>1406931.6891696742</v>
      </c>
      <c r="E26" s="468">
        <f t="shared" si="4"/>
        <v>770446.90373238781</v>
      </c>
      <c r="F26" s="471">
        <f t="shared" si="5"/>
        <v>60823923.158686906</v>
      </c>
      <c r="G26" s="464"/>
      <c r="H26" s="464"/>
    </row>
    <row r="27" spans="2:8">
      <c r="B27" s="606" t="s">
        <v>147</v>
      </c>
      <c r="C27" s="468">
        <f t="shared" si="0"/>
        <v>2177378.592902062</v>
      </c>
      <c r="D27" s="471">
        <f t="shared" si="1"/>
        <v>1389333.2274501165</v>
      </c>
      <c r="E27" s="468">
        <f t="shared" si="4"/>
        <v>788045.36545194546</v>
      </c>
      <c r="F27" s="471">
        <f t="shared" si="5"/>
        <v>60035877.793234959</v>
      </c>
      <c r="G27" s="464"/>
      <c r="H27" s="464"/>
    </row>
    <row r="28" spans="2:8">
      <c r="B28" s="606" t="s">
        <v>148</v>
      </c>
      <c r="C28" s="468">
        <f t="shared" si="0"/>
        <v>2177378.592902062</v>
      </c>
      <c r="D28" s="471">
        <f t="shared" si="1"/>
        <v>1371332.7836427675</v>
      </c>
      <c r="E28" s="468">
        <f t="shared" si="4"/>
        <v>806045.80925929453</v>
      </c>
      <c r="F28" s="471">
        <f t="shared" si="5"/>
        <v>59229831.983975664</v>
      </c>
      <c r="G28" s="464"/>
      <c r="H28" s="464"/>
    </row>
    <row r="29" spans="2:8">
      <c r="B29" s="606" t="s">
        <v>149</v>
      </c>
      <c r="C29" s="468">
        <f t="shared" si="0"/>
        <v>2177378.592902062</v>
      </c>
      <c r="D29" s="471">
        <f t="shared" si="1"/>
        <v>1352921.1757178861</v>
      </c>
      <c r="E29" s="468">
        <f t="shared" si="4"/>
        <v>824457.41718417592</v>
      </c>
      <c r="F29" s="471">
        <f t="shared" si="5"/>
        <v>58405374.56679149</v>
      </c>
      <c r="G29" s="464"/>
      <c r="H29" s="464"/>
    </row>
    <row r="30" spans="2:8">
      <c r="B30" s="606" t="s">
        <v>150</v>
      </c>
      <c r="C30" s="468">
        <f t="shared" si="0"/>
        <v>2177378.592902062</v>
      </c>
      <c r="D30" s="471">
        <f t="shared" si="1"/>
        <v>1334089.0119108383</v>
      </c>
      <c r="E30" s="468">
        <f t="shared" si="4"/>
        <v>843289.58099122369</v>
      </c>
      <c r="F30" s="471">
        <f t="shared" si="5"/>
        <v>57562084.985800266</v>
      </c>
      <c r="G30" s="464"/>
      <c r="H30" s="464"/>
    </row>
    <row r="31" spans="2:8">
      <c r="B31" s="606" t="s">
        <v>151</v>
      </c>
      <c r="C31" s="468">
        <f t="shared" si="0"/>
        <v>2177378.592902062</v>
      </c>
      <c r="D31" s="471">
        <f t="shared" si="1"/>
        <v>1314826.6859313562</v>
      </c>
      <c r="E31" s="468">
        <f t="shared" si="4"/>
        <v>862551.90697070584</v>
      </c>
      <c r="F31" s="471">
        <f t="shared" si="5"/>
        <v>56699533.078829557</v>
      </c>
      <c r="G31" s="464"/>
      <c r="H31" s="464"/>
    </row>
    <row r="32" spans="2:8">
      <c r="B32" s="606" t="s">
        <v>152</v>
      </c>
      <c r="C32" s="468">
        <f t="shared" si="0"/>
        <v>2177378.592902062</v>
      </c>
      <c r="D32" s="471">
        <f t="shared" si="1"/>
        <v>1295124.3720633676</v>
      </c>
      <c r="E32" s="468">
        <f t="shared" si="4"/>
        <v>882254.22083869437</v>
      </c>
      <c r="F32" s="471">
        <f t="shared" si="5"/>
        <v>55817278.857990861</v>
      </c>
      <c r="G32" s="464"/>
      <c r="H32" s="464"/>
    </row>
    <row r="33" spans="2:8">
      <c r="B33" s="606" t="s">
        <v>153</v>
      </c>
      <c r="C33" s="468">
        <f t="shared" si="0"/>
        <v>2177378.592902062</v>
      </c>
      <c r="D33" s="471">
        <f t="shared" si="1"/>
        <v>1274972.0201528966</v>
      </c>
      <c r="E33" s="468">
        <f t="shared" si="4"/>
        <v>902406.57274916535</v>
      </c>
      <c r="F33" s="471">
        <f t="shared" si="5"/>
        <v>54914872.285241693</v>
      </c>
      <c r="G33" s="464"/>
      <c r="H33" s="464"/>
    </row>
    <row r="34" spans="2:8">
      <c r="B34" s="606" t="s">
        <v>154</v>
      </c>
      <c r="C34" s="468">
        <f t="shared" si="0"/>
        <v>2177378.592902062</v>
      </c>
      <c r="D34" s="471">
        <f t="shared" si="1"/>
        <v>1254359.3504814773</v>
      </c>
      <c r="E34" s="468">
        <f t="shared" si="4"/>
        <v>923019.24242058466</v>
      </c>
      <c r="F34" s="471">
        <f t="shared" si="5"/>
        <v>53991853.042821109</v>
      </c>
      <c r="G34" s="464"/>
      <c r="H34" s="464"/>
    </row>
    <row r="35" spans="2:8">
      <c r="B35" s="606" t="s">
        <v>155</v>
      </c>
      <c r="C35" s="468">
        <f t="shared" si="0"/>
        <v>2177378.592902062</v>
      </c>
      <c r="D35" s="471">
        <f t="shared" si="1"/>
        <v>1233275.8485224689</v>
      </c>
      <c r="E35" s="468">
        <f t="shared" si="4"/>
        <v>944102.74437959306</v>
      </c>
      <c r="F35" s="471">
        <f t="shared" si="5"/>
        <v>53047750.298441514</v>
      </c>
      <c r="G35" s="471">
        <f>SUM(D24:D35)</f>
        <v>16092261.684610743</v>
      </c>
      <c r="H35" s="471">
        <f>SUM(E24:E35)</f>
        <v>10036281.430214003</v>
      </c>
    </row>
    <row r="36" spans="2:8">
      <c r="B36" s="606" t="s">
        <v>157</v>
      </c>
      <c r="C36" s="468">
        <f t="shared" si="0"/>
        <v>2177378.592902062</v>
      </c>
      <c r="D36" s="471">
        <f t="shared" si="1"/>
        <v>1211710.7595775924</v>
      </c>
      <c r="E36" s="468">
        <f t="shared" si="4"/>
        <v>965667.83332446963</v>
      </c>
      <c r="F36" s="471">
        <f t="shared" si="5"/>
        <v>52082082.465117045</v>
      </c>
      <c r="G36" s="464"/>
      <c r="H36" s="464"/>
    </row>
    <row r="37" spans="2:8">
      <c r="B37" s="606" t="s">
        <v>158</v>
      </c>
      <c r="C37" s="468">
        <f t="shared" si="0"/>
        <v>2177378.592902062</v>
      </c>
      <c r="D37" s="471">
        <f t="shared" si="1"/>
        <v>1189653.0832909581</v>
      </c>
      <c r="E37" s="468">
        <f t="shared" si="4"/>
        <v>987725.50961110392</v>
      </c>
      <c r="F37" s="471">
        <f t="shared" si="5"/>
        <v>51094356.955505937</v>
      </c>
      <c r="G37" s="464"/>
      <c r="H37" s="464"/>
    </row>
    <row r="38" spans="2:8">
      <c r="B38" s="606" t="s">
        <v>159</v>
      </c>
      <c r="C38" s="468">
        <f t="shared" si="0"/>
        <v>2177378.592902062</v>
      </c>
      <c r="D38" s="471">
        <f t="shared" si="1"/>
        <v>1167091.5680377805</v>
      </c>
      <c r="E38" s="468">
        <f t="shared" si="4"/>
        <v>1010287.0248642815</v>
      </c>
      <c r="F38" s="471">
        <f t="shared" si="5"/>
        <v>50084069.930641659</v>
      </c>
      <c r="G38" s="464"/>
      <c r="H38" s="464"/>
    </row>
    <row r="39" spans="2:8">
      <c r="B39" s="606" t="s">
        <v>160</v>
      </c>
      <c r="C39" s="468">
        <f t="shared" si="0"/>
        <v>2177378.592902062</v>
      </c>
      <c r="D39" s="471">
        <f t="shared" si="1"/>
        <v>1144014.7051849246</v>
      </c>
      <c r="E39" s="468">
        <f t="shared" si="4"/>
        <v>1033363.8877171373</v>
      </c>
      <c r="F39" s="471">
        <f t="shared" si="5"/>
        <v>49050706.042924523</v>
      </c>
      <c r="G39" s="464"/>
      <c r="H39" s="464"/>
    </row>
    <row r="40" spans="2:8">
      <c r="B40" s="606" t="s">
        <v>161</v>
      </c>
      <c r="C40" s="468">
        <f t="shared" si="0"/>
        <v>2177378.592902062</v>
      </c>
      <c r="D40" s="471">
        <f t="shared" si="1"/>
        <v>1120410.7232203479</v>
      </c>
      <c r="E40" s="468">
        <f t="shared" si="4"/>
        <v>1056967.8696817141</v>
      </c>
      <c r="F40" s="471">
        <f t="shared" si="5"/>
        <v>47993738.173242807</v>
      </c>
      <c r="G40" s="464"/>
      <c r="H40" s="464"/>
    </row>
    <row r="41" spans="2:8">
      <c r="B41" s="606" t="s">
        <v>162</v>
      </c>
      <c r="C41" s="468">
        <f t="shared" si="0"/>
        <v>2177378.592902062</v>
      </c>
      <c r="D41" s="471">
        <f t="shared" si="1"/>
        <v>1096267.5817484509</v>
      </c>
      <c r="E41" s="468">
        <f t="shared" si="4"/>
        <v>1081111.0111536111</v>
      </c>
      <c r="F41" s="471">
        <f t="shared" si="5"/>
        <v>46912627.162089199</v>
      </c>
      <c r="G41" s="464"/>
      <c r="H41" s="464"/>
    </row>
    <row r="42" spans="2:8">
      <c r="B42" s="606" t="s">
        <v>163</v>
      </c>
      <c r="C42" s="468">
        <f t="shared" si="0"/>
        <v>2177378.592902062</v>
      </c>
      <c r="D42" s="471">
        <f t="shared" si="1"/>
        <v>1071572.9653482691</v>
      </c>
      <c r="E42" s="468">
        <f t="shared" si="4"/>
        <v>1105805.6275537929</v>
      </c>
      <c r="F42" s="471">
        <f t="shared" si="5"/>
        <v>45806821.534535408</v>
      </c>
      <c r="G42" s="464"/>
      <c r="H42" s="464"/>
    </row>
    <row r="43" spans="2:8">
      <c r="B43" s="606" t="s">
        <v>164</v>
      </c>
      <c r="C43" s="468">
        <f t="shared" si="0"/>
        <v>2177378.592902062</v>
      </c>
      <c r="D43" s="471">
        <f t="shared" si="1"/>
        <v>1046314.2772913743</v>
      </c>
      <c r="E43" s="468">
        <f t="shared" si="4"/>
        <v>1131064.3156106877</v>
      </c>
      <c r="F43" s="471">
        <f t="shared" si="5"/>
        <v>44675757.218924724</v>
      </c>
      <c r="G43" s="464"/>
      <c r="H43" s="464"/>
    </row>
    <row r="44" spans="2:8">
      <c r="B44" s="606" t="s">
        <v>165</v>
      </c>
      <c r="C44" s="468">
        <f t="shared" si="0"/>
        <v>2177378.592902062</v>
      </c>
      <c r="D44" s="471">
        <f t="shared" si="1"/>
        <v>1020478.633116281</v>
      </c>
      <c r="E44" s="468">
        <f t="shared" si="4"/>
        <v>1156899.9597857809</v>
      </c>
      <c r="F44" s="471">
        <f t="shared" si="5"/>
        <v>43518857.259138942</v>
      </c>
      <c r="G44" s="464"/>
      <c r="H44" s="464"/>
    </row>
    <row r="45" spans="2:8">
      <c r="B45" s="606" t="s">
        <v>166</v>
      </c>
      <c r="C45" s="468">
        <f t="shared" si="0"/>
        <v>2177378.592902062</v>
      </c>
      <c r="D45" s="471">
        <f t="shared" si="1"/>
        <v>994052.85405608022</v>
      </c>
      <c r="E45" s="468">
        <f t="shared" si="4"/>
        <v>1183325.7388459817</v>
      </c>
      <c r="F45" s="471">
        <f t="shared" si="5"/>
        <v>42335531.52029296</v>
      </c>
      <c r="G45" s="464"/>
      <c r="H45" s="464"/>
    </row>
    <row r="46" spans="2:8">
      <c r="B46" s="606" t="s">
        <v>167</v>
      </c>
      <c r="C46" s="468">
        <f t="shared" si="0"/>
        <v>2177378.592902062</v>
      </c>
      <c r="D46" s="471">
        <f t="shared" si="1"/>
        <v>967023.46031594824</v>
      </c>
      <c r="E46" s="468">
        <f t="shared" si="4"/>
        <v>1210355.1325861136</v>
      </c>
      <c r="F46" s="471">
        <f t="shared" si="5"/>
        <v>41125176.387706846</v>
      </c>
      <c r="G46" s="464"/>
      <c r="H46" s="464"/>
    </row>
    <row r="47" spans="2:8">
      <c r="B47" s="606" t="s">
        <v>168</v>
      </c>
      <c r="C47" s="468">
        <f t="shared" si="0"/>
        <v>2177378.592902062</v>
      </c>
      <c r="D47" s="471">
        <f t="shared" si="1"/>
        <v>939376.66419710044</v>
      </c>
      <c r="E47" s="468">
        <f t="shared" si="4"/>
        <v>1238001.9287049617</v>
      </c>
      <c r="F47" s="471">
        <f t="shared" si="5"/>
        <v>39887174.459001884</v>
      </c>
      <c r="G47" s="471">
        <f>SUM(D36:D47)</f>
        <v>12967967.275385108</v>
      </c>
      <c r="H47" s="471">
        <f>SUM(E36:E47)</f>
        <v>13160575.839439638</v>
      </c>
    </row>
    <row r="48" spans="2:8">
      <c r="B48" s="606" t="s">
        <v>170</v>
      </c>
      <c r="C48" s="468">
        <f t="shared" si="0"/>
        <v>2177378.592902062</v>
      </c>
      <c r="D48" s="471">
        <f t="shared" si="1"/>
        <v>911098.36306368397</v>
      </c>
      <c r="E48" s="468">
        <f t="shared" si="4"/>
        <v>1266280.229838378</v>
      </c>
      <c r="F48" s="471">
        <f t="shared" si="5"/>
        <v>38620894.229163505</v>
      </c>
      <c r="G48" s="464"/>
      <c r="H48" s="464"/>
    </row>
    <row r="49" spans="2:8">
      <c r="B49" s="606" t="s">
        <v>171</v>
      </c>
      <c r="C49" s="468">
        <f t="shared" si="0"/>
        <v>2177378.592902062</v>
      </c>
      <c r="D49" s="471">
        <f t="shared" si="1"/>
        <v>882174.13214902021</v>
      </c>
      <c r="E49" s="468">
        <f t="shared" si="4"/>
        <v>1295204.4607530418</v>
      </c>
      <c r="F49" s="471">
        <f t="shared" si="5"/>
        <v>37325689.768410467</v>
      </c>
      <c r="G49" s="464"/>
      <c r="H49" s="464"/>
    </row>
    <row r="50" spans="2:8">
      <c r="B50" s="606" t="s">
        <v>172</v>
      </c>
      <c r="C50" s="468">
        <f t="shared" si="0"/>
        <v>2177378.592902062</v>
      </c>
      <c r="D50" s="471">
        <f t="shared" si="1"/>
        <v>852589.21719752869</v>
      </c>
      <c r="E50" s="468">
        <f t="shared" si="4"/>
        <v>1324789.3757045334</v>
      </c>
      <c r="F50" s="471">
        <f t="shared" si="5"/>
        <v>36000900.392705932</v>
      </c>
      <c r="G50" s="464"/>
      <c r="H50" s="464"/>
    </row>
    <row r="51" spans="2:8">
      <c r="B51" s="606" t="s">
        <v>173</v>
      </c>
      <c r="C51" s="468">
        <f t="shared" si="0"/>
        <v>2177378.592902062</v>
      </c>
      <c r="D51" s="471">
        <f t="shared" si="1"/>
        <v>822328.52693857858</v>
      </c>
      <c r="E51" s="468">
        <f t="shared" si="4"/>
        <v>1355050.0659634834</v>
      </c>
      <c r="F51" s="471">
        <f t="shared" si="5"/>
        <v>34645850.326742448</v>
      </c>
      <c r="G51" s="464"/>
      <c r="H51" s="464"/>
    </row>
    <row r="52" spans="2:8">
      <c r="B52" s="606" t="s">
        <v>174</v>
      </c>
      <c r="C52" s="468">
        <f t="shared" si="0"/>
        <v>2177378.592902062</v>
      </c>
      <c r="D52" s="471">
        <f t="shared" si="1"/>
        <v>791376.62538842892</v>
      </c>
      <c r="E52" s="468">
        <f t="shared" si="4"/>
        <v>1386001.967513633</v>
      </c>
      <c r="F52" s="471">
        <f t="shared" si="5"/>
        <v>33259848.359228816</v>
      </c>
      <c r="G52" s="464"/>
      <c r="H52" s="464"/>
    </row>
    <row r="53" spans="2:8">
      <c r="B53" s="606" t="s">
        <v>175</v>
      </c>
      <c r="C53" s="468">
        <f t="shared" si="0"/>
        <v>2177378.592902062</v>
      </c>
      <c r="D53" s="471">
        <f t="shared" si="1"/>
        <v>759717.72397633048</v>
      </c>
      <c r="E53" s="468">
        <f t="shared" si="4"/>
        <v>1417660.8689257316</v>
      </c>
      <c r="F53" s="471">
        <f t="shared" si="5"/>
        <v>31842187.490303084</v>
      </c>
      <c r="G53" s="464"/>
      <c r="H53" s="464"/>
    </row>
    <row r="54" spans="2:8">
      <c r="B54" s="606" t="s">
        <v>176</v>
      </c>
      <c r="C54" s="468">
        <f t="shared" si="0"/>
        <v>2177378.592902062</v>
      </c>
      <c r="D54" s="471">
        <f t="shared" si="1"/>
        <v>727335.67349077202</v>
      </c>
      <c r="E54" s="468">
        <f t="shared" si="4"/>
        <v>1450042.91941129</v>
      </c>
      <c r="F54" s="471">
        <f t="shared" si="5"/>
        <v>30392144.570891794</v>
      </c>
      <c r="G54" s="464"/>
      <c r="H54" s="464"/>
    </row>
    <row r="55" spans="2:8">
      <c r="B55" s="606" t="s">
        <v>177</v>
      </c>
      <c r="C55" s="468">
        <f t="shared" si="0"/>
        <v>2177378.592902062</v>
      </c>
      <c r="D55" s="471">
        <f t="shared" si="1"/>
        <v>694213.95584176586</v>
      </c>
      <c r="E55" s="468">
        <f t="shared" si="4"/>
        <v>1483164.6370602963</v>
      </c>
      <c r="F55" s="471">
        <f t="shared" si="5"/>
        <v>28908979.933831498</v>
      </c>
      <c r="G55" s="464"/>
      <c r="H55" s="464"/>
    </row>
    <row r="56" spans="2:8">
      <c r="B56" s="606" t="s">
        <v>178</v>
      </c>
      <c r="C56" s="468">
        <f t="shared" si="0"/>
        <v>2177378.592902062</v>
      </c>
      <c r="D56" s="471">
        <f t="shared" si="1"/>
        <v>660335.67563496588</v>
      </c>
      <c r="E56" s="468">
        <f t="shared" si="4"/>
        <v>1517042.9172670962</v>
      </c>
      <c r="F56" s="471">
        <f t="shared" si="5"/>
        <v>27391937.016564403</v>
      </c>
      <c r="G56" s="464"/>
      <c r="H56" s="464"/>
    </row>
    <row r="57" spans="2:8">
      <c r="B57" s="606" t="s">
        <v>179</v>
      </c>
      <c r="C57" s="468">
        <f t="shared" si="0"/>
        <v>2177378.592902062</v>
      </c>
      <c r="D57" s="471">
        <f t="shared" si="1"/>
        <v>625683.55155332468</v>
      </c>
      <c r="E57" s="468">
        <f t="shared" si="4"/>
        <v>1551695.0413487372</v>
      </c>
      <c r="F57" s="471">
        <f t="shared" si="5"/>
        <v>25840241.975215666</v>
      </c>
      <c r="G57" s="464"/>
      <c r="H57" s="464"/>
    </row>
    <row r="58" spans="2:8">
      <c r="B58" s="606" t="s">
        <v>180</v>
      </c>
      <c r="C58" s="468">
        <f t="shared" si="0"/>
        <v>2177378.592902062</v>
      </c>
      <c r="D58" s="471">
        <f t="shared" si="1"/>
        <v>590239.90754188958</v>
      </c>
      <c r="E58" s="468">
        <f t="shared" si="4"/>
        <v>1587138.6853601723</v>
      </c>
      <c r="F58" s="471">
        <f t="shared" si="5"/>
        <v>24253103.289855495</v>
      </c>
      <c r="G58" s="464"/>
      <c r="H58" s="464"/>
    </row>
    <row r="59" spans="2:8">
      <c r="B59" s="606" t="s">
        <v>181</v>
      </c>
      <c r="C59" s="468">
        <f t="shared" si="0"/>
        <v>2177378.592902062</v>
      </c>
      <c r="D59" s="471">
        <f t="shared" si="1"/>
        <v>553986.6637912445</v>
      </c>
      <c r="E59" s="468">
        <f t="shared" si="4"/>
        <v>1623391.9291108176</v>
      </c>
      <c r="F59" s="471">
        <f t="shared" si="5"/>
        <v>22629711.360744677</v>
      </c>
      <c r="G59" s="471">
        <f>SUM(D48:D59)</f>
        <v>8871080.0165675338</v>
      </c>
      <c r="H59" s="471">
        <f>SUM(E48:E59)</f>
        <v>17257463.098257214</v>
      </c>
    </row>
    <row r="60" spans="2:8">
      <c r="B60" s="606" t="s">
        <v>183</v>
      </c>
      <c r="C60" s="468">
        <f t="shared" si="0"/>
        <v>2177378.592902062</v>
      </c>
      <c r="D60" s="471">
        <f t="shared" si="1"/>
        <v>516905.32751499541</v>
      </c>
      <c r="E60" s="468">
        <f t="shared" si="4"/>
        <v>1660473.2653870666</v>
      </c>
      <c r="F60" s="471">
        <f t="shared" si="5"/>
        <v>20969238.095357612</v>
      </c>
      <c r="G60" s="464"/>
      <c r="H60" s="464"/>
    </row>
    <row r="61" spans="2:8">
      <c r="B61" s="606" t="s">
        <v>184</v>
      </c>
      <c r="C61" s="468">
        <f t="shared" si="0"/>
        <v>2177378.592902062</v>
      </c>
      <c r="D61" s="471">
        <f t="shared" si="1"/>
        <v>478976.98351659672</v>
      </c>
      <c r="E61" s="468">
        <f t="shared" si="4"/>
        <v>1698401.6093854653</v>
      </c>
      <c r="F61" s="471">
        <f t="shared" si="5"/>
        <v>19270836.485972147</v>
      </c>
      <c r="G61" s="464"/>
      <c r="H61" s="464"/>
    </row>
    <row r="62" spans="2:8">
      <c r="B62" s="606" t="s">
        <v>185</v>
      </c>
      <c r="C62" s="468">
        <f t="shared" si="0"/>
        <v>2177378.592902062</v>
      </c>
      <c r="D62" s="471">
        <f t="shared" si="1"/>
        <v>440182.28454070579</v>
      </c>
      <c r="E62" s="468">
        <f t="shared" si="4"/>
        <v>1737196.3083613561</v>
      </c>
      <c r="F62" s="471">
        <f t="shared" si="5"/>
        <v>17533640.177610792</v>
      </c>
      <c r="G62" s="464"/>
      <c r="H62" s="464"/>
    </row>
    <row r="63" spans="2:8">
      <c r="B63" s="606" t="s">
        <v>186</v>
      </c>
      <c r="C63" s="468">
        <f t="shared" si="0"/>
        <v>2177378.592902062</v>
      </c>
      <c r="D63" s="471">
        <f t="shared" si="1"/>
        <v>400501.44140414457</v>
      </c>
      <c r="E63" s="468">
        <f t="shared" si="4"/>
        <v>1776877.1514979175</v>
      </c>
      <c r="F63" s="471">
        <f t="shared" si="5"/>
        <v>15756763.026112875</v>
      </c>
      <c r="G63" s="464"/>
      <c r="H63" s="464"/>
    </row>
    <row r="64" spans="2:8">
      <c r="B64" s="606" t="s">
        <v>187</v>
      </c>
      <c r="C64" s="468">
        <f t="shared" si="0"/>
        <v>2177378.592902062</v>
      </c>
      <c r="D64" s="471">
        <f t="shared" si="1"/>
        <v>359914.21290143341</v>
      </c>
      <c r="E64" s="468">
        <f t="shared" si="4"/>
        <v>1817464.3800006285</v>
      </c>
      <c r="F64" s="471">
        <f t="shared" si="5"/>
        <v>13939298.646112246</v>
      </c>
      <c r="G64" s="464"/>
      <c r="H64" s="464"/>
    </row>
    <row r="65" spans="2:8">
      <c r="B65" s="606" t="s">
        <v>188</v>
      </c>
      <c r="C65" s="468">
        <f t="shared" si="0"/>
        <v>2177378.592902062</v>
      </c>
      <c r="D65" s="471">
        <f t="shared" si="1"/>
        <v>318399.89547974849</v>
      </c>
      <c r="E65" s="468">
        <f t="shared" si="4"/>
        <v>1858978.6974223135</v>
      </c>
      <c r="F65" s="471">
        <f t="shared" si="5"/>
        <v>12080319.948689934</v>
      </c>
      <c r="G65" s="464"/>
      <c r="H65" s="464"/>
    </row>
    <row r="66" spans="2:8">
      <c r="B66" s="606" t="s">
        <v>189</v>
      </c>
      <c r="C66" s="468">
        <f t="shared" si="0"/>
        <v>2177378.592902062</v>
      </c>
      <c r="D66" s="471">
        <f t="shared" si="1"/>
        <v>275937.31267803581</v>
      </c>
      <c r="E66" s="468">
        <f t="shared" si="4"/>
        <v>1901441.2802240262</v>
      </c>
      <c r="F66" s="471">
        <f t="shared" si="5"/>
        <v>10178878.668465909</v>
      </c>
      <c r="G66" s="464"/>
      <c r="H66" s="464"/>
    </row>
    <row r="67" spans="2:8">
      <c r="B67" s="606" t="s">
        <v>190</v>
      </c>
      <c r="C67" s="468">
        <f t="shared" si="0"/>
        <v>2177378.592902062</v>
      </c>
      <c r="D67" s="471">
        <f t="shared" si="1"/>
        <v>232504.80432489395</v>
      </c>
      <c r="E67" s="468">
        <f t="shared" si="4"/>
        <v>1944873.788577168</v>
      </c>
      <c r="F67" s="471">
        <f t="shared" si="5"/>
        <v>8234004.8798887404</v>
      </c>
      <c r="G67" s="464"/>
      <c r="H67" s="464"/>
    </row>
    <row r="68" spans="2:8">
      <c r="B68" s="606" t="s">
        <v>191</v>
      </c>
      <c r="C68" s="468">
        <f t="shared" si="0"/>
        <v>2177378.592902062</v>
      </c>
      <c r="D68" s="471">
        <f t="shared" si="1"/>
        <v>188080.21548971717</v>
      </c>
      <c r="E68" s="468">
        <f t="shared" si="4"/>
        <v>1989298.3774123448</v>
      </c>
      <c r="F68" s="471">
        <f t="shared" si="5"/>
        <v>6244706.502476396</v>
      </c>
      <c r="G68" s="464"/>
      <c r="H68" s="464"/>
    </row>
    <row r="69" spans="2:8">
      <c r="B69" s="606" t="s">
        <v>192</v>
      </c>
      <c r="C69" s="468">
        <f t="shared" si="0"/>
        <v>2177378.592902062</v>
      </c>
      <c r="D69" s="471">
        <f t="shared" si="1"/>
        <v>142640.88518146091</v>
      </c>
      <c r="E69" s="468">
        <f t="shared" si="4"/>
        <v>2034737.707720601</v>
      </c>
      <c r="F69" s="471">
        <f t="shared" si="5"/>
        <v>4209968.794755795</v>
      </c>
      <c r="G69" s="464"/>
      <c r="H69" s="464"/>
    </row>
    <row r="70" spans="2:8">
      <c r="B70" s="606" t="s">
        <v>193</v>
      </c>
      <c r="C70" s="468">
        <f t="shared" si="0"/>
        <v>2177378.592902062</v>
      </c>
      <c r="D70" s="471">
        <f t="shared" si="1"/>
        <v>96163.634789265998</v>
      </c>
      <c r="E70" s="468">
        <f t="shared" si="4"/>
        <v>2081214.9581127961</v>
      </c>
      <c r="F70" s="471">
        <f t="shared" si="5"/>
        <v>2128753.8366429992</v>
      </c>
      <c r="G70" s="464"/>
      <c r="H70" s="464"/>
    </row>
    <row r="71" spans="2:8">
      <c r="B71" s="606" t="s">
        <v>194</v>
      </c>
      <c r="C71" s="468">
        <f t="shared" si="0"/>
        <v>2177378.592902062</v>
      </c>
      <c r="D71" s="471">
        <f t="shared" si="1"/>
        <v>48624.756259045047</v>
      </c>
      <c r="E71" s="468">
        <f t="shared" si="4"/>
        <v>2128753.8366430169</v>
      </c>
      <c r="F71" s="471">
        <f t="shared" si="5"/>
        <v>-1.7695128917694092E-8</v>
      </c>
      <c r="G71" s="471">
        <f>SUM(D60:D71)</f>
        <v>3498831.7540800432</v>
      </c>
      <c r="H71" s="471">
        <f>SUM(E60:E71)</f>
        <v>22629711.3607447</v>
      </c>
    </row>
    <row r="72" spans="2:8">
      <c r="B72" s="612" t="s">
        <v>62</v>
      </c>
      <c r="C72" s="613">
        <f>SUM(C12:C71)</f>
        <v>130642715.57412381</v>
      </c>
      <c r="D72" s="613">
        <f>SUM(D12:D71)</f>
        <v>59904995.574123703</v>
      </c>
      <c r="E72" s="613">
        <f>SUM(E12:E71)</f>
        <v>70737720.000000015</v>
      </c>
      <c r="F72" s="469"/>
      <c r="G72" s="469"/>
      <c r="H72" s="469"/>
    </row>
    <row r="73" spans="2:8">
      <c r="B73" s="464"/>
      <c r="C73" s="464"/>
      <c r="D73" s="533" t="s">
        <v>89</v>
      </c>
      <c r="E73" s="464"/>
      <c r="F73" s="464"/>
      <c r="G73" s="464"/>
      <c r="H73" s="464"/>
    </row>
    <row r="75" spans="2:8" s="272" customFormat="1" hidden="1" outlineLevel="1">
      <c r="B75" s="271"/>
    </row>
    <row r="76" spans="2:8" hidden="1" outlineLevel="1"/>
    <row r="77" spans="2:8" hidden="1" outlineLevel="1">
      <c r="B77" s="273" t="s">
        <v>58</v>
      </c>
      <c r="C77" s="273"/>
    </row>
    <row r="78" spans="2:8" hidden="1" outlineLevel="1">
      <c r="B78" s="274"/>
    </row>
    <row r="79" spans="2:8" hidden="1" outlineLevel="1">
      <c r="B79" s="519" t="s">
        <v>7</v>
      </c>
      <c r="C79" s="519" t="s">
        <v>8</v>
      </c>
      <c r="D79" s="519" t="s">
        <v>9</v>
      </c>
      <c r="E79" s="519" t="s">
        <v>10</v>
      </c>
      <c r="F79" s="519" t="s">
        <v>11</v>
      </c>
      <c r="G79" s="519" t="s">
        <v>103</v>
      </c>
      <c r="H79" s="519" t="s">
        <v>104</v>
      </c>
    </row>
    <row r="80" spans="2:8" hidden="1" outlineLevel="1">
      <c r="B80" s="520">
        <v>0</v>
      </c>
      <c r="C80" s="464"/>
      <c r="D80" s="464"/>
      <c r="E80" s="464"/>
      <c r="F80" s="471">
        <v>70737720</v>
      </c>
      <c r="G80" s="464"/>
      <c r="H80" s="464"/>
    </row>
    <row r="81" spans="2:8" hidden="1" outlineLevel="1">
      <c r="B81" s="520">
        <v>1</v>
      </c>
      <c r="C81" s="468">
        <v>2177378.5929020639</v>
      </c>
      <c r="D81" s="471">
        <v>1615783.0624252737</v>
      </c>
      <c r="E81" s="468">
        <v>561595.53047679015</v>
      </c>
      <c r="F81" s="471">
        <v>70176124.469523206</v>
      </c>
      <c r="G81" s="464"/>
      <c r="H81" s="464"/>
    </row>
    <row r="82" spans="2:8" hidden="1" outlineLevel="1">
      <c r="B82" s="520">
        <v>2</v>
      </c>
      <c r="C82" s="468">
        <v>2177378.5929020639</v>
      </c>
      <c r="D82" s="471">
        <v>1602955.1603374181</v>
      </c>
      <c r="E82" s="468">
        <v>574423.43256464577</v>
      </c>
      <c r="F82" s="471">
        <v>69601701.03695856</v>
      </c>
      <c r="G82" s="464"/>
      <c r="H82" s="464"/>
    </row>
    <row r="83" spans="2:8" hidden="1" outlineLevel="1">
      <c r="B83" s="520">
        <v>3</v>
      </c>
      <c r="C83" s="468">
        <v>2177378.5929020639</v>
      </c>
      <c r="D83" s="471">
        <v>1589834.2447495516</v>
      </c>
      <c r="E83" s="468">
        <v>587544.34815251222</v>
      </c>
      <c r="F83" s="471">
        <v>69014156.688806042</v>
      </c>
      <c r="G83" s="464"/>
      <c r="H83" s="464"/>
    </row>
    <row r="84" spans="2:8" hidden="1" outlineLevel="1">
      <c r="B84" s="520">
        <v>4</v>
      </c>
      <c r="C84" s="468">
        <v>2177378.5929020639</v>
      </c>
      <c r="D84" s="471">
        <v>1576413.6226801868</v>
      </c>
      <c r="E84" s="468">
        <v>600964.9702218771</v>
      </c>
      <c r="F84" s="471">
        <v>68413191.718584165</v>
      </c>
      <c r="G84" s="464"/>
      <c r="H84" s="464"/>
    </row>
    <row r="85" spans="2:8" hidden="1" outlineLevel="1">
      <c r="B85" s="520">
        <v>5</v>
      </c>
      <c r="C85" s="468">
        <v>2177378.5929020639</v>
      </c>
      <c r="D85" s="471">
        <v>1562686.4482675055</v>
      </c>
      <c r="E85" s="468">
        <v>614692.14463455835</v>
      </c>
      <c r="F85" s="471">
        <v>67798499.573949605</v>
      </c>
      <c r="G85" s="464"/>
      <c r="H85" s="464"/>
    </row>
    <row r="86" spans="2:8" hidden="1" outlineLevel="1">
      <c r="B86" s="520">
        <v>6</v>
      </c>
      <c r="C86" s="468">
        <v>2177378.5929020639</v>
      </c>
      <c r="D86" s="471">
        <v>1548645.7192772808</v>
      </c>
      <c r="E86" s="468">
        <v>628732.87362478301</v>
      </c>
      <c r="F86" s="471">
        <v>67169766.700324818</v>
      </c>
      <c r="G86" s="464"/>
      <c r="H86" s="464"/>
    </row>
    <row r="87" spans="2:8" hidden="1" outlineLevel="1">
      <c r="B87" s="520">
        <v>7</v>
      </c>
      <c r="C87" s="468">
        <v>2177378.5929020639</v>
      </c>
      <c r="D87" s="471">
        <v>1534284.2735310383</v>
      </c>
      <c r="E87" s="468">
        <v>643094.31937102554</v>
      </c>
      <c r="F87" s="471">
        <v>66526672.380953796</v>
      </c>
      <c r="G87" s="464"/>
      <c r="H87" s="464"/>
    </row>
    <row r="88" spans="2:8" hidden="1" outlineLevel="1">
      <c r="B88" s="520">
        <v>8</v>
      </c>
      <c r="C88" s="468">
        <v>2177378.5929020639</v>
      </c>
      <c r="D88" s="471">
        <v>1519594.7852526261</v>
      </c>
      <c r="E88" s="468">
        <v>657783.8076494378</v>
      </c>
      <c r="F88" s="471">
        <v>65868888.573304355</v>
      </c>
      <c r="G88" s="464"/>
      <c r="H88" s="464"/>
    </row>
    <row r="89" spans="2:8" hidden="1" outlineLevel="1">
      <c r="B89" s="520">
        <v>9</v>
      </c>
      <c r="C89" s="468">
        <v>2177378.5929020639</v>
      </c>
      <c r="D89" s="471">
        <v>1504569.7613313354</v>
      </c>
      <c r="E89" s="468">
        <v>672808.83157072845</v>
      </c>
      <c r="F89" s="471">
        <v>65196079.741733626</v>
      </c>
      <c r="G89" s="464"/>
      <c r="H89" s="464"/>
    </row>
    <row r="90" spans="2:8" hidden="1" outlineLevel="1">
      <c r="B90" s="520">
        <v>10</v>
      </c>
      <c r="C90" s="468">
        <v>2177378.5929020639</v>
      </c>
      <c r="D90" s="471">
        <v>1489201.5374996637</v>
      </c>
      <c r="E90" s="468">
        <v>688177.0554024002</v>
      </c>
      <c r="F90" s="471">
        <v>64507902.686331227</v>
      </c>
      <c r="G90" s="464"/>
      <c r="H90" s="464"/>
    </row>
    <row r="91" spans="2:8" hidden="1" outlineLevel="1">
      <c r="B91" s="520">
        <v>11</v>
      </c>
      <c r="C91" s="468">
        <v>2177378.5929020639</v>
      </c>
      <c r="D91" s="471">
        <v>1473482.2744237701</v>
      </c>
      <c r="E91" s="468">
        <v>703896.31847829372</v>
      </c>
      <c r="F91" s="471">
        <v>63804006.367852934</v>
      </c>
      <c r="G91" s="464"/>
      <c r="H91" s="464"/>
    </row>
    <row r="92" spans="2:8" hidden="1" outlineLevel="1">
      <c r="B92" s="520">
        <v>12</v>
      </c>
      <c r="C92" s="468">
        <v>2177378.5929020639</v>
      </c>
      <c r="D92" s="471">
        <v>1457403.9537046298</v>
      </c>
      <c r="E92" s="468">
        <v>719974.63919743407</v>
      </c>
      <c r="F92" s="471">
        <v>63084031.728655502</v>
      </c>
      <c r="G92" s="471">
        <v>18474854.843480278</v>
      </c>
      <c r="H92" s="471">
        <v>7653688.2713444866</v>
      </c>
    </row>
    <row r="93" spans="2:8" hidden="1" outlineLevel="1">
      <c r="B93" s="606">
        <v>13</v>
      </c>
      <c r="C93" s="468">
        <v>2177378.5929020639</v>
      </c>
      <c r="D93" s="471">
        <v>1440958.3737878478</v>
      </c>
      <c r="E93" s="468">
        <v>736420.21911421604</v>
      </c>
      <c r="F93" s="471">
        <v>62347611.509541288</v>
      </c>
      <c r="G93" s="464"/>
      <c r="H93" s="464"/>
    </row>
    <row r="94" spans="2:8" hidden="1" outlineLevel="1">
      <c r="B94" s="606">
        <v>14</v>
      </c>
      <c r="C94" s="468">
        <v>2177378.5929020639</v>
      </c>
      <c r="D94" s="471">
        <v>1424137.145780043</v>
      </c>
      <c r="E94" s="468">
        <v>753241.44712202088</v>
      </c>
      <c r="F94" s="471">
        <v>61594370.062419266</v>
      </c>
      <c r="G94" s="464"/>
      <c r="H94" s="464"/>
    </row>
    <row r="95" spans="2:8" hidden="1" outlineLevel="1">
      <c r="B95" s="606">
        <v>15</v>
      </c>
      <c r="C95" s="468">
        <v>2177378.5929020639</v>
      </c>
      <c r="D95" s="471">
        <v>1406931.6891696735</v>
      </c>
      <c r="E95" s="468">
        <v>770446.90373239038</v>
      </c>
      <c r="F95" s="471">
        <v>60823923.158686876</v>
      </c>
      <c r="G95" s="464"/>
      <c r="H95" s="464"/>
    </row>
    <row r="96" spans="2:8" hidden="1" outlineLevel="1">
      <c r="B96" s="606">
        <v>16</v>
      </c>
      <c r="C96" s="468">
        <v>2177378.5929020639</v>
      </c>
      <c r="D96" s="471">
        <v>1389333.2274501158</v>
      </c>
      <c r="E96" s="468">
        <v>788045.36545194802</v>
      </c>
      <c r="F96" s="471">
        <v>60035877.793234929</v>
      </c>
      <c r="G96" s="464"/>
      <c r="H96" s="464"/>
    </row>
    <row r="97" spans="2:8" hidden="1" outlineLevel="1">
      <c r="B97" s="606">
        <v>17</v>
      </c>
      <c r="C97" s="468">
        <v>2177378.5929020639</v>
      </c>
      <c r="D97" s="471">
        <v>1371332.7836427668</v>
      </c>
      <c r="E97" s="468">
        <v>806045.80925929709</v>
      </c>
      <c r="F97" s="471">
        <v>59229831.983975634</v>
      </c>
      <c r="G97" s="464"/>
      <c r="H97" s="464"/>
    </row>
    <row r="98" spans="2:8" hidden="1" outlineLevel="1">
      <c r="B98" s="606">
        <v>18</v>
      </c>
      <c r="C98" s="468">
        <v>2177378.5929020639</v>
      </c>
      <c r="D98" s="471">
        <v>1352921.1757178854</v>
      </c>
      <c r="E98" s="468">
        <v>824457.41718417848</v>
      </c>
      <c r="F98" s="471">
        <v>58405374.566791452</v>
      </c>
      <c r="G98" s="464"/>
      <c r="H98" s="464"/>
    </row>
    <row r="99" spans="2:8" hidden="1" outlineLevel="1">
      <c r="B99" s="606">
        <v>19</v>
      </c>
      <c r="C99" s="468">
        <v>2177378.5929020639</v>
      </c>
      <c r="D99" s="471">
        <v>1334089.0119108374</v>
      </c>
      <c r="E99" s="468">
        <v>843289.58099122648</v>
      </c>
      <c r="F99" s="471">
        <v>57562084.985800229</v>
      </c>
      <c r="G99" s="464"/>
      <c r="H99" s="464"/>
    </row>
    <row r="100" spans="2:8" hidden="1" outlineLevel="1">
      <c r="B100" s="606">
        <v>20</v>
      </c>
      <c r="C100" s="468">
        <v>2177378.5929020639</v>
      </c>
      <c r="D100" s="471">
        <v>1314826.6859313555</v>
      </c>
      <c r="E100" s="468">
        <v>862551.9069707084</v>
      </c>
      <c r="F100" s="471">
        <v>56699533.078829519</v>
      </c>
      <c r="G100" s="464"/>
      <c r="H100" s="464"/>
    </row>
    <row r="101" spans="2:8" hidden="1" outlineLevel="1">
      <c r="B101" s="606">
        <v>21</v>
      </c>
      <c r="C101" s="468">
        <v>2177378.5929020639</v>
      </c>
      <c r="D101" s="471">
        <v>1295124.3720633669</v>
      </c>
      <c r="E101" s="468">
        <v>882254.22083869693</v>
      </c>
      <c r="F101" s="471">
        <v>55817278.857990824</v>
      </c>
      <c r="G101" s="464"/>
      <c r="H101" s="464"/>
    </row>
    <row r="102" spans="2:8" hidden="1" outlineLevel="1">
      <c r="B102" s="606">
        <v>22</v>
      </c>
      <c r="C102" s="468">
        <v>2177378.5929020639</v>
      </c>
      <c r="D102" s="471">
        <v>1274972.0201528957</v>
      </c>
      <c r="E102" s="468">
        <v>902406.57274916815</v>
      </c>
      <c r="F102" s="471">
        <v>54914872.285241656</v>
      </c>
      <c r="G102" s="464"/>
      <c r="H102" s="464"/>
    </row>
    <row r="103" spans="2:8" hidden="1" outlineLevel="1">
      <c r="B103" s="606">
        <v>23</v>
      </c>
      <c r="C103" s="468">
        <v>2177378.5929020639</v>
      </c>
      <c r="D103" s="471">
        <v>1254359.3504814764</v>
      </c>
      <c r="E103" s="468">
        <v>923019.24242058746</v>
      </c>
      <c r="F103" s="471">
        <v>53991853.042821072</v>
      </c>
      <c r="G103" s="464"/>
      <c r="H103" s="464"/>
    </row>
    <row r="104" spans="2:8" hidden="1" outlineLevel="1">
      <c r="B104" s="606">
        <v>24</v>
      </c>
      <c r="C104" s="468">
        <v>2177378.5929020639</v>
      </c>
      <c r="D104" s="471">
        <v>1233275.848522468</v>
      </c>
      <c r="E104" s="468">
        <v>944102.74437959585</v>
      </c>
      <c r="F104" s="471">
        <v>53047750.298441477</v>
      </c>
      <c r="G104" s="471">
        <v>16092261.68461073</v>
      </c>
      <c r="H104" s="471">
        <v>10036281.430214036</v>
      </c>
    </row>
    <row r="105" spans="2:8" hidden="1" outlineLevel="1">
      <c r="B105" s="606">
        <v>25</v>
      </c>
      <c r="C105" s="468">
        <v>2177378.5929020639</v>
      </c>
      <c r="D105" s="471">
        <v>1211710.7595775917</v>
      </c>
      <c r="E105" s="468">
        <v>965667.83332447219</v>
      </c>
      <c r="F105" s="471">
        <v>52082082.465117007</v>
      </c>
      <c r="G105" s="464"/>
      <c r="H105" s="464"/>
    </row>
    <row r="106" spans="2:8" hidden="1" outlineLevel="1">
      <c r="B106" s="606">
        <v>26</v>
      </c>
      <c r="C106" s="468">
        <v>2177378.5929020639</v>
      </c>
      <c r="D106" s="471">
        <v>1189653.0832909571</v>
      </c>
      <c r="E106" s="468">
        <v>987725.50961110671</v>
      </c>
      <c r="F106" s="471">
        <v>51094356.9555059</v>
      </c>
      <c r="G106" s="464"/>
      <c r="H106" s="464"/>
    </row>
    <row r="107" spans="2:8" hidden="1" outlineLevel="1">
      <c r="B107" s="606">
        <v>27</v>
      </c>
      <c r="C107" s="468">
        <v>2177378.5929020639</v>
      </c>
      <c r="D107" s="471">
        <v>1167091.5680377795</v>
      </c>
      <c r="E107" s="468">
        <v>1010287.0248642843</v>
      </c>
      <c r="F107" s="471">
        <v>50084069.930641614</v>
      </c>
      <c r="G107" s="464"/>
      <c r="H107" s="464"/>
    </row>
    <row r="108" spans="2:8" hidden="1" outlineLevel="1">
      <c r="B108" s="606">
        <v>28</v>
      </c>
      <c r="C108" s="468">
        <v>2177378.5929020639</v>
      </c>
      <c r="D108" s="471">
        <v>1144014.7051849235</v>
      </c>
      <c r="E108" s="468">
        <v>1033363.8877171404</v>
      </c>
      <c r="F108" s="471">
        <v>49050706.042924471</v>
      </c>
      <c r="G108" s="464"/>
      <c r="H108" s="464"/>
    </row>
    <row r="109" spans="2:8" hidden="1" outlineLevel="1">
      <c r="B109" s="606">
        <v>29</v>
      </c>
      <c r="C109" s="468">
        <v>2177378.5929020639</v>
      </c>
      <c r="D109" s="471">
        <v>1120410.7232203467</v>
      </c>
      <c r="E109" s="468">
        <v>1056967.8696817171</v>
      </c>
      <c r="F109" s="471">
        <v>47993738.173242755</v>
      </c>
      <c r="G109" s="464"/>
      <c r="H109" s="464"/>
    </row>
    <row r="110" spans="2:8" hidden="1" outlineLevel="1">
      <c r="B110" s="606">
        <v>30</v>
      </c>
      <c r="C110" s="468">
        <v>2177378.5929020639</v>
      </c>
      <c r="D110" s="471">
        <v>1096267.5817484495</v>
      </c>
      <c r="E110" s="468">
        <v>1081111.0111536144</v>
      </c>
      <c r="F110" s="471">
        <v>46912627.162089139</v>
      </c>
      <c r="G110" s="464"/>
      <c r="H110" s="464"/>
    </row>
    <row r="111" spans="2:8" hidden="1" outlineLevel="1">
      <c r="B111" s="606">
        <v>31</v>
      </c>
      <c r="C111" s="468">
        <v>2177378.5929020639</v>
      </c>
      <c r="D111" s="471">
        <v>1071572.9653482677</v>
      </c>
      <c r="E111" s="468">
        <v>1105805.6275537962</v>
      </c>
      <c r="F111" s="471">
        <v>45806821.534535341</v>
      </c>
      <c r="G111" s="464"/>
      <c r="H111" s="464"/>
    </row>
    <row r="112" spans="2:8" hidden="1" outlineLevel="1">
      <c r="B112" s="606">
        <v>32</v>
      </c>
      <c r="C112" s="468">
        <v>2177378.5929020639</v>
      </c>
      <c r="D112" s="471">
        <v>1046314.2772913728</v>
      </c>
      <c r="E112" s="468">
        <v>1131064.315610691</v>
      </c>
      <c r="F112" s="471">
        <v>44675757.218924649</v>
      </c>
      <c r="G112" s="464"/>
      <c r="H112" s="464"/>
    </row>
    <row r="113" spans="2:8" hidden="1" outlineLevel="1">
      <c r="B113" s="606">
        <v>33</v>
      </c>
      <c r="C113" s="468">
        <v>2177378.5929020639</v>
      </c>
      <c r="D113" s="471">
        <v>1020478.6331162794</v>
      </c>
      <c r="E113" s="468">
        <v>1156899.9597857846</v>
      </c>
      <c r="F113" s="471">
        <v>43518857.259138867</v>
      </c>
      <c r="G113" s="464"/>
      <c r="H113" s="464"/>
    </row>
    <row r="114" spans="2:8" hidden="1" outlineLevel="1">
      <c r="B114" s="606">
        <v>34</v>
      </c>
      <c r="C114" s="468">
        <v>2177378.5929020639</v>
      </c>
      <c r="D114" s="471">
        <v>994052.85405607859</v>
      </c>
      <c r="E114" s="468">
        <v>1183325.7388459854</v>
      </c>
      <c r="F114" s="471">
        <v>42335531.520292878</v>
      </c>
      <c r="G114" s="464"/>
      <c r="H114" s="464"/>
    </row>
    <row r="115" spans="2:8" hidden="1" outlineLevel="1">
      <c r="B115" s="606">
        <v>35</v>
      </c>
      <c r="C115" s="468">
        <v>2177378.5929020639</v>
      </c>
      <c r="D115" s="471">
        <v>967023.46031594637</v>
      </c>
      <c r="E115" s="468">
        <v>1210355.1325861174</v>
      </c>
      <c r="F115" s="471">
        <v>41125176.387706764</v>
      </c>
      <c r="G115" s="464"/>
      <c r="H115" s="464"/>
    </row>
    <row r="116" spans="2:8" hidden="1" outlineLevel="1">
      <c r="B116" s="606">
        <v>36</v>
      </c>
      <c r="C116" s="468">
        <v>2177378.5929020639</v>
      </c>
      <c r="D116" s="471">
        <v>939376.66419709858</v>
      </c>
      <c r="E116" s="468">
        <v>1238001.9287049654</v>
      </c>
      <c r="F116" s="471">
        <v>39887174.459001802</v>
      </c>
      <c r="G116" s="471">
        <v>12967967.275385091</v>
      </c>
      <c r="H116" s="471">
        <v>13160575.839439675</v>
      </c>
    </row>
    <row r="117" spans="2:8" hidden="1" outlineLevel="1">
      <c r="B117" s="606">
        <v>37</v>
      </c>
      <c r="C117" s="468">
        <v>2177378.5929020639</v>
      </c>
      <c r="D117" s="471">
        <v>911098.3630636821</v>
      </c>
      <c r="E117" s="468">
        <v>1266280.2298383818</v>
      </c>
      <c r="F117" s="471">
        <v>38620894.229163423</v>
      </c>
      <c r="G117" s="464"/>
      <c r="H117" s="464"/>
    </row>
    <row r="118" spans="2:8" hidden="1" outlineLevel="1">
      <c r="B118" s="606">
        <v>38</v>
      </c>
      <c r="C118" s="468">
        <v>2177378.5929020639</v>
      </c>
      <c r="D118" s="471">
        <v>882174.13214901823</v>
      </c>
      <c r="E118" s="468">
        <v>1295204.4607530455</v>
      </c>
      <c r="F118" s="471">
        <v>37325689.768410377</v>
      </c>
      <c r="G118" s="464"/>
      <c r="H118" s="464"/>
    </row>
    <row r="119" spans="2:8" hidden="1" outlineLevel="1">
      <c r="B119" s="606">
        <v>39</v>
      </c>
      <c r="C119" s="468">
        <v>2177378.5929020639</v>
      </c>
      <c r="D119" s="471">
        <v>852589.2171975266</v>
      </c>
      <c r="E119" s="468">
        <v>1324789.3757045371</v>
      </c>
      <c r="F119" s="471">
        <v>36000900.392705843</v>
      </c>
      <c r="G119" s="464"/>
      <c r="H119" s="464"/>
    </row>
    <row r="120" spans="2:8" hidden="1" outlineLevel="1">
      <c r="B120" s="606">
        <v>40</v>
      </c>
      <c r="C120" s="468">
        <v>2177378.5929020639</v>
      </c>
      <c r="D120" s="471">
        <v>822328.52693857648</v>
      </c>
      <c r="E120" s="468">
        <v>1355050.0659634874</v>
      </c>
      <c r="F120" s="471">
        <v>34645850.326742359</v>
      </c>
      <c r="G120" s="464"/>
      <c r="H120" s="464"/>
    </row>
    <row r="121" spans="2:8" hidden="1" outlineLevel="1">
      <c r="B121" s="606">
        <v>41</v>
      </c>
      <c r="C121" s="468">
        <v>2177378.5929020639</v>
      </c>
      <c r="D121" s="471">
        <v>791376.62538842694</v>
      </c>
      <c r="E121" s="468">
        <v>1386001.9675136369</v>
      </c>
      <c r="F121" s="471">
        <v>33259848.359228723</v>
      </c>
      <c r="G121" s="464"/>
      <c r="H121" s="464"/>
    </row>
    <row r="122" spans="2:8" hidden="1" outlineLevel="1">
      <c r="B122" s="606">
        <v>42</v>
      </c>
      <c r="C122" s="468">
        <v>2177378.5929020639</v>
      </c>
      <c r="D122" s="471">
        <v>759717.72397632827</v>
      </c>
      <c r="E122" s="468">
        <v>1417660.8689257356</v>
      </c>
      <c r="F122" s="471">
        <v>31842187.490302987</v>
      </c>
      <c r="G122" s="464"/>
      <c r="H122" s="464"/>
    </row>
    <row r="123" spans="2:8" hidden="1" outlineLevel="1">
      <c r="B123" s="606">
        <v>43</v>
      </c>
      <c r="C123" s="468">
        <v>2177378.5929020639</v>
      </c>
      <c r="D123" s="471">
        <v>727335.67349076981</v>
      </c>
      <c r="E123" s="468">
        <v>1450042.9194112942</v>
      </c>
      <c r="F123" s="471">
        <v>30392144.570891693</v>
      </c>
      <c r="G123" s="464"/>
      <c r="H123" s="464"/>
    </row>
    <row r="124" spans="2:8" hidden="1" outlineLevel="1">
      <c r="B124" s="606">
        <v>44</v>
      </c>
      <c r="C124" s="468">
        <v>2177378.5929020639</v>
      </c>
      <c r="D124" s="471">
        <v>694213.95584176353</v>
      </c>
      <c r="E124" s="468">
        <v>1483164.6370603004</v>
      </c>
      <c r="F124" s="471">
        <v>28908979.933831394</v>
      </c>
      <c r="G124" s="464"/>
      <c r="H124" s="464"/>
    </row>
    <row r="125" spans="2:8" hidden="1" outlineLevel="1">
      <c r="B125" s="606">
        <v>45</v>
      </c>
      <c r="C125" s="468">
        <v>2177378.5929020639</v>
      </c>
      <c r="D125" s="471">
        <v>660335.67563496355</v>
      </c>
      <c r="E125" s="468">
        <v>1517042.9172671004</v>
      </c>
      <c r="F125" s="471">
        <v>27391937.016564295</v>
      </c>
      <c r="G125" s="464"/>
      <c r="H125" s="464"/>
    </row>
    <row r="126" spans="2:8" hidden="1" outlineLevel="1">
      <c r="B126" s="606">
        <v>46</v>
      </c>
      <c r="C126" s="468">
        <v>2177378.5929020639</v>
      </c>
      <c r="D126" s="471">
        <v>625683.55155332224</v>
      </c>
      <c r="E126" s="468">
        <v>1551695.0413487416</v>
      </c>
      <c r="F126" s="471">
        <v>25840241.975215554</v>
      </c>
      <c r="G126" s="464"/>
      <c r="H126" s="464"/>
    </row>
    <row r="127" spans="2:8" hidden="1" outlineLevel="1">
      <c r="B127" s="606">
        <v>47</v>
      </c>
      <c r="C127" s="468">
        <v>2177378.5929020639</v>
      </c>
      <c r="D127" s="471">
        <v>590239.90754188702</v>
      </c>
      <c r="E127" s="468">
        <v>1587138.685360177</v>
      </c>
      <c r="F127" s="471">
        <v>24253103.289855376</v>
      </c>
      <c r="G127" s="464"/>
      <c r="H127" s="464"/>
    </row>
    <row r="128" spans="2:8" hidden="1" outlineLevel="1">
      <c r="B128" s="606">
        <v>48</v>
      </c>
      <c r="C128" s="468">
        <v>2177378.5929020639</v>
      </c>
      <c r="D128" s="471">
        <v>553986.66379124171</v>
      </c>
      <c r="E128" s="468">
        <v>1623391.9291108223</v>
      </c>
      <c r="F128" s="471">
        <v>22629711.360744555</v>
      </c>
      <c r="G128" s="471">
        <v>8871080.0165675059</v>
      </c>
      <c r="H128" s="471">
        <v>17257463.098257262</v>
      </c>
    </row>
    <row r="129" spans="2:8" hidden="1" outlineLevel="1">
      <c r="B129" s="606">
        <v>49</v>
      </c>
      <c r="C129" s="468">
        <v>2177378.5929020639</v>
      </c>
      <c r="D129" s="471">
        <v>516905.32751499262</v>
      </c>
      <c r="E129" s="468">
        <v>1660473.2653870713</v>
      </c>
      <c r="F129" s="471">
        <v>20969238.095357485</v>
      </c>
      <c r="G129" s="464"/>
      <c r="H129" s="464"/>
    </row>
    <row r="130" spans="2:8" hidden="1" outlineLevel="1">
      <c r="B130" s="606">
        <v>50</v>
      </c>
      <c r="C130" s="468">
        <v>2177378.5929020639</v>
      </c>
      <c r="D130" s="471">
        <v>478976.98351659381</v>
      </c>
      <c r="E130" s="468">
        <v>1698401.6093854699</v>
      </c>
      <c r="F130" s="471">
        <v>19270836.485972017</v>
      </c>
      <c r="G130" s="464"/>
      <c r="H130" s="464"/>
    </row>
    <row r="131" spans="2:8" hidden="1" outlineLevel="1">
      <c r="B131" s="606">
        <v>51</v>
      </c>
      <c r="C131" s="468">
        <v>2177378.5929020639</v>
      </c>
      <c r="D131" s="471">
        <v>440182.28454070282</v>
      </c>
      <c r="E131" s="468">
        <v>1737196.308361361</v>
      </c>
      <c r="F131" s="471">
        <v>17533640.177610654</v>
      </c>
      <c r="G131" s="464"/>
      <c r="H131" s="464"/>
    </row>
    <row r="132" spans="2:8" hidden="1" outlineLevel="1">
      <c r="B132" s="606">
        <v>52</v>
      </c>
      <c r="C132" s="468">
        <v>2177378.5929020639</v>
      </c>
      <c r="D132" s="471">
        <v>400501.44140414143</v>
      </c>
      <c r="E132" s="468">
        <v>1776877.1514979224</v>
      </c>
      <c r="F132" s="471">
        <v>15756763.026112732</v>
      </c>
      <c r="G132" s="464"/>
      <c r="H132" s="464"/>
    </row>
    <row r="133" spans="2:8" hidden="1" outlineLevel="1">
      <c r="B133" s="606">
        <v>53</v>
      </c>
      <c r="C133" s="468">
        <v>2177378.5929020639</v>
      </c>
      <c r="D133" s="471">
        <v>359914.21290143009</v>
      </c>
      <c r="E133" s="468">
        <v>1817464.3800006337</v>
      </c>
      <c r="F133" s="471">
        <v>13939298.646112097</v>
      </c>
      <c r="G133" s="464"/>
      <c r="H133" s="464"/>
    </row>
    <row r="134" spans="2:8" hidden="1" outlineLevel="1">
      <c r="B134" s="606">
        <v>54</v>
      </c>
      <c r="C134" s="468">
        <v>2177378.5929020639</v>
      </c>
      <c r="D134" s="471">
        <v>318399.89547974512</v>
      </c>
      <c r="E134" s="468">
        <v>1858978.6974223186</v>
      </c>
      <c r="F134" s="471">
        <v>12080319.948689779</v>
      </c>
      <c r="G134" s="464"/>
      <c r="H134" s="464"/>
    </row>
    <row r="135" spans="2:8" hidden="1" outlineLevel="1">
      <c r="B135" s="606">
        <v>55</v>
      </c>
      <c r="C135" s="468">
        <v>2177378.5929020639</v>
      </c>
      <c r="D135" s="471">
        <v>275937.31267803226</v>
      </c>
      <c r="E135" s="468">
        <v>1901441.2802240315</v>
      </c>
      <c r="F135" s="471">
        <v>10178878.668465748</v>
      </c>
      <c r="G135" s="464"/>
      <c r="H135" s="464"/>
    </row>
    <row r="136" spans="2:8" hidden="1" outlineLevel="1">
      <c r="B136" s="606">
        <v>56</v>
      </c>
      <c r="C136" s="468">
        <v>2177378.5929020639</v>
      </c>
      <c r="D136" s="471">
        <v>232504.80432489028</v>
      </c>
      <c r="E136" s="468">
        <v>1944873.7885771736</v>
      </c>
      <c r="F136" s="471">
        <v>8234004.8798885746</v>
      </c>
      <c r="G136" s="464"/>
      <c r="H136" s="464"/>
    </row>
    <row r="137" spans="2:8" hidden="1" outlineLevel="1">
      <c r="B137" s="606">
        <v>57</v>
      </c>
      <c r="C137" s="468">
        <v>2177378.5929020639</v>
      </c>
      <c r="D137" s="471">
        <v>188080.21548971339</v>
      </c>
      <c r="E137" s="468">
        <v>1989298.3774123504</v>
      </c>
      <c r="F137" s="471">
        <v>6244706.5024762247</v>
      </c>
      <c r="G137" s="464"/>
      <c r="H137" s="464"/>
    </row>
    <row r="138" spans="2:8" hidden="1" outlineLevel="1">
      <c r="B138" s="606">
        <v>58</v>
      </c>
      <c r="C138" s="468">
        <v>2177378.5929020639</v>
      </c>
      <c r="D138" s="471">
        <v>142640.88518145698</v>
      </c>
      <c r="E138" s="468">
        <v>2034737.7077206068</v>
      </c>
      <c r="F138" s="471">
        <v>4209968.7947556181</v>
      </c>
      <c r="G138" s="464"/>
      <c r="H138" s="464"/>
    </row>
    <row r="139" spans="2:8" hidden="1" outlineLevel="1">
      <c r="B139" s="606">
        <v>59</v>
      </c>
      <c r="C139" s="468">
        <v>2177378.5929020639</v>
      </c>
      <c r="D139" s="471">
        <v>96163.634789261952</v>
      </c>
      <c r="E139" s="468">
        <v>2081214.9581128019</v>
      </c>
      <c r="F139" s="471">
        <v>2128753.8366428162</v>
      </c>
      <c r="G139" s="464"/>
      <c r="H139" s="464"/>
    </row>
    <row r="140" spans="2:8" hidden="1" outlineLevel="1">
      <c r="B140" s="606">
        <v>60</v>
      </c>
      <c r="C140" s="468">
        <v>2177378.5929020639</v>
      </c>
      <c r="D140" s="471">
        <v>48624.756259040863</v>
      </c>
      <c r="E140" s="468">
        <v>2128753.836643023</v>
      </c>
      <c r="F140" s="471">
        <v>-2.0675361156463623E-7</v>
      </c>
      <c r="G140" s="471">
        <v>3498831.7540800017</v>
      </c>
      <c r="H140" s="471">
        <v>22629711.360744763</v>
      </c>
    </row>
    <row r="141" spans="2:8" hidden="1" outlineLevel="1">
      <c r="B141" s="612" t="s">
        <v>62</v>
      </c>
      <c r="C141" s="613">
        <v>130642715.57412384</v>
      </c>
      <c r="D141" s="613">
        <v>59904995.574123621</v>
      </c>
      <c r="E141" s="613">
        <v>70737720.000000224</v>
      </c>
      <c r="F141" s="469"/>
      <c r="G141" s="469"/>
      <c r="H141" s="469"/>
    </row>
    <row r="142" spans="2:8" hidden="1" outlineLevel="1">
      <c r="B142" s="464"/>
      <c r="C142" s="464"/>
      <c r="D142" s="533" t="s">
        <v>89</v>
      </c>
      <c r="E142" s="464"/>
      <c r="F142" s="464"/>
      <c r="G142" s="464"/>
      <c r="H142" s="464"/>
    </row>
    <row r="143" spans="2:8" hidden="1" outlineLevel="1">
      <c r="D143" s="270"/>
    </row>
    <row r="144" spans="2:8" s="272" customFormat="1" hidden="1" outlineLevel="1">
      <c r="B144" s="271"/>
    </row>
    <row r="145" spans="2:73" hidden="1" outlineLevel="1"/>
    <row r="146" spans="2:73" hidden="1" outlineLevel="1"/>
    <row r="147" spans="2:73" hidden="1" outlineLevel="1">
      <c r="B147" s="619"/>
      <c r="C147" s="533" t="s">
        <v>615</v>
      </c>
      <c r="D147" s="533" t="s">
        <v>131</v>
      </c>
      <c r="E147" s="533" t="s">
        <v>132</v>
      </c>
      <c r="F147" s="533" t="s">
        <v>133</v>
      </c>
      <c r="G147" s="533" t="s">
        <v>134</v>
      </c>
      <c r="H147" s="533" t="s">
        <v>135</v>
      </c>
      <c r="I147" s="533" t="s">
        <v>136</v>
      </c>
      <c r="J147" s="533" t="s">
        <v>137</v>
      </c>
      <c r="K147" s="533" t="s">
        <v>138</v>
      </c>
      <c r="L147" s="533" t="s">
        <v>139</v>
      </c>
      <c r="M147" s="533" t="s">
        <v>140</v>
      </c>
      <c r="N147" s="533" t="s">
        <v>141</v>
      </c>
      <c r="O147" s="533" t="s">
        <v>142</v>
      </c>
      <c r="P147" s="551" t="s">
        <v>144</v>
      </c>
      <c r="Q147" s="551" t="s">
        <v>145</v>
      </c>
      <c r="R147" s="551" t="s">
        <v>146</v>
      </c>
      <c r="S147" s="551" t="s">
        <v>147</v>
      </c>
      <c r="T147" s="551" t="s">
        <v>148</v>
      </c>
      <c r="U147" s="551" t="s">
        <v>149</v>
      </c>
      <c r="V147" s="551" t="s">
        <v>150</v>
      </c>
      <c r="W147" s="551" t="s">
        <v>151</v>
      </c>
      <c r="X147" s="551" t="s">
        <v>152</v>
      </c>
      <c r="Y147" s="551" t="s">
        <v>153</v>
      </c>
      <c r="Z147" s="551" t="s">
        <v>154</v>
      </c>
      <c r="AA147" s="551" t="s">
        <v>155</v>
      </c>
      <c r="AB147" s="551" t="s">
        <v>157</v>
      </c>
      <c r="AC147" s="551" t="s">
        <v>158</v>
      </c>
      <c r="AD147" s="551" t="s">
        <v>159</v>
      </c>
      <c r="AE147" s="551" t="s">
        <v>160</v>
      </c>
      <c r="AF147" s="551" t="s">
        <v>161</v>
      </c>
      <c r="AG147" s="551" t="s">
        <v>162</v>
      </c>
      <c r="AH147" s="551" t="s">
        <v>163</v>
      </c>
      <c r="AI147" s="551" t="s">
        <v>164</v>
      </c>
      <c r="AJ147" s="551" t="s">
        <v>165</v>
      </c>
      <c r="AK147" s="551" t="s">
        <v>166</v>
      </c>
      <c r="AL147" s="551" t="s">
        <v>167</v>
      </c>
      <c r="AM147" s="551" t="s">
        <v>168</v>
      </c>
      <c r="AN147" s="551" t="s">
        <v>170</v>
      </c>
      <c r="AO147" s="551" t="s">
        <v>171</v>
      </c>
      <c r="AP147" s="551" t="s">
        <v>172</v>
      </c>
      <c r="AQ147" s="551" t="s">
        <v>173</v>
      </c>
      <c r="AR147" s="551" t="s">
        <v>174</v>
      </c>
      <c r="AS147" s="551" t="s">
        <v>175</v>
      </c>
      <c r="AT147" s="551" t="s">
        <v>176</v>
      </c>
      <c r="AU147" s="551" t="s">
        <v>177</v>
      </c>
      <c r="AV147" s="551" t="s">
        <v>178</v>
      </c>
      <c r="AW147" s="551" t="s">
        <v>179</v>
      </c>
      <c r="AX147" s="551" t="s">
        <v>180</v>
      </c>
      <c r="AY147" s="551" t="s">
        <v>181</v>
      </c>
      <c r="AZ147" s="551" t="s">
        <v>183</v>
      </c>
      <c r="BA147" s="551" t="s">
        <v>184</v>
      </c>
      <c r="BB147" s="551" t="s">
        <v>185</v>
      </c>
      <c r="BC147" s="551" t="s">
        <v>186</v>
      </c>
      <c r="BD147" s="551" t="s">
        <v>187</v>
      </c>
      <c r="BE147" s="551" t="s">
        <v>188</v>
      </c>
      <c r="BF147" s="551" t="s">
        <v>189</v>
      </c>
      <c r="BG147" s="551" t="s">
        <v>190</v>
      </c>
      <c r="BH147" s="551" t="s">
        <v>191</v>
      </c>
      <c r="BI147" s="551" t="s">
        <v>192</v>
      </c>
      <c r="BJ147" s="551" t="s">
        <v>193</v>
      </c>
      <c r="BK147" s="551" t="s">
        <v>194</v>
      </c>
      <c r="BL147" s="615" t="s">
        <v>62</v>
      </c>
      <c r="BM147" s="269"/>
      <c r="BO147" s="474"/>
      <c r="BP147" s="474" t="s">
        <v>616</v>
      </c>
      <c r="BQ147" s="474" t="s">
        <v>617</v>
      </c>
      <c r="BR147" s="474" t="s">
        <v>618</v>
      </c>
      <c r="BS147" s="474" t="s">
        <v>619</v>
      </c>
      <c r="BT147" s="474" t="s">
        <v>620</v>
      </c>
      <c r="BU147" s="474" t="s">
        <v>621</v>
      </c>
    </row>
    <row r="148" spans="2:73" hidden="1" outlineLevel="1">
      <c r="B148" s="614" t="s">
        <v>551</v>
      </c>
      <c r="C148" s="464"/>
      <c r="D148" s="468">
        <v>2177378.5929020639</v>
      </c>
      <c r="E148" s="468">
        <v>2177378.5929020639</v>
      </c>
      <c r="F148" s="468">
        <v>2177378.5929020639</v>
      </c>
      <c r="G148" s="468">
        <v>2177378.5929020639</v>
      </c>
      <c r="H148" s="468">
        <v>2177378.5929020639</v>
      </c>
      <c r="I148" s="468">
        <v>2177378.5929020639</v>
      </c>
      <c r="J148" s="468">
        <v>2177378.5929020639</v>
      </c>
      <c r="K148" s="468">
        <v>2177378.5929020639</v>
      </c>
      <c r="L148" s="468">
        <v>2177378.5929020639</v>
      </c>
      <c r="M148" s="468">
        <v>2177378.5929020639</v>
      </c>
      <c r="N148" s="468">
        <v>2177378.5929020639</v>
      </c>
      <c r="O148" s="468">
        <v>2177378.5929020639</v>
      </c>
      <c r="P148" s="468">
        <v>2177378.5929020639</v>
      </c>
      <c r="Q148" s="468">
        <v>2177378.5929020639</v>
      </c>
      <c r="R148" s="468">
        <v>2177378.5929020639</v>
      </c>
      <c r="S148" s="468">
        <v>2177378.5929020639</v>
      </c>
      <c r="T148" s="468">
        <v>2177378.5929020639</v>
      </c>
      <c r="U148" s="468">
        <v>2177378.5929020639</v>
      </c>
      <c r="V148" s="468">
        <v>2177378.5929020639</v>
      </c>
      <c r="W148" s="468">
        <v>2177378.5929020639</v>
      </c>
      <c r="X148" s="468">
        <v>2177378.5929020639</v>
      </c>
      <c r="Y148" s="468">
        <v>2177378.5929020639</v>
      </c>
      <c r="Z148" s="468">
        <v>2177378.5929020639</v>
      </c>
      <c r="AA148" s="468">
        <v>2177378.5929020639</v>
      </c>
      <c r="AB148" s="468">
        <v>2177378.5929020639</v>
      </c>
      <c r="AC148" s="468">
        <v>2177378.5929020639</v>
      </c>
      <c r="AD148" s="468">
        <v>2177378.5929020639</v>
      </c>
      <c r="AE148" s="468">
        <v>2177378.5929020639</v>
      </c>
      <c r="AF148" s="468">
        <v>2177378.5929020639</v>
      </c>
      <c r="AG148" s="468">
        <v>2177378.5929020639</v>
      </c>
      <c r="AH148" s="468">
        <v>2177378.5929020639</v>
      </c>
      <c r="AI148" s="468">
        <v>2177378.5929020639</v>
      </c>
      <c r="AJ148" s="468">
        <v>2177378.5929020639</v>
      </c>
      <c r="AK148" s="468">
        <v>2177378.5929020639</v>
      </c>
      <c r="AL148" s="468">
        <v>2177378.5929020639</v>
      </c>
      <c r="AM148" s="468">
        <v>2177378.5929020639</v>
      </c>
      <c r="AN148" s="468">
        <v>2177378.5929020639</v>
      </c>
      <c r="AO148" s="468">
        <v>2177378.5929020639</v>
      </c>
      <c r="AP148" s="468">
        <v>2177378.5929020639</v>
      </c>
      <c r="AQ148" s="468">
        <v>2177378.5929020639</v>
      </c>
      <c r="AR148" s="468">
        <v>2177378.5929020639</v>
      </c>
      <c r="AS148" s="468">
        <v>2177378.5929020639</v>
      </c>
      <c r="AT148" s="468">
        <v>2177378.5929020639</v>
      </c>
      <c r="AU148" s="468">
        <v>2177378.5929020639</v>
      </c>
      <c r="AV148" s="468">
        <v>2177378.5929020639</v>
      </c>
      <c r="AW148" s="468">
        <v>2177378.5929020639</v>
      </c>
      <c r="AX148" s="468">
        <v>2177378.5929020639</v>
      </c>
      <c r="AY148" s="468">
        <v>2177378.5929020639</v>
      </c>
      <c r="AZ148" s="468">
        <v>2177378.5929020639</v>
      </c>
      <c r="BA148" s="468">
        <v>2177378.5929020639</v>
      </c>
      <c r="BB148" s="468">
        <v>2177378.5929020639</v>
      </c>
      <c r="BC148" s="468">
        <v>2177378.5929020639</v>
      </c>
      <c r="BD148" s="468">
        <v>2177378.5929020639</v>
      </c>
      <c r="BE148" s="468">
        <v>2177378.5929020639</v>
      </c>
      <c r="BF148" s="468">
        <v>2177378.5929020639</v>
      </c>
      <c r="BG148" s="468">
        <v>2177378.5929020639</v>
      </c>
      <c r="BH148" s="468">
        <v>2177378.5929020639</v>
      </c>
      <c r="BI148" s="468">
        <v>2177378.5929020639</v>
      </c>
      <c r="BJ148" s="468">
        <v>2177378.5929020639</v>
      </c>
      <c r="BK148" s="468">
        <v>2177378.5929020639</v>
      </c>
      <c r="BL148" s="616">
        <v>130642715.57412384</v>
      </c>
      <c r="BO148" s="472" t="s">
        <v>551</v>
      </c>
      <c r="BP148" s="465"/>
      <c r="BQ148" s="475">
        <f>SUM(D148:O148)</f>
        <v>26128543.114824768</v>
      </c>
      <c r="BR148" s="465">
        <f>SUM(P148:AA148)</f>
        <v>26128543.114824768</v>
      </c>
      <c r="BS148" s="475">
        <f>SUM(AB148:AM148)</f>
        <v>26128543.114824768</v>
      </c>
      <c r="BT148" s="465">
        <f>SUM(AN148:AY148)</f>
        <v>26128543.114824768</v>
      </c>
      <c r="BU148" s="475">
        <f>SUM(AZ148:BK148)</f>
        <v>26128543.114824768</v>
      </c>
    </row>
    <row r="149" spans="2:73" hidden="1" outlineLevel="1">
      <c r="B149" s="614" t="s">
        <v>556</v>
      </c>
      <c r="C149" s="464"/>
      <c r="D149" s="471">
        <v>1615783.0624252737</v>
      </c>
      <c r="E149" s="471">
        <v>1602955.1603374181</v>
      </c>
      <c r="F149" s="471">
        <v>1589834.2447495516</v>
      </c>
      <c r="G149" s="471">
        <v>1576413.6226801868</v>
      </c>
      <c r="H149" s="471">
        <v>1562686.4482675055</v>
      </c>
      <c r="I149" s="471">
        <v>1548645.7192772808</v>
      </c>
      <c r="J149" s="471">
        <v>1534284.2735310383</v>
      </c>
      <c r="K149" s="471">
        <v>1519594.7852526261</v>
      </c>
      <c r="L149" s="471">
        <v>1504569.7613313354</v>
      </c>
      <c r="M149" s="471">
        <v>1489201.5374996637</v>
      </c>
      <c r="N149" s="471">
        <v>1473482.2744237701</v>
      </c>
      <c r="O149" s="471">
        <v>1457403.9537046298</v>
      </c>
      <c r="P149" s="471">
        <v>1440958.3737878478</v>
      </c>
      <c r="Q149" s="471">
        <v>1424137.145780043</v>
      </c>
      <c r="R149" s="471">
        <v>1406931.6891696735</v>
      </c>
      <c r="S149" s="471">
        <v>1389333.2274501158</v>
      </c>
      <c r="T149" s="471">
        <v>1371332.7836427668</v>
      </c>
      <c r="U149" s="471">
        <v>1352921.1757178854</v>
      </c>
      <c r="V149" s="471">
        <v>1334089.0119108374</v>
      </c>
      <c r="W149" s="471">
        <v>1314826.6859313555</v>
      </c>
      <c r="X149" s="471">
        <v>1295124.3720633669</v>
      </c>
      <c r="Y149" s="471">
        <v>1274972.0201528957</v>
      </c>
      <c r="Z149" s="471">
        <v>1254359.3504814764</v>
      </c>
      <c r="AA149" s="471">
        <v>1233275.848522468</v>
      </c>
      <c r="AB149" s="471">
        <v>1211710.7595775917</v>
      </c>
      <c r="AC149" s="471">
        <v>1189653.0832909571</v>
      </c>
      <c r="AD149" s="471">
        <v>1167091.5680377795</v>
      </c>
      <c r="AE149" s="471">
        <v>1144014.7051849235</v>
      </c>
      <c r="AF149" s="471">
        <v>1120410.7232203467</v>
      </c>
      <c r="AG149" s="471">
        <v>1096267.5817484495</v>
      </c>
      <c r="AH149" s="471">
        <v>1071572.9653482677</v>
      </c>
      <c r="AI149" s="471">
        <v>1046314.2772913728</v>
      </c>
      <c r="AJ149" s="471">
        <v>1020478.6331162794</v>
      </c>
      <c r="AK149" s="471">
        <v>994052.85405607859</v>
      </c>
      <c r="AL149" s="471">
        <v>967023.46031594637</v>
      </c>
      <c r="AM149" s="471">
        <v>939376.66419709858</v>
      </c>
      <c r="AN149" s="471">
        <v>911098.3630636821</v>
      </c>
      <c r="AO149" s="471">
        <v>882174.13214901823</v>
      </c>
      <c r="AP149" s="471">
        <v>852589.2171975266</v>
      </c>
      <c r="AQ149" s="471">
        <v>822328.52693857648</v>
      </c>
      <c r="AR149" s="471">
        <v>791376.62538842694</v>
      </c>
      <c r="AS149" s="471">
        <v>759717.72397632827</v>
      </c>
      <c r="AT149" s="471">
        <v>727335.67349076981</v>
      </c>
      <c r="AU149" s="471">
        <v>694213.95584176353</v>
      </c>
      <c r="AV149" s="471">
        <v>660335.67563496355</v>
      </c>
      <c r="AW149" s="471">
        <v>625683.55155332224</v>
      </c>
      <c r="AX149" s="471">
        <v>590239.90754188702</v>
      </c>
      <c r="AY149" s="471">
        <v>553986.66379124171</v>
      </c>
      <c r="AZ149" s="471">
        <v>516905.32751499262</v>
      </c>
      <c r="BA149" s="471">
        <v>478976.98351659381</v>
      </c>
      <c r="BB149" s="471">
        <v>440182.28454070282</v>
      </c>
      <c r="BC149" s="471">
        <v>400501.44140414143</v>
      </c>
      <c r="BD149" s="471">
        <v>359914.21290143009</v>
      </c>
      <c r="BE149" s="471">
        <v>318399.89547974512</v>
      </c>
      <c r="BF149" s="471">
        <v>275937.31267803226</v>
      </c>
      <c r="BG149" s="471">
        <v>232504.80432489028</v>
      </c>
      <c r="BH149" s="471">
        <v>188080.21548971339</v>
      </c>
      <c r="BI149" s="471">
        <v>142640.88518145698</v>
      </c>
      <c r="BJ149" s="471">
        <v>96163.634789261952</v>
      </c>
      <c r="BK149" s="471">
        <v>48624.756259040863</v>
      </c>
      <c r="BL149" s="616">
        <v>59904995.574123621</v>
      </c>
      <c r="BM149" s="270" t="s">
        <v>89</v>
      </c>
      <c r="BO149" s="472" t="s">
        <v>556</v>
      </c>
      <c r="BP149" s="465"/>
      <c r="BQ149" s="475">
        <f t="shared" ref="BQ149:BQ150" si="6">SUM(D149:O149)</f>
        <v>18474854.843480278</v>
      </c>
      <c r="BR149" s="465">
        <f t="shared" ref="BR149:BR150" si="7">SUM(P149:AA149)</f>
        <v>16092261.68461073</v>
      </c>
      <c r="BS149" s="475">
        <f t="shared" ref="BS149:BS150" si="8">SUM(AB149:AM149)</f>
        <v>12967967.275385091</v>
      </c>
      <c r="BT149" s="465">
        <f t="shared" ref="BT149:BT150" si="9">SUM(AN149:AY149)</f>
        <v>8871080.0165675059</v>
      </c>
      <c r="BU149" s="475">
        <f t="shared" ref="BU149:BU150" si="10">SUM(AZ149:BK149)</f>
        <v>3498831.7540800017</v>
      </c>
    </row>
    <row r="150" spans="2:73" hidden="1" outlineLevel="1">
      <c r="B150" s="614" t="s">
        <v>555</v>
      </c>
      <c r="C150" s="464"/>
      <c r="D150" s="468">
        <v>561595.53047679015</v>
      </c>
      <c r="E150" s="468">
        <v>574423.43256464577</v>
      </c>
      <c r="F150" s="468">
        <v>587544.34815251222</v>
      </c>
      <c r="G150" s="468">
        <v>600964.9702218771</v>
      </c>
      <c r="H150" s="468">
        <v>614692.14463455835</v>
      </c>
      <c r="I150" s="468">
        <v>628732.87362478301</v>
      </c>
      <c r="J150" s="468">
        <v>643094.31937102554</v>
      </c>
      <c r="K150" s="468">
        <v>657783.8076494378</v>
      </c>
      <c r="L150" s="468">
        <v>672808.83157072845</v>
      </c>
      <c r="M150" s="468">
        <v>688177.0554024002</v>
      </c>
      <c r="N150" s="468">
        <v>703896.31847829372</v>
      </c>
      <c r="O150" s="468">
        <v>719974.63919743407</v>
      </c>
      <c r="P150" s="468">
        <v>736420.21911421604</v>
      </c>
      <c r="Q150" s="468">
        <v>753241.44712202088</v>
      </c>
      <c r="R150" s="468">
        <v>770446.90373239038</v>
      </c>
      <c r="S150" s="468">
        <v>788045.36545194802</v>
      </c>
      <c r="T150" s="468">
        <v>806045.80925929709</v>
      </c>
      <c r="U150" s="468">
        <v>824457.41718417848</v>
      </c>
      <c r="V150" s="468">
        <v>843289.58099122648</v>
      </c>
      <c r="W150" s="468">
        <v>862551.9069707084</v>
      </c>
      <c r="X150" s="468">
        <v>882254.22083869693</v>
      </c>
      <c r="Y150" s="468">
        <v>902406.57274916815</v>
      </c>
      <c r="Z150" s="468">
        <v>923019.24242058746</v>
      </c>
      <c r="AA150" s="468">
        <v>944102.74437959585</v>
      </c>
      <c r="AB150" s="468">
        <v>965667.83332447219</v>
      </c>
      <c r="AC150" s="468">
        <v>987725.50961110671</v>
      </c>
      <c r="AD150" s="468">
        <v>1010287.0248642843</v>
      </c>
      <c r="AE150" s="468">
        <v>1033363.8877171404</v>
      </c>
      <c r="AF150" s="468">
        <v>1056967.8696817171</v>
      </c>
      <c r="AG150" s="468">
        <v>1081111.0111536144</v>
      </c>
      <c r="AH150" s="468">
        <v>1105805.6275537962</v>
      </c>
      <c r="AI150" s="468">
        <v>1131064.315610691</v>
      </c>
      <c r="AJ150" s="468">
        <v>1156899.9597857846</v>
      </c>
      <c r="AK150" s="468">
        <v>1183325.7388459854</v>
      </c>
      <c r="AL150" s="468">
        <v>1210355.1325861174</v>
      </c>
      <c r="AM150" s="468">
        <v>1238001.9287049654</v>
      </c>
      <c r="AN150" s="468">
        <v>1266280.2298383818</v>
      </c>
      <c r="AO150" s="468">
        <v>1295204.4607530455</v>
      </c>
      <c r="AP150" s="468">
        <v>1324789.3757045371</v>
      </c>
      <c r="AQ150" s="468">
        <v>1355050.0659634874</v>
      </c>
      <c r="AR150" s="468">
        <v>1386001.9675136369</v>
      </c>
      <c r="AS150" s="468">
        <v>1417660.8689257356</v>
      </c>
      <c r="AT150" s="468">
        <v>1450042.9194112942</v>
      </c>
      <c r="AU150" s="468">
        <v>1483164.6370603004</v>
      </c>
      <c r="AV150" s="468">
        <v>1517042.9172671004</v>
      </c>
      <c r="AW150" s="468">
        <v>1551695.0413487416</v>
      </c>
      <c r="AX150" s="468">
        <v>1587138.685360177</v>
      </c>
      <c r="AY150" s="468">
        <v>1623391.9291108223</v>
      </c>
      <c r="AZ150" s="468">
        <v>1660473.2653870713</v>
      </c>
      <c r="BA150" s="468">
        <v>1698401.6093854699</v>
      </c>
      <c r="BB150" s="468">
        <v>1737196.308361361</v>
      </c>
      <c r="BC150" s="468">
        <v>1776877.1514979224</v>
      </c>
      <c r="BD150" s="468">
        <v>1817464.3800006337</v>
      </c>
      <c r="BE150" s="468">
        <v>1858978.6974223186</v>
      </c>
      <c r="BF150" s="468">
        <v>1901441.2802240315</v>
      </c>
      <c r="BG150" s="468">
        <v>1944873.7885771736</v>
      </c>
      <c r="BH150" s="468">
        <v>1989298.3774123504</v>
      </c>
      <c r="BI150" s="468">
        <v>2034737.7077206068</v>
      </c>
      <c r="BJ150" s="468">
        <v>2081214.9581128019</v>
      </c>
      <c r="BK150" s="468">
        <v>2128753.836643023</v>
      </c>
      <c r="BL150" s="616">
        <v>70737720.000000224</v>
      </c>
      <c r="BO150" s="472" t="s">
        <v>555</v>
      </c>
      <c r="BP150" s="465"/>
      <c r="BQ150" s="475">
        <f t="shared" si="6"/>
        <v>7653688.2713444866</v>
      </c>
      <c r="BR150" s="465">
        <f t="shared" si="7"/>
        <v>10036281.430214036</v>
      </c>
      <c r="BS150" s="475">
        <f t="shared" si="8"/>
        <v>13160575.839439675</v>
      </c>
      <c r="BT150" s="465">
        <f t="shared" si="9"/>
        <v>17257463.098257262</v>
      </c>
      <c r="BU150" s="475">
        <f t="shared" si="10"/>
        <v>22629711.360744763</v>
      </c>
    </row>
    <row r="151" spans="2:73" hidden="1" outlineLevel="1">
      <c r="B151" s="614" t="s">
        <v>554</v>
      </c>
      <c r="C151" s="471">
        <v>70737720</v>
      </c>
      <c r="D151" s="471">
        <v>70176124.469523206</v>
      </c>
      <c r="E151" s="471">
        <v>69601701.03695856</v>
      </c>
      <c r="F151" s="471">
        <v>69014156.688806042</v>
      </c>
      <c r="G151" s="471">
        <v>68413191.718584165</v>
      </c>
      <c r="H151" s="471">
        <v>67798499.573949605</v>
      </c>
      <c r="I151" s="471">
        <v>67169766.700324818</v>
      </c>
      <c r="J151" s="471">
        <v>66526672.380953796</v>
      </c>
      <c r="K151" s="471">
        <v>65868888.573304355</v>
      </c>
      <c r="L151" s="471">
        <v>65196079.741733626</v>
      </c>
      <c r="M151" s="471">
        <v>64507902.686331227</v>
      </c>
      <c r="N151" s="471">
        <v>63804006.367852934</v>
      </c>
      <c r="O151" s="471">
        <v>63084031.728655502</v>
      </c>
      <c r="P151" s="471">
        <v>62347611.509541288</v>
      </c>
      <c r="Q151" s="471">
        <v>61594370.062419266</v>
      </c>
      <c r="R151" s="471">
        <v>60823923.158686876</v>
      </c>
      <c r="S151" s="471">
        <v>60035877.793234929</v>
      </c>
      <c r="T151" s="471">
        <v>59229831.983975634</v>
      </c>
      <c r="U151" s="471">
        <v>58405374.566791452</v>
      </c>
      <c r="V151" s="471">
        <v>57562084.985800229</v>
      </c>
      <c r="W151" s="471">
        <v>56699533.078829519</v>
      </c>
      <c r="X151" s="471">
        <v>55817278.857990824</v>
      </c>
      <c r="Y151" s="471">
        <v>54914872.285241656</v>
      </c>
      <c r="Z151" s="471">
        <v>53991853.042821072</v>
      </c>
      <c r="AA151" s="471">
        <v>53047750.298441477</v>
      </c>
      <c r="AB151" s="471">
        <v>52082082.465117007</v>
      </c>
      <c r="AC151" s="471">
        <v>51094356.9555059</v>
      </c>
      <c r="AD151" s="471">
        <v>50084069.930641614</v>
      </c>
      <c r="AE151" s="471">
        <v>49050706.042924471</v>
      </c>
      <c r="AF151" s="471">
        <v>47993738.173242755</v>
      </c>
      <c r="AG151" s="471">
        <v>46912627.162089139</v>
      </c>
      <c r="AH151" s="471">
        <v>45806821.534535341</v>
      </c>
      <c r="AI151" s="471">
        <v>44675757.218924649</v>
      </c>
      <c r="AJ151" s="471">
        <v>43518857.259138867</v>
      </c>
      <c r="AK151" s="471">
        <v>42335531.520292878</v>
      </c>
      <c r="AL151" s="471">
        <v>41125176.387706764</v>
      </c>
      <c r="AM151" s="471">
        <v>39887174.459001802</v>
      </c>
      <c r="AN151" s="471">
        <v>38620894.229163423</v>
      </c>
      <c r="AO151" s="471">
        <v>37325689.768410377</v>
      </c>
      <c r="AP151" s="471">
        <v>36000900.392705843</v>
      </c>
      <c r="AQ151" s="471">
        <v>34645850.326742359</v>
      </c>
      <c r="AR151" s="471">
        <v>33259848.359228723</v>
      </c>
      <c r="AS151" s="471">
        <v>31842187.490302987</v>
      </c>
      <c r="AT151" s="471">
        <v>30392144.570891693</v>
      </c>
      <c r="AU151" s="471">
        <v>28908979.933831394</v>
      </c>
      <c r="AV151" s="471">
        <v>27391937.016564295</v>
      </c>
      <c r="AW151" s="471">
        <v>25840241.975215554</v>
      </c>
      <c r="AX151" s="471">
        <v>24253103.289855376</v>
      </c>
      <c r="AY151" s="471">
        <v>22629711.360744555</v>
      </c>
      <c r="AZ151" s="471">
        <v>20969238.095357485</v>
      </c>
      <c r="BA151" s="471">
        <v>19270836.485972017</v>
      </c>
      <c r="BB151" s="471">
        <v>17533640.177610654</v>
      </c>
      <c r="BC151" s="471">
        <v>15756763.026112732</v>
      </c>
      <c r="BD151" s="471">
        <v>13939298.646112097</v>
      </c>
      <c r="BE151" s="471">
        <v>12080319.948689779</v>
      </c>
      <c r="BF151" s="471">
        <v>10178878.668465748</v>
      </c>
      <c r="BG151" s="471">
        <v>8234004.8798885746</v>
      </c>
      <c r="BH151" s="471">
        <v>6244706.5024762247</v>
      </c>
      <c r="BI151" s="471">
        <v>4209968.7947556181</v>
      </c>
      <c r="BJ151" s="471">
        <v>2128753.8366428162</v>
      </c>
      <c r="BK151" s="471">
        <v>-2.0675361156463623E-7</v>
      </c>
      <c r="BL151" s="617"/>
      <c r="BO151" s="473" t="s">
        <v>554</v>
      </c>
      <c r="BP151" s="489">
        <f>C151</f>
        <v>70737720</v>
      </c>
      <c r="BQ151" s="490">
        <f>O151</f>
        <v>63084031.728655502</v>
      </c>
      <c r="BR151" s="489">
        <f>AA151</f>
        <v>53047750.298441477</v>
      </c>
      <c r="BS151" s="490">
        <f>AM151</f>
        <v>39887174.459001802</v>
      </c>
      <c r="BT151" s="489">
        <f>AY151</f>
        <v>22629711.360744555</v>
      </c>
      <c r="BU151" s="490">
        <f>BK151</f>
        <v>-2.0675361156463623E-7</v>
      </c>
    </row>
    <row r="152" spans="2:73" hidden="1" outlineLevel="1">
      <c r="B152" s="618" t="s">
        <v>103</v>
      </c>
      <c r="C152" s="464"/>
      <c r="D152" s="464"/>
      <c r="E152" s="464"/>
      <c r="F152" s="464"/>
      <c r="G152" s="464"/>
      <c r="H152" s="464"/>
      <c r="I152" s="464"/>
      <c r="J152" s="464"/>
      <c r="K152" s="464"/>
      <c r="L152" s="464"/>
      <c r="M152" s="464"/>
      <c r="N152" s="464"/>
      <c r="O152" s="471">
        <v>18474854.843480278</v>
      </c>
      <c r="P152" s="464"/>
      <c r="Q152" s="464"/>
      <c r="R152" s="464"/>
      <c r="S152" s="464"/>
      <c r="T152" s="464"/>
      <c r="U152" s="464"/>
      <c r="V152" s="464"/>
      <c r="W152" s="464"/>
      <c r="X152" s="464"/>
      <c r="Y152" s="464"/>
      <c r="Z152" s="464"/>
      <c r="AA152" s="471">
        <v>16092261.68461073</v>
      </c>
      <c r="AB152" s="464"/>
      <c r="AC152" s="464"/>
      <c r="AD152" s="464"/>
      <c r="AE152" s="464"/>
      <c r="AF152" s="464"/>
      <c r="AG152" s="464"/>
      <c r="AH152" s="464"/>
      <c r="AI152" s="464"/>
      <c r="AJ152" s="464"/>
      <c r="AK152" s="464"/>
      <c r="AL152" s="464"/>
      <c r="AM152" s="471">
        <v>12967967.275385091</v>
      </c>
      <c r="AN152" s="464"/>
      <c r="AO152" s="464"/>
      <c r="AP152" s="464"/>
      <c r="AQ152" s="464"/>
      <c r="AR152" s="464"/>
      <c r="AS152" s="464"/>
      <c r="AT152" s="464"/>
      <c r="AU152" s="464"/>
      <c r="AV152" s="464"/>
      <c r="AW152" s="464"/>
      <c r="AX152" s="464"/>
      <c r="AY152" s="471">
        <v>8871080.0165675059</v>
      </c>
      <c r="AZ152" s="464"/>
      <c r="BA152" s="464"/>
      <c r="BB152" s="464"/>
      <c r="BC152" s="464"/>
      <c r="BD152" s="464"/>
      <c r="BE152" s="464"/>
      <c r="BF152" s="464"/>
      <c r="BG152" s="464"/>
      <c r="BH152" s="464"/>
      <c r="BI152" s="464"/>
      <c r="BJ152" s="464"/>
      <c r="BK152" s="471">
        <v>3498831.7540800017</v>
      </c>
      <c r="BL152" s="617"/>
    </row>
    <row r="153" spans="2:73" hidden="1" outlineLevel="1">
      <c r="B153" s="618" t="s">
        <v>104</v>
      </c>
      <c r="C153" s="464"/>
      <c r="D153" s="464"/>
      <c r="E153" s="464"/>
      <c r="F153" s="464"/>
      <c r="G153" s="464"/>
      <c r="H153" s="464"/>
      <c r="I153" s="464"/>
      <c r="J153" s="464"/>
      <c r="K153" s="464"/>
      <c r="L153" s="464"/>
      <c r="M153" s="464"/>
      <c r="N153" s="464"/>
      <c r="O153" s="471">
        <v>7653688.2713444866</v>
      </c>
      <c r="P153" s="464"/>
      <c r="Q153" s="464"/>
      <c r="R153" s="464"/>
      <c r="S153" s="464"/>
      <c r="T153" s="464"/>
      <c r="U153" s="464"/>
      <c r="V153" s="464"/>
      <c r="W153" s="464"/>
      <c r="X153" s="464"/>
      <c r="Y153" s="464"/>
      <c r="Z153" s="464"/>
      <c r="AA153" s="471">
        <v>10036281.430214036</v>
      </c>
      <c r="AB153" s="464"/>
      <c r="AC153" s="464"/>
      <c r="AD153" s="464"/>
      <c r="AE153" s="464"/>
      <c r="AF153" s="464"/>
      <c r="AG153" s="464"/>
      <c r="AH153" s="464"/>
      <c r="AI153" s="464"/>
      <c r="AJ153" s="464"/>
      <c r="AK153" s="464"/>
      <c r="AL153" s="464"/>
      <c r="AM153" s="471">
        <v>13160575.839439675</v>
      </c>
      <c r="AN153" s="464"/>
      <c r="AO153" s="464"/>
      <c r="AP153" s="464"/>
      <c r="AQ153" s="464"/>
      <c r="AR153" s="464"/>
      <c r="AS153" s="464"/>
      <c r="AT153" s="464"/>
      <c r="AU153" s="464"/>
      <c r="AV153" s="464"/>
      <c r="AW153" s="464"/>
      <c r="AX153" s="464"/>
      <c r="AY153" s="471">
        <v>17257463.098257262</v>
      </c>
      <c r="AZ153" s="464"/>
      <c r="BA153" s="464"/>
      <c r="BB153" s="464"/>
      <c r="BC153" s="464"/>
      <c r="BD153" s="464"/>
      <c r="BE153" s="464"/>
      <c r="BF153" s="464"/>
      <c r="BG153" s="464"/>
      <c r="BH153" s="464"/>
      <c r="BI153" s="464"/>
      <c r="BJ153" s="464"/>
      <c r="BK153" s="471">
        <v>22629711.360744763</v>
      </c>
      <c r="BL153" s="617"/>
    </row>
    <row r="154" spans="2:73" collapsed="1"/>
  </sheetData>
  <sheetProtection sheet="1" objects="1" scenarios="1" formatCells="0" formatColumns="0" formatRows="0" insertColumns="0" insertRows="0" insertHyperlinks="0" deleteColumns="0" deleteRows="0" sort="0" autoFilter="0" pivotTables="0"/>
  <mergeCells count="1">
    <mergeCell ref="B2:C2"/>
  </mergeCells>
  <pageMargins left="0.7" right="0.7" top="0.75" bottom="0.75" header="0.3" footer="0.3"/>
  <pageSetup paperSize="9" orientation="portrait" r:id="rId1"/>
  <ignoredErrors>
    <ignoredError sqref="BQ148:BU150" formulaRange="1"/>
  </ignoredErrors>
  <legacyDrawing r:id="rId2"/>
</worksheet>
</file>

<file path=xl/worksheets/sheet5.xml><?xml version="1.0" encoding="utf-8"?>
<worksheet xmlns="http://schemas.openxmlformats.org/spreadsheetml/2006/main" xmlns:r="http://schemas.openxmlformats.org/officeDocument/2006/relationships">
  <sheetPr>
    <tabColor theme="2" tint="-0.249977111117893"/>
  </sheetPr>
  <dimension ref="B1:AJ77"/>
  <sheetViews>
    <sheetView showGridLines="0" topLeftCell="A10" zoomScale="90" zoomScaleNormal="90" workbookViewId="0">
      <selection activeCell="J21" sqref="J21"/>
    </sheetView>
  </sheetViews>
  <sheetFormatPr baseColWidth="10" defaultRowHeight="15" outlineLevelRow="1" outlineLevelCol="1"/>
  <cols>
    <col min="1" max="1" width="1.85546875" style="255" customWidth="1"/>
    <col min="2" max="2" width="39.85546875" style="255" customWidth="1"/>
    <col min="3" max="3" width="16.28515625" style="255" customWidth="1"/>
    <col min="4" max="4" width="14.7109375" style="255" customWidth="1"/>
    <col min="5" max="5" width="16.42578125" style="255" customWidth="1"/>
    <col min="6" max="6" width="15.5703125" style="255" customWidth="1"/>
    <col min="7" max="7" width="16" style="255" customWidth="1"/>
    <col min="8" max="8" width="15.5703125" style="255" customWidth="1"/>
    <col min="9" max="9" width="17" style="255" customWidth="1"/>
    <col min="10" max="10" width="13" style="255" bestFit="1" customWidth="1"/>
    <col min="11" max="11" width="29.5703125" style="255" hidden="1" customWidth="1" outlineLevel="1"/>
    <col min="12" max="12" width="60.140625" style="255" hidden="1" customWidth="1" outlineLevel="1"/>
    <col min="13" max="14" width="15.5703125" style="255" hidden="1" customWidth="1" outlineLevel="1"/>
    <col min="15" max="15" width="14.42578125" style="255" hidden="1" customWidth="1" outlineLevel="1"/>
    <col min="16" max="16" width="15.5703125" style="279" hidden="1" customWidth="1" outlineLevel="1"/>
    <col min="17" max="17" width="15.5703125" style="255" hidden="1" customWidth="1" outlineLevel="1"/>
    <col min="18" max="18" width="12" style="255" customWidth="1" collapsed="1"/>
    <col min="19" max="19" width="13" style="255" customWidth="1"/>
    <col min="20" max="20" width="39.85546875" style="255" bestFit="1" customWidth="1"/>
    <col min="21" max="21" width="14.140625" style="255" bestFit="1" customWidth="1"/>
    <col min="22" max="29" width="15.5703125" style="255" bestFit="1" customWidth="1"/>
    <col min="30" max="30" width="17.5703125" style="255" bestFit="1" customWidth="1"/>
    <col min="31" max="31" width="15.5703125" style="255" bestFit="1" customWidth="1"/>
    <col min="32" max="32" width="17.28515625" style="255" bestFit="1" customWidth="1"/>
    <col min="33" max="33" width="16.5703125" style="255" bestFit="1" customWidth="1"/>
    <col min="34" max="34" width="16.85546875" style="255" bestFit="1" customWidth="1"/>
    <col min="35" max="16384" width="11.42578125" style="255"/>
  </cols>
  <sheetData>
    <row r="1" spans="2:36" hidden="1" outlineLevel="1"/>
    <row r="2" spans="2:36" hidden="1" outlineLevel="1">
      <c r="B2" s="703" t="s">
        <v>118</v>
      </c>
      <c r="C2" s="704"/>
      <c r="L2" s="327" t="s">
        <v>219</v>
      </c>
      <c r="M2" s="328"/>
      <c r="P2" s="255"/>
      <c r="X2" s="279"/>
    </row>
    <row r="3" spans="2:36" hidden="1" outlineLevel="1">
      <c r="B3" s="329"/>
      <c r="C3" s="330"/>
      <c r="L3" s="329"/>
      <c r="M3" s="330"/>
      <c r="P3" s="255"/>
      <c r="X3" s="279"/>
    </row>
    <row r="4" spans="2:36" hidden="1" outlineLevel="1">
      <c r="B4" s="331" t="s">
        <v>493</v>
      </c>
      <c r="C4" s="332" t="s">
        <v>120</v>
      </c>
      <c r="L4" s="333" t="s">
        <v>119</v>
      </c>
      <c r="M4" s="334" t="s">
        <v>120</v>
      </c>
      <c r="N4" s="334" t="s">
        <v>450</v>
      </c>
      <c r="O4" s="334" t="s">
        <v>451</v>
      </c>
      <c r="P4" s="334" t="s">
        <v>452</v>
      </c>
      <c r="Q4" s="334" t="s">
        <v>453</v>
      </c>
      <c r="X4" s="279"/>
    </row>
    <row r="5" spans="2:36" hidden="1" outlineLevel="1">
      <c r="B5" s="335" t="s">
        <v>121</v>
      </c>
      <c r="C5" s="336">
        <f>M9</f>
        <v>71123764.065853238</v>
      </c>
      <c r="L5" s="337" t="s">
        <v>213</v>
      </c>
      <c r="M5" s="338">
        <v>510000</v>
      </c>
      <c r="N5" s="338">
        <v>525759</v>
      </c>
      <c r="O5" s="338">
        <v>541268.8905000001</v>
      </c>
      <c r="P5" s="338">
        <v>556532.67321210005</v>
      </c>
      <c r="Q5" s="338">
        <v>571559.05538882676</v>
      </c>
      <c r="X5" s="339"/>
    </row>
    <row r="6" spans="2:36" hidden="1" outlineLevel="1">
      <c r="B6" s="340" t="s">
        <v>122</v>
      </c>
      <c r="C6" s="303">
        <f>M18</f>
        <v>148863300</v>
      </c>
      <c r="L6" s="341" t="s">
        <v>220</v>
      </c>
      <c r="M6" s="303">
        <v>16981456.373545546</v>
      </c>
      <c r="N6" s="303">
        <v>18948158.820355546</v>
      </c>
      <c r="O6" s="303">
        <v>19662841.731338874</v>
      </c>
      <c r="P6" s="303">
        <v>20373423.494597625</v>
      </c>
      <c r="Q6" s="303">
        <v>21091975.705231789</v>
      </c>
      <c r="X6" s="279"/>
    </row>
    <row r="7" spans="2:36" hidden="1" outlineLevel="1">
      <c r="B7" s="335" t="s">
        <v>123</v>
      </c>
      <c r="C7" s="336">
        <f>M24</f>
        <v>3796734.8693146855</v>
      </c>
      <c r="L7" s="342" t="s">
        <v>221</v>
      </c>
      <c r="M7" s="338">
        <v>48180000</v>
      </c>
      <c r="N7" s="338">
        <v>49668762</v>
      </c>
      <c r="O7" s="338">
        <v>51133990.479000002</v>
      </c>
      <c r="P7" s="338">
        <v>52575969.010507807</v>
      </c>
      <c r="Q7" s="338">
        <v>53995520.173791513</v>
      </c>
      <c r="X7" s="279"/>
    </row>
    <row r="8" spans="2:36" hidden="1" outlineLevel="1">
      <c r="B8" s="340" t="s">
        <v>124</v>
      </c>
      <c r="C8" s="303">
        <f>M31</f>
        <v>58129778.267008245</v>
      </c>
      <c r="L8" s="340" t="s">
        <v>222</v>
      </c>
      <c r="M8" s="303">
        <v>5452307.692307692</v>
      </c>
      <c r="N8" s="303">
        <v>5521457.9424798973</v>
      </c>
      <c r="O8" s="303">
        <v>5799140.6257449202</v>
      </c>
      <c r="P8" s="303">
        <v>6080712.9374726359</v>
      </c>
      <c r="Q8" s="303">
        <v>6366115.2782441182</v>
      </c>
      <c r="X8" s="279"/>
    </row>
    <row r="9" spans="2:36" hidden="1" outlineLevel="1">
      <c r="B9" s="343" t="s">
        <v>62</v>
      </c>
      <c r="C9" s="344">
        <f>SUM(C5:C8)</f>
        <v>281913577.20217615</v>
      </c>
      <c r="L9" s="345" t="s">
        <v>62</v>
      </c>
      <c r="M9" s="346">
        <v>71123764.065853238</v>
      </c>
      <c r="N9" s="346">
        <v>74664137.762835443</v>
      </c>
      <c r="O9" s="346">
        <v>77137241.726583794</v>
      </c>
      <c r="P9" s="346">
        <v>79586638.115790173</v>
      </c>
      <c r="Q9" s="346">
        <v>82025170.212656245</v>
      </c>
      <c r="T9" s="279"/>
    </row>
    <row r="10" spans="2:36" collapsed="1">
      <c r="B10" s="347" t="s">
        <v>58</v>
      </c>
    </row>
    <row r="11" spans="2:36">
      <c r="T11" s="279"/>
    </row>
    <row r="12" spans="2:36">
      <c r="B12" s="491" t="s">
        <v>492</v>
      </c>
      <c r="C12" s="491"/>
      <c r="D12" s="491"/>
      <c r="E12" s="491"/>
      <c r="F12" s="491"/>
      <c r="G12" s="491"/>
      <c r="H12" s="491"/>
      <c r="L12" s="327" t="s">
        <v>312</v>
      </c>
      <c r="M12" s="328"/>
      <c r="T12" s="279"/>
    </row>
    <row r="13" spans="2:36">
      <c r="B13" s="329"/>
      <c r="C13" s="330"/>
      <c r="D13" s="523"/>
      <c r="E13" s="523"/>
      <c r="F13" s="523"/>
      <c r="G13" s="523"/>
      <c r="H13" s="523"/>
      <c r="L13" s="329"/>
      <c r="M13" s="330"/>
      <c r="T13" s="623"/>
      <c r="U13" s="622" t="s">
        <v>130</v>
      </c>
      <c r="V13" s="622" t="s">
        <v>131</v>
      </c>
      <c r="W13" s="622" t="s">
        <v>132</v>
      </c>
      <c r="X13" s="622" t="s">
        <v>133</v>
      </c>
      <c r="Y13" s="622" t="s">
        <v>134</v>
      </c>
      <c r="Z13" s="622" t="s">
        <v>135</v>
      </c>
      <c r="AA13" s="622" t="s">
        <v>136</v>
      </c>
      <c r="AB13" s="622" t="s">
        <v>137</v>
      </c>
      <c r="AC13" s="622" t="s">
        <v>138</v>
      </c>
      <c r="AD13" s="622" t="s">
        <v>139</v>
      </c>
      <c r="AE13" s="622" t="s">
        <v>140</v>
      </c>
      <c r="AF13" s="622" t="s">
        <v>141</v>
      </c>
      <c r="AG13" s="622" t="s">
        <v>142</v>
      </c>
      <c r="AH13" s="622" t="s">
        <v>539</v>
      </c>
    </row>
    <row r="14" spans="2:36">
      <c r="B14" s="620" t="s">
        <v>493</v>
      </c>
      <c r="C14" s="620" t="s">
        <v>616</v>
      </c>
      <c r="D14" s="532" t="s">
        <v>617</v>
      </c>
      <c r="E14" s="533" t="s">
        <v>618</v>
      </c>
      <c r="F14" s="533" t="s">
        <v>619</v>
      </c>
      <c r="G14" s="533" t="s">
        <v>620</v>
      </c>
      <c r="H14" s="533" t="s">
        <v>621</v>
      </c>
      <c r="L14" s="333" t="s">
        <v>119</v>
      </c>
      <c r="M14" s="334" t="s">
        <v>120</v>
      </c>
      <c r="N14" s="334" t="s">
        <v>450</v>
      </c>
      <c r="O14" s="334" t="s">
        <v>451</v>
      </c>
      <c r="P14" s="334" t="s">
        <v>452</v>
      </c>
      <c r="Q14" s="334" t="s">
        <v>453</v>
      </c>
      <c r="T14" s="621" t="s">
        <v>493</v>
      </c>
      <c r="U14" s="620"/>
      <c r="V14" s="620"/>
      <c r="W14" s="620"/>
      <c r="X14" s="620"/>
      <c r="Y14" s="620"/>
      <c r="Z14" s="620"/>
      <c r="AA14" s="620"/>
      <c r="AB14" s="620"/>
      <c r="AC14" s="620"/>
      <c r="AD14" s="620"/>
      <c r="AE14" s="620"/>
      <c r="AF14" s="620"/>
      <c r="AG14" s="620"/>
      <c r="AH14" s="620"/>
      <c r="AJ14" s="290" t="s">
        <v>540</v>
      </c>
    </row>
    <row r="15" spans="2:36">
      <c r="B15" s="484" t="s">
        <v>217</v>
      </c>
      <c r="C15" s="484">
        <f>M47+M48+M49+M50+M51+M52+O63+O77</f>
        <v>34637907.018054858</v>
      </c>
      <c r="D15" s="484">
        <v>0</v>
      </c>
      <c r="E15" s="484">
        <v>0</v>
      </c>
      <c r="F15" s="483">
        <v>0</v>
      </c>
      <c r="G15" s="483">
        <v>0</v>
      </c>
      <c r="H15" s="484">
        <v>0</v>
      </c>
      <c r="L15" s="342" t="s">
        <v>223</v>
      </c>
      <c r="M15" s="338">
        <v>1368500</v>
      </c>
      <c r="N15" s="338">
        <v>1410786.65</v>
      </c>
      <c r="O15" s="338">
        <v>1452404.8561750001</v>
      </c>
      <c r="P15" s="338">
        <v>1493362.6731191352</v>
      </c>
      <c r="Q15" s="338">
        <v>1533683.4652933518</v>
      </c>
      <c r="T15" s="484" t="s">
        <v>217</v>
      </c>
      <c r="U15" s="484"/>
      <c r="V15" s="484">
        <f>$C$15/12</f>
        <v>2886492.2515045716</v>
      </c>
      <c r="W15" s="484">
        <f t="shared" ref="W15:AG15" si="0">$C$15/12</f>
        <v>2886492.2515045716</v>
      </c>
      <c r="X15" s="484">
        <f t="shared" si="0"/>
        <v>2886492.2515045716</v>
      </c>
      <c r="Y15" s="484">
        <f t="shared" si="0"/>
        <v>2886492.2515045716</v>
      </c>
      <c r="Z15" s="484">
        <f t="shared" si="0"/>
        <v>2886492.2515045716</v>
      </c>
      <c r="AA15" s="484">
        <f t="shared" si="0"/>
        <v>2886492.2515045716</v>
      </c>
      <c r="AB15" s="484">
        <f t="shared" si="0"/>
        <v>2886492.2515045716</v>
      </c>
      <c r="AC15" s="484">
        <f t="shared" si="0"/>
        <v>2886492.2515045716</v>
      </c>
      <c r="AD15" s="484">
        <f t="shared" si="0"/>
        <v>2886492.2515045716</v>
      </c>
      <c r="AE15" s="484">
        <f t="shared" si="0"/>
        <v>2886492.2515045716</v>
      </c>
      <c r="AF15" s="484">
        <f t="shared" si="0"/>
        <v>2886492.2515045716</v>
      </c>
      <c r="AG15" s="484">
        <f t="shared" si="0"/>
        <v>2886492.2515045716</v>
      </c>
      <c r="AH15" s="484">
        <f>SUM(V15:AG15)</f>
        <v>34637907.01805485</v>
      </c>
      <c r="AJ15" s="257">
        <f>AH15-C15</f>
        <v>0</v>
      </c>
    </row>
    <row r="16" spans="2:36">
      <c r="B16" s="482" t="s">
        <v>218</v>
      </c>
      <c r="C16" s="483">
        <f>+M45+M46</f>
        <v>23491871.248953395</v>
      </c>
      <c r="D16" s="484">
        <v>0</v>
      </c>
      <c r="E16" s="483">
        <v>0</v>
      </c>
      <c r="F16" s="484">
        <v>0</v>
      </c>
      <c r="G16" s="483">
        <v>0</v>
      </c>
      <c r="H16" s="484">
        <v>0</v>
      </c>
      <c r="L16" s="340" t="s">
        <v>224</v>
      </c>
      <c r="M16" s="303">
        <v>5136000</v>
      </c>
      <c r="N16" s="303">
        <v>5294702.3999999994</v>
      </c>
      <c r="O16" s="303">
        <v>5450896.1207999997</v>
      </c>
      <c r="P16" s="303">
        <v>5604611.3914065594</v>
      </c>
      <c r="Q16" s="303">
        <v>5755935.898974536</v>
      </c>
      <c r="T16" s="484" t="s">
        <v>218</v>
      </c>
      <c r="U16" s="484"/>
      <c r="V16" s="484">
        <f>$C$16/12</f>
        <v>1957655.9374127828</v>
      </c>
      <c r="W16" s="484">
        <f t="shared" ref="W16:AG16" si="1">$C$16/12</f>
        <v>1957655.9374127828</v>
      </c>
      <c r="X16" s="484">
        <f t="shared" si="1"/>
        <v>1957655.9374127828</v>
      </c>
      <c r="Y16" s="484">
        <f t="shared" si="1"/>
        <v>1957655.9374127828</v>
      </c>
      <c r="Z16" s="484">
        <f t="shared" si="1"/>
        <v>1957655.9374127828</v>
      </c>
      <c r="AA16" s="484">
        <f t="shared" si="1"/>
        <v>1957655.9374127828</v>
      </c>
      <c r="AB16" s="484">
        <f t="shared" si="1"/>
        <v>1957655.9374127828</v>
      </c>
      <c r="AC16" s="484">
        <f t="shared" si="1"/>
        <v>1957655.9374127828</v>
      </c>
      <c r="AD16" s="484">
        <f t="shared" si="1"/>
        <v>1957655.9374127828</v>
      </c>
      <c r="AE16" s="484">
        <f t="shared" si="1"/>
        <v>1957655.9374127828</v>
      </c>
      <c r="AF16" s="484">
        <f t="shared" si="1"/>
        <v>1957655.9374127828</v>
      </c>
      <c r="AG16" s="484">
        <f t="shared" si="1"/>
        <v>1957655.9374127828</v>
      </c>
      <c r="AH16" s="484">
        <f t="shared" ref="AH16:AH21" si="2">SUM(V16:AG16)</f>
        <v>23491871.248953398</v>
      </c>
      <c r="AJ16" s="257">
        <f t="shared" ref="AJ16:AJ21" si="3">AH16-C16</f>
        <v>0</v>
      </c>
    </row>
    <row r="17" spans="2:36">
      <c r="B17" s="482" t="s">
        <v>214</v>
      </c>
      <c r="C17" s="483">
        <f>M17</f>
        <v>142358800</v>
      </c>
      <c r="D17" s="484">
        <v>0</v>
      </c>
      <c r="E17" s="483">
        <f>N17</f>
        <v>152305578.36000001</v>
      </c>
      <c r="F17" s="484">
        <f t="shared" ref="F17:H17" si="4">O17</f>
        <v>17979042.181620002</v>
      </c>
      <c r="G17" s="483">
        <f t="shared" si="4"/>
        <v>218097853.48798913</v>
      </c>
      <c r="H17" s="484">
        <f t="shared" si="4"/>
        <v>341043370.29179347</v>
      </c>
      <c r="L17" s="342" t="s">
        <v>225</v>
      </c>
      <c r="M17" s="338">
        <v>142358800</v>
      </c>
      <c r="N17" s="338">
        <v>152305578.36000001</v>
      </c>
      <c r="O17" s="338">
        <v>17979042.181620002</v>
      </c>
      <c r="P17" s="338">
        <v>218097853.48798913</v>
      </c>
      <c r="Q17" s="338">
        <v>341043370.29179347</v>
      </c>
      <c r="T17" s="484" t="s">
        <v>214</v>
      </c>
      <c r="U17" s="484"/>
      <c r="V17" s="484">
        <f>$C$17/12</f>
        <v>11863233.333333334</v>
      </c>
      <c r="W17" s="484">
        <f t="shared" ref="W17:AG17" si="5">$C$17/12</f>
        <v>11863233.333333334</v>
      </c>
      <c r="X17" s="484">
        <f t="shared" si="5"/>
        <v>11863233.333333334</v>
      </c>
      <c r="Y17" s="484">
        <f t="shared" si="5"/>
        <v>11863233.333333334</v>
      </c>
      <c r="Z17" s="484">
        <f t="shared" si="5"/>
        <v>11863233.333333334</v>
      </c>
      <c r="AA17" s="484">
        <f t="shared" si="5"/>
        <v>11863233.333333334</v>
      </c>
      <c r="AB17" s="484">
        <f t="shared" si="5"/>
        <v>11863233.333333334</v>
      </c>
      <c r="AC17" s="484">
        <f t="shared" si="5"/>
        <v>11863233.333333334</v>
      </c>
      <c r="AD17" s="484">
        <f t="shared" si="5"/>
        <v>11863233.333333334</v>
      </c>
      <c r="AE17" s="484">
        <f t="shared" si="5"/>
        <v>11863233.333333334</v>
      </c>
      <c r="AF17" s="484">
        <f t="shared" si="5"/>
        <v>11863233.333333334</v>
      </c>
      <c r="AG17" s="484">
        <f t="shared" si="5"/>
        <v>11863233.333333334</v>
      </c>
      <c r="AH17" s="484">
        <f t="shared" si="2"/>
        <v>142358799.99999997</v>
      </c>
      <c r="AJ17" s="257">
        <f t="shared" si="3"/>
        <v>0</v>
      </c>
    </row>
    <row r="18" spans="2:36">
      <c r="B18" s="482" t="s">
        <v>494</v>
      </c>
      <c r="C18" s="483">
        <f>M9</f>
        <v>71123764.065853238</v>
      </c>
      <c r="D18" s="484">
        <v>0</v>
      </c>
      <c r="E18" s="483">
        <f>N9</f>
        <v>74664137.762835443</v>
      </c>
      <c r="F18" s="484">
        <f t="shared" ref="F18:H18" si="6">O9</f>
        <v>77137241.726583794</v>
      </c>
      <c r="G18" s="483">
        <f t="shared" si="6"/>
        <v>79586638.115790173</v>
      </c>
      <c r="H18" s="484">
        <f t="shared" si="6"/>
        <v>82025170.212656245</v>
      </c>
      <c r="L18" s="345" t="s">
        <v>62</v>
      </c>
      <c r="M18" s="346">
        <v>148863300</v>
      </c>
      <c r="N18" s="346">
        <v>159011067.41000003</v>
      </c>
      <c r="O18" s="346">
        <v>24882343.158595003</v>
      </c>
      <c r="P18" s="346">
        <v>225195827.55251482</v>
      </c>
      <c r="Q18" s="346">
        <v>348332989.65606135</v>
      </c>
      <c r="T18" s="484" t="s">
        <v>494</v>
      </c>
      <c r="U18" s="484"/>
      <c r="V18" s="484">
        <f>$C$18/12</f>
        <v>5926980.3388211029</v>
      </c>
      <c r="W18" s="484">
        <f t="shared" ref="W18:AG18" si="7">$C$18/12</f>
        <v>5926980.3388211029</v>
      </c>
      <c r="X18" s="484">
        <f t="shared" si="7"/>
        <v>5926980.3388211029</v>
      </c>
      <c r="Y18" s="484">
        <f t="shared" si="7"/>
        <v>5926980.3388211029</v>
      </c>
      <c r="Z18" s="484">
        <f t="shared" si="7"/>
        <v>5926980.3388211029</v>
      </c>
      <c r="AA18" s="484">
        <f t="shared" si="7"/>
        <v>5926980.3388211029</v>
      </c>
      <c r="AB18" s="484">
        <f t="shared" si="7"/>
        <v>5926980.3388211029</v>
      </c>
      <c r="AC18" s="484">
        <f t="shared" si="7"/>
        <v>5926980.3388211029</v>
      </c>
      <c r="AD18" s="484">
        <f t="shared" si="7"/>
        <v>5926980.3388211029</v>
      </c>
      <c r="AE18" s="484">
        <f t="shared" si="7"/>
        <v>5926980.3388211029</v>
      </c>
      <c r="AF18" s="484">
        <f t="shared" si="7"/>
        <v>5926980.3388211029</v>
      </c>
      <c r="AG18" s="484">
        <f t="shared" si="7"/>
        <v>5926980.3388211029</v>
      </c>
      <c r="AH18" s="484">
        <f t="shared" si="2"/>
        <v>71123764.065853253</v>
      </c>
      <c r="AJ18" s="257">
        <f t="shared" si="3"/>
        <v>0</v>
      </c>
    </row>
    <row r="19" spans="2:36">
      <c r="B19" s="482" t="s">
        <v>495</v>
      </c>
      <c r="C19" s="483">
        <f>M15+M16</f>
        <v>6504500</v>
      </c>
      <c r="D19" s="484">
        <v>0</v>
      </c>
      <c r="E19" s="483">
        <f>N15+N16</f>
        <v>6705489.0499999989</v>
      </c>
      <c r="F19" s="484">
        <f t="shared" ref="F19:H19" si="8">O15+O16</f>
        <v>6903300.9769749995</v>
      </c>
      <c r="G19" s="483">
        <f t="shared" si="8"/>
        <v>7097974.0645256946</v>
      </c>
      <c r="H19" s="484">
        <f t="shared" si="8"/>
        <v>7289619.3642678875</v>
      </c>
      <c r="T19" s="484" t="s">
        <v>495</v>
      </c>
      <c r="U19" s="484"/>
      <c r="V19" s="484">
        <f>$C$19/12</f>
        <v>542041.66666666663</v>
      </c>
      <c r="W19" s="484">
        <f t="shared" ref="W19:AG19" si="9">$C$19/12</f>
        <v>542041.66666666663</v>
      </c>
      <c r="X19" s="484">
        <f t="shared" si="9"/>
        <v>542041.66666666663</v>
      </c>
      <c r="Y19" s="484">
        <f t="shared" si="9"/>
        <v>542041.66666666663</v>
      </c>
      <c r="Z19" s="484">
        <f t="shared" si="9"/>
        <v>542041.66666666663</v>
      </c>
      <c r="AA19" s="484">
        <f t="shared" si="9"/>
        <v>542041.66666666663</v>
      </c>
      <c r="AB19" s="484">
        <f t="shared" si="9"/>
        <v>542041.66666666663</v>
      </c>
      <c r="AC19" s="484">
        <f t="shared" si="9"/>
        <v>542041.66666666663</v>
      </c>
      <c r="AD19" s="484">
        <f t="shared" si="9"/>
        <v>542041.66666666663</v>
      </c>
      <c r="AE19" s="484">
        <f t="shared" si="9"/>
        <v>542041.66666666663</v>
      </c>
      <c r="AF19" s="484">
        <f t="shared" si="9"/>
        <v>542041.66666666663</v>
      </c>
      <c r="AG19" s="484">
        <f t="shared" si="9"/>
        <v>542041.66666666663</v>
      </c>
      <c r="AH19" s="484">
        <f t="shared" si="2"/>
        <v>6504500.0000000009</v>
      </c>
      <c r="AJ19" s="257">
        <f t="shared" si="3"/>
        <v>0</v>
      </c>
    </row>
    <row r="20" spans="2:36">
      <c r="B20" s="482" t="s">
        <v>496</v>
      </c>
      <c r="C20" s="483">
        <f>M24</f>
        <v>3796734.8693146855</v>
      </c>
      <c r="D20" s="484">
        <v>0</v>
      </c>
      <c r="E20" s="483">
        <v>0</v>
      </c>
      <c r="F20" s="484">
        <v>0</v>
      </c>
      <c r="G20" s="483">
        <v>0</v>
      </c>
      <c r="H20" s="484">
        <v>0</v>
      </c>
      <c r="L20" s="327" t="s">
        <v>226</v>
      </c>
      <c r="M20" s="328"/>
      <c r="T20" s="484" t="s">
        <v>496</v>
      </c>
      <c r="U20" s="484"/>
      <c r="V20" s="484">
        <f>$C$20/12</f>
        <v>316394.57244289044</v>
      </c>
      <c r="W20" s="484">
        <f t="shared" ref="W20:AG20" si="10">$C$20/12</f>
        <v>316394.57244289044</v>
      </c>
      <c r="X20" s="484">
        <f t="shared" si="10"/>
        <v>316394.57244289044</v>
      </c>
      <c r="Y20" s="484">
        <f t="shared" si="10"/>
        <v>316394.57244289044</v>
      </c>
      <c r="Z20" s="484">
        <f t="shared" si="10"/>
        <v>316394.57244289044</v>
      </c>
      <c r="AA20" s="484">
        <f t="shared" si="10"/>
        <v>316394.57244289044</v>
      </c>
      <c r="AB20" s="484">
        <f t="shared" si="10"/>
        <v>316394.57244289044</v>
      </c>
      <c r="AC20" s="484">
        <f t="shared" si="10"/>
        <v>316394.57244289044</v>
      </c>
      <c r="AD20" s="484">
        <f t="shared" si="10"/>
        <v>316394.57244289044</v>
      </c>
      <c r="AE20" s="484">
        <f t="shared" si="10"/>
        <v>316394.57244289044</v>
      </c>
      <c r="AF20" s="484">
        <f t="shared" si="10"/>
        <v>316394.57244289044</v>
      </c>
      <c r="AG20" s="484">
        <f t="shared" si="10"/>
        <v>316394.57244289044</v>
      </c>
      <c r="AH20" s="484">
        <f t="shared" si="2"/>
        <v>3796734.8693146859</v>
      </c>
      <c r="AJ20" s="257">
        <f t="shared" si="3"/>
        <v>0</v>
      </c>
    </row>
    <row r="21" spans="2:36">
      <c r="B21" s="492" t="s">
        <v>626</v>
      </c>
      <c r="C21" s="493">
        <f t="shared" ref="C21:H21" si="11">SUM(C15:C20)</f>
        <v>281913577.20217615</v>
      </c>
      <c r="D21" s="494">
        <f t="shared" si="11"/>
        <v>0</v>
      </c>
      <c r="E21" s="493">
        <f t="shared" si="11"/>
        <v>233675205.17283547</v>
      </c>
      <c r="F21" s="494">
        <f t="shared" si="11"/>
        <v>102019584.88517879</v>
      </c>
      <c r="G21" s="493">
        <f t="shared" si="11"/>
        <v>304782465.66830504</v>
      </c>
      <c r="H21" s="494">
        <f t="shared" si="11"/>
        <v>430358159.86871761</v>
      </c>
      <c r="L21" s="329"/>
      <c r="M21" s="330"/>
      <c r="T21" s="494" t="s">
        <v>62</v>
      </c>
      <c r="U21" s="494"/>
      <c r="V21" s="494">
        <f t="shared" ref="V21" si="12">SUM(V15:V20)</f>
        <v>23492798.100181349</v>
      </c>
      <c r="W21" s="494">
        <f t="shared" ref="W21:AG21" si="13">SUM(W15:W20)</f>
        <v>23492798.100181349</v>
      </c>
      <c r="X21" s="494">
        <f t="shared" si="13"/>
        <v>23492798.100181349</v>
      </c>
      <c r="Y21" s="494">
        <f t="shared" si="13"/>
        <v>23492798.100181349</v>
      </c>
      <c r="Z21" s="494">
        <f t="shared" si="13"/>
        <v>23492798.100181349</v>
      </c>
      <c r="AA21" s="494">
        <f t="shared" si="13"/>
        <v>23492798.100181349</v>
      </c>
      <c r="AB21" s="494">
        <f t="shared" si="13"/>
        <v>23492798.100181349</v>
      </c>
      <c r="AC21" s="494">
        <f t="shared" si="13"/>
        <v>23492798.100181349</v>
      </c>
      <c r="AD21" s="494">
        <f t="shared" si="13"/>
        <v>23492798.100181349</v>
      </c>
      <c r="AE21" s="494">
        <f t="shared" si="13"/>
        <v>23492798.100181349</v>
      </c>
      <c r="AF21" s="494">
        <f t="shared" si="13"/>
        <v>23492798.100181349</v>
      </c>
      <c r="AG21" s="494">
        <f t="shared" si="13"/>
        <v>23492798.100181349</v>
      </c>
      <c r="AH21" s="494">
        <f t="shared" si="2"/>
        <v>281913577.20217615</v>
      </c>
      <c r="AJ21" s="257">
        <f t="shared" si="3"/>
        <v>0</v>
      </c>
    </row>
    <row r="22" spans="2:36">
      <c r="L22" s="333" t="s">
        <v>119</v>
      </c>
      <c r="M22" s="334" t="s">
        <v>120</v>
      </c>
      <c r="T22" s="279"/>
    </row>
    <row r="23" spans="2:36">
      <c r="C23" s="348"/>
      <c r="L23" s="340" t="s">
        <v>227</v>
      </c>
      <c r="M23" s="303">
        <v>3796734.8693146855</v>
      </c>
      <c r="O23" s="325"/>
      <c r="T23" s="279"/>
    </row>
    <row r="24" spans="2:36">
      <c r="C24" s="256"/>
      <c r="L24" s="345" t="s">
        <v>62</v>
      </c>
      <c r="M24" s="346">
        <v>3796734.8693146855</v>
      </c>
      <c r="T24" s="279"/>
    </row>
    <row r="25" spans="2:36">
      <c r="B25" s="255" t="s">
        <v>549</v>
      </c>
      <c r="C25" s="349"/>
      <c r="T25" s="279"/>
    </row>
    <row r="26" spans="2:36">
      <c r="T26" s="279"/>
    </row>
    <row r="27" spans="2:36">
      <c r="L27" s="327" t="s">
        <v>228</v>
      </c>
      <c r="M27" s="328"/>
      <c r="T27" s="279"/>
    </row>
    <row r="28" spans="2:36">
      <c r="L28" s="329"/>
      <c r="M28" s="330"/>
      <c r="T28" s="279"/>
    </row>
    <row r="29" spans="2:36">
      <c r="L29" s="333" t="s">
        <v>119</v>
      </c>
      <c r="M29" s="334" t="s">
        <v>120</v>
      </c>
      <c r="T29" s="279"/>
    </row>
    <row r="30" spans="2:36">
      <c r="L30" s="340" t="s">
        <v>229</v>
      </c>
      <c r="M30" s="303">
        <f>M40</f>
        <v>58129778.267008245</v>
      </c>
      <c r="T30" s="279"/>
    </row>
    <row r="31" spans="2:36">
      <c r="L31" s="345" t="s">
        <v>62</v>
      </c>
      <c r="M31" s="346">
        <f>SUM(M30)</f>
        <v>58129778.267008245</v>
      </c>
      <c r="T31" s="279"/>
    </row>
    <row r="32" spans="2:36">
      <c r="T32" s="279"/>
    </row>
    <row r="33" spans="11:20">
      <c r="K33" s="347" t="s">
        <v>58</v>
      </c>
      <c r="L33" s="279"/>
      <c r="T33" s="279"/>
    </row>
    <row r="34" spans="11:20">
      <c r="L34" s="705" t="s">
        <v>230</v>
      </c>
      <c r="M34" s="706"/>
      <c r="T34" s="279"/>
    </row>
    <row r="35" spans="11:20">
      <c r="L35" s="329"/>
      <c r="M35" s="350"/>
      <c r="T35" s="279"/>
    </row>
    <row r="36" spans="11:20">
      <c r="L36" s="351" t="s">
        <v>119</v>
      </c>
      <c r="M36" s="352" t="s">
        <v>120</v>
      </c>
      <c r="T36" s="279"/>
    </row>
    <row r="37" spans="11:20">
      <c r="L37" s="353" t="s">
        <v>231</v>
      </c>
      <c r="M37" s="354">
        <v>37671194.709856637</v>
      </c>
      <c r="O37" s="325"/>
      <c r="T37" s="279"/>
    </row>
    <row r="38" spans="11:20">
      <c r="L38" s="341" t="s">
        <v>232</v>
      </c>
      <c r="M38" s="355">
        <v>15394832.3675</v>
      </c>
      <c r="O38" s="325"/>
      <c r="T38" s="279"/>
    </row>
    <row r="39" spans="11:20">
      <c r="L39" s="356" t="s">
        <v>233</v>
      </c>
      <c r="M39" s="354">
        <v>5063751.1896516122</v>
      </c>
      <c r="T39" s="279"/>
    </row>
    <row r="40" spans="11:20">
      <c r="L40" s="357" t="s">
        <v>62</v>
      </c>
      <c r="M40" s="358">
        <v>58129778.267008245</v>
      </c>
      <c r="N40" s="325"/>
      <c r="O40" s="325"/>
      <c r="T40" s="279"/>
    </row>
    <row r="41" spans="11:20">
      <c r="L41" s="279"/>
      <c r="T41" s="279"/>
    </row>
    <row r="42" spans="11:20">
      <c r="L42" s="359" t="s">
        <v>234</v>
      </c>
      <c r="M42" s="360"/>
      <c r="T42" s="279"/>
    </row>
    <row r="43" spans="11:20">
      <c r="L43" s="329"/>
      <c r="M43" s="350"/>
      <c r="T43" s="279"/>
    </row>
    <row r="44" spans="11:20">
      <c r="L44" s="361" t="s">
        <v>119</v>
      </c>
      <c r="M44" s="362" t="s">
        <v>120</v>
      </c>
      <c r="T44" s="279"/>
    </row>
    <row r="45" spans="11:20">
      <c r="L45" s="363" t="s">
        <v>310</v>
      </c>
      <c r="M45" s="364">
        <v>23327036.084118228</v>
      </c>
      <c r="N45" s="325"/>
      <c r="T45" s="279"/>
    </row>
    <row r="46" spans="11:20">
      <c r="L46" s="341" t="s">
        <v>311</v>
      </c>
      <c r="M46" s="355">
        <v>164835.16483516485</v>
      </c>
      <c r="T46" s="279"/>
    </row>
    <row r="47" spans="11:20" ht="28.5">
      <c r="L47" s="365" t="s">
        <v>235</v>
      </c>
      <c r="M47" s="364">
        <v>261666.66666666669</v>
      </c>
      <c r="T47" s="279"/>
    </row>
    <row r="48" spans="11:20">
      <c r="L48" s="341" t="s">
        <v>236</v>
      </c>
      <c r="M48" s="355">
        <v>1963440.96</v>
      </c>
      <c r="T48" s="279"/>
    </row>
    <row r="49" spans="12:20">
      <c r="L49" s="366" t="s">
        <v>237</v>
      </c>
      <c r="M49" s="364">
        <v>3018706</v>
      </c>
      <c r="T49" s="279"/>
    </row>
    <row r="50" spans="12:20">
      <c r="L50" s="341" t="s">
        <v>238</v>
      </c>
      <c r="M50" s="355">
        <v>500000</v>
      </c>
      <c r="T50" s="279"/>
    </row>
    <row r="51" spans="12:20">
      <c r="L51" s="366" t="s">
        <v>239</v>
      </c>
      <c r="M51" s="364">
        <v>8384093.167569913</v>
      </c>
      <c r="T51" s="279"/>
    </row>
    <row r="52" spans="12:20">
      <c r="L52" s="341" t="s">
        <v>99</v>
      </c>
      <c r="M52" s="355">
        <v>51416.666666666664</v>
      </c>
      <c r="T52" s="279"/>
    </row>
    <row r="53" spans="12:20">
      <c r="L53" s="367" t="s">
        <v>62</v>
      </c>
      <c r="M53" s="368">
        <f>SUM(M45:M52)</f>
        <v>37671194.709856637</v>
      </c>
    </row>
    <row r="54" spans="12:20">
      <c r="L54" s="279"/>
    </row>
    <row r="55" spans="12:20">
      <c r="L55" s="369" t="s">
        <v>308</v>
      </c>
      <c r="M55" s="370"/>
      <c r="N55" s="370"/>
      <c r="O55" s="371"/>
    </row>
    <row r="56" spans="12:20">
      <c r="L56" s="329"/>
      <c r="M56" s="329"/>
      <c r="N56" s="329"/>
      <c r="O56" s="329"/>
    </row>
    <row r="57" spans="12:20">
      <c r="L57" s="372" t="s">
        <v>240</v>
      </c>
      <c r="M57" s="299" t="s">
        <v>241</v>
      </c>
      <c r="N57" s="373" t="s">
        <v>242</v>
      </c>
      <c r="O57" s="374" t="s">
        <v>243</v>
      </c>
    </row>
    <row r="58" spans="12:20">
      <c r="L58" s="375" t="s">
        <v>78</v>
      </c>
      <c r="M58" s="376">
        <v>3</v>
      </c>
      <c r="N58" s="377">
        <v>1871484.0734999999</v>
      </c>
      <c r="O58" s="378">
        <f>N58*M58</f>
        <v>5614452.2204999998</v>
      </c>
    </row>
    <row r="59" spans="12:20">
      <c r="L59" s="340" t="s">
        <v>79</v>
      </c>
      <c r="M59" s="379">
        <v>1</v>
      </c>
      <c r="N59" s="303">
        <v>1871484.0734999999</v>
      </c>
      <c r="O59" s="380">
        <f>N59*M59</f>
        <v>1871484.0734999999</v>
      </c>
    </row>
    <row r="60" spans="12:20">
      <c r="L60" s="381" t="s">
        <v>80</v>
      </c>
      <c r="M60" s="376">
        <v>1</v>
      </c>
      <c r="N60" s="377">
        <v>3018706</v>
      </c>
      <c r="O60" s="378">
        <f>N60*M60</f>
        <v>3018706</v>
      </c>
    </row>
    <row r="61" spans="12:20">
      <c r="L61" s="340" t="s">
        <v>85</v>
      </c>
      <c r="M61" s="379">
        <v>1</v>
      </c>
      <c r="N61" s="303">
        <v>1871484.0734999999</v>
      </c>
      <c r="O61" s="380">
        <f>N61*M61</f>
        <v>1871484.0734999999</v>
      </c>
    </row>
    <row r="62" spans="12:20">
      <c r="L62" s="382" t="s">
        <v>309</v>
      </c>
      <c r="M62" s="376">
        <v>1</v>
      </c>
      <c r="N62" s="377">
        <v>3018706</v>
      </c>
      <c r="O62" s="378">
        <f>N62*M62</f>
        <v>3018706</v>
      </c>
    </row>
    <row r="63" spans="12:20">
      <c r="L63" s="383" t="s">
        <v>62</v>
      </c>
      <c r="M63" s="384"/>
      <c r="N63" s="385"/>
      <c r="O63" s="386">
        <f>SUM(O58:O62)</f>
        <v>15394832.3675</v>
      </c>
    </row>
    <row r="64" spans="12:20">
      <c r="L64" s="279"/>
    </row>
    <row r="65" spans="12:15">
      <c r="L65" s="387" t="s">
        <v>474</v>
      </c>
      <c r="M65" s="388"/>
      <c r="N65" s="388"/>
      <c r="O65" s="389"/>
    </row>
    <row r="66" spans="12:15">
      <c r="L66" s="329"/>
      <c r="M66" s="329"/>
      <c r="N66" s="329"/>
      <c r="O66" s="329"/>
    </row>
    <row r="67" spans="12:15">
      <c r="L67" s="390" t="s">
        <v>240</v>
      </c>
      <c r="M67" s="391" t="s">
        <v>241</v>
      </c>
      <c r="N67" s="392" t="s">
        <v>242</v>
      </c>
      <c r="O67" s="393" t="s">
        <v>243</v>
      </c>
    </row>
    <row r="68" spans="12:15">
      <c r="L68" s="394" t="s">
        <v>76</v>
      </c>
      <c r="M68" s="395"/>
      <c r="N68" s="396">
        <v>33122.596749547978</v>
      </c>
      <c r="O68" s="397">
        <v>33122.596749547978</v>
      </c>
    </row>
    <row r="69" spans="12:15">
      <c r="L69" s="340" t="s">
        <v>77</v>
      </c>
      <c r="M69" s="379"/>
      <c r="N69" s="303">
        <v>850416.66666666663</v>
      </c>
      <c r="O69" s="380">
        <v>850416.66666666663</v>
      </c>
    </row>
    <row r="70" spans="12:15">
      <c r="L70" s="398" t="s">
        <v>82</v>
      </c>
      <c r="M70" s="395"/>
      <c r="N70" s="396">
        <v>250000</v>
      </c>
      <c r="O70" s="397">
        <v>250000</v>
      </c>
    </row>
    <row r="71" spans="12:15">
      <c r="L71" s="340" t="s">
        <v>83</v>
      </c>
      <c r="M71" s="379"/>
      <c r="N71" s="303">
        <v>310000</v>
      </c>
      <c r="O71" s="380">
        <v>310000</v>
      </c>
    </row>
    <row r="72" spans="12:15">
      <c r="L72" s="399" t="s">
        <v>84</v>
      </c>
      <c r="M72" s="395"/>
      <c r="N72" s="396">
        <v>160000</v>
      </c>
      <c r="O72" s="397">
        <v>160000</v>
      </c>
    </row>
    <row r="73" spans="12:15">
      <c r="L73" s="340" t="s">
        <v>86</v>
      </c>
      <c r="M73" s="379"/>
      <c r="N73" s="303">
        <v>2177378.5929020639</v>
      </c>
      <c r="O73" s="380">
        <v>2177378.5929020639</v>
      </c>
    </row>
    <row r="74" spans="12:15">
      <c r="L74" s="399" t="s">
        <v>87</v>
      </c>
      <c r="M74" s="395"/>
      <c r="N74" s="396">
        <v>180000</v>
      </c>
      <c r="O74" s="397">
        <v>180000</v>
      </c>
    </row>
    <row r="75" spans="12:15">
      <c r="L75" s="340" t="s">
        <v>102</v>
      </c>
      <c r="M75" s="379"/>
      <c r="N75" s="303">
        <v>102833.33333333333</v>
      </c>
      <c r="O75" s="380">
        <v>102833.33333333333</v>
      </c>
    </row>
    <row r="76" spans="12:15">
      <c r="L76" s="399" t="s">
        <v>81</v>
      </c>
      <c r="M76" s="395"/>
      <c r="N76" s="396">
        <v>1000000</v>
      </c>
      <c r="O76" s="397">
        <v>1000000</v>
      </c>
    </row>
    <row r="77" spans="12:15">
      <c r="L77" s="400" t="s">
        <v>62</v>
      </c>
      <c r="M77" s="401"/>
      <c r="N77" s="402"/>
      <c r="O77" s="403">
        <v>5063751.1896516122</v>
      </c>
    </row>
  </sheetData>
  <sheetProtection sheet="1" objects="1" scenarios="1" formatCells="0" formatColumns="0" formatRows="0" insertColumns="0" insertRows="0" insertHyperlinks="0" deleteColumns="0" deleteRows="0" sort="0" autoFilter="0" pivotTables="0"/>
  <mergeCells count="2">
    <mergeCell ref="B2:C2"/>
    <mergeCell ref="L34:M34"/>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sheetPr>
    <tabColor theme="2" tint="-0.249977111117893"/>
  </sheetPr>
  <dimension ref="B1:BY83"/>
  <sheetViews>
    <sheetView showGridLines="0" topLeftCell="A69" zoomScale="90" zoomScaleNormal="90" workbookViewId="0">
      <selection activeCell="D96" sqref="D96"/>
    </sheetView>
  </sheetViews>
  <sheetFormatPr baseColWidth="10" defaultRowHeight="15" outlineLevelRow="1"/>
  <cols>
    <col min="1" max="1" width="2" style="255" customWidth="1"/>
    <col min="2" max="2" width="52.140625" style="255" customWidth="1"/>
    <col min="3" max="8" width="16.42578125" style="255" customWidth="1"/>
    <col min="9" max="9" width="16.5703125" style="255" bestFit="1" customWidth="1"/>
    <col min="10" max="10" width="74.5703125" style="279" bestFit="1" customWidth="1"/>
    <col min="11" max="12" width="14.5703125" style="255" customWidth="1"/>
    <col min="13" max="19" width="14" style="255" bestFit="1" customWidth="1"/>
    <col min="20" max="20" width="16.85546875" style="255" bestFit="1" customWidth="1"/>
    <col min="21" max="21" width="14" style="255" bestFit="1" customWidth="1"/>
    <col min="22" max="22" width="16.5703125" style="255" bestFit="1" customWidth="1"/>
    <col min="23" max="23" width="15.85546875" style="255" bestFit="1" customWidth="1"/>
    <col min="24" max="24" width="16.42578125" style="255" bestFit="1" customWidth="1"/>
    <col min="25" max="25" width="11.5703125" style="255" bestFit="1" customWidth="1"/>
    <col min="26" max="26" width="13.42578125" style="255" bestFit="1" customWidth="1"/>
    <col min="27" max="27" width="12.140625" style="255" bestFit="1" customWidth="1"/>
    <col min="28" max="28" width="10.7109375" style="255" bestFit="1" customWidth="1"/>
    <col min="29" max="29" width="11.5703125" style="255" bestFit="1" customWidth="1"/>
    <col min="30" max="30" width="11" style="255" bestFit="1" customWidth="1"/>
    <col min="31" max="31" width="10.5703125" style="255" bestFit="1" customWidth="1"/>
    <col min="32" max="32" width="12.7109375" style="255" bestFit="1" customWidth="1"/>
    <col min="33" max="33" width="16.7109375" style="255" bestFit="1" customWidth="1"/>
    <col min="34" max="34" width="13.5703125" style="255" bestFit="1" customWidth="1"/>
    <col min="35" max="35" width="16.42578125" style="255" bestFit="1" customWidth="1"/>
    <col min="36" max="36" width="15.7109375" style="255" bestFit="1" customWidth="1"/>
    <col min="37" max="37" width="12.28515625" style="255" bestFit="1" customWidth="1"/>
    <col min="38" max="38" width="11.5703125" style="255" bestFit="1" customWidth="1"/>
    <col min="39" max="39" width="13.42578125" style="255" bestFit="1" customWidth="1"/>
    <col min="40" max="40" width="12.140625" style="255" bestFit="1" customWidth="1"/>
    <col min="41" max="41" width="10.7109375" style="255" bestFit="1" customWidth="1"/>
    <col min="42" max="42" width="11.5703125" style="255" bestFit="1" customWidth="1"/>
    <col min="43" max="43" width="11" style="255" bestFit="1" customWidth="1"/>
    <col min="44" max="44" width="10.5703125" style="255" bestFit="1" customWidth="1"/>
    <col min="45" max="45" width="12.7109375" style="255" bestFit="1" customWidth="1"/>
    <col min="46" max="46" width="16.7109375" style="255" bestFit="1" customWidth="1"/>
    <col min="47" max="47" width="13.5703125" style="255" bestFit="1" customWidth="1"/>
    <col min="48" max="48" width="16.42578125" style="255" bestFit="1" customWidth="1"/>
    <col min="49" max="49" width="15.7109375" style="255" bestFit="1" customWidth="1"/>
    <col min="50" max="50" width="12.28515625" style="255" bestFit="1" customWidth="1"/>
    <col min="51" max="51" width="11.5703125" style="255" bestFit="1" customWidth="1"/>
    <col min="52" max="52" width="13.42578125" style="255" bestFit="1" customWidth="1"/>
    <col min="53" max="53" width="12.140625" style="255" bestFit="1" customWidth="1"/>
    <col min="54" max="54" width="10.7109375" style="255" bestFit="1" customWidth="1"/>
    <col min="55" max="55" width="11.5703125" style="255" bestFit="1" customWidth="1"/>
    <col min="56" max="56" width="11" style="255" bestFit="1" customWidth="1"/>
    <col min="57" max="57" width="10.5703125" style="255" bestFit="1" customWidth="1"/>
    <col min="58" max="58" width="12.7109375" style="255" bestFit="1" customWidth="1"/>
    <col min="59" max="59" width="16.7109375" style="255" bestFit="1" customWidth="1"/>
    <col min="60" max="60" width="13.5703125" style="255" bestFit="1" customWidth="1"/>
    <col min="61" max="61" width="16.42578125" style="255" bestFit="1" customWidth="1"/>
    <col min="62" max="62" width="15.7109375" style="255" bestFit="1" customWidth="1"/>
    <col min="63" max="63" width="12.28515625" style="255" bestFit="1" customWidth="1"/>
    <col min="64" max="64" width="11.5703125" style="255" bestFit="1" customWidth="1"/>
    <col min="65" max="65" width="13.42578125" style="255" bestFit="1" customWidth="1"/>
    <col min="66" max="66" width="12.140625" style="255" bestFit="1" customWidth="1"/>
    <col min="67" max="67" width="10.7109375" style="255" bestFit="1" customWidth="1"/>
    <col min="68" max="68" width="11.5703125" style="255" bestFit="1" customWidth="1"/>
    <col min="69" max="69" width="11" style="255" bestFit="1" customWidth="1"/>
    <col min="70" max="70" width="10.5703125" style="255" bestFit="1" customWidth="1"/>
    <col min="71" max="71" width="12.7109375" style="255" bestFit="1" customWidth="1"/>
    <col min="72" max="72" width="16.7109375" style="255" bestFit="1" customWidth="1"/>
    <col min="73" max="73" width="13.5703125" style="255" bestFit="1" customWidth="1"/>
    <col min="74" max="74" width="16.42578125" style="255" bestFit="1" customWidth="1"/>
    <col min="75" max="75" width="15.7109375" style="255" bestFit="1" customWidth="1"/>
    <col min="76" max="76" width="12.28515625" style="255" bestFit="1" customWidth="1"/>
    <col min="77" max="16384" width="11.42578125" style="255"/>
  </cols>
  <sheetData>
    <row r="1" spans="2:3" hidden="1" outlineLevel="1"/>
    <row r="2" spans="2:3" hidden="1" outlineLevel="1">
      <c r="B2" s="280" t="s">
        <v>16</v>
      </c>
      <c r="C2" s="281"/>
    </row>
    <row r="3" spans="2:3" hidden="1" outlineLevel="1">
      <c r="B3" s="282"/>
      <c r="C3" s="283"/>
    </row>
    <row r="4" spans="2:3" hidden="1" outlineLevel="1">
      <c r="B4" s="284" t="s">
        <v>19</v>
      </c>
      <c r="C4" s="285" t="s">
        <v>20</v>
      </c>
    </row>
    <row r="5" spans="2:3" hidden="1" outlineLevel="1">
      <c r="B5" s="284"/>
      <c r="C5" s="286" t="s">
        <v>21</v>
      </c>
    </row>
    <row r="6" spans="2:3" hidden="1" outlineLevel="1">
      <c r="B6" s="284"/>
      <c r="C6" s="285"/>
    </row>
    <row r="7" spans="2:3" hidden="1" outlineLevel="1">
      <c r="B7" s="284" t="s">
        <v>22</v>
      </c>
      <c r="C7" s="285" t="s">
        <v>23</v>
      </c>
    </row>
    <row r="8" spans="2:3" hidden="1" outlineLevel="1">
      <c r="B8" s="284"/>
      <c r="C8" s="286" t="s">
        <v>24</v>
      </c>
    </row>
    <row r="9" spans="2:3" hidden="1" outlineLevel="1">
      <c r="B9" s="284"/>
      <c r="C9" s="285"/>
    </row>
    <row r="10" spans="2:3" hidden="1" outlineLevel="1">
      <c r="B10" s="284"/>
      <c r="C10" s="285"/>
    </row>
    <row r="11" spans="2:3" hidden="1" outlineLevel="1">
      <c r="B11" s="284" t="s">
        <v>100</v>
      </c>
      <c r="C11" s="287" t="s">
        <v>211</v>
      </c>
    </row>
    <row r="12" spans="2:3" hidden="1" outlineLevel="1">
      <c r="B12" s="284"/>
      <c r="C12" s="287" t="s">
        <v>212</v>
      </c>
    </row>
    <row r="13" spans="2:3" hidden="1" outlineLevel="1">
      <c r="B13" s="284"/>
      <c r="C13" s="285"/>
    </row>
    <row r="14" spans="2:3" hidden="1" outlineLevel="1">
      <c r="B14" s="284"/>
      <c r="C14" s="285"/>
    </row>
    <row r="15" spans="2:3" hidden="1" outlineLevel="1">
      <c r="B15" s="284" t="s">
        <v>254</v>
      </c>
      <c r="C15" s="285" t="s">
        <v>255</v>
      </c>
    </row>
    <row r="16" spans="2:3" hidden="1" outlineLevel="1">
      <c r="B16" s="284"/>
      <c r="C16" s="285"/>
    </row>
    <row r="17" spans="2:8" hidden="1" outlineLevel="1">
      <c r="B17" s="288" t="s">
        <v>26</v>
      </c>
      <c r="C17" s="289" t="s">
        <v>27</v>
      </c>
    </row>
    <row r="18" spans="2:8" hidden="1" outlineLevel="1"/>
    <row r="19" spans="2:8" hidden="1" outlineLevel="1"/>
    <row r="20" spans="2:8" hidden="1" outlineLevel="1">
      <c r="B20" s="265" t="s">
        <v>28</v>
      </c>
      <c r="C20" s="255" t="s">
        <v>30</v>
      </c>
    </row>
    <row r="21" spans="2:8" s="290" customFormat="1" hidden="1" outlineLevel="1">
      <c r="B21" s="267" t="s">
        <v>7</v>
      </c>
      <c r="C21" s="268" t="s">
        <v>130</v>
      </c>
      <c r="D21" s="268" t="s">
        <v>143</v>
      </c>
      <c r="E21" s="268" t="s">
        <v>156</v>
      </c>
      <c r="F21" s="268" t="s">
        <v>169</v>
      </c>
      <c r="G21" s="268" t="s">
        <v>182</v>
      </c>
      <c r="H21" s="268" t="s">
        <v>195</v>
      </c>
    </row>
    <row r="22" spans="2:8" hidden="1" outlineLevel="1">
      <c r="B22" s="267" t="s">
        <v>28</v>
      </c>
      <c r="C22" s="291">
        <v>0</v>
      </c>
      <c r="D22" s="291">
        <f>INGRESOS!W14</f>
        <v>0</v>
      </c>
      <c r="E22" s="291">
        <f>INGRESOS!AJ14</f>
        <v>197.80219780219778</v>
      </c>
      <c r="F22" s="291">
        <f>INGRESOS!AW14</f>
        <v>500.91890074584637</v>
      </c>
      <c r="G22" s="291">
        <f>INGRESOS!BJ14</f>
        <v>764.3414241711871</v>
      </c>
      <c r="H22" s="291">
        <f>INGRESOS!BW14</f>
        <v>1068.0780525539126</v>
      </c>
    </row>
    <row r="23" spans="2:8" hidden="1" outlineLevel="1">
      <c r="B23" s="266"/>
      <c r="C23" s="257"/>
      <c r="D23" s="292"/>
      <c r="E23" s="292"/>
      <c r="F23" s="292"/>
      <c r="G23" s="292"/>
      <c r="H23" s="292"/>
    </row>
    <row r="24" spans="2:8" hidden="1" outlineLevel="1">
      <c r="B24" s="266"/>
      <c r="D24" s="292"/>
      <c r="E24" s="292"/>
      <c r="F24" s="292"/>
      <c r="G24" s="292"/>
      <c r="H24" s="292"/>
    </row>
    <row r="25" spans="2:8" hidden="1" outlineLevel="1">
      <c r="B25" s="265" t="s">
        <v>29</v>
      </c>
      <c r="C25" s="255" t="s">
        <v>30</v>
      </c>
      <c r="D25" s="292"/>
      <c r="E25" s="292"/>
      <c r="F25" s="292"/>
      <c r="G25" s="292"/>
      <c r="H25" s="292"/>
    </row>
    <row r="26" spans="2:8" hidden="1" outlineLevel="1">
      <c r="B26" s="267" t="s">
        <v>7</v>
      </c>
      <c r="C26" s="268" t="s">
        <v>130</v>
      </c>
      <c r="D26" s="293" t="s">
        <v>143</v>
      </c>
      <c r="E26" s="293" t="s">
        <v>156</v>
      </c>
      <c r="F26" s="293" t="s">
        <v>169</v>
      </c>
      <c r="G26" s="293" t="s">
        <v>182</v>
      </c>
      <c r="H26" s="293" t="s">
        <v>195</v>
      </c>
    </row>
    <row r="27" spans="2:8" hidden="1" outlineLevel="1">
      <c r="B27" s="267" t="s">
        <v>251</v>
      </c>
      <c r="C27" s="291">
        <v>0</v>
      </c>
      <c r="D27" s="291">
        <f>EGRESOS!X30</f>
        <v>44787909.281507</v>
      </c>
      <c r="E27" s="291">
        <f>EGRESOS!AK30</f>
        <v>66542649.467042387</v>
      </c>
      <c r="F27" s="291">
        <f>EGRESOS!AX30</f>
        <v>59527728.724738248</v>
      </c>
      <c r="G27" s="291">
        <f>EGRESOS!BK30</f>
        <v>70565845.012187704</v>
      </c>
      <c r="H27" s="291">
        <f>EGRESOS!BX30</f>
        <v>70559638.993096024</v>
      </c>
    </row>
    <row r="28" spans="2:8" hidden="1" outlineLevel="1">
      <c r="B28" s="267" t="s">
        <v>252</v>
      </c>
      <c r="C28" s="291">
        <v>0</v>
      </c>
      <c r="D28" s="291">
        <f>EGRESOS!X103</f>
        <v>316483.51648351649</v>
      </c>
      <c r="E28" s="291">
        <f>EGRESOS!AK103</f>
        <v>470208.41198665061</v>
      </c>
      <c r="F28" s="291">
        <f>EGRESOS!AX103</f>
        <v>420639.07910211117</v>
      </c>
      <c r="G28" s="291">
        <f>EGRESOS!BK103</f>
        <v>498637.40307050408</v>
      </c>
      <c r="H28" s="291">
        <f>EGRESOS!BX103</f>
        <v>498593.54965611146</v>
      </c>
    </row>
    <row r="29" spans="2:8" hidden="1" outlineLevel="1">
      <c r="B29" s="266"/>
    </row>
    <row r="30" spans="2:8" hidden="1" outlineLevel="1">
      <c r="B30" s="266"/>
    </row>
    <row r="31" spans="2:8" hidden="1" outlineLevel="1">
      <c r="B31" s="265" t="s">
        <v>210</v>
      </c>
      <c r="C31" s="255" t="s">
        <v>30</v>
      </c>
    </row>
    <row r="32" spans="2:8" hidden="1" outlineLevel="1">
      <c r="B32" s="267" t="s">
        <v>7</v>
      </c>
      <c r="C32" s="268" t="s">
        <v>130</v>
      </c>
      <c r="D32" s="268" t="s">
        <v>143</v>
      </c>
      <c r="E32" s="268" t="s">
        <v>156</v>
      </c>
      <c r="F32" s="268" t="s">
        <v>169</v>
      </c>
      <c r="G32" s="268" t="s">
        <v>182</v>
      </c>
      <c r="H32" s="268" t="s">
        <v>195</v>
      </c>
    </row>
    <row r="33" spans="2:8" hidden="1" outlineLevel="1">
      <c r="B33" s="267" t="s">
        <v>210</v>
      </c>
      <c r="C33" s="291">
        <f t="shared" ref="C33:H33" si="0">C73</f>
        <v>23327036.084118228</v>
      </c>
      <c r="D33" s="291">
        <f t="shared" si="0"/>
        <v>23327036.084118228</v>
      </c>
      <c r="E33" s="291">
        <f t="shared" si="0"/>
        <v>24047841.499117471</v>
      </c>
      <c r="F33" s="291">
        <f t="shared" si="0"/>
        <v>24757252.82334144</v>
      </c>
      <c r="G33" s="291">
        <f t="shared" si="0"/>
        <v>25455407.352959663</v>
      </c>
      <c r="H33" s="291">
        <f t="shared" si="0"/>
        <v>26142703.351489581</v>
      </c>
    </row>
    <row r="34" spans="2:8" hidden="1" outlineLevel="1">
      <c r="B34" s="266"/>
    </row>
    <row r="35" spans="2:8" hidden="1" outlineLevel="1">
      <c r="B35" s="266"/>
    </row>
    <row r="36" spans="2:8" hidden="1" outlineLevel="1">
      <c r="B36" s="265" t="s">
        <v>210</v>
      </c>
      <c r="C36" s="255" t="s">
        <v>30</v>
      </c>
    </row>
    <row r="37" spans="2:8" hidden="1" outlineLevel="1">
      <c r="B37" s="267" t="s">
        <v>7</v>
      </c>
      <c r="C37" s="268" t="s">
        <v>130</v>
      </c>
      <c r="D37" s="268" t="s">
        <v>143</v>
      </c>
      <c r="E37" s="268" t="s">
        <v>156</v>
      </c>
      <c r="F37" s="268" t="s">
        <v>169</v>
      </c>
      <c r="G37" s="268" t="s">
        <v>182</v>
      </c>
      <c r="H37" s="268" t="s">
        <v>195</v>
      </c>
    </row>
    <row r="38" spans="2:8" hidden="1" outlineLevel="1">
      <c r="B38" s="267" t="s">
        <v>253</v>
      </c>
      <c r="C38" s="291">
        <f>F.E!C64</f>
        <v>34637907.018054843</v>
      </c>
      <c r="D38" s="291">
        <f>F.E!D64</f>
        <v>87765071.36610806</v>
      </c>
      <c r="E38" s="291">
        <f>F.E!E64</f>
        <v>305298025.97553468</v>
      </c>
      <c r="F38" s="291">
        <f>F.E!F64</f>
        <v>631695191.74216735</v>
      </c>
      <c r="G38" s="291">
        <f>F.E!G64</f>
        <v>825514930.71163797</v>
      </c>
      <c r="H38" s="291">
        <f>F.E!H64</f>
        <v>1009349525.2619498</v>
      </c>
    </row>
    <row r="39" spans="2:8" hidden="1" outlineLevel="1">
      <c r="B39" s="266"/>
    </row>
    <row r="40" spans="2:8" hidden="1" outlineLevel="1">
      <c r="B40" s="266"/>
    </row>
    <row r="41" spans="2:8" hidden="1" outlineLevel="1">
      <c r="B41" s="265" t="s">
        <v>25</v>
      </c>
      <c r="C41" s="255" t="s">
        <v>30</v>
      </c>
    </row>
    <row r="42" spans="2:8" hidden="1" outlineLevel="1">
      <c r="B42" s="267" t="s">
        <v>7</v>
      </c>
      <c r="C42" s="268" t="s">
        <v>130</v>
      </c>
      <c r="D42" s="268" t="s">
        <v>143</v>
      </c>
      <c r="E42" s="268" t="s">
        <v>156</v>
      </c>
      <c r="F42" s="268" t="s">
        <v>169</v>
      </c>
      <c r="G42" s="268" t="s">
        <v>182</v>
      </c>
      <c r="H42" s="268" t="s">
        <v>195</v>
      </c>
    </row>
    <row r="43" spans="2:8" hidden="1" outlineLevel="1">
      <c r="B43" s="267" t="s">
        <v>254</v>
      </c>
      <c r="C43" s="291">
        <f t="shared" ref="C43:H43" si="1">C22-C27-C28-C33+C38</f>
        <v>11310870.933936615</v>
      </c>
      <c r="D43" s="291">
        <f t="shared" si="1"/>
        <v>19333642.483999312</v>
      </c>
      <c r="E43" s="291">
        <f t="shared" si="1"/>
        <v>214237524.39958596</v>
      </c>
      <c r="F43" s="291">
        <f t="shared" si="1"/>
        <v>546990072.03388631</v>
      </c>
      <c r="G43" s="291">
        <f t="shared" si="1"/>
        <v>728995805.28484428</v>
      </c>
      <c r="H43" s="291">
        <f t="shared" si="1"/>
        <v>912149657.44576061</v>
      </c>
    </row>
    <row r="44" spans="2:8" hidden="1" outlineLevel="1">
      <c r="B44" s="290"/>
    </row>
    <row r="45" spans="2:8" hidden="1" outlineLevel="1">
      <c r="B45" s="290"/>
    </row>
    <row r="46" spans="2:8" hidden="1" outlineLevel="1">
      <c r="B46" s="265" t="s">
        <v>26</v>
      </c>
    </row>
    <row r="47" spans="2:8" hidden="1" outlineLevel="1">
      <c r="B47" s="267" t="s">
        <v>7</v>
      </c>
      <c r="C47" s="268" t="s">
        <v>130</v>
      </c>
      <c r="D47" s="268" t="s">
        <v>143</v>
      </c>
      <c r="E47" s="268" t="s">
        <v>156</v>
      </c>
      <c r="F47" s="268" t="s">
        <v>169</v>
      </c>
      <c r="G47" s="268" t="s">
        <v>182</v>
      </c>
      <c r="H47" s="268" t="s">
        <v>195</v>
      </c>
    </row>
    <row r="48" spans="2:8" hidden="1" outlineLevel="1">
      <c r="B48" s="267" t="s">
        <v>26</v>
      </c>
      <c r="C48" s="291">
        <f t="shared" ref="C48:H48" si="2">C43-0</f>
        <v>11310870.933936615</v>
      </c>
      <c r="D48" s="291">
        <f t="shared" si="2"/>
        <v>19333642.483999312</v>
      </c>
      <c r="E48" s="291">
        <f t="shared" si="2"/>
        <v>214237524.39958596</v>
      </c>
      <c r="F48" s="291">
        <f t="shared" si="2"/>
        <v>546990072.03388631</v>
      </c>
      <c r="G48" s="291">
        <f t="shared" si="2"/>
        <v>728995805.28484428</v>
      </c>
      <c r="H48" s="291">
        <f t="shared" si="2"/>
        <v>912149657.44576061</v>
      </c>
    </row>
    <row r="49" spans="2:77" hidden="1" outlineLevel="1"/>
    <row r="50" spans="2:77" hidden="1" outlineLevel="1"/>
    <row r="51" spans="2:77" hidden="1" outlineLevel="1"/>
    <row r="52" spans="2:77" hidden="1" outlineLevel="1"/>
    <row r="53" spans="2:77" hidden="1" outlineLevel="1">
      <c r="B53" s="273" t="s">
        <v>58</v>
      </c>
    </row>
    <row r="54" spans="2:77" hidden="1" outlineLevel="1">
      <c r="B54" s="274"/>
    </row>
    <row r="55" spans="2:77" hidden="1" outlineLevel="1">
      <c r="B55" s="274"/>
    </row>
    <row r="56" spans="2:77" hidden="1" outlineLevel="1">
      <c r="B56" s="294" t="s">
        <v>323</v>
      </c>
      <c r="C56" s="294"/>
      <c r="D56" s="294"/>
      <c r="E56" s="294"/>
      <c r="F56" s="294"/>
      <c r="G56" s="294"/>
      <c r="H56" s="294"/>
      <c r="I56" s="272"/>
    </row>
    <row r="57" spans="2:77" hidden="1" outlineLevel="1"/>
    <row r="58" spans="2:77" s="279" customFormat="1" hidden="1" outlineLevel="1">
      <c r="B58" s="295" t="s">
        <v>313</v>
      </c>
      <c r="C58" s="295"/>
      <c r="D58" s="295"/>
      <c r="E58" s="295"/>
      <c r="F58" s="295"/>
      <c r="G58" s="295"/>
      <c r="H58" s="295"/>
      <c r="I58" s="295"/>
      <c r="K58" s="295" t="s">
        <v>314</v>
      </c>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c r="AJ58" s="296"/>
      <c r="AK58" s="296"/>
      <c r="AL58" s="296"/>
      <c r="AM58" s="296"/>
      <c r="AN58" s="296"/>
      <c r="AO58" s="296"/>
      <c r="AP58" s="296"/>
      <c r="AQ58" s="296"/>
      <c r="AR58" s="296"/>
      <c r="AS58" s="296"/>
      <c r="AT58" s="296"/>
      <c r="AU58" s="296"/>
      <c r="AV58" s="296"/>
      <c r="AW58" s="296"/>
      <c r="AX58" s="296"/>
      <c r="AY58" s="296"/>
      <c r="AZ58" s="296"/>
      <c r="BA58" s="296"/>
      <c r="BB58" s="296"/>
      <c r="BC58" s="296"/>
      <c r="BD58" s="296"/>
      <c r="BE58" s="296"/>
      <c r="BF58" s="296"/>
      <c r="BG58" s="296"/>
      <c r="BH58" s="296"/>
      <c r="BI58" s="296"/>
      <c r="BJ58" s="296"/>
      <c r="BK58" s="296"/>
      <c r="BL58" s="296"/>
      <c r="BM58" s="296"/>
      <c r="BN58" s="296"/>
      <c r="BO58" s="296"/>
      <c r="BP58" s="296"/>
      <c r="BQ58" s="296"/>
      <c r="BR58" s="296"/>
      <c r="BS58" s="296"/>
      <c r="BT58" s="296"/>
      <c r="BU58" s="296"/>
      <c r="BV58" s="296"/>
      <c r="BW58" s="296"/>
      <c r="BX58" s="296"/>
      <c r="BY58" s="296"/>
    </row>
    <row r="59" spans="2:77" s="279" customFormat="1" hidden="1" outlineLevel="1">
      <c r="B59" s="297"/>
      <c r="C59" s="297"/>
      <c r="D59" s="297"/>
      <c r="E59" s="297"/>
      <c r="F59" s="297"/>
      <c r="G59" s="297"/>
      <c r="H59" s="297"/>
      <c r="I59" s="297"/>
      <c r="K59" s="297"/>
      <c r="L59" s="297"/>
      <c r="M59" s="297"/>
      <c r="N59" s="297"/>
      <c r="O59" s="297"/>
      <c r="P59" s="297"/>
      <c r="Q59" s="297"/>
      <c r="R59" s="297"/>
      <c r="S59" s="297"/>
      <c r="T59" s="297"/>
      <c r="U59" s="297"/>
      <c r="V59" s="297"/>
      <c r="W59" s="297"/>
      <c r="X59" s="297"/>
      <c r="Y59" s="297"/>
    </row>
    <row r="60" spans="2:77" s="279" customFormat="1" hidden="1" outlineLevel="1">
      <c r="B60" s="298" t="s">
        <v>59</v>
      </c>
      <c r="C60" s="299" t="s">
        <v>60</v>
      </c>
      <c r="D60" s="299" t="s">
        <v>6</v>
      </c>
      <c r="E60" s="299" t="s">
        <v>12</v>
      </c>
      <c r="F60" s="299" t="s">
        <v>13</v>
      </c>
      <c r="G60" s="299" t="s">
        <v>14</v>
      </c>
      <c r="H60" s="299" t="s">
        <v>15</v>
      </c>
      <c r="I60" s="299" t="s">
        <v>57</v>
      </c>
      <c r="K60" s="299" t="s">
        <v>61</v>
      </c>
      <c r="L60" s="300" t="s">
        <v>130</v>
      </c>
      <c r="M60" s="301" t="s">
        <v>131</v>
      </c>
      <c r="N60" s="300" t="s">
        <v>132</v>
      </c>
      <c r="O60" s="300" t="s">
        <v>133</v>
      </c>
      <c r="P60" s="300" t="s">
        <v>134</v>
      </c>
      <c r="Q60" s="300" t="s">
        <v>135</v>
      </c>
      <c r="R60" s="300" t="s">
        <v>136</v>
      </c>
      <c r="S60" s="300" t="s">
        <v>137</v>
      </c>
      <c r="T60" s="300" t="s">
        <v>138</v>
      </c>
      <c r="U60" s="300" t="s">
        <v>139</v>
      </c>
      <c r="V60" s="300" t="s">
        <v>140</v>
      </c>
      <c r="W60" s="300" t="s">
        <v>141</v>
      </c>
      <c r="X60" s="298" t="s">
        <v>142</v>
      </c>
      <c r="Y60" s="300" t="s">
        <v>143</v>
      </c>
      <c r="Z60" s="300" t="s">
        <v>144</v>
      </c>
      <c r="AA60" s="301" t="s">
        <v>145</v>
      </c>
      <c r="AB60" s="300" t="s">
        <v>146</v>
      </c>
      <c r="AC60" s="300" t="s">
        <v>147</v>
      </c>
      <c r="AD60" s="300" t="s">
        <v>148</v>
      </c>
      <c r="AE60" s="300" t="s">
        <v>149</v>
      </c>
      <c r="AF60" s="300" t="s">
        <v>150</v>
      </c>
      <c r="AG60" s="300" t="s">
        <v>151</v>
      </c>
      <c r="AH60" s="300" t="s">
        <v>152</v>
      </c>
      <c r="AI60" s="300" t="s">
        <v>153</v>
      </c>
      <c r="AJ60" s="300" t="s">
        <v>154</v>
      </c>
      <c r="AK60" s="298" t="s">
        <v>155</v>
      </c>
      <c r="AL60" s="300" t="s">
        <v>156</v>
      </c>
      <c r="AM60" s="301" t="s">
        <v>157</v>
      </c>
      <c r="AN60" s="300" t="s">
        <v>158</v>
      </c>
      <c r="AO60" s="300" t="s">
        <v>159</v>
      </c>
      <c r="AP60" s="300" t="s">
        <v>160</v>
      </c>
      <c r="AQ60" s="300" t="s">
        <v>161</v>
      </c>
      <c r="AR60" s="300" t="s">
        <v>162</v>
      </c>
      <c r="AS60" s="300" t="s">
        <v>163</v>
      </c>
      <c r="AT60" s="300" t="s">
        <v>164</v>
      </c>
      <c r="AU60" s="300" t="s">
        <v>165</v>
      </c>
      <c r="AV60" s="300" t="s">
        <v>166</v>
      </c>
      <c r="AW60" s="300" t="s">
        <v>167</v>
      </c>
      <c r="AX60" s="298" t="s">
        <v>168</v>
      </c>
      <c r="AY60" s="300" t="s">
        <v>169</v>
      </c>
      <c r="AZ60" s="300" t="s">
        <v>170</v>
      </c>
      <c r="BA60" s="300" t="s">
        <v>171</v>
      </c>
      <c r="BB60" s="300" t="s">
        <v>172</v>
      </c>
      <c r="BC60" s="300" t="s">
        <v>173</v>
      </c>
      <c r="BD60" s="300" t="s">
        <v>174</v>
      </c>
      <c r="BE60" s="300" t="s">
        <v>175</v>
      </c>
      <c r="BF60" s="300" t="s">
        <v>176</v>
      </c>
      <c r="BG60" s="300" t="s">
        <v>177</v>
      </c>
      <c r="BH60" s="300" t="s">
        <v>178</v>
      </c>
      <c r="BI60" s="300" t="s">
        <v>179</v>
      </c>
      <c r="BJ60" s="300" t="s">
        <v>180</v>
      </c>
      <c r="BK60" s="298" t="s">
        <v>181</v>
      </c>
      <c r="BL60" s="300" t="s">
        <v>182</v>
      </c>
      <c r="BM60" s="301" t="s">
        <v>183</v>
      </c>
      <c r="BN60" s="300" t="s">
        <v>184</v>
      </c>
      <c r="BO60" s="300" t="s">
        <v>185</v>
      </c>
      <c r="BP60" s="300" t="s">
        <v>186</v>
      </c>
      <c r="BQ60" s="300" t="s">
        <v>187</v>
      </c>
      <c r="BR60" s="300" t="s">
        <v>188</v>
      </c>
      <c r="BS60" s="300" t="s">
        <v>189</v>
      </c>
      <c r="BT60" s="300" t="s">
        <v>190</v>
      </c>
      <c r="BU60" s="300" t="s">
        <v>191</v>
      </c>
      <c r="BV60" s="300" t="s">
        <v>192</v>
      </c>
      <c r="BW60" s="300" t="s">
        <v>193</v>
      </c>
      <c r="BX60" s="298" t="s">
        <v>194</v>
      </c>
      <c r="BY60" s="300" t="s">
        <v>195</v>
      </c>
    </row>
    <row r="61" spans="2:77" s="279" customFormat="1" hidden="1" outlineLevel="1">
      <c r="B61" s="302" t="s">
        <v>315</v>
      </c>
      <c r="C61" s="303">
        <v>0</v>
      </c>
      <c r="D61" s="303">
        <v>65.934065934065941</v>
      </c>
      <c r="E61" s="303">
        <v>65.934065934065941</v>
      </c>
      <c r="F61" s="303">
        <v>65.934065934065941</v>
      </c>
      <c r="G61" s="303">
        <v>65.934065934065941</v>
      </c>
      <c r="H61" s="303">
        <v>65.934065934065941</v>
      </c>
      <c r="I61" s="303">
        <v>65.934065934065941</v>
      </c>
      <c r="K61" s="302" t="s">
        <v>315</v>
      </c>
      <c r="L61" s="304">
        <v>0</v>
      </c>
      <c r="M61" s="305">
        <v>65.934065934065927</v>
      </c>
      <c r="N61" s="305">
        <v>65.934065934065927</v>
      </c>
      <c r="O61" s="305">
        <v>65.934065934065927</v>
      </c>
      <c r="P61" s="305">
        <v>65.934065934065927</v>
      </c>
      <c r="Q61" s="305">
        <v>65.934065934065927</v>
      </c>
      <c r="R61" s="305">
        <v>65.934065934065927</v>
      </c>
      <c r="S61" s="305">
        <v>65.934065934065927</v>
      </c>
      <c r="T61" s="305">
        <v>65.934065934065927</v>
      </c>
      <c r="U61" s="305">
        <v>65.934065934065927</v>
      </c>
      <c r="V61" s="305">
        <v>65.934065934065927</v>
      </c>
      <c r="W61" s="305">
        <v>65.934065934065927</v>
      </c>
      <c r="X61" s="305">
        <v>65.934065934065927</v>
      </c>
      <c r="Y61" s="306">
        <v>65.934065934065941</v>
      </c>
      <c r="Z61" s="305">
        <v>65.934065934065927</v>
      </c>
      <c r="AA61" s="305">
        <v>65.934065934065927</v>
      </c>
      <c r="AB61" s="305">
        <v>65.934065934065927</v>
      </c>
      <c r="AC61" s="305">
        <v>65.934065934065927</v>
      </c>
      <c r="AD61" s="305">
        <v>65.934065934065927</v>
      </c>
      <c r="AE61" s="305">
        <v>65.934065934065927</v>
      </c>
      <c r="AF61" s="305">
        <v>65.934065934065927</v>
      </c>
      <c r="AG61" s="305">
        <v>65.934065934065927</v>
      </c>
      <c r="AH61" s="305">
        <v>65.934065934065927</v>
      </c>
      <c r="AI61" s="305">
        <v>65.934065934065927</v>
      </c>
      <c r="AJ61" s="305">
        <v>65.934065934065927</v>
      </c>
      <c r="AK61" s="305">
        <v>65.934065934065927</v>
      </c>
      <c r="AL61" s="306">
        <v>65.934065934065941</v>
      </c>
      <c r="AM61" s="307">
        <v>65.934065934065927</v>
      </c>
      <c r="AN61" s="307">
        <v>65.934065934065927</v>
      </c>
      <c r="AO61" s="307">
        <v>65.934065934065927</v>
      </c>
      <c r="AP61" s="307">
        <v>65.934065934065927</v>
      </c>
      <c r="AQ61" s="307">
        <v>65.934065934065927</v>
      </c>
      <c r="AR61" s="307">
        <v>65.934065934065927</v>
      </c>
      <c r="AS61" s="307">
        <v>65.934065934065927</v>
      </c>
      <c r="AT61" s="307">
        <v>65.934065934065927</v>
      </c>
      <c r="AU61" s="307">
        <v>65.934065934065927</v>
      </c>
      <c r="AV61" s="307">
        <v>65.934065934065927</v>
      </c>
      <c r="AW61" s="307">
        <v>65.934065934065927</v>
      </c>
      <c r="AX61" s="307">
        <v>65.934065934065927</v>
      </c>
      <c r="AY61" s="306">
        <v>65.934065934065941</v>
      </c>
      <c r="AZ61" s="307">
        <v>65.934065934065927</v>
      </c>
      <c r="BA61" s="307">
        <v>65.934065934065927</v>
      </c>
      <c r="BB61" s="307">
        <v>65.934065934065927</v>
      </c>
      <c r="BC61" s="307">
        <v>65.934065934065927</v>
      </c>
      <c r="BD61" s="307">
        <v>65.934065934065927</v>
      </c>
      <c r="BE61" s="307">
        <v>65.934065934065927</v>
      </c>
      <c r="BF61" s="307">
        <v>65.934065934065927</v>
      </c>
      <c r="BG61" s="307">
        <v>65.934065934065927</v>
      </c>
      <c r="BH61" s="307">
        <v>65.934065934065927</v>
      </c>
      <c r="BI61" s="307">
        <v>65.934065934065927</v>
      </c>
      <c r="BJ61" s="307">
        <v>65.934065934065927</v>
      </c>
      <c r="BK61" s="307">
        <v>65.934065934065927</v>
      </c>
      <c r="BL61" s="306">
        <v>65.934065934065941</v>
      </c>
      <c r="BM61" s="307">
        <v>65.934065934065927</v>
      </c>
      <c r="BN61" s="307">
        <v>65.934065934065927</v>
      </c>
      <c r="BO61" s="307">
        <v>65.934065934065927</v>
      </c>
      <c r="BP61" s="307">
        <v>65.934065934065927</v>
      </c>
      <c r="BQ61" s="307">
        <v>65.934065934065927</v>
      </c>
      <c r="BR61" s="307">
        <v>65.934065934065927</v>
      </c>
      <c r="BS61" s="307">
        <v>65.934065934065927</v>
      </c>
      <c r="BT61" s="307">
        <v>65.934065934065927</v>
      </c>
      <c r="BU61" s="307">
        <v>65.934065934065927</v>
      </c>
      <c r="BV61" s="307">
        <v>65.934065934065927</v>
      </c>
      <c r="BW61" s="307">
        <v>65.934065934065927</v>
      </c>
      <c r="BX61" s="307">
        <v>65.934065934065927</v>
      </c>
      <c r="BY61" s="306">
        <v>65.934065934065941</v>
      </c>
    </row>
    <row r="62" spans="2:77" s="279" customFormat="1" hidden="1" outlineLevel="1">
      <c r="B62" s="308" t="s">
        <v>316</v>
      </c>
      <c r="C62" s="303">
        <v>0</v>
      </c>
      <c r="D62" s="303">
        <v>1661.5384615384612</v>
      </c>
      <c r="E62" s="303">
        <v>2584.578113206795</v>
      </c>
      <c r="F62" s="303">
        <v>2682.4674725167893</v>
      </c>
      <c r="G62" s="303">
        <v>2780.3564348474933</v>
      </c>
      <c r="H62" s="303">
        <v>2878.2450407715037</v>
      </c>
      <c r="I62" s="303">
        <v>2517.4371045762086</v>
      </c>
      <c r="K62" s="308" t="s">
        <v>316</v>
      </c>
      <c r="L62" s="309">
        <v>0</v>
      </c>
      <c r="M62" s="310">
        <v>65.934065934065927</v>
      </c>
      <c r="N62" s="310">
        <v>79.12087912087911</v>
      </c>
      <c r="O62" s="310">
        <v>92.307692307692292</v>
      </c>
      <c r="P62" s="310">
        <v>105.49450549450549</v>
      </c>
      <c r="Q62" s="310">
        <v>118.68131868131867</v>
      </c>
      <c r="R62" s="310">
        <v>131.86813186813185</v>
      </c>
      <c r="S62" s="310">
        <v>145.05494505494505</v>
      </c>
      <c r="T62" s="310">
        <v>158.24175824175822</v>
      </c>
      <c r="U62" s="310">
        <v>171.42857142857142</v>
      </c>
      <c r="V62" s="310">
        <v>184.61538461538458</v>
      </c>
      <c r="W62" s="310">
        <v>197.80219780219778</v>
      </c>
      <c r="X62" s="310">
        <v>210.98901098901098</v>
      </c>
      <c r="Y62" s="311">
        <v>1661.5384615384612</v>
      </c>
      <c r="Z62" s="310">
        <v>126.99417878847289</v>
      </c>
      <c r="AA62" s="310">
        <v>127.39621975698215</v>
      </c>
      <c r="AB62" s="310">
        <v>212.99922252607544</v>
      </c>
      <c r="AC62" s="310">
        <v>213.67354015648226</v>
      </c>
      <c r="AD62" s="310">
        <v>214.3499925564966</v>
      </c>
      <c r="AE62" s="310">
        <v>215.02858648441912</v>
      </c>
      <c r="AF62" s="310">
        <v>215.70932871994606</v>
      </c>
      <c r="AG62" s="310">
        <v>216.39222606423692</v>
      </c>
      <c r="AH62" s="310">
        <v>217.07728533998252</v>
      </c>
      <c r="AI62" s="310">
        <v>217.76451339147309</v>
      </c>
      <c r="AJ62" s="310">
        <v>303.11670294364859</v>
      </c>
      <c r="AK62" s="310">
        <v>304.07631647857903</v>
      </c>
      <c r="AL62" s="311">
        <v>2584.578113206795</v>
      </c>
      <c r="AM62" s="310">
        <v>183.00224127478614</v>
      </c>
      <c r="AN62" s="310">
        <v>183.56038981392945</v>
      </c>
      <c r="AO62" s="310">
        <v>221.15677669519346</v>
      </c>
      <c r="AP62" s="310">
        <v>221.83129483756261</v>
      </c>
      <c r="AQ62" s="310">
        <v>222.50787022968547</v>
      </c>
      <c r="AR62" s="310">
        <v>223.18650914608051</v>
      </c>
      <c r="AS62" s="310">
        <v>223.86721788040319</v>
      </c>
      <c r="AT62" s="310">
        <v>224.55000274550437</v>
      </c>
      <c r="AU62" s="310">
        <v>225.23487007348879</v>
      </c>
      <c r="AV62" s="310">
        <v>225.92182621577385</v>
      </c>
      <c r="AW62" s="310">
        <v>263.42252342534067</v>
      </c>
      <c r="AX62" s="310">
        <v>264.22595017904104</v>
      </c>
      <c r="AY62" s="311">
        <v>2682.4674725167893</v>
      </c>
      <c r="AZ62" s="310">
        <v>159.00202443416148</v>
      </c>
      <c r="BA62" s="310">
        <v>159.46985119510211</v>
      </c>
      <c r="BB62" s="310">
        <v>229.31429075827594</v>
      </c>
      <c r="BC62" s="310">
        <v>229.98899513556054</v>
      </c>
      <c r="BD62" s="310">
        <v>230.6656846747608</v>
      </c>
      <c r="BE62" s="310">
        <v>231.3443652167575</v>
      </c>
      <c r="BF62" s="310">
        <v>232.02504261961684</v>
      </c>
      <c r="BG62" s="310">
        <v>232.70772275864107</v>
      </c>
      <c r="BH62" s="310">
        <v>233.39241152641915</v>
      </c>
      <c r="BI62" s="310">
        <v>234.07911483287762</v>
      </c>
      <c r="BJ62" s="310">
        <v>303.73662838272554</v>
      </c>
      <c r="BK62" s="310">
        <v>304.63030331259512</v>
      </c>
      <c r="BL62" s="311">
        <v>2780.3564348474933</v>
      </c>
      <c r="BM62" s="310">
        <v>183.29762452731913</v>
      </c>
      <c r="BN62" s="310">
        <v>183.81854328568227</v>
      </c>
      <c r="BO62" s="310">
        <v>237.47176875877602</v>
      </c>
      <c r="BP62" s="310">
        <v>238.14664656609688</v>
      </c>
      <c r="BQ62" s="310">
        <v>238.82344232794847</v>
      </c>
      <c r="BR62" s="310">
        <v>239.5021614950206</v>
      </c>
      <c r="BS62" s="310">
        <v>240.18280953349355</v>
      </c>
      <c r="BT62" s="310">
        <v>240.86539192508209</v>
      </c>
      <c r="BU62" s="310">
        <v>241.54991416707963</v>
      </c>
      <c r="BV62" s="310">
        <v>242.2363817724025</v>
      </c>
      <c r="BW62" s="310">
        <v>295.75492102447163</v>
      </c>
      <c r="BX62" s="310">
        <v>296.59543538813102</v>
      </c>
      <c r="BY62" s="311">
        <v>2878.2450407715037</v>
      </c>
    </row>
    <row r="63" spans="2:77" s="279" customFormat="1" hidden="1" outlineLevel="1">
      <c r="B63" s="312" t="s">
        <v>317</v>
      </c>
      <c r="C63" s="303">
        <v>0</v>
      </c>
      <c r="D63" s="303">
        <v>1661.5384615384612</v>
      </c>
      <c r="E63" s="303">
        <v>2584.578113206795</v>
      </c>
      <c r="F63" s="303">
        <v>2682.4674725167893</v>
      </c>
      <c r="G63" s="303">
        <v>2780.3564348474933</v>
      </c>
      <c r="H63" s="303">
        <v>2878.2450407715037</v>
      </c>
      <c r="I63" s="303">
        <v>2517.4371045762086</v>
      </c>
      <c r="K63" s="312" t="s">
        <v>317</v>
      </c>
      <c r="L63" s="309">
        <v>0</v>
      </c>
      <c r="M63" s="310">
        <v>65.934065934065927</v>
      </c>
      <c r="N63" s="310">
        <v>79.12087912087911</v>
      </c>
      <c r="O63" s="310">
        <v>92.307692307692292</v>
      </c>
      <c r="P63" s="310">
        <v>105.49450549450549</v>
      </c>
      <c r="Q63" s="310">
        <v>118.68131868131867</v>
      </c>
      <c r="R63" s="310">
        <v>131.86813186813185</v>
      </c>
      <c r="S63" s="310">
        <v>145.05494505494505</v>
      </c>
      <c r="T63" s="310">
        <v>158.24175824175822</v>
      </c>
      <c r="U63" s="310">
        <v>171.42857142857142</v>
      </c>
      <c r="V63" s="310">
        <v>184.61538461538458</v>
      </c>
      <c r="W63" s="310">
        <v>197.80219780219778</v>
      </c>
      <c r="X63" s="310">
        <v>210.98901098901098</v>
      </c>
      <c r="Y63" s="311">
        <v>1661.5384615384612</v>
      </c>
      <c r="Z63" s="310">
        <v>126.99417878847289</v>
      </c>
      <c r="AA63" s="310">
        <v>127.39621975698215</v>
      </c>
      <c r="AB63" s="310">
        <v>212.99922252607544</v>
      </c>
      <c r="AC63" s="310">
        <v>213.67354015648226</v>
      </c>
      <c r="AD63" s="310">
        <v>214.3499925564966</v>
      </c>
      <c r="AE63" s="310">
        <v>215.02858648441912</v>
      </c>
      <c r="AF63" s="310">
        <v>215.70932871994606</v>
      </c>
      <c r="AG63" s="310">
        <v>216.39222606423692</v>
      </c>
      <c r="AH63" s="310">
        <v>217.07728533998252</v>
      </c>
      <c r="AI63" s="310">
        <v>217.76451339147309</v>
      </c>
      <c r="AJ63" s="310">
        <v>303.11670294364859</v>
      </c>
      <c r="AK63" s="310">
        <v>304.07631647857903</v>
      </c>
      <c r="AL63" s="311">
        <v>2584.578113206795</v>
      </c>
      <c r="AM63" s="310">
        <v>183.00224127478614</v>
      </c>
      <c r="AN63" s="310">
        <v>183.56038981392945</v>
      </c>
      <c r="AO63" s="310">
        <v>221.15677669519346</v>
      </c>
      <c r="AP63" s="310">
        <v>221.83129483756261</v>
      </c>
      <c r="AQ63" s="310">
        <v>222.50787022968547</v>
      </c>
      <c r="AR63" s="310">
        <v>223.18650914608051</v>
      </c>
      <c r="AS63" s="310">
        <v>223.86721788040319</v>
      </c>
      <c r="AT63" s="310">
        <v>224.55000274550437</v>
      </c>
      <c r="AU63" s="310">
        <v>225.23487007348879</v>
      </c>
      <c r="AV63" s="310">
        <v>225.92182621577385</v>
      </c>
      <c r="AW63" s="310">
        <v>263.42252342534067</v>
      </c>
      <c r="AX63" s="310">
        <v>264.22595017904104</v>
      </c>
      <c r="AY63" s="311">
        <v>2682.4674725167893</v>
      </c>
      <c r="AZ63" s="310">
        <v>159.00202443416148</v>
      </c>
      <c r="BA63" s="310">
        <v>159.46985119510211</v>
      </c>
      <c r="BB63" s="310">
        <v>229.31429075827594</v>
      </c>
      <c r="BC63" s="310">
        <v>229.98899513556054</v>
      </c>
      <c r="BD63" s="310">
        <v>230.6656846747608</v>
      </c>
      <c r="BE63" s="310">
        <v>231.3443652167575</v>
      </c>
      <c r="BF63" s="310">
        <v>232.02504261961684</v>
      </c>
      <c r="BG63" s="310">
        <v>232.70772275864107</v>
      </c>
      <c r="BH63" s="310">
        <v>233.39241152641915</v>
      </c>
      <c r="BI63" s="310">
        <v>234.07911483287762</v>
      </c>
      <c r="BJ63" s="310">
        <v>303.73662838272554</v>
      </c>
      <c r="BK63" s="310">
        <v>304.63030331259512</v>
      </c>
      <c r="BL63" s="311">
        <v>2780.3564348474933</v>
      </c>
      <c r="BM63" s="310">
        <v>183.29762452731913</v>
      </c>
      <c r="BN63" s="310">
        <v>183.81854328568227</v>
      </c>
      <c r="BO63" s="310">
        <v>237.47176875877602</v>
      </c>
      <c r="BP63" s="310">
        <v>238.14664656609688</v>
      </c>
      <c r="BQ63" s="310">
        <v>238.82344232794847</v>
      </c>
      <c r="BR63" s="310">
        <v>239.5021614950206</v>
      </c>
      <c r="BS63" s="310">
        <v>240.18280953349355</v>
      </c>
      <c r="BT63" s="310">
        <v>240.86539192508209</v>
      </c>
      <c r="BU63" s="310">
        <v>241.54991416707963</v>
      </c>
      <c r="BV63" s="310">
        <v>242.2363817724025</v>
      </c>
      <c r="BW63" s="310">
        <v>295.75492102447163</v>
      </c>
      <c r="BX63" s="310">
        <v>296.59543538813102</v>
      </c>
      <c r="BY63" s="311">
        <v>2878.2450407715037</v>
      </c>
    </row>
    <row r="64" spans="2:77" s="279" customFormat="1" hidden="1" outlineLevel="1">
      <c r="B64" s="313" t="s">
        <v>318</v>
      </c>
      <c r="C64" s="314">
        <v>65.934065934065927</v>
      </c>
      <c r="D64" s="314">
        <v>65.934065934065941</v>
      </c>
      <c r="E64" s="314">
        <v>65.934065934065941</v>
      </c>
      <c r="F64" s="314">
        <v>65.934065934065941</v>
      </c>
      <c r="G64" s="314">
        <v>65.934065934065941</v>
      </c>
      <c r="H64" s="314">
        <v>65.934065934065941</v>
      </c>
      <c r="I64" s="314">
        <v>65.934065934065941</v>
      </c>
      <c r="K64" s="313" t="s">
        <v>318</v>
      </c>
      <c r="L64" s="315">
        <v>65.934065934065927</v>
      </c>
      <c r="M64" s="316">
        <v>65.934065934065927</v>
      </c>
      <c r="N64" s="316">
        <v>65.934065934065927</v>
      </c>
      <c r="O64" s="316">
        <v>65.934065934065927</v>
      </c>
      <c r="P64" s="316">
        <v>65.934065934065927</v>
      </c>
      <c r="Q64" s="316">
        <v>65.934065934065927</v>
      </c>
      <c r="R64" s="316">
        <v>65.934065934065927</v>
      </c>
      <c r="S64" s="316">
        <v>65.934065934065927</v>
      </c>
      <c r="T64" s="316">
        <v>65.934065934065927</v>
      </c>
      <c r="U64" s="316">
        <v>65.934065934065927</v>
      </c>
      <c r="V64" s="316">
        <v>65.934065934065927</v>
      </c>
      <c r="W64" s="316">
        <v>65.934065934065927</v>
      </c>
      <c r="X64" s="316">
        <v>65.934065934065927</v>
      </c>
      <c r="Y64" s="317">
        <v>65.934065934065941</v>
      </c>
      <c r="Z64" s="316">
        <v>65.934065934065927</v>
      </c>
      <c r="AA64" s="316">
        <v>65.934065934065927</v>
      </c>
      <c r="AB64" s="316">
        <v>65.934065934065927</v>
      </c>
      <c r="AC64" s="316">
        <v>65.934065934065927</v>
      </c>
      <c r="AD64" s="316">
        <v>65.934065934065927</v>
      </c>
      <c r="AE64" s="316">
        <v>65.934065934065927</v>
      </c>
      <c r="AF64" s="316">
        <v>65.934065934065927</v>
      </c>
      <c r="AG64" s="316">
        <v>65.934065934065927</v>
      </c>
      <c r="AH64" s="316">
        <v>65.934065934065927</v>
      </c>
      <c r="AI64" s="316">
        <v>65.934065934065927</v>
      </c>
      <c r="AJ64" s="316">
        <v>65.934065934065927</v>
      </c>
      <c r="AK64" s="316">
        <v>65.934065934065927</v>
      </c>
      <c r="AL64" s="317">
        <v>65.934065934065941</v>
      </c>
      <c r="AM64" s="316">
        <v>65.934065934065927</v>
      </c>
      <c r="AN64" s="316">
        <v>65.934065934065927</v>
      </c>
      <c r="AO64" s="316">
        <v>65.934065934065927</v>
      </c>
      <c r="AP64" s="316">
        <v>65.934065934065927</v>
      </c>
      <c r="AQ64" s="316">
        <v>65.934065934065927</v>
      </c>
      <c r="AR64" s="316">
        <v>65.934065934065927</v>
      </c>
      <c r="AS64" s="316">
        <v>65.934065934065927</v>
      </c>
      <c r="AT64" s="316">
        <v>65.934065934065927</v>
      </c>
      <c r="AU64" s="316">
        <v>65.934065934065927</v>
      </c>
      <c r="AV64" s="316">
        <v>65.934065934065927</v>
      </c>
      <c r="AW64" s="316">
        <v>65.934065934065927</v>
      </c>
      <c r="AX64" s="316">
        <v>65.934065934065927</v>
      </c>
      <c r="AY64" s="317">
        <v>65.934065934065941</v>
      </c>
      <c r="AZ64" s="316">
        <v>65.934065934065927</v>
      </c>
      <c r="BA64" s="316">
        <v>65.934065934065927</v>
      </c>
      <c r="BB64" s="316">
        <v>65.934065934065927</v>
      </c>
      <c r="BC64" s="316">
        <v>65.934065934065927</v>
      </c>
      <c r="BD64" s="316">
        <v>65.934065934065927</v>
      </c>
      <c r="BE64" s="316">
        <v>65.934065934065927</v>
      </c>
      <c r="BF64" s="316">
        <v>65.934065934065927</v>
      </c>
      <c r="BG64" s="316">
        <v>65.934065934065927</v>
      </c>
      <c r="BH64" s="316">
        <v>65.934065934065927</v>
      </c>
      <c r="BI64" s="316">
        <v>65.934065934065927</v>
      </c>
      <c r="BJ64" s="316">
        <v>65.934065934065927</v>
      </c>
      <c r="BK64" s="316">
        <v>65.934065934065927</v>
      </c>
      <c r="BL64" s="317">
        <v>65.934065934065941</v>
      </c>
      <c r="BM64" s="316">
        <v>65.934065934065927</v>
      </c>
      <c r="BN64" s="316">
        <v>65.934065934065927</v>
      </c>
      <c r="BO64" s="316">
        <v>65.934065934065927</v>
      </c>
      <c r="BP64" s="316">
        <v>65.934065934065927</v>
      </c>
      <c r="BQ64" s="316">
        <v>65.934065934065927</v>
      </c>
      <c r="BR64" s="316">
        <v>65.934065934065927</v>
      </c>
      <c r="BS64" s="316">
        <v>65.934065934065927</v>
      </c>
      <c r="BT64" s="316">
        <v>65.934065934065927</v>
      </c>
      <c r="BU64" s="316">
        <v>65.934065934065927</v>
      </c>
      <c r="BV64" s="316">
        <v>65.934065934065927</v>
      </c>
      <c r="BW64" s="316">
        <v>65.934065934065927</v>
      </c>
      <c r="BX64" s="316">
        <v>65.934065934065927</v>
      </c>
      <c r="BY64" s="317">
        <v>65.934065934065941</v>
      </c>
    </row>
    <row r="65" spans="2:77" s="279" customFormat="1" hidden="1" outlineLevel="1">
      <c r="B65" s="302" t="s">
        <v>319</v>
      </c>
      <c r="C65" s="303">
        <v>0</v>
      </c>
      <c r="D65" s="303">
        <v>0</v>
      </c>
      <c r="E65" s="303">
        <v>65.934065934065941</v>
      </c>
      <c r="F65" s="303">
        <v>65.934065934065941</v>
      </c>
      <c r="G65" s="303">
        <v>65.934065934065941</v>
      </c>
      <c r="H65" s="303">
        <v>65.934065934065984</v>
      </c>
      <c r="I65" s="303">
        <v>65.934065934065956</v>
      </c>
      <c r="K65" s="302" t="s">
        <v>319</v>
      </c>
      <c r="L65" s="304">
        <v>0</v>
      </c>
      <c r="M65" s="305">
        <v>0</v>
      </c>
      <c r="N65" s="305">
        <v>0</v>
      </c>
      <c r="O65" s="305">
        <v>0</v>
      </c>
      <c r="P65" s="305">
        <v>0</v>
      </c>
      <c r="Q65" s="305">
        <v>0</v>
      </c>
      <c r="R65" s="305">
        <v>0</v>
      </c>
      <c r="S65" s="305">
        <v>0</v>
      </c>
      <c r="T65" s="305">
        <v>0</v>
      </c>
      <c r="U65" s="305">
        <v>0</v>
      </c>
      <c r="V65" s="305">
        <v>0</v>
      </c>
      <c r="W65" s="305">
        <v>0</v>
      </c>
      <c r="X65" s="305">
        <v>0</v>
      </c>
      <c r="Y65" s="306">
        <v>0</v>
      </c>
      <c r="Z65" s="305">
        <v>65.934065934065927</v>
      </c>
      <c r="AA65" s="305">
        <v>65.934065934065927</v>
      </c>
      <c r="AB65" s="305">
        <v>65.934065934065927</v>
      </c>
      <c r="AC65" s="305">
        <v>65.934065934065927</v>
      </c>
      <c r="AD65" s="305">
        <v>65.934065934065927</v>
      </c>
      <c r="AE65" s="305">
        <v>65.934065934065927</v>
      </c>
      <c r="AF65" s="305">
        <v>65.934065934065927</v>
      </c>
      <c r="AG65" s="305">
        <v>65.934065934065927</v>
      </c>
      <c r="AH65" s="305">
        <v>65.934065934065927</v>
      </c>
      <c r="AI65" s="305">
        <v>65.934065934065927</v>
      </c>
      <c r="AJ65" s="305">
        <v>65.934065934065927</v>
      </c>
      <c r="AK65" s="305">
        <v>65.934065934065927</v>
      </c>
      <c r="AL65" s="306">
        <v>65.934065934065941</v>
      </c>
      <c r="AM65" s="307">
        <v>65.934065934065927</v>
      </c>
      <c r="AN65" s="307">
        <v>65.934065934065927</v>
      </c>
      <c r="AO65" s="307">
        <v>65.934065934065927</v>
      </c>
      <c r="AP65" s="307">
        <v>65.934065934065927</v>
      </c>
      <c r="AQ65" s="307">
        <v>65.934065934065927</v>
      </c>
      <c r="AR65" s="307">
        <v>65.934065934065927</v>
      </c>
      <c r="AS65" s="307">
        <v>65.934065934065927</v>
      </c>
      <c r="AT65" s="307">
        <v>65.934065934065927</v>
      </c>
      <c r="AU65" s="307">
        <v>65.934065934065927</v>
      </c>
      <c r="AV65" s="307">
        <v>65.934065934065927</v>
      </c>
      <c r="AW65" s="307">
        <v>65.934065934065927</v>
      </c>
      <c r="AX65" s="307">
        <v>65.934065934065927</v>
      </c>
      <c r="AY65" s="306">
        <v>65.934065934065941</v>
      </c>
      <c r="AZ65" s="307">
        <v>65.934065934065927</v>
      </c>
      <c r="BA65" s="307">
        <v>65.934065934065927</v>
      </c>
      <c r="BB65" s="307">
        <v>65.934065934065927</v>
      </c>
      <c r="BC65" s="307">
        <v>65.934065934065927</v>
      </c>
      <c r="BD65" s="307">
        <v>65.934065934065927</v>
      </c>
      <c r="BE65" s="307">
        <v>65.934065934065927</v>
      </c>
      <c r="BF65" s="307">
        <v>65.934065934065927</v>
      </c>
      <c r="BG65" s="307">
        <v>65.934065934065984</v>
      </c>
      <c r="BH65" s="307">
        <v>65.934065934065984</v>
      </c>
      <c r="BI65" s="307">
        <v>65.934065934065984</v>
      </c>
      <c r="BJ65" s="307">
        <v>65.934065934065984</v>
      </c>
      <c r="BK65" s="307">
        <v>65.934065934065984</v>
      </c>
      <c r="BL65" s="306">
        <v>65.934065934065941</v>
      </c>
      <c r="BM65" s="307">
        <v>65.934065934065984</v>
      </c>
      <c r="BN65" s="307">
        <v>65.934065934065984</v>
      </c>
      <c r="BO65" s="307">
        <v>65.934065934065984</v>
      </c>
      <c r="BP65" s="307">
        <v>65.934065934065984</v>
      </c>
      <c r="BQ65" s="307">
        <v>65.934065934065984</v>
      </c>
      <c r="BR65" s="307">
        <v>65.934065934065984</v>
      </c>
      <c r="BS65" s="307">
        <v>65.934065934065984</v>
      </c>
      <c r="BT65" s="307">
        <v>65.934065934065984</v>
      </c>
      <c r="BU65" s="307">
        <v>65.934065934065984</v>
      </c>
      <c r="BV65" s="307">
        <v>65.934065934065984</v>
      </c>
      <c r="BW65" s="307">
        <v>65.934065934065984</v>
      </c>
      <c r="BX65" s="307">
        <v>65.934065934065984</v>
      </c>
      <c r="BY65" s="306">
        <v>65.934065934065984</v>
      </c>
    </row>
    <row r="66" spans="2:77" s="279" customFormat="1" hidden="1" outlineLevel="1">
      <c r="B66" s="308" t="s">
        <v>320</v>
      </c>
      <c r="C66" s="303">
        <v>0</v>
      </c>
      <c r="D66" s="303">
        <v>0</v>
      </c>
      <c r="E66" s="303">
        <v>1661.5384615384612</v>
      </c>
      <c r="F66" s="303">
        <v>4246.1165747452551</v>
      </c>
      <c r="G66" s="303">
        <v>6928.5840472620457</v>
      </c>
      <c r="H66" s="303">
        <v>9708.9404821095377</v>
      </c>
      <c r="I66" s="303">
        <v>4509.0359131310597</v>
      </c>
      <c r="K66" s="308" t="s">
        <v>320</v>
      </c>
      <c r="L66" s="309">
        <v>0</v>
      </c>
      <c r="M66" s="310">
        <v>0</v>
      </c>
      <c r="N66" s="310">
        <v>0</v>
      </c>
      <c r="O66" s="310">
        <v>0</v>
      </c>
      <c r="P66" s="310">
        <v>0</v>
      </c>
      <c r="Q66" s="310">
        <v>0</v>
      </c>
      <c r="R66" s="310">
        <v>0</v>
      </c>
      <c r="S66" s="310">
        <v>0</v>
      </c>
      <c r="T66" s="310">
        <v>0</v>
      </c>
      <c r="U66" s="310">
        <v>0</v>
      </c>
      <c r="V66" s="310">
        <v>0</v>
      </c>
      <c r="W66" s="310">
        <v>0</v>
      </c>
      <c r="X66" s="310">
        <v>0</v>
      </c>
      <c r="Y66" s="311">
        <v>0</v>
      </c>
      <c r="Z66" s="310">
        <v>65.934065934065927</v>
      </c>
      <c r="AA66" s="310">
        <v>79.12087912087911</v>
      </c>
      <c r="AB66" s="310">
        <v>92.307692307692292</v>
      </c>
      <c r="AC66" s="310">
        <v>105.49450549450549</v>
      </c>
      <c r="AD66" s="310">
        <v>118.68131868131867</v>
      </c>
      <c r="AE66" s="310">
        <v>131.86813186813185</v>
      </c>
      <c r="AF66" s="310">
        <v>145.05494505494505</v>
      </c>
      <c r="AG66" s="310">
        <v>158.24175824175822</v>
      </c>
      <c r="AH66" s="310">
        <v>171.42857142857142</v>
      </c>
      <c r="AI66" s="310">
        <v>184.61538461538458</v>
      </c>
      <c r="AJ66" s="310">
        <v>197.80219780219778</v>
      </c>
      <c r="AK66" s="310">
        <v>210.98901098901098</v>
      </c>
      <c r="AL66" s="311">
        <v>1661.5384615384612</v>
      </c>
      <c r="AM66" s="310">
        <v>192.92824472253881</v>
      </c>
      <c r="AN66" s="310">
        <v>206.51709887786126</v>
      </c>
      <c r="AO66" s="310">
        <v>305.30691483376773</v>
      </c>
      <c r="AP66" s="310">
        <v>319.16804565098778</v>
      </c>
      <c r="AQ66" s="310">
        <v>333.03131123781526</v>
      </c>
      <c r="AR66" s="310">
        <v>346.89671835255098</v>
      </c>
      <c r="AS66" s="310">
        <v>360.76427377489108</v>
      </c>
      <c r="AT66" s="310">
        <v>374.63398430599511</v>
      </c>
      <c r="AU66" s="310">
        <v>388.50585676855394</v>
      </c>
      <c r="AV66" s="310">
        <v>402.37989800685767</v>
      </c>
      <c r="AW66" s="310">
        <v>500.91890074584637</v>
      </c>
      <c r="AX66" s="310">
        <v>515.06532746759001</v>
      </c>
      <c r="AY66" s="311">
        <v>4246.1165747452551</v>
      </c>
      <c r="AZ66" s="310">
        <v>375.93048599732492</v>
      </c>
      <c r="BA66" s="310">
        <v>390.07748869179068</v>
      </c>
      <c r="BB66" s="310">
        <v>526.46369152896114</v>
      </c>
      <c r="BC66" s="310">
        <v>540.99934048855039</v>
      </c>
      <c r="BD66" s="310">
        <v>555.53918146750073</v>
      </c>
      <c r="BE66" s="310">
        <v>570.08322749863146</v>
      </c>
      <c r="BF66" s="310">
        <v>584.63149165529421</v>
      </c>
      <c r="BG66" s="310">
        <v>599.18398705149946</v>
      </c>
      <c r="BH66" s="310">
        <v>613.7407268420427</v>
      </c>
      <c r="BI66" s="310">
        <v>628.30172422263149</v>
      </c>
      <c r="BJ66" s="310">
        <v>764.3414241711871</v>
      </c>
      <c r="BK66" s="310">
        <v>779.29127764663099</v>
      </c>
      <c r="BL66" s="311">
        <v>6928.5840472620457</v>
      </c>
      <c r="BM66" s="310">
        <v>534.93251043148643</v>
      </c>
      <c r="BN66" s="310">
        <v>549.54733988689281</v>
      </c>
      <c r="BO66" s="310">
        <v>755.77798228723714</v>
      </c>
      <c r="BP66" s="310">
        <v>770.98833562411096</v>
      </c>
      <c r="BQ66" s="310">
        <v>786.20486614226149</v>
      </c>
      <c r="BR66" s="310">
        <v>801.42759271538898</v>
      </c>
      <c r="BS66" s="310">
        <v>816.65653427491111</v>
      </c>
      <c r="BT66" s="310">
        <v>831.89170981014058</v>
      </c>
      <c r="BU66" s="310">
        <v>847.13313836846191</v>
      </c>
      <c r="BV66" s="310">
        <v>862.38083905550911</v>
      </c>
      <c r="BW66" s="310">
        <v>1068.0780525539126</v>
      </c>
      <c r="BX66" s="310">
        <v>1083.921580959226</v>
      </c>
      <c r="BY66" s="311">
        <v>9708.9404821095377</v>
      </c>
    </row>
    <row r="67" spans="2:77" s="279" customFormat="1" hidden="1" outlineLevel="1">
      <c r="B67" s="312" t="s">
        <v>321</v>
      </c>
      <c r="C67" s="303">
        <v>0</v>
      </c>
      <c r="D67" s="303">
        <v>0</v>
      </c>
      <c r="E67" s="303">
        <v>1661.5384615384612</v>
      </c>
      <c r="F67" s="303">
        <v>4246.1165747452551</v>
      </c>
      <c r="G67" s="303">
        <v>6928.5840472620457</v>
      </c>
      <c r="H67" s="303">
        <v>9708.9404821095377</v>
      </c>
      <c r="I67" s="303">
        <v>4509.0359131310597</v>
      </c>
      <c r="K67" s="312" t="s">
        <v>321</v>
      </c>
      <c r="L67" s="309">
        <v>0</v>
      </c>
      <c r="M67" s="310">
        <v>0</v>
      </c>
      <c r="N67" s="310">
        <v>0</v>
      </c>
      <c r="O67" s="310">
        <v>0</v>
      </c>
      <c r="P67" s="310">
        <v>0</v>
      </c>
      <c r="Q67" s="310">
        <v>0</v>
      </c>
      <c r="R67" s="310">
        <v>0</v>
      </c>
      <c r="S67" s="310">
        <v>0</v>
      </c>
      <c r="T67" s="310">
        <v>0</v>
      </c>
      <c r="U67" s="310">
        <v>0</v>
      </c>
      <c r="V67" s="310">
        <v>0</v>
      </c>
      <c r="W67" s="310">
        <v>0</v>
      </c>
      <c r="X67" s="310">
        <v>0</v>
      </c>
      <c r="Y67" s="311">
        <v>0</v>
      </c>
      <c r="Z67" s="310">
        <v>65.934065934065927</v>
      </c>
      <c r="AA67" s="310">
        <v>79.12087912087911</v>
      </c>
      <c r="AB67" s="310">
        <v>92.307692307692292</v>
      </c>
      <c r="AC67" s="310">
        <v>105.49450549450549</v>
      </c>
      <c r="AD67" s="310">
        <v>118.68131868131867</v>
      </c>
      <c r="AE67" s="310">
        <v>131.86813186813185</v>
      </c>
      <c r="AF67" s="310">
        <v>145.05494505494505</v>
      </c>
      <c r="AG67" s="310">
        <v>158.24175824175822</v>
      </c>
      <c r="AH67" s="310">
        <v>171.42857142857142</v>
      </c>
      <c r="AI67" s="310">
        <v>184.61538461538458</v>
      </c>
      <c r="AJ67" s="310">
        <v>197.80219780219778</v>
      </c>
      <c r="AK67" s="310">
        <v>210.98901098901098</v>
      </c>
      <c r="AL67" s="311">
        <v>1661.5384615384612</v>
      </c>
      <c r="AM67" s="310">
        <v>192.92824472253881</v>
      </c>
      <c r="AN67" s="310">
        <v>206.51709887786126</v>
      </c>
      <c r="AO67" s="310">
        <v>305.30691483376773</v>
      </c>
      <c r="AP67" s="310">
        <v>319.16804565098778</v>
      </c>
      <c r="AQ67" s="310">
        <v>333.03131123781526</v>
      </c>
      <c r="AR67" s="310">
        <v>346.89671835255098</v>
      </c>
      <c r="AS67" s="310">
        <v>360.76427377489108</v>
      </c>
      <c r="AT67" s="310">
        <v>374.63398430599511</v>
      </c>
      <c r="AU67" s="310">
        <v>388.50585676855394</v>
      </c>
      <c r="AV67" s="310">
        <v>402.37989800685767</v>
      </c>
      <c r="AW67" s="310">
        <v>500.91890074584637</v>
      </c>
      <c r="AX67" s="310">
        <v>515.06532746759001</v>
      </c>
      <c r="AY67" s="311">
        <v>4246.1165747452551</v>
      </c>
      <c r="AZ67" s="310">
        <v>375.93048599732492</v>
      </c>
      <c r="BA67" s="310">
        <v>390.07748869179068</v>
      </c>
      <c r="BB67" s="310">
        <v>526.46369152896114</v>
      </c>
      <c r="BC67" s="310">
        <v>540.99934048855039</v>
      </c>
      <c r="BD67" s="310">
        <v>555.53918146750073</v>
      </c>
      <c r="BE67" s="310">
        <v>570.08322749863146</v>
      </c>
      <c r="BF67" s="310">
        <v>584.63149165529421</v>
      </c>
      <c r="BG67" s="310">
        <v>599.18398705149946</v>
      </c>
      <c r="BH67" s="310">
        <v>613.7407268420427</v>
      </c>
      <c r="BI67" s="310">
        <v>628.30172422263149</v>
      </c>
      <c r="BJ67" s="310">
        <v>764.3414241711871</v>
      </c>
      <c r="BK67" s="310">
        <v>779.29127764663099</v>
      </c>
      <c r="BL67" s="311">
        <v>6928.5840472620457</v>
      </c>
      <c r="BM67" s="310">
        <v>534.93251043148643</v>
      </c>
      <c r="BN67" s="310">
        <v>549.54733988689281</v>
      </c>
      <c r="BO67" s="310">
        <v>755.77798228723714</v>
      </c>
      <c r="BP67" s="310">
        <v>770.98833562411096</v>
      </c>
      <c r="BQ67" s="310">
        <v>786.20486614226149</v>
      </c>
      <c r="BR67" s="310">
        <v>801.42759271538898</v>
      </c>
      <c r="BS67" s="310">
        <v>816.65653427491111</v>
      </c>
      <c r="BT67" s="310">
        <v>831.89170981014058</v>
      </c>
      <c r="BU67" s="310">
        <v>847.13313836846191</v>
      </c>
      <c r="BV67" s="310">
        <v>862.38083905550911</v>
      </c>
      <c r="BW67" s="310">
        <v>1068.0780525539126</v>
      </c>
      <c r="BX67" s="310">
        <v>1083.921580959226</v>
      </c>
      <c r="BY67" s="311">
        <v>9708.9404821095377</v>
      </c>
    </row>
    <row r="68" spans="2:77" s="279" customFormat="1" hidden="1" outlineLevel="1">
      <c r="B68" s="313" t="s">
        <v>322</v>
      </c>
      <c r="C68" s="314">
        <v>0</v>
      </c>
      <c r="D68" s="314">
        <v>0</v>
      </c>
      <c r="E68" s="314">
        <v>65.934065934065941</v>
      </c>
      <c r="F68" s="314">
        <v>65.934065934065941</v>
      </c>
      <c r="G68" s="314">
        <v>65.934065934065956</v>
      </c>
      <c r="H68" s="314">
        <v>65.934065934065984</v>
      </c>
      <c r="I68" s="314">
        <v>65.934065934065956</v>
      </c>
      <c r="K68" s="313" t="s">
        <v>322</v>
      </c>
      <c r="L68" s="315">
        <v>0</v>
      </c>
      <c r="M68" s="316">
        <v>0</v>
      </c>
      <c r="N68" s="316">
        <v>0</v>
      </c>
      <c r="O68" s="316">
        <v>0</v>
      </c>
      <c r="P68" s="316">
        <v>0</v>
      </c>
      <c r="Q68" s="316">
        <v>0</v>
      </c>
      <c r="R68" s="316">
        <v>0</v>
      </c>
      <c r="S68" s="316">
        <v>0</v>
      </c>
      <c r="T68" s="316">
        <v>0</v>
      </c>
      <c r="U68" s="316">
        <v>0</v>
      </c>
      <c r="V68" s="316">
        <v>0</v>
      </c>
      <c r="W68" s="316">
        <v>0</v>
      </c>
      <c r="X68" s="316">
        <v>0</v>
      </c>
      <c r="Y68" s="317">
        <v>0</v>
      </c>
      <c r="Z68" s="316">
        <v>65.934065934065927</v>
      </c>
      <c r="AA68" s="316">
        <v>65.934065934065927</v>
      </c>
      <c r="AB68" s="316">
        <v>65.934065934065927</v>
      </c>
      <c r="AC68" s="316">
        <v>65.934065934065927</v>
      </c>
      <c r="AD68" s="316">
        <v>65.934065934065927</v>
      </c>
      <c r="AE68" s="316">
        <v>65.934065934065927</v>
      </c>
      <c r="AF68" s="316">
        <v>65.934065934065927</v>
      </c>
      <c r="AG68" s="316">
        <v>65.934065934065927</v>
      </c>
      <c r="AH68" s="316">
        <v>65.934065934065927</v>
      </c>
      <c r="AI68" s="316">
        <v>65.934065934065927</v>
      </c>
      <c r="AJ68" s="316">
        <v>65.934065934065927</v>
      </c>
      <c r="AK68" s="316">
        <v>65.934065934065927</v>
      </c>
      <c r="AL68" s="317">
        <v>65.934065934065941</v>
      </c>
      <c r="AM68" s="316">
        <v>65.934065934065927</v>
      </c>
      <c r="AN68" s="316">
        <v>65.934065934065927</v>
      </c>
      <c r="AO68" s="316">
        <v>65.934065934065927</v>
      </c>
      <c r="AP68" s="316">
        <v>65.934065934065927</v>
      </c>
      <c r="AQ68" s="316">
        <v>65.934065934065927</v>
      </c>
      <c r="AR68" s="316">
        <v>65.934065934065927</v>
      </c>
      <c r="AS68" s="316">
        <v>65.934065934065927</v>
      </c>
      <c r="AT68" s="316">
        <v>65.934065934065927</v>
      </c>
      <c r="AU68" s="316">
        <v>65.934065934065927</v>
      </c>
      <c r="AV68" s="316">
        <v>65.934065934065927</v>
      </c>
      <c r="AW68" s="316">
        <v>65.934065934065927</v>
      </c>
      <c r="AX68" s="316">
        <v>65.934065934065927</v>
      </c>
      <c r="AY68" s="317">
        <v>65.934065934065941</v>
      </c>
      <c r="AZ68" s="316">
        <v>65.934065934065927</v>
      </c>
      <c r="BA68" s="316">
        <v>65.934065934065927</v>
      </c>
      <c r="BB68" s="316">
        <v>65.934065934065927</v>
      </c>
      <c r="BC68" s="316">
        <v>65.934065934065927</v>
      </c>
      <c r="BD68" s="316">
        <v>65.934065934065927</v>
      </c>
      <c r="BE68" s="316">
        <v>65.934065934065927</v>
      </c>
      <c r="BF68" s="316">
        <v>65.934065934065984</v>
      </c>
      <c r="BG68" s="316">
        <v>65.934065934065984</v>
      </c>
      <c r="BH68" s="316">
        <v>65.934065934065984</v>
      </c>
      <c r="BI68" s="316">
        <v>65.934065934065984</v>
      </c>
      <c r="BJ68" s="316">
        <v>65.934065934065984</v>
      </c>
      <c r="BK68" s="316">
        <v>65.934065934065984</v>
      </c>
      <c r="BL68" s="317">
        <v>65.934065934065956</v>
      </c>
      <c r="BM68" s="316">
        <v>65.934065934065984</v>
      </c>
      <c r="BN68" s="316">
        <v>65.934065934065984</v>
      </c>
      <c r="BO68" s="316">
        <v>65.934065934065984</v>
      </c>
      <c r="BP68" s="316">
        <v>65.934065934065984</v>
      </c>
      <c r="BQ68" s="316">
        <v>65.934065934065984</v>
      </c>
      <c r="BR68" s="316">
        <v>65.934065934065984</v>
      </c>
      <c r="BS68" s="316">
        <v>65.934065934065984</v>
      </c>
      <c r="BT68" s="316">
        <v>65.934065934065984</v>
      </c>
      <c r="BU68" s="316">
        <v>65.934065934065984</v>
      </c>
      <c r="BV68" s="316">
        <v>65.934065934065984</v>
      </c>
      <c r="BW68" s="316">
        <v>65.934065934065984</v>
      </c>
      <c r="BX68" s="316">
        <v>65.934065934065984</v>
      </c>
      <c r="BY68" s="317">
        <v>65.934065934065984</v>
      </c>
    </row>
    <row r="69" spans="2:77" collapsed="1">
      <c r="C69" s="292"/>
    </row>
    <row r="70" spans="2:77">
      <c r="C70" s="292"/>
    </row>
    <row r="71" spans="2:77" hidden="1">
      <c r="B71" s="318" t="s">
        <v>435</v>
      </c>
      <c r="C71" s="318"/>
      <c r="D71" s="319"/>
      <c r="E71" s="319"/>
      <c r="F71" s="319"/>
      <c r="G71" s="319"/>
      <c r="H71" s="319"/>
      <c r="Z71" s="318" t="s">
        <v>541</v>
      </c>
    </row>
    <row r="72" spans="2:77" hidden="1">
      <c r="B72" s="276"/>
      <c r="C72" s="320" t="s">
        <v>130</v>
      </c>
      <c r="D72" s="276" t="s">
        <v>143</v>
      </c>
      <c r="E72" s="276" t="s">
        <v>156</v>
      </c>
      <c r="F72" s="276" t="s">
        <v>169</v>
      </c>
      <c r="G72" s="276" t="s">
        <v>182</v>
      </c>
      <c r="H72" s="276" t="s">
        <v>195</v>
      </c>
      <c r="K72" s="318" t="s">
        <v>130</v>
      </c>
      <c r="L72" s="318" t="s">
        <v>131</v>
      </c>
      <c r="M72" s="318" t="s">
        <v>132</v>
      </c>
      <c r="N72" s="318" t="s">
        <v>133</v>
      </c>
      <c r="O72" s="318" t="s">
        <v>134</v>
      </c>
      <c r="P72" s="318" t="s">
        <v>135</v>
      </c>
      <c r="Q72" s="318" t="s">
        <v>136</v>
      </c>
      <c r="R72" s="318" t="s">
        <v>137</v>
      </c>
      <c r="S72" s="318" t="s">
        <v>138</v>
      </c>
      <c r="T72" s="318" t="s">
        <v>139</v>
      </c>
      <c r="U72" s="318" t="s">
        <v>140</v>
      </c>
      <c r="V72" s="318" t="s">
        <v>141</v>
      </c>
      <c r="W72" s="318" t="s">
        <v>142</v>
      </c>
      <c r="X72" s="318" t="s">
        <v>538</v>
      </c>
    </row>
    <row r="73" spans="2:77" hidden="1">
      <c r="B73" s="321" t="s">
        <v>341</v>
      </c>
      <c r="C73" s="322">
        <f>EGRESOS!D49</f>
        <v>23327036.084118228</v>
      </c>
      <c r="D73" s="322">
        <f>EGRESOS!D49</f>
        <v>23327036.084118228</v>
      </c>
      <c r="E73" s="322">
        <f>EGRESOS!E49</f>
        <v>24047841.499117471</v>
      </c>
      <c r="F73" s="322">
        <f>EGRESOS!F49</f>
        <v>24757252.82334144</v>
      </c>
      <c r="G73" s="322">
        <f>EGRESOS!G49</f>
        <v>25455407.352959663</v>
      </c>
      <c r="H73" s="322">
        <f>EGRESOS!H49</f>
        <v>26142703.351489581</v>
      </c>
      <c r="J73" s="321" t="s">
        <v>341</v>
      </c>
      <c r="K73" s="322">
        <f>C73</f>
        <v>23327036.084118228</v>
      </c>
      <c r="L73" s="322">
        <f>EGRESOS!M49</f>
        <v>23327036.084118228</v>
      </c>
      <c r="M73" s="322">
        <f>EGRESOS!N49</f>
        <v>23327036.084118228</v>
      </c>
      <c r="N73" s="322">
        <f>EGRESOS!O49</f>
        <v>23327036.084118228</v>
      </c>
      <c r="O73" s="322">
        <f>EGRESOS!P49</f>
        <v>23327036.084118228</v>
      </c>
      <c r="P73" s="322">
        <f>EGRESOS!Q49</f>
        <v>23327036.084118228</v>
      </c>
      <c r="Q73" s="322">
        <f>EGRESOS!R49</f>
        <v>23327036.084118228</v>
      </c>
      <c r="R73" s="322">
        <f>EGRESOS!S49</f>
        <v>23327036.084118228</v>
      </c>
      <c r="S73" s="322">
        <f>EGRESOS!T49</f>
        <v>23327036.084118228</v>
      </c>
      <c r="T73" s="322">
        <f>EGRESOS!U49</f>
        <v>23327036.084118228</v>
      </c>
      <c r="U73" s="322">
        <f>EGRESOS!V49</f>
        <v>23327036.084118228</v>
      </c>
      <c r="V73" s="322">
        <f>EGRESOS!W49</f>
        <v>23327036.084118228</v>
      </c>
      <c r="W73" s="322">
        <f>EGRESOS!X49</f>
        <v>23327036.084118228</v>
      </c>
      <c r="X73" s="434">
        <f>AVERAGE(L73:W73)</f>
        <v>23327036.084118221</v>
      </c>
      <c r="Z73" s="448">
        <f>X73-D73</f>
        <v>0</v>
      </c>
    </row>
    <row r="74" spans="2:77" hidden="1">
      <c r="B74" s="323" t="s">
        <v>342</v>
      </c>
      <c r="C74" s="324">
        <f>EGRESOS!D83</f>
        <v>0</v>
      </c>
      <c r="D74" s="324">
        <f>EGRESOS!D83</f>
        <v>0</v>
      </c>
      <c r="E74" s="324">
        <f>EGRESOS!E83</f>
        <v>892341.1506775493</v>
      </c>
      <c r="F74" s="324">
        <f>EGRESOS!F83</f>
        <v>918665.21462253691</v>
      </c>
      <c r="G74" s="324">
        <f>EGRESOS!G83</f>
        <v>944571.57367489289</v>
      </c>
      <c r="H74" s="324">
        <f>EGRESOS!H83</f>
        <v>970075.00616411504</v>
      </c>
      <c r="J74" s="323" t="s">
        <v>342</v>
      </c>
      <c r="K74" s="324">
        <f>C74</f>
        <v>0</v>
      </c>
      <c r="L74" s="324">
        <f>EGRESOS!M83</f>
        <v>0</v>
      </c>
      <c r="M74" s="324">
        <f>EGRESOS!N83</f>
        <v>0</v>
      </c>
      <c r="N74" s="324">
        <f>EGRESOS!O83</f>
        <v>0</v>
      </c>
      <c r="O74" s="324">
        <f>EGRESOS!P83</f>
        <v>0</v>
      </c>
      <c r="P74" s="324">
        <f>EGRESOS!Q83</f>
        <v>0</v>
      </c>
      <c r="Q74" s="324">
        <f>EGRESOS!R83</f>
        <v>0</v>
      </c>
      <c r="R74" s="324">
        <f>EGRESOS!S83</f>
        <v>0</v>
      </c>
      <c r="S74" s="324">
        <f>EGRESOS!T83</f>
        <v>0</v>
      </c>
      <c r="T74" s="324">
        <f>EGRESOS!U83</f>
        <v>0</v>
      </c>
      <c r="U74" s="324">
        <f>EGRESOS!V83</f>
        <v>0</v>
      </c>
      <c r="V74" s="324">
        <f>EGRESOS!W83</f>
        <v>0</v>
      </c>
      <c r="W74" s="324">
        <f>EGRESOS!X83</f>
        <v>0</v>
      </c>
      <c r="X74" s="433">
        <f t="shared" ref="X74:X76" si="3">AVERAGE(L74:W74)</f>
        <v>0</v>
      </c>
      <c r="Z74" s="449">
        <f t="shared" ref="Z74:Z76" si="4">X74-D74</f>
        <v>0</v>
      </c>
    </row>
    <row r="75" spans="2:77" hidden="1">
      <c r="B75" s="321" t="s">
        <v>344</v>
      </c>
      <c r="C75" s="322">
        <f>EGRESOS!D117</f>
        <v>164835.16483516488</v>
      </c>
      <c r="D75" s="322">
        <f>EGRESOS!D117</f>
        <v>164835.16483516488</v>
      </c>
      <c r="E75" s="322">
        <f>EGRESOS!E117</f>
        <v>169928.57142857133</v>
      </c>
      <c r="F75" s="322">
        <f>EGRESOS!F117</f>
        <v>174941.46428571429</v>
      </c>
      <c r="G75" s="322">
        <f>EGRESOS!G117</f>
        <v>179874.81357857145</v>
      </c>
      <c r="H75" s="322">
        <f>EGRESOS!H117</f>
        <v>184731.43354519273</v>
      </c>
      <c r="J75" s="321" t="s">
        <v>344</v>
      </c>
      <c r="K75" s="322">
        <f>C75</f>
        <v>164835.16483516488</v>
      </c>
      <c r="L75" s="322">
        <f>EGRESOS!M117</f>
        <v>164835.16483516485</v>
      </c>
      <c r="M75" s="322">
        <f>EGRESOS!N117</f>
        <v>164835.16483516485</v>
      </c>
      <c r="N75" s="322">
        <f>EGRESOS!O117</f>
        <v>164835.16483516485</v>
      </c>
      <c r="O75" s="322">
        <f>EGRESOS!P117</f>
        <v>164835.16483516485</v>
      </c>
      <c r="P75" s="322">
        <f>EGRESOS!Q117</f>
        <v>164835.16483516485</v>
      </c>
      <c r="Q75" s="322">
        <f>EGRESOS!R117</f>
        <v>164835.16483516485</v>
      </c>
      <c r="R75" s="322">
        <f>EGRESOS!S117</f>
        <v>164835.16483516485</v>
      </c>
      <c r="S75" s="322">
        <f>EGRESOS!T117</f>
        <v>164835.16483516485</v>
      </c>
      <c r="T75" s="322">
        <f>EGRESOS!U117</f>
        <v>164835.16483516485</v>
      </c>
      <c r="U75" s="322">
        <f>EGRESOS!V117</f>
        <v>164835.16483516485</v>
      </c>
      <c r="V75" s="322">
        <f>EGRESOS!W117</f>
        <v>164835.16483516485</v>
      </c>
      <c r="W75" s="322">
        <f>EGRESOS!X117</f>
        <v>164835.16483516485</v>
      </c>
      <c r="X75" s="434">
        <f t="shared" si="3"/>
        <v>164835.16483516482</v>
      </c>
      <c r="Z75" s="448">
        <f t="shared" si="4"/>
        <v>0</v>
      </c>
    </row>
    <row r="76" spans="2:77" hidden="1">
      <c r="B76" s="323" t="s">
        <v>345</v>
      </c>
      <c r="C76" s="324">
        <f>EGRESOS!D152</f>
        <v>0</v>
      </c>
      <c r="D76" s="324">
        <f>EGRESOS!D152</f>
        <v>0</v>
      </c>
      <c r="E76" s="324">
        <f>EGRESOS!E152</f>
        <v>169928.57142857133</v>
      </c>
      <c r="F76" s="324">
        <f>EGRESOS!F152</f>
        <v>174941.46428571429</v>
      </c>
      <c r="G76" s="324">
        <f>EGRESOS!G152</f>
        <v>179874.81357857145</v>
      </c>
      <c r="H76" s="324">
        <f>EGRESOS!H152</f>
        <v>184731.43354519297</v>
      </c>
      <c r="J76" s="323" t="s">
        <v>345</v>
      </c>
      <c r="K76" s="324">
        <f>C76</f>
        <v>0</v>
      </c>
      <c r="L76" s="324">
        <f>EGRESOS!M152</f>
        <v>0</v>
      </c>
      <c r="M76" s="324">
        <f>EGRESOS!N152</f>
        <v>0</v>
      </c>
      <c r="N76" s="324">
        <f>EGRESOS!O152</f>
        <v>0</v>
      </c>
      <c r="O76" s="324">
        <f>EGRESOS!P152</f>
        <v>0</v>
      </c>
      <c r="P76" s="324">
        <f>EGRESOS!Q152</f>
        <v>0</v>
      </c>
      <c r="Q76" s="324">
        <f>EGRESOS!R152</f>
        <v>0</v>
      </c>
      <c r="R76" s="324">
        <f>EGRESOS!S152</f>
        <v>0</v>
      </c>
      <c r="S76" s="324">
        <f>EGRESOS!T152</f>
        <v>0</v>
      </c>
      <c r="T76" s="324">
        <f>EGRESOS!U152</f>
        <v>0</v>
      </c>
      <c r="U76" s="324">
        <f>EGRESOS!V152</f>
        <v>0</v>
      </c>
      <c r="V76" s="324">
        <f>EGRESOS!W152</f>
        <v>0</v>
      </c>
      <c r="W76" s="324">
        <f>EGRESOS!X152</f>
        <v>0</v>
      </c>
      <c r="X76" s="433">
        <f t="shared" si="3"/>
        <v>0</v>
      </c>
      <c r="Z76" s="449">
        <f t="shared" si="4"/>
        <v>0</v>
      </c>
    </row>
    <row r="77" spans="2:77" hidden="1">
      <c r="K77" s="292"/>
      <c r="L77" s="292"/>
      <c r="M77" s="292"/>
      <c r="N77" s="292"/>
      <c r="O77" s="292"/>
      <c r="P77" s="292"/>
      <c r="Q77" s="292"/>
      <c r="R77" s="292"/>
      <c r="S77" s="292"/>
      <c r="T77" s="292"/>
      <c r="U77" s="292"/>
      <c r="V77" s="292"/>
      <c r="W77" s="292"/>
      <c r="X77" s="292"/>
      <c r="Z77" s="450"/>
    </row>
    <row r="78" spans="2:77" hidden="1">
      <c r="F78" s="325"/>
    </row>
    <row r="79" spans="2:77" hidden="1">
      <c r="B79" s="265" t="s">
        <v>25</v>
      </c>
    </row>
    <row r="80" spans="2:77">
      <c r="B80" s="326"/>
      <c r="W80" s="451"/>
    </row>
    <row r="81" spans="2:26">
      <c r="B81" s="481" t="s">
        <v>489</v>
      </c>
      <c r="C81" s="481" t="s">
        <v>615</v>
      </c>
      <c r="D81" s="481" t="s">
        <v>539</v>
      </c>
      <c r="E81" s="481" t="s">
        <v>622</v>
      </c>
      <c r="F81" s="481" t="s">
        <v>624</v>
      </c>
      <c r="G81" s="481" t="s">
        <v>623</v>
      </c>
      <c r="H81" s="481" t="s">
        <v>625</v>
      </c>
      <c r="J81" s="481" t="s">
        <v>489</v>
      </c>
      <c r="K81" s="481" t="s">
        <v>130</v>
      </c>
      <c r="L81" s="481" t="s">
        <v>131</v>
      </c>
      <c r="M81" s="481" t="s">
        <v>132</v>
      </c>
      <c r="N81" s="481" t="s">
        <v>133</v>
      </c>
      <c r="O81" s="481" t="s">
        <v>134</v>
      </c>
      <c r="P81" s="481" t="s">
        <v>135</v>
      </c>
      <c r="Q81" s="481" t="s">
        <v>136</v>
      </c>
      <c r="R81" s="481" t="s">
        <v>137</v>
      </c>
      <c r="S81" s="481" t="s">
        <v>138</v>
      </c>
      <c r="T81" s="481" t="s">
        <v>139</v>
      </c>
      <c r="U81" s="481" t="s">
        <v>140</v>
      </c>
      <c r="V81" s="481" t="s">
        <v>141</v>
      </c>
      <c r="W81" s="481" t="s">
        <v>142</v>
      </c>
      <c r="X81" s="481" t="s">
        <v>539</v>
      </c>
    </row>
    <row r="82" spans="2:26">
      <c r="B82" s="485" t="s">
        <v>490</v>
      </c>
      <c r="C82" s="483">
        <f>B.G!C7+B.G!C10-B.G!C29</f>
        <v>23491871.248953395</v>
      </c>
      <c r="D82" s="484">
        <f>B.G!D7+B.G!D10-B.G!D29</f>
        <v>66876143.066347495</v>
      </c>
      <c r="E82" s="483">
        <f>B.G!E7+B.G!E10-B.G!E29</f>
        <v>99164136.110022768</v>
      </c>
      <c r="F82" s="484">
        <f>B.G!F7+B.G!F10-B.G!F29</f>
        <v>107325166.0523762</v>
      </c>
      <c r="G82" s="483">
        <f>B.G!G7+B.G!G10-B.G!G29</f>
        <v>132819829.10363749</v>
      </c>
      <c r="H82" s="484">
        <f>B.G!H7+B.G!H10-B.G!H29</f>
        <v>151359421.06173861</v>
      </c>
      <c r="J82" s="485" t="s">
        <v>490</v>
      </c>
      <c r="K82" s="483">
        <f>C82</f>
        <v>23491871.248953395</v>
      </c>
      <c r="L82" s="484">
        <f>(INGRESOS!M12+INGRESOS!M16)+(K.W!L73+K.W!L74+K.W!L75+K.W!L76)-(EGRESOS!M30+EGRESOS!M72+EGRESOS!M103+EGRESOS!M139)</f>
        <v>37049456.191889048</v>
      </c>
      <c r="M82" s="484">
        <f>(INGRESOS!N12+INGRESOS!N16)+(K.W!M73+K.W!M74+K.W!M75+K.W!M76)-(EGRESOS!N30+EGRESOS!N72+EGRESOS!N103+EGRESOS!N139)</f>
        <v>39760973.180476174</v>
      </c>
      <c r="N82" s="484">
        <f>(INGRESOS!O12+INGRESOS!O16)+(K.W!N73+K.W!N74+K.W!N75+K.W!N76)-(EGRESOS!O30+EGRESOS!O72+EGRESOS!O103+EGRESOS!O139)</f>
        <v>42472490.1690633</v>
      </c>
      <c r="O82" s="484">
        <f>(INGRESOS!P12+INGRESOS!P16)+(K.W!O73+K.W!O74+K.W!O75+K.W!O76)-(EGRESOS!P30+EGRESOS!P72+EGRESOS!P103+EGRESOS!P139)</f>
        <v>45184007.157650433</v>
      </c>
      <c r="P82" s="484">
        <f>(INGRESOS!Q12+INGRESOS!Q16)+(K.W!P73+K.W!P74+K.W!P75+K.W!P76)-(EGRESOS!Q30+EGRESOS!Q72+EGRESOS!Q103+EGRESOS!Q139)</f>
        <v>47895524.146237552</v>
      </c>
      <c r="Q82" s="484">
        <f>(INGRESOS!R12+INGRESOS!R16)+(K.W!Q73+K.W!Q74+K.W!Q75+K.W!Q76)-(EGRESOS!R30+EGRESOS!R72+EGRESOS!R103+EGRESOS!R139)</f>
        <v>50607041.134824708</v>
      </c>
      <c r="R82" s="484">
        <f>(INGRESOS!S12+INGRESOS!S16)+(K.W!R73+K.W!R74+K.W!R75+K.W!R76)-(EGRESOS!S30+EGRESOS!S72+EGRESOS!S103+EGRESOS!S139)</f>
        <v>53318558.123411834</v>
      </c>
      <c r="S82" s="484">
        <f>(INGRESOS!T12+INGRESOS!T16)+(K.W!S73+K.W!S74+K.W!S75+K.W!S76)-(EGRESOS!T30+EGRESOS!T72+EGRESOS!T103+EGRESOS!T139)</f>
        <v>56030075.111998953</v>
      </c>
      <c r="T82" s="484">
        <f>(INGRESOS!U12+INGRESOS!U16)+(K.W!T73+K.W!T74+K.W!T75+K.W!T76)-(EGRESOS!U30+EGRESOS!U72+EGRESOS!U103+EGRESOS!U139)</f>
        <v>58741592.100586079</v>
      </c>
      <c r="U82" s="484">
        <f>(INGRESOS!V12+INGRESOS!V16)+(K.W!U73+K.W!U74+K.W!U75+K.W!U76)-(EGRESOS!V30+EGRESOS!V72+EGRESOS!V103+EGRESOS!V139)</f>
        <v>61453109.089173205</v>
      </c>
      <c r="V82" s="484">
        <f>(INGRESOS!W12+INGRESOS!W16)+(K.W!V73+K.W!V74+K.W!V75+K.W!V76)-(EGRESOS!W30+EGRESOS!W72+EGRESOS!W103+EGRESOS!W139)</f>
        <v>64164626.077760331</v>
      </c>
      <c r="W82" s="484">
        <f>(INGRESOS!X12+INGRESOS!X16)+(K.W!W73+K.W!W74+K.W!W75+K.W!W76)-(EGRESOS!X30+EGRESOS!X72+EGRESOS!X103+EGRESOS!X139)</f>
        <v>66876143.066347495</v>
      </c>
      <c r="X82" s="484"/>
      <c r="Z82" s="291">
        <f>W82-D82</f>
        <v>0</v>
      </c>
    </row>
    <row r="83" spans="2:26">
      <c r="B83" s="486" t="s">
        <v>491</v>
      </c>
      <c r="C83" s="487"/>
      <c r="D83" s="488">
        <f>D82-C82</f>
        <v>43384271.8173941</v>
      </c>
      <c r="E83" s="487">
        <f t="shared" ref="E83:G83" si="5">E82-D82</f>
        <v>32287993.043675274</v>
      </c>
      <c r="F83" s="488">
        <f t="shared" si="5"/>
        <v>8161029.9423534274</v>
      </c>
      <c r="G83" s="487">
        <f t="shared" si="5"/>
        <v>25494663.051261291</v>
      </c>
      <c r="H83" s="488">
        <f>H82-G82</f>
        <v>18539591.958101124</v>
      </c>
      <c r="J83" s="486" t="s">
        <v>491</v>
      </c>
      <c r="K83" s="487"/>
      <c r="L83" s="488">
        <f>L82-K82</f>
        <v>13557584.942935653</v>
      </c>
      <c r="M83" s="488">
        <f>M82-L82</f>
        <v>2711516.9885871261</v>
      </c>
      <c r="N83" s="488">
        <f t="shared" ref="N83:W83" si="6">N82-M82</f>
        <v>2711516.9885871261</v>
      </c>
      <c r="O83" s="488">
        <f t="shared" si="6"/>
        <v>2711516.9885871336</v>
      </c>
      <c r="P83" s="488">
        <f t="shared" si="6"/>
        <v>2711516.9885871187</v>
      </c>
      <c r="Q83" s="488">
        <f t="shared" si="6"/>
        <v>2711516.9885871559</v>
      </c>
      <c r="R83" s="488">
        <f t="shared" si="6"/>
        <v>2711516.9885871261</v>
      </c>
      <c r="S83" s="488">
        <f t="shared" si="6"/>
        <v>2711516.9885871187</v>
      </c>
      <c r="T83" s="488">
        <f t="shared" si="6"/>
        <v>2711516.9885871261</v>
      </c>
      <c r="U83" s="488">
        <f t="shared" si="6"/>
        <v>2711516.9885871261</v>
      </c>
      <c r="V83" s="488">
        <f t="shared" si="6"/>
        <v>2711516.9885871261</v>
      </c>
      <c r="W83" s="488">
        <f t="shared" si="6"/>
        <v>2711516.9885871634</v>
      </c>
      <c r="X83" s="488">
        <f>SUM(L83:W83)</f>
        <v>43384271.8173941</v>
      </c>
      <c r="Z83" s="291">
        <f>X83-D83</f>
        <v>0</v>
      </c>
    </row>
  </sheetData>
  <sheetProtection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sheetPr>
    <tabColor theme="2" tint="-0.249977111117893"/>
  </sheetPr>
  <dimension ref="A3:G30"/>
  <sheetViews>
    <sheetView showGridLines="0" zoomScale="80" zoomScaleNormal="80" workbookViewId="0">
      <selection activeCell="B21" sqref="B21"/>
    </sheetView>
  </sheetViews>
  <sheetFormatPr baseColWidth="10" defaultRowHeight="15"/>
  <cols>
    <col min="1" max="1" width="40.85546875" style="1" bestFit="1" customWidth="1"/>
    <col min="2" max="2" width="31.42578125" bestFit="1" customWidth="1"/>
    <col min="3" max="3" width="28" customWidth="1"/>
    <col min="4" max="4" width="36.42578125" bestFit="1" customWidth="1"/>
    <col min="5" max="7" width="28" customWidth="1"/>
  </cols>
  <sheetData>
    <row r="3" spans="1:7">
      <c r="A3" s="698" t="s">
        <v>38</v>
      </c>
      <c r="B3" s="3" t="s">
        <v>44</v>
      </c>
      <c r="C3" s="4" t="s">
        <v>39</v>
      </c>
      <c r="D3" s="18">
        <v>0.1</v>
      </c>
    </row>
    <row r="5" spans="1:7">
      <c r="A5" s="481" t="s">
        <v>7</v>
      </c>
      <c r="B5" s="481" t="s">
        <v>130</v>
      </c>
      <c r="C5" s="481" t="s">
        <v>143</v>
      </c>
      <c r="D5" s="481" t="s">
        <v>156</v>
      </c>
      <c r="E5" s="481" t="s">
        <v>169</v>
      </c>
      <c r="F5" s="481" t="s">
        <v>182</v>
      </c>
      <c r="G5" s="481" t="s">
        <v>195</v>
      </c>
    </row>
    <row r="6" spans="1:7">
      <c r="A6" s="485" t="s">
        <v>44</v>
      </c>
      <c r="B6" s="483">
        <f>0</f>
        <v>0</v>
      </c>
      <c r="C6" s="483">
        <f>E.R!C49</f>
        <v>0</v>
      </c>
      <c r="D6" s="483">
        <f>E.R!D49</f>
        <v>9447084.0860879198</v>
      </c>
      <c r="E6" s="483">
        <f>E.R!E49</f>
        <v>275286321.89803821</v>
      </c>
      <c r="F6" s="483">
        <f>E.R!F49</f>
        <v>438749098.1884948</v>
      </c>
      <c r="G6" s="483">
        <f>E.R!G49</f>
        <v>616992366.3132298</v>
      </c>
    </row>
    <row r="7" spans="1:7">
      <c r="A7" s="485" t="s">
        <v>46</v>
      </c>
      <c r="B7" s="624">
        <v>0.1</v>
      </c>
      <c r="C7" s="624">
        <v>0.1</v>
      </c>
      <c r="D7" s="624">
        <v>0.1</v>
      </c>
      <c r="E7" s="624">
        <v>0.1</v>
      </c>
      <c r="F7" s="624">
        <v>0.1</v>
      </c>
      <c r="G7" s="624">
        <v>0.1</v>
      </c>
    </row>
    <row r="8" spans="1:7">
      <c r="A8" s="486" t="s">
        <v>38</v>
      </c>
      <c r="B8" s="487">
        <f t="shared" ref="B8:G8" si="0">B6*B7</f>
        <v>0</v>
      </c>
      <c r="C8" s="487">
        <f t="shared" si="0"/>
        <v>0</v>
      </c>
      <c r="D8" s="487">
        <f t="shared" si="0"/>
        <v>944708.408608792</v>
      </c>
      <c r="E8" s="487">
        <f t="shared" si="0"/>
        <v>27528632.189803824</v>
      </c>
      <c r="F8" s="487">
        <f t="shared" si="0"/>
        <v>43874909.818849482</v>
      </c>
      <c r="G8" s="487">
        <f t="shared" si="0"/>
        <v>61699236.63132298</v>
      </c>
    </row>
    <row r="12" spans="1:7">
      <c r="A12" s="698" t="s">
        <v>37</v>
      </c>
      <c r="B12" s="3" t="s">
        <v>40</v>
      </c>
      <c r="C12" s="4" t="s">
        <v>18</v>
      </c>
      <c r="D12" s="3" t="s">
        <v>41</v>
      </c>
    </row>
    <row r="14" spans="1:7">
      <c r="A14" s="481" t="s">
        <v>7</v>
      </c>
      <c r="B14" s="481" t="s">
        <v>130</v>
      </c>
      <c r="C14" s="481" t="s">
        <v>143</v>
      </c>
      <c r="D14" s="481" t="s">
        <v>156</v>
      </c>
      <c r="E14" s="481" t="s">
        <v>169</v>
      </c>
      <c r="F14" s="481" t="s">
        <v>182</v>
      </c>
      <c r="G14" s="481" t="s">
        <v>195</v>
      </c>
    </row>
    <row r="15" spans="1:7">
      <c r="A15" s="625" t="s">
        <v>40</v>
      </c>
      <c r="B15" s="626">
        <f>0</f>
        <v>0</v>
      </c>
      <c r="C15" s="626">
        <f>B17</f>
        <v>0</v>
      </c>
      <c r="D15" s="626">
        <f>C17</f>
        <v>0</v>
      </c>
      <c r="E15" s="626">
        <f>D17</f>
        <v>944708.408608792</v>
      </c>
      <c r="F15" s="626">
        <f>E17</f>
        <v>28473340.598412614</v>
      </c>
      <c r="G15" s="626">
        <f>F17</f>
        <v>72348250.417262092</v>
      </c>
    </row>
    <row r="16" spans="1:7">
      <c r="A16" s="485" t="s">
        <v>38</v>
      </c>
      <c r="B16" s="483">
        <f>B8</f>
        <v>0</v>
      </c>
      <c r="C16" s="483">
        <f>C8*0</f>
        <v>0</v>
      </c>
      <c r="D16" s="483">
        <f>D8</f>
        <v>944708.408608792</v>
      </c>
      <c r="E16" s="483">
        <f>E8</f>
        <v>27528632.189803824</v>
      </c>
      <c r="F16" s="483">
        <f>F8</f>
        <v>43874909.818849482</v>
      </c>
      <c r="G16" s="483">
        <f>G8</f>
        <v>61699236.63132298</v>
      </c>
    </row>
    <row r="17" spans="1:7">
      <c r="A17" s="486" t="s">
        <v>429</v>
      </c>
      <c r="B17" s="487">
        <f t="shared" ref="B17:G17" si="1">B15+B16</f>
        <v>0</v>
      </c>
      <c r="C17" s="487">
        <f t="shared" si="1"/>
        <v>0</v>
      </c>
      <c r="D17" s="487">
        <f t="shared" si="1"/>
        <v>944708.408608792</v>
      </c>
      <c r="E17" s="487">
        <f t="shared" si="1"/>
        <v>28473340.598412614</v>
      </c>
      <c r="F17" s="487">
        <f t="shared" si="1"/>
        <v>72348250.417262092</v>
      </c>
      <c r="G17" s="487">
        <f t="shared" si="1"/>
        <v>134047487.04858507</v>
      </c>
    </row>
    <row r="20" spans="1:7">
      <c r="A20" s="698" t="s">
        <v>42</v>
      </c>
      <c r="B20" s="4" t="s">
        <v>43</v>
      </c>
      <c r="C20" s="4" t="s">
        <v>18</v>
      </c>
      <c r="D20" s="4" t="s">
        <v>45</v>
      </c>
      <c r="E20" s="4" t="s">
        <v>17</v>
      </c>
      <c r="F20" s="4" t="s">
        <v>38</v>
      </c>
    </row>
    <row r="22" spans="1:7">
      <c r="A22" s="481" t="s">
        <v>7</v>
      </c>
      <c r="B22" s="481" t="s">
        <v>130</v>
      </c>
      <c r="C22" s="481" t="s">
        <v>143</v>
      </c>
      <c r="D22" s="481" t="s">
        <v>156</v>
      </c>
      <c r="E22" s="481" t="s">
        <v>169</v>
      </c>
      <c r="F22" s="481" t="s">
        <v>182</v>
      </c>
      <c r="G22" s="481" t="s">
        <v>195</v>
      </c>
    </row>
    <row r="23" spans="1:7">
      <c r="A23" s="485" t="s">
        <v>43</v>
      </c>
      <c r="B23" s="483">
        <f>0</f>
        <v>0</v>
      </c>
      <c r="C23" s="483">
        <f>B30</f>
        <v>0</v>
      </c>
      <c r="D23" s="483">
        <f>C30</f>
        <v>0</v>
      </c>
      <c r="E23" s="483">
        <f>D30</f>
        <v>2834125.2258263761</v>
      </c>
      <c r="F23" s="483">
        <f t="shared" ref="F23:G23" si="2">E30</f>
        <v>85420021.795237839</v>
      </c>
      <c r="G23" s="483">
        <f t="shared" si="2"/>
        <v>217044751.25178626</v>
      </c>
    </row>
    <row r="24" spans="1:7">
      <c r="A24" s="485" t="s">
        <v>45</v>
      </c>
      <c r="B24" s="483">
        <f t="shared" ref="B24:G24" si="3">B6</f>
        <v>0</v>
      </c>
      <c r="C24" s="483">
        <f t="shared" si="3"/>
        <v>0</v>
      </c>
      <c r="D24" s="483">
        <f t="shared" si="3"/>
        <v>9447084.0860879198</v>
      </c>
      <c r="E24" s="483">
        <f t="shared" si="3"/>
        <v>275286321.89803821</v>
      </c>
      <c r="F24" s="483">
        <f t="shared" si="3"/>
        <v>438749098.1884948</v>
      </c>
      <c r="G24" s="483">
        <f t="shared" si="3"/>
        <v>616992366.3132298</v>
      </c>
    </row>
    <row r="25" spans="1:7">
      <c r="A25" s="485" t="s">
        <v>38</v>
      </c>
      <c r="B25" s="483">
        <f>B17</f>
        <v>0</v>
      </c>
      <c r="C25" s="483">
        <f>C17</f>
        <v>0</v>
      </c>
      <c r="D25" s="483">
        <f>D17</f>
        <v>944708.408608792</v>
      </c>
      <c r="E25" s="483">
        <f>E16</f>
        <v>27528632.189803824</v>
      </c>
      <c r="F25" s="483">
        <f>F16</f>
        <v>43874909.818849482</v>
      </c>
      <c r="G25" s="483">
        <f>G16</f>
        <v>61699236.63132298</v>
      </c>
    </row>
    <row r="26" spans="1:7">
      <c r="A26" s="485" t="s">
        <v>42</v>
      </c>
      <c r="B26" s="483">
        <f>B23+B24-B25</f>
        <v>0</v>
      </c>
      <c r="C26" s="483">
        <f>C23+C24-C25</f>
        <v>0</v>
      </c>
      <c r="D26" s="483">
        <f>D23+D24-D25</f>
        <v>8502375.6774791274</v>
      </c>
      <c r="E26" s="483">
        <f t="shared" ref="E26" si="4">E23+E24-E25</f>
        <v>250591814.93406075</v>
      </c>
      <c r="F26" s="483">
        <f>F23+F24-F25</f>
        <v>480294210.16488314</v>
      </c>
      <c r="G26" s="483">
        <f>G23+G24-G25</f>
        <v>772337880.93369305</v>
      </c>
    </row>
    <row r="27" spans="1:7">
      <c r="A27" s="628"/>
      <c r="B27" s="34"/>
      <c r="C27" s="34"/>
      <c r="D27" s="34"/>
      <c r="E27" s="34"/>
      <c r="F27" s="34"/>
      <c r="G27" s="34"/>
    </row>
    <row r="28" spans="1:7">
      <c r="A28" s="699" t="s">
        <v>436</v>
      </c>
      <c r="B28" s="627"/>
      <c r="C28" s="627"/>
      <c r="D28" s="627">
        <f>EGRESOS!D262</f>
        <v>5668250.4516527513</v>
      </c>
      <c r="E28" s="627">
        <f>EGRESOS!E262</f>
        <v>165171793.13882291</v>
      </c>
      <c r="F28" s="627">
        <f>EGRESOS!F262</f>
        <v>263249458.91309687</v>
      </c>
      <c r="G28" s="627">
        <f>EGRESOS!G262</f>
        <v>370195419.78793788</v>
      </c>
    </row>
    <row r="29" spans="1:7">
      <c r="A29" s="628"/>
      <c r="B29" s="34"/>
      <c r="C29" s="34"/>
      <c r="D29" s="34"/>
      <c r="E29" s="34"/>
      <c r="F29" s="34"/>
      <c r="G29" s="34"/>
    </row>
    <row r="30" spans="1:7">
      <c r="A30" s="629" t="s">
        <v>437</v>
      </c>
      <c r="B30" s="630">
        <f>B26-B28</f>
        <v>0</v>
      </c>
      <c r="C30" s="630">
        <f t="shared" ref="C30:G30" si="5">C26-C28</f>
        <v>0</v>
      </c>
      <c r="D30" s="630">
        <f t="shared" si="5"/>
        <v>2834125.2258263761</v>
      </c>
      <c r="E30" s="630">
        <f t="shared" si="5"/>
        <v>85420021.795237839</v>
      </c>
      <c r="F30" s="630">
        <f t="shared" si="5"/>
        <v>217044751.25178626</v>
      </c>
      <c r="G30" s="630">
        <f t="shared" si="5"/>
        <v>402142461.14575517</v>
      </c>
    </row>
  </sheetData>
  <sheetProtection sheet="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sheetPr>
    <tabColor rgb="FF00B050"/>
  </sheetPr>
  <dimension ref="B1:Z53"/>
  <sheetViews>
    <sheetView showGridLines="0" zoomScale="90" zoomScaleNormal="90" workbookViewId="0">
      <selection activeCell="A11" sqref="A11"/>
    </sheetView>
  </sheetViews>
  <sheetFormatPr baseColWidth="10" defaultRowHeight="15" outlineLevelRow="2"/>
  <cols>
    <col min="1" max="1" width="2.140625" style="73" customWidth="1"/>
    <col min="2" max="2" width="75.5703125" style="73" customWidth="1"/>
    <col min="3" max="3" width="15.5703125" style="73" customWidth="1"/>
    <col min="4" max="8" width="16.5703125" style="73" customWidth="1"/>
    <col min="9" max="9" width="6" style="73" customWidth="1"/>
    <col min="10" max="10" width="78.5703125" style="73" customWidth="1"/>
    <col min="11" max="11" width="17.7109375" style="73" bestFit="1" customWidth="1"/>
    <col min="12" max="12" width="18.7109375" style="73" bestFit="1" customWidth="1"/>
    <col min="13" max="13" width="18.28515625" style="73" bestFit="1" customWidth="1"/>
    <col min="14" max="14" width="19.28515625" style="73" bestFit="1" customWidth="1"/>
    <col min="15" max="17" width="16.85546875" style="73" bestFit="1" customWidth="1"/>
    <col min="18" max="18" width="17.28515625" style="73" bestFit="1" customWidth="1"/>
    <col min="19" max="19" width="15" style="73" bestFit="1" customWidth="1"/>
    <col min="20" max="20" width="16.85546875" style="73" bestFit="1" customWidth="1"/>
    <col min="21" max="21" width="15" style="73" bestFit="1" customWidth="1"/>
    <col min="22" max="22" width="16.5703125" style="73" bestFit="1" customWidth="1"/>
    <col min="23" max="23" width="15.85546875" style="73" bestFit="1" customWidth="1"/>
    <col min="24" max="24" width="15" style="73" bestFit="1" customWidth="1"/>
    <col min="25" max="25" width="11.42578125" style="73"/>
    <col min="26" max="26" width="14.140625" style="73" bestFit="1" customWidth="1"/>
    <col min="27" max="16384" width="11.42578125" style="73"/>
  </cols>
  <sheetData>
    <row r="1" spans="2:26">
      <c r="D1" s="74"/>
      <c r="E1" s="74"/>
      <c r="F1" s="74"/>
      <c r="G1" s="74"/>
      <c r="H1" s="74"/>
    </row>
    <row r="2" spans="2:26">
      <c r="B2" s="114" t="s">
        <v>542</v>
      </c>
      <c r="C2" s="115" t="s">
        <v>60</v>
      </c>
      <c r="D2" s="115" t="s">
        <v>6</v>
      </c>
      <c r="E2" s="115" t="s">
        <v>12</v>
      </c>
      <c r="F2" s="115" t="s">
        <v>13</v>
      </c>
      <c r="G2" s="115" t="s">
        <v>14</v>
      </c>
      <c r="H2" s="115" t="s">
        <v>15</v>
      </c>
      <c r="J2" s="114" t="s">
        <v>543</v>
      </c>
      <c r="K2" s="115" t="s">
        <v>130</v>
      </c>
      <c r="L2" s="115" t="s">
        <v>131</v>
      </c>
      <c r="M2" s="115" t="s">
        <v>132</v>
      </c>
      <c r="N2" s="115" t="s">
        <v>133</v>
      </c>
      <c r="O2" s="115" t="s">
        <v>134</v>
      </c>
      <c r="P2" s="115" t="s">
        <v>135</v>
      </c>
      <c r="Q2" s="115" t="s">
        <v>136</v>
      </c>
      <c r="R2" s="115" t="s">
        <v>137</v>
      </c>
      <c r="S2" s="115" t="s">
        <v>138</v>
      </c>
      <c r="T2" s="115" t="s">
        <v>139</v>
      </c>
      <c r="U2" s="115" t="s">
        <v>140</v>
      </c>
      <c r="V2" s="115" t="s">
        <v>141</v>
      </c>
      <c r="W2" s="115" t="s">
        <v>142</v>
      </c>
      <c r="X2" s="115" t="s">
        <v>143</v>
      </c>
      <c r="Z2" s="115" t="s">
        <v>541</v>
      </c>
    </row>
    <row r="3" spans="2:26" s="78" customFormat="1">
      <c r="B3" s="76"/>
      <c r="C3" s="77"/>
      <c r="D3" s="77"/>
      <c r="E3" s="77"/>
      <c r="F3" s="77"/>
      <c r="G3" s="77"/>
      <c r="H3" s="77"/>
      <c r="K3" s="77"/>
      <c r="L3" s="77"/>
      <c r="M3" s="77"/>
      <c r="N3" s="77"/>
      <c r="O3" s="77"/>
      <c r="P3" s="77"/>
      <c r="Q3" s="77"/>
      <c r="R3" s="77"/>
      <c r="S3" s="77"/>
      <c r="T3" s="77"/>
      <c r="U3" s="77"/>
      <c r="V3" s="77"/>
      <c r="W3" s="77"/>
      <c r="X3" s="77"/>
    </row>
    <row r="4" spans="2:26">
      <c r="B4" s="100" t="s">
        <v>356</v>
      </c>
      <c r="C4" s="101">
        <f>C5+C8-C11</f>
        <v>0</v>
      </c>
      <c r="D4" s="101">
        <f t="shared" ref="D4:H4" si="0">D5+D8-D11</f>
        <v>1158899780.8324471</v>
      </c>
      <c r="E4" s="101">
        <f t="shared" si="0"/>
        <v>2008981436.5392883</v>
      </c>
      <c r="F4" s="101">
        <f t="shared" si="0"/>
        <v>2380964475.5883503</v>
      </c>
      <c r="G4" s="101">
        <f t="shared" si="0"/>
        <v>2793037245.4189892</v>
      </c>
      <c r="H4" s="101">
        <f t="shared" si="0"/>
        <v>3248795975.081665</v>
      </c>
      <c r="J4" s="100" t="s">
        <v>356</v>
      </c>
      <c r="K4" s="101"/>
      <c r="L4" s="101">
        <f t="shared" ref="L4:W4" si="1">L5+L8-L11</f>
        <v>45988086.540970132</v>
      </c>
      <c r="M4" s="101">
        <f t="shared" si="1"/>
        <v>55185703.849164151</v>
      </c>
      <c r="N4" s="101">
        <f t="shared" si="1"/>
        <v>64383321.15735817</v>
      </c>
      <c r="O4" s="101">
        <f t="shared" si="1"/>
        <v>73580938.465552196</v>
      </c>
      <c r="P4" s="101">
        <f t="shared" si="1"/>
        <v>82778555.773746222</v>
      </c>
      <c r="Q4" s="101">
        <f t="shared" si="1"/>
        <v>91976173.081940264</v>
      </c>
      <c r="R4" s="101">
        <f t="shared" si="1"/>
        <v>101173790.39013429</v>
      </c>
      <c r="S4" s="101">
        <f t="shared" si="1"/>
        <v>110371407.6983283</v>
      </c>
      <c r="T4" s="101">
        <f t="shared" si="1"/>
        <v>119569025.00652233</v>
      </c>
      <c r="U4" s="101">
        <f t="shared" si="1"/>
        <v>128766642.31471634</v>
      </c>
      <c r="V4" s="101">
        <f t="shared" si="1"/>
        <v>137964259.62291035</v>
      </c>
      <c r="W4" s="101">
        <f t="shared" si="1"/>
        <v>147161876.93110439</v>
      </c>
      <c r="X4" s="101">
        <f>SUM(L4:W4)</f>
        <v>1158899780.8324471</v>
      </c>
      <c r="Z4" s="101">
        <f t="shared" ref="Z4:Z49" si="2">X4-D4</f>
        <v>0</v>
      </c>
    </row>
    <row r="5" spans="2:26">
      <c r="B5" s="102" t="s">
        <v>353</v>
      </c>
      <c r="C5" s="103">
        <f t="shared" ref="C5:H5" si="3">SUM(C6:C7)</f>
        <v>0</v>
      </c>
      <c r="D5" s="103">
        <f t="shared" si="3"/>
        <v>1161413723.0769229</v>
      </c>
      <c r="E5" s="103">
        <f t="shared" si="3"/>
        <v>1863478235.0439858</v>
      </c>
      <c r="F5" s="103">
        <f t="shared" si="3"/>
        <v>1990388182.1399851</v>
      </c>
      <c r="G5" s="103">
        <f t="shared" si="3"/>
        <v>2118628822.9973555</v>
      </c>
      <c r="H5" s="103">
        <f t="shared" si="3"/>
        <v>2253662988.6790466</v>
      </c>
      <c r="J5" s="102" t="s">
        <v>353</v>
      </c>
      <c r="K5" s="103"/>
      <c r="L5" s="103">
        <f t="shared" ref="L5:X5" si="4">SUM(L6:L7)</f>
        <v>46087846.153846152</v>
      </c>
      <c r="M5" s="103">
        <f t="shared" si="4"/>
        <v>55305415.384615377</v>
      </c>
      <c r="N5" s="103">
        <f t="shared" si="4"/>
        <v>64522984.615384601</v>
      </c>
      <c r="O5" s="103">
        <f t="shared" si="4"/>
        <v>73740553.84615384</v>
      </c>
      <c r="P5" s="103">
        <f t="shared" si="4"/>
        <v>82958123.076923072</v>
      </c>
      <c r="Q5" s="103">
        <f t="shared" si="4"/>
        <v>92175692.307692304</v>
      </c>
      <c r="R5" s="103">
        <f t="shared" si="4"/>
        <v>101393261.53846154</v>
      </c>
      <c r="S5" s="103">
        <f t="shared" si="4"/>
        <v>110610830.76923075</v>
      </c>
      <c r="T5" s="103">
        <f t="shared" si="4"/>
        <v>119828399.99999999</v>
      </c>
      <c r="U5" s="103">
        <f t="shared" si="4"/>
        <v>129045969.2307692</v>
      </c>
      <c r="V5" s="103">
        <f t="shared" si="4"/>
        <v>138263538.46153843</v>
      </c>
      <c r="W5" s="103">
        <f t="shared" si="4"/>
        <v>147481107.69230768</v>
      </c>
      <c r="X5" s="103">
        <f t="shared" si="4"/>
        <v>1161413723.0769229</v>
      </c>
      <c r="Z5" s="103">
        <f t="shared" si="2"/>
        <v>0</v>
      </c>
    </row>
    <row r="6" spans="2:26" outlineLevel="1">
      <c r="B6" s="104" t="s">
        <v>498</v>
      </c>
      <c r="C6" s="105"/>
      <c r="D6" s="105">
        <f>INGRESOS!D12</f>
        <v>696848233.84615374</v>
      </c>
      <c r="E6" s="105">
        <f>INGRESOS!E12</f>
        <v>1118086941.0263915</v>
      </c>
      <c r="F6" s="105">
        <f>INGRESOS!F12</f>
        <v>1194232909.2839911</v>
      </c>
      <c r="G6" s="105">
        <f>INGRESOS!G12</f>
        <v>1271177293.7984133</v>
      </c>
      <c r="H6" s="105">
        <f>INGRESOS!H12</f>
        <v>1352197793.207428</v>
      </c>
      <c r="J6" s="104" t="s">
        <v>498</v>
      </c>
      <c r="K6" s="105"/>
      <c r="L6" s="105">
        <f>INGRESOS!M12</f>
        <v>27652707.692307692</v>
      </c>
      <c r="M6" s="105">
        <f>INGRESOS!N12</f>
        <v>33183249.230769224</v>
      </c>
      <c r="N6" s="105">
        <f>INGRESOS!O12</f>
        <v>38713790.769230761</v>
      </c>
      <c r="O6" s="105">
        <f>INGRESOS!P12</f>
        <v>44244332.307692304</v>
      </c>
      <c r="P6" s="105">
        <f>INGRESOS!Q12</f>
        <v>49774873.84615384</v>
      </c>
      <c r="Q6" s="105">
        <f>INGRESOS!R12</f>
        <v>55305415.384615384</v>
      </c>
      <c r="R6" s="105">
        <f>INGRESOS!S12</f>
        <v>60835956.92307692</v>
      </c>
      <c r="S6" s="105">
        <f>INGRESOS!T12</f>
        <v>66366498.461538449</v>
      </c>
      <c r="T6" s="105">
        <f>INGRESOS!U12</f>
        <v>71897039.999999985</v>
      </c>
      <c r="U6" s="105">
        <f>INGRESOS!V12</f>
        <v>77427581.538461521</v>
      </c>
      <c r="V6" s="105">
        <f>INGRESOS!W12</f>
        <v>82958123.076923057</v>
      </c>
      <c r="W6" s="105">
        <f>INGRESOS!X12</f>
        <v>88488664.615384609</v>
      </c>
      <c r="X6" s="105">
        <f t="shared" ref="X6:X23" si="5">SUM(L6:W6)</f>
        <v>696848233.84615374</v>
      </c>
      <c r="Z6" s="105">
        <f t="shared" si="2"/>
        <v>0</v>
      </c>
    </row>
    <row r="7" spans="2:26" outlineLevel="1">
      <c r="B7" s="104" t="s">
        <v>354</v>
      </c>
      <c r="C7" s="105"/>
      <c r="D7" s="105">
        <f>INGRESOS!D13</f>
        <v>464565489.23076916</v>
      </c>
      <c r="E7" s="105">
        <f>INGRESOS!E13</f>
        <v>745391294.01759446</v>
      </c>
      <c r="F7" s="105">
        <f>INGRESOS!F13</f>
        <v>796155272.85599411</v>
      </c>
      <c r="G7" s="105">
        <f>INGRESOS!G13</f>
        <v>847451529.19894218</v>
      </c>
      <c r="H7" s="105">
        <f>INGRESOS!H13</f>
        <v>901465195.47161877</v>
      </c>
      <c r="J7" s="104" t="s">
        <v>354</v>
      </c>
      <c r="K7" s="105"/>
      <c r="L7" s="105">
        <f>INGRESOS!M13</f>
        <v>18435138.46153846</v>
      </c>
      <c r="M7" s="105">
        <f>INGRESOS!N13</f>
        <v>22122166.153846152</v>
      </c>
      <c r="N7" s="105">
        <f>INGRESOS!O13</f>
        <v>25809193.84615384</v>
      </c>
      <c r="O7" s="105">
        <f>INGRESOS!P13</f>
        <v>29496221.538461536</v>
      </c>
      <c r="P7" s="105">
        <f>INGRESOS!Q13</f>
        <v>33183249.230769232</v>
      </c>
      <c r="Q7" s="105">
        <f>INGRESOS!R13</f>
        <v>36870276.92307692</v>
      </c>
      <c r="R7" s="105">
        <f>INGRESOS!S13</f>
        <v>40557304.615384616</v>
      </c>
      <c r="S7" s="105">
        <f>INGRESOS!T13</f>
        <v>44244332.307692304</v>
      </c>
      <c r="T7" s="105">
        <f>INGRESOS!U13</f>
        <v>47931360</v>
      </c>
      <c r="U7" s="105">
        <f>INGRESOS!V13</f>
        <v>51618387.692307681</v>
      </c>
      <c r="V7" s="105">
        <f>INGRESOS!W13</f>
        <v>55305415.384615377</v>
      </c>
      <c r="W7" s="105">
        <f>INGRESOS!X13</f>
        <v>58992443.076923072</v>
      </c>
      <c r="X7" s="105">
        <f t="shared" si="5"/>
        <v>464565489.23076916</v>
      </c>
      <c r="Z7" s="105">
        <f t="shared" si="2"/>
        <v>0</v>
      </c>
    </row>
    <row r="8" spans="2:26">
      <c r="B8" s="102" t="s">
        <v>355</v>
      </c>
      <c r="C8" s="103">
        <f t="shared" ref="C8:H8" si="6">SUM(C9:C10)</f>
        <v>0</v>
      </c>
      <c r="D8" s="103">
        <f t="shared" si="6"/>
        <v>0</v>
      </c>
      <c r="E8" s="103">
        <f t="shared" si="6"/>
        <v>149536800</v>
      </c>
      <c r="F8" s="103">
        <f t="shared" si="6"/>
        <v>394884595.33473408</v>
      </c>
      <c r="G8" s="103">
        <f t="shared" si="6"/>
        <v>678994308.04763317</v>
      </c>
      <c r="H8" s="103">
        <f t="shared" si="6"/>
        <v>1000011160.7168003</v>
      </c>
      <c r="J8" s="102" t="s">
        <v>355</v>
      </c>
      <c r="K8" s="103"/>
      <c r="L8" s="103">
        <f t="shared" ref="L8:X8" si="7">SUM(L9:L10)</f>
        <v>0</v>
      </c>
      <c r="M8" s="103">
        <f t="shared" si="7"/>
        <v>0</v>
      </c>
      <c r="N8" s="103">
        <f t="shared" si="7"/>
        <v>0</v>
      </c>
      <c r="O8" s="103">
        <f t="shared" si="7"/>
        <v>0</v>
      </c>
      <c r="P8" s="103">
        <f t="shared" si="7"/>
        <v>0</v>
      </c>
      <c r="Q8" s="103">
        <f t="shared" si="7"/>
        <v>0</v>
      </c>
      <c r="R8" s="103">
        <f t="shared" si="7"/>
        <v>0</v>
      </c>
      <c r="S8" s="103">
        <f t="shared" si="7"/>
        <v>0</v>
      </c>
      <c r="T8" s="103">
        <f t="shared" si="7"/>
        <v>0</v>
      </c>
      <c r="U8" s="103">
        <f t="shared" si="7"/>
        <v>0</v>
      </c>
      <c r="V8" s="103">
        <f t="shared" si="7"/>
        <v>0</v>
      </c>
      <c r="W8" s="103">
        <f t="shared" si="7"/>
        <v>0</v>
      </c>
      <c r="X8" s="103">
        <f t="shared" si="7"/>
        <v>0</v>
      </c>
      <c r="Z8" s="103">
        <f t="shared" si="2"/>
        <v>0</v>
      </c>
    </row>
    <row r="9" spans="2:26" outlineLevel="1">
      <c r="B9" s="104" t="s">
        <v>498</v>
      </c>
      <c r="C9" s="105"/>
      <c r="D9" s="105">
        <f>INGRESOS!D16</f>
        <v>0</v>
      </c>
      <c r="E9" s="105">
        <f>INGRESOS!E16</f>
        <v>89722080</v>
      </c>
      <c r="F9" s="105">
        <f>INGRESOS!F16</f>
        <v>236930757.20084041</v>
      </c>
      <c r="G9" s="105">
        <f>INGRESOS!G16</f>
        <v>407396584.8285799</v>
      </c>
      <c r="H9" s="105">
        <f>INGRESOS!H16</f>
        <v>600006696.43008018</v>
      </c>
      <c r="I9" s="74"/>
      <c r="J9" s="104" t="s">
        <v>498</v>
      </c>
      <c r="K9" s="105"/>
      <c r="L9" s="105">
        <f>INGRESOS!M16</f>
        <v>0</v>
      </c>
      <c r="M9" s="105">
        <f>INGRESOS!N16</f>
        <v>0</v>
      </c>
      <c r="N9" s="105">
        <f>INGRESOS!O16</f>
        <v>0</v>
      </c>
      <c r="O9" s="105">
        <f>INGRESOS!P16</f>
        <v>0</v>
      </c>
      <c r="P9" s="105">
        <f>INGRESOS!Q16</f>
        <v>0</v>
      </c>
      <c r="Q9" s="105">
        <f>INGRESOS!R16</f>
        <v>0</v>
      </c>
      <c r="R9" s="105">
        <f>INGRESOS!S16</f>
        <v>0</v>
      </c>
      <c r="S9" s="105">
        <f>INGRESOS!T16</f>
        <v>0</v>
      </c>
      <c r="T9" s="105">
        <f>INGRESOS!U16</f>
        <v>0</v>
      </c>
      <c r="U9" s="105">
        <f>INGRESOS!V16</f>
        <v>0</v>
      </c>
      <c r="V9" s="105">
        <f>INGRESOS!W16</f>
        <v>0</v>
      </c>
      <c r="W9" s="105">
        <f>INGRESOS!X16</f>
        <v>0</v>
      </c>
      <c r="X9" s="105">
        <f t="shared" si="5"/>
        <v>0</v>
      </c>
      <c r="Z9" s="105">
        <f t="shared" si="2"/>
        <v>0</v>
      </c>
    </row>
    <row r="10" spans="2:26" outlineLevel="1">
      <c r="B10" s="104" t="s">
        <v>354</v>
      </c>
      <c r="C10" s="105"/>
      <c r="D10" s="105">
        <f>INGRESOS!D17</f>
        <v>0</v>
      </c>
      <c r="E10" s="105">
        <f>INGRESOS!E17</f>
        <v>59814720</v>
      </c>
      <c r="F10" s="105">
        <f>INGRESOS!F17</f>
        <v>157953838.13389367</v>
      </c>
      <c r="G10" s="105">
        <f>INGRESOS!G17</f>
        <v>271597723.21905333</v>
      </c>
      <c r="H10" s="105">
        <f>INGRESOS!H17</f>
        <v>400004464.28672016</v>
      </c>
      <c r="I10" s="74"/>
      <c r="J10" s="104" t="s">
        <v>354</v>
      </c>
      <c r="K10" s="105"/>
      <c r="L10" s="105">
        <f>INGRESOS!M17</f>
        <v>0</v>
      </c>
      <c r="M10" s="105">
        <f>INGRESOS!N17</f>
        <v>0</v>
      </c>
      <c r="N10" s="105">
        <f>INGRESOS!O17</f>
        <v>0</v>
      </c>
      <c r="O10" s="105">
        <f>INGRESOS!P17</f>
        <v>0</v>
      </c>
      <c r="P10" s="105">
        <f>INGRESOS!Q17</f>
        <v>0</v>
      </c>
      <c r="Q10" s="105">
        <f>INGRESOS!R17</f>
        <v>0</v>
      </c>
      <c r="R10" s="105">
        <f>INGRESOS!S17</f>
        <v>0</v>
      </c>
      <c r="S10" s="105">
        <f>INGRESOS!T17</f>
        <v>0</v>
      </c>
      <c r="T10" s="105">
        <f>INGRESOS!U17</f>
        <v>0</v>
      </c>
      <c r="U10" s="105">
        <f>INGRESOS!V17</f>
        <v>0</v>
      </c>
      <c r="V10" s="105">
        <f>INGRESOS!W17</f>
        <v>0</v>
      </c>
      <c r="W10" s="105">
        <f>INGRESOS!X17</f>
        <v>0</v>
      </c>
      <c r="X10" s="105">
        <f t="shared" si="5"/>
        <v>0</v>
      </c>
      <c r="Z10" s="105">
        <f t="shared" si="2"/>
        <v>0</v>
      </c>
    </row>
    <row r="11" spans="2:26" outlineLevel="1">
      <c r="B11" s="102" t="s">
        <v>409</v>
      </c>
      <c r="C11" s="103">
        <f>SUM(C12)</f>
        <v>0</v>
      </c>
      <c r="D11" s="103">
        <f t="shared" ref="D11:H11" si="8">SUM(D12)</f>
        <v>2513942.2444758019</v>
      </c>
      <c r="E11" s="103">
        <f t="shared" si="8"/>
        <v>4033598.5046975436</v>
      </c>
      <c r="F11" s="103">
        <f t="shared" si="8"/>
        <v>4308301.8863689611</v>
      </c>
      <c r="G11" s="103">
        <f t="shared" si="8"/>
        <v>4585885.6259995624</v>
      </c>
      <c r="H11" s="103">
        <f t="shared" si="8"/>
        <v>4878174.3141815811</v>
      </c>
      <c r="I11" s="75"/>
      <c r="J11" s="102" t="s">
        <v>409</v>
      </c>
      <c r="K11" s="103"/>
      <c r="L11" s="103">
        <f t="shared" ref="L11:X11" si="9">SUM(L12)</f>
        <v>99759.612876023879</v>
      </c>
      <c r="M11" s="103">
        <f t="shared" si="9"/>
        <v>119711.53545122864</v>
      </c>
      <c r="N11" s="103">
        <f t="shared" si="9"/>
        <v>139663.45802643342</v>
      </c>
      <c r="O11" s="103">
        <f t="shared" si="9"/>
        <v>159615.38060163823</v>
      </c>
      <c r="P11" s="103">
        <f t="shared" si="9"/>
        <v>179567.30317684298</v>
      </c>
      <c r="Q11" s="103">
        <f t="shared" si="9"/>
        <v>199519.22575204776</v>
      </c>
      <c r="R11" s="103">
        <f t="shared" si="9"/>
        <v>219471.14832725257</v>
      </c>
      <c r="S11" s="103">
        <f t="shared" si="9"/>
        <v>239423.07090245729</v>
      </c>
      <c r="T11" s="103">
        <f t="shared" si="9"/>
        <v>259374.99347766206</v>
      </c>
      <c r="U11" s="103">
        <f t="shared" si="9"/>
        <v>279326.91605286684</v>
      </c>
      <c r="V11" s="103">
        <f t="shared" si="9"/>
        <v>299278.83862807159</v>
      </c>
      <c r="W11" s="103">
        <f t="shared" si="9"/>
        <v>319230.76120327646</v>
      </c>
      <c r="X11" s="103">
        <f t="shared" si="9"/>
        <v>2513942.2444758019</v>
      </c>
      <c r="Z11" s="103">
        <f t="shared" si="2"/>
        <v>0</v>
      </c>
    </row>
    <row r="12" spans="2:26" outlineLevel="1">
      <c r="B12" s="104" t="s">
        <v>410</v>
      </c>
      <c r="C12" s="105">
        <f>INGRESOS!C34</f>
        <v>0</v>
      </c>
      <c r="D12" s="105">
        <f>INGRESOS!D34</f>
        <v>2513942.2444758019</v>
      </c>
      <c r="E12" s="105">
        <f>INGRESOS!E34</f>
        <v>4033598.5046975436</v>
      </c>
      <c r="F12" s="105">
        <f>INGRESOS!F34</f>
        <v>4308301.8863689611</v>
      </c>
      <c r="G12" s="105">
        <f>INGRESOS!G34</f>
        <v>4585885.6259995624</v>
      </c>
      <c r="H12" s="105">
        <f>INGRESOS!H34</f>
        <v>4878174.3141815811</v>
      </c>
      <c r="I12" s="75"/>
      <c r="J12" s="104" t="s">
        <v>410</v>
      </c>
      <c r="K12" s="105"/>
      <c r="L12" s="105">
        <f>INGRESOS!M34</f>
        <v>99759.612876023879</v>
      </c>
      <c r="M12" s="105">
        <f>INGRESOS!N34</f>
        <v>119711.53545122864</v>
      </c>
      <c r="N12" s="105">
        <f>INGRESOS!O34</f>
        <v>139663.45802643342</v>
      </c>
      <c r="O12" s="105">
        <f>INGRESOS!P34</f>
        <v>159615.38060163823</v>
      </c>
      <c r="P12" s="105">
        <f>INGRESOS!Q34</f>
        <v>179567.30317684298</v>
      </c>
      <c r="Q12" s="105">
        <f>INGRESOS!R34</f>
        <v>199519.22575204776</v>
      </c>
      <c r="R12" s="105">
        <f>INGRESOS!S34</f>
        <v>219471.14832725257</v>
      </c>
      <c r="S12" s="105">
        <f>INGRESOS!T34</f>
        <v>239423.07090245729</v>
      </c>
      <c r="T12" s="105">
        <f>INGRESOS!U34</f>
        <v>259374.99347766206</v>
      </c>
      <c r="U12" s="105">
        <f>INGRESOS!V34</f>
        <v>279326.91605286684</v>
      </c>
      <c r="V12" s="105">
        <f>INGRESOS!W34</f>
        <v>299278.83862807159</v>
      </c>
      <c r="W12" s="105">
        <f>INGRESOS!X34</f>
        <v>319230.76120327646</v>
      </c>
      <c r="X12" s="105">
        <f t="shared" si="5"/>
        <v>2513942.2444758019</v>
      </c>
      <c r="Z12" s="105">
        <f t="shared" si="2"/>
        <v>0</v>
      </c>
    </row>
    <row r="13" spans="2:26">
      <c r="B13" s="100" t="s">
        <v>361</v>
      </c>
      <c r="C13" s="101">
        <f>SUM(C14:C19)</f>
        <v>0</v>
      </c>
      <c r="D13" s="101">
        <f t="shared" ref="D13:H13" si="10">SUM(D14:D19)</f>
        <v>593947463.16593325</v>
      </c>
      <c r="E13" s="101">
        <f t="shared" si="10"/>
        <v>977248133.26680827</v>
      </c>
      <c r="F13" s="101">
        <f t="shared" si="10"/>
        <v>1087171388.7925251</v>
      </c>
      <c r="G13" s="101">
        <f t="shared" si="10"/>
        <v>1201787003.3234141</v>
      </c>
      <c r="H13" s="101">
        <f t="shared" si="10"/>
        <v>1322171302.4311557</v>
      </c>
      <c r="I13" s="75"/>
      <c r="J13" s="100" t="s">
        <v>361</v>
      </c>
      <c r="K13" s="101"/>
      <c r="L13" s="101">
        <f t="shared" ref="L13:X13" si="11">SUM(L14:L19)</f>
        <v>23569343.77642592</v>
      </c>
      <c r="M13" s="101">
        <f t="shared" si="11"/>
        <v>28283212.531711102</v>
      </c>
      <c r="N13" s="101">
        <f t="shared" si="11"/>
        <v>32997081.286996294</v>
      </c>
      <c r="O13" s="101">
        <f t="shared" si="11"/>
        <v>37710950.042281471</v>
      </c>
      <c r="P13" s="101">
        <f t="shared" si="11"/>
        <v>42424818.797566667</v>
      </c>
      <c r="Q13" s="101">
        <f t="shared" si="11"/>
        <v>47138687.552851841</v>
      </c>
      <c r="R13" s="101">
        <f t="shared" si="11"/>
        <v>51852556.308137029</v>
      </c>
      <c r="S13" s="101">
        <f t="shared" si="11"/>
        <v>56566425.063422203</v>
      </c>
      <c r="T13" s="101">
        <f t="shared" si="11"/>
        <v>61280293.818707392</v>
      </c>
      <c r="U13" s="101">
        <f t="shared" si="11"/>
        <v>65994162.573992588</v>
      </c>
      <c r="V13" s="101">
        <f t="shared" si="11"/>
        <v>70708031.329277784</v>
      </c>
      <c r="W13" s="101">
        <f t="shared" si="11"/>
        <v>75421900.084562942</v>
      </c>
      <c r="X13" s="101">
        <f t="shared" si="11"/>
        <v>593947463.16593325</v>
      </c>
      <c r="Z13" s="101">
        <f t="shared" si="2"/>
        <v>0</v>
      </c>
    </row>
    <row r="14" spans="2:26">
      <c r="B14" s="102" t="s">
        <v>357</v>
      </c>
      <c r="C14" s="103"/>
      <c r="D14" s="103">
        <f>EGRESOS!D18+(K.W!D73-K.W!C73)*-1</f>
        <v>587841309.3197794</v>
      </c>
      <c r="E14" s="103">
        <f>EGRESOS!E18+(K.W!E73-K.W!D73)*-1</f>
        <v>941940987.51369143</v>
      </c>
      <c r="F14" s="103">
        <f>EGRESOS!F18+(K.W!F73-K.W!E73)*-1</f>
        <v>1006516890.689342</v>
      </c>
      <c r="G14" s="103">
        <f>EGRESOS!G18+(K.W!G73-K.W!F73)*-1</f>
        <v>1072724280.9416106</v>
      </c>
      <c r="H14" s="103">
        <f>EGRESOS!H18+(K.W!H73-K.W!G73)*-1</f>
        <v>1140530149.153883</v>
      </c>
      <c r="I14" s="79"/>
      <c r="J14" s="102" t="s">
        <v>357</v>
      </c>
      <c r="K14" s="103"/>
      <c r="L14" s="103">
        <f>EGRESOS!M18+(K.W!L73-K.W!K73)*-1</f>
        <v>23327036.084118228</v>
      </c>
      <c r="M14" s="103">
        <f>EGRESOS!N18+(K.W!M73-K.W!L73)*-1</f>
        <v>27992443.300941873</v>
      </c>
      <c r="N14" s="103">
        <f>EGRESOS!O18+(K.W!N73-K.W!M73)*-1</f>
        <v>32657850.517765522</v>
      </c>
      <c r="O14" s="103">
        <f>EGRESOS!P18+(K.W!O73-K.W!N73)*-1</f>
        <v>37323257.734589167</v>
      </c>
      <c r="P14" s="103">
        <f>EGRESOS!Q18+(K.W!P73-K.W!O73)*-1</f>
        <v>41988664.951412819</v>
      </c>
      <c r="Q14" s="103">
        <f>EGRESOS!R18+(K.W!Q73-K.W!P73)*-1</f>
        <v>46654072.168236457</v>
      </c>
      <c r="R14" s="103">
        <f>EGRESOS!S18+(K.W!R73-K.W!Q73)*-1</f>
        <v>51319479.385060102</v>
      </c>
      <c r="S14" s="103">
        <f>EGRESOS!T18+(K.W!S73-K.W!R73)*-1</f>
        <v>55984886.601883747</v>
      </c>
      <c r="T14" s="103">
        <f>EGRESOS!U18+(K.W!T73-K.W!S73)*-1</f>
        <v>60650293.818707392</v>
      </c>
      <c r="U14" s="103">
        <f>EGRESOS!V18+(K.W!U73-K.W!T73)*-1</f>
        <v>65315701.035531044</v>
      </c>
      <c r="V14" s="103">
        <f>EGRESOS!W18+(K.W!V73-K.W!U73)*-1</f>
        <v>69981108.252354696</v>
      </c>
      <c r="W14" s="103">
        <f>EGRESOS!X18+(K.W!W73-K.W!V73)*-1</f>
        <v>74646515.469178334</v>
      </c>
      <c r="X14" s="103">
        <f t="shared" si="5"/>
        <v>587841309.3197794</v>
      </c>
      <c r="Z14" s="103">
        <f t="shared" si="2"/>
        <v>0</v>
      </c>
    </row>
    <row r="15" spans="2:26">
      <c r="B15" s="102" t="s">
        <v>359</v>
      </c>
      <c r="C15" s="103"/>
      <c r="D15" s="103">
        <f>EGRESOS!D68+(K.W!D74-K.W!C74)*-1</f>
        <v>0</v>
      </c>
      <c r="E15" s="103">
        <f>EGRESOS!E68+(K.W!E74-K.W!D74)*-1</f>
        <v>21594655.846396685</v>
      </c>
      <c r="F15" s="103">
        <f>EGRESOS!F68+(K.W!F74-K.W!E74)*-1</f>
        <v>59135196.451890059</v>
      </c>
      <c r="G15" s="103">
        <f>EGRESOS!G68+(K.W!G74-K.W!F74)*-1</f>
        <v>99233003.950007156</v>
      </c>
      <c r="H15" s="103">
        <f>EGRESOS!H68+(K.W!H74-K.W!G74)*-1</f>
        <v>142820237.45429054</v>
      </c>
      <c r="I15" s="79"/>
      <c r="J15" s="102" t="s">
        <v>359</v>
      </c>
      <c r="K15" s="103"/>
      <c r="L15" s="103">
        <f>EGRESOS!M68+(K.W!L74-K.W!K74)*-1</f>
        <v>0</v>
      </c>
      <c r="M15" s="103">
        <f>EGRESOS!N68+(K.W!M74-K.W!L74)*-1</f>
        <v>0</v>
      </c>
      <c r="N15" s="103">
        <f>EGRESOS!O68+(K.W!N74-K.W!M74)*-1</f>
        <v>0</v>
      </c>
      <c r="O15" s="103">
        <f>EGRESOS!P68+(K.W!O74-K.W!N74)*-1</f>
        <v>0</v>
      </c>
      <c r="P15" s="103">
        <f>EGRESOS!Q68+(K.W!P74-K.W!O74)*-1</f>
        <v>0</v>
      </c>
      <c r="Q15" s="103">
        <f>EGRESOS!R68+(K.W!Q74-K.W!P74)*-1</f>
        <v>0</v>
      </c>
      <c r="R15" s="103">
        <f>EGRESOS!S68+(K.W!R74-K.W!Q74)*-1</f>
        <v>0</v>
      </c>
      <c r="S15" s="103">
        <f>EGRESOS!T68+(K.W!S74-K.W!R74)*-1</f>
        <v>0</v>
      </c>
      <c r="T15" s="103">
        <f>EGRESOS!U68+(K.W!T74-K.W!S74)*-1</f>
        <v>0</v>
      </c>
      <c r="U15" s="103">
        <f>EGRESOS!V68+(K.W!U74-K.W!T74)*-1</f>
        <v>0</v>
      </c>
      <c r="V15" s="103">
        <f>EGRESOS!W68+(K.W!V74-K.W!U74)*-1</f>
        <v>0</v>
      </c>
      <c r="W15" s="103">
        <f>EGRESOS!X68+(K.W!W74-K.W!V74)*-1</f>
        <v>0</v>
      </c>
      <c r="X15" s="103">
        <f t="shared" si="5"/>
        <v>0</v>
      </c>
      <c r="Z15" s="103">
        <f t="shared" si="2"/>
        <v>0</v>
      </c>
    </row>
    <row r="16" spans="2:26">
      <c r="B16" s="102" t="s">
        <v>358</v>
      </c>
      <c r="C16" s="103"/>
      <c r="D16" s="103">
        <f>EGRESOS!D97+(K.W!D75-K.W!C75)*-1</f>
        <v>4153846.153846154</v>
      </c>
      <c r="E16" s="103">
        <f>EGRESOS!E97+(K.W!E75-K.W!D75)*-1</f>
        <v>6656010.5356688052</v>
      </c>
      <c r="F16" s="103">
        <f>EGRESOS!F97+(K.W!F75-K.W!E75)*-1</f>
        <v>7112321.3848462971</v>
      </c>
      <c r="G16" s="103">
        <f>EGRESOS!G97+(K.W!G75-K.W!F75)*-1</f>
        <v>7580160.7642764524</v>
      </c>
      <c r="H16" s="103">
        <f>EGRESOS!H97+(K.W!H75-K.W!G75)*-1</f>
        <v>8059295.422586984</v>
      </c>
      <c r="I16" s="74"/>
      <c r="J16" s="102" t="s">
        <v>358</v>
      </c>
      <c r="K16" s="103"/>
      <c r="L16" s="103">
        <f>EGRESOS!M97+(K.W!L75-K.W!K75)*-1</f>
        <v>164835.16483516488</v>
      </c>
      <c r="M16" s="103">
        <f>EGRESOS!N97+(K.W!M75-K.W!L75)*-1</f>
        <v>197802.19780219777</v>
      </c>
      <c r="N16" s="103">
        <f>EGRESOS!O97+(K.W!N75-K.W!M75)*-1</f>
        <v>230769.23076923075</v>
      </c>
      <c r="O16" s="103">
        <f>EGRESOS!P97+(K.W!O75-K.W!N75)*-1</f>
        <v>263736.26373626373</v>
      </c>
      <c r="P16" s="103">
        <f>EGRESOS!Q97+(K.W!P75-K.W!O75)*-1</f>
        <v>296703.29670329671</v>
      </c>
      <c r="Q16" s="103">
        <f>EGRESOS!R97+(K.W!Q75-K.W!P75)*-1</f>
        <v>329670.32967032969</v>
      </c>
      <c r="R16" s="103">
        <f>EGRESOS!S97+(K.W!R75-K.W!Q75)*-1</f>
        <v>362637.36263736262</v>
      </c>
      <c r="S16" s="103">
        <f>EGRESOS!T97+(K.W!S75-K.W!R75)*-1</f>
        <v>395604.39560439554</v>
      </c>
      <c r="T16" s="103">
        <f>EGRESOS!U97+(K.W!T75-K.W!S75)*-1</f>
        <v>428571.42857142852</v>
      </c>
      <c r="U16" s="103">
        <f>EGRESOS!V97+(K.W!U75-K.W!T75)*-1</f>
        <v>461538.4615384615</v>
      </c>
      <c r="V16" s="103">
        <f>EGRESOS!W97+(K.W!V75-K.W!U75)*-1</f>
        <v>494505.49450549443</v>
      </c>
      <c r="W16" s="103">
        <f>EGRESOS!X97+(K.W!W75-K.W!V75)*-1</f>
        <v>527472.52747252746</v>
      </c>
      <c r="X16" s="103">
        <f t="shared" si="5"/>
        <v>4153846.153846154</v>
      </c>
      <c r="Z16" s="103">
        <f t="shared" si="2"/>
        <v>0</v>
      </c>
    </row>
    <row r="17" spans="2:26">
      <c r="B17" s="102" t="s">
        <v>360</v>
      </c>
      <c r="C17" s="103"/>
      <c r="D17" s="103">
        <f>EGRESOS!D133+(K.W!D76-K.W!C76)*-1</f>
        <v>0</v>
      </c>
      <c r="E17" s="103">
        <f>EGRESOS!E133+(K.W!E76-K.W!D76)*-1</f>
        <v>4112271.4285714277</v>
      </c>
      <c r="F17" s="103">
        <f>EGRESOS!F133+(K.W!F76-K.W!E76)*-1</f>
        <v>11261118.515701802</v>
      </c>
      <c r="G17" s="103">
        <f>EGRESOS!G133+(K.W!G76-K.W!F76)*-1</f>
        <v>18896946.069322128</v>
      </c>
      <c r="H17" s="103">
        <f>EGRESOS!H133+(K.W!H76-K.W!G76)*-1</f>
        <v>27197265.197586644</v>
      </c>
      <c r="I17" s="74"/>
      <c r="J17" s="102" t="s">
        <v>360</v>
      </c>
      <c r="K17" s="103"/>
      <c r="L17" s="103">
        <f>EGRESOS!M133+(K.W!L76-K.W!K76)*-1</f>
        <v>0</v>
      </c>
      <c r="M17" s="103">
        <f>EGRESOS!N133+(K.W!M76-K.W!L76)*-1</f>
        <v>0</v>
      </c>
      <c r="N17" s="103">
        <f>EGRESOS!O133+(K.W!N76-K.W!M76)*-1</f>
        <v>0</v>
      </c>
      <c r="O17" s="103">
        <f>EGRESOS!P133+(K.W!O76-K.W!N76)*-1</f>
        <v>0</v>
      </c>
      <c r="P17" s="103">
        <f>EGRESOS!Q133+(K.W!P76-K.W!O76)*-1</f>
        <v>0</v>
      </c>
      <c r="Q17" s="103">
        <f>EGRESOS!R133+(K.W!Q76-K.W!P76)*-1</f>
        <v>0</v>
      </c>
      <c r="R17" s="103">
        <f>EGRESOS!S133+(K.W!R76-K.W!Q76)*-1</f>
        <v>0</v>
      </c>
      <c r="S17" s="103">
        <f>EGRESOS!T133+(K.W!S76-K.W!R76)*-1</f>
        <v>0</v>
      </c>
      <c r="T17" s="103">
        <f>EGRESOS!U133+(K.W!T76-K.W!S76)*-1</f>
        <v>0</v>
      </c>
      <c r="U17" s="103">
        <f>EGRESOS!V133+(K.W!U76-K.W!T76)*-1</f>
        <v>0</v>
      </c>
      <c r="V17" s="103">
        <f>EGRESOS!W133+(K.W!V76-K.W!U76)*-1</f>
        <v>0</v>
      </c>
      <c r="W17" s="103">
        <f>EGRESOS!X133+(K.W!W76-K.W!V76)*-1</f>
        <v>0</v>
      </c>
      <c r="X17" s="103">
        <f t="shared" si="5"/>
        <v>0</v>
      </c>
      <c r="Z17" s="103">
        <f t="shared" si="2"/>
        <v>0</v>
      </c>
    </row>
    <row r="18" spans="2:26">
      <c r="B18" s="102" t="s">
        <v>411</v>
      </c>
      <c r="C18" s="103">
        <f>EGRESOS!C164</f>
        <v>0</v>
      </c>
      <c r="D18" s="103">
        <f>EGRESOS!D164</f>
        <v>1661538.4615384613</v>
      </c>
      <c r="E18" s="103">
        <f>EGRESOS!E164</f>
        <v>2664441.5769048841</v>
      </c>
      <c r="F18" s="103">
        <f>EGRESOS!F164</f>
        <v>2846933.7110813763</v>
      </c>
      <c r="G18" s="103">
        <f>EGRESOS!G164</f>
        <v>3034037.6454277243</v>
      </c>
      <c r="H18" s="103">
        <f>EGRESOS!H164</f>
        <v>3225660.8170214421</v>
      </c>
      <c r="I18" s="74"/>
      <c r="J18" s="102" t="s">
        <v>411</v>
      </c>
      <c r="K18" s="103"/>
      <c r="L18" s="103">
        <f>EGRESOS!M164</f>
        <v>65934.065934065933</v>
      </c>
      <c r="M18" s="103">
        <f>EGRESOS!N164</f>
        <v>79120.879120879108</v>
      </c>
      <c r="N18" s="103">
        <f>EGRESOS!O164</f>
        <v>92307.692307692298</v>
      </c>
      <c r="O18" s="103">
        <f>EGRESOS!P164</f>
        <v>105494.50549450549</v>
      </c>
      <c r="P18" s="103">
        <f>EGRESOS!Q164</f>
        <v>118681.31868131868</v>
      </c>
      <c r="Q18" s="103">
        <f>EGRESOS!R164</f>
        <v>131868.13186813187</v>
      </c>
      <c r="R18" s="103">
        <f>EGRESOS!S164</f>
        <v>145054.94505494504</v>
      </c>
      <c r="S18" s="103">
        <f>EGRESOS!T164</f>
        <v>158241.75824175822</v>
      </c>
      <c r="T18" s="103">
        <f>EGRESOS!U164</f>
        <v>171428.57142857142</v>
      </c>
      <c r="U18" s="103">
        <f>EGRESOS!V164</f>
        <v>184615.3846153846</v>
      </c>
      <c r="V18" s="103">
        <f>EGRESOS!W164</f>
        <v>197802.19780219777</v>
      </c>
      <c r="W18" s="103">
        <f>EGRESOS!X164</f>
        <v>210989.01098901097</v>
      </c>
      <c r="X18" s="103">
        <f t="shared" si="5"/>
        <v>1661538.4615384613</v>
      </c>
      <c r="Z18" s="103">
        <f t="shared" si="2"/>
        <v>0</v>
      </c>
    </row>
    <row r="19" spans="2:26">
      <c r="B19" s="102" t="s">
        <v>499</v>
      </c>
      <c r="C19" s="103">
        <f>EGRESOS!C174</f>
        <v>0</v>
      </c>
      <c r="D19" s="103">
        <f>EGRESOS!D174</f>
        <v>290769.23076923081</v>
      </c>
      <c r="E19" s="103">
        <f>EGRESOS!E174</f>
        <v>279766.36557501287</v>
      </c>
      <c r="F19" s="103">
        <f>EGRESOS!F174</f>
        <v>298928.03966354451</v>
      </c>
      <c r="G19" s="103">
        <f>EGRESOS!G174</f>
        <v>318573.95276991115</v>
      </c>
      <c r="H19" s="103">
        <f>EGRESOS!H174</f>
        <v>338694.38578725135</v>
      </c>
      <c r="I19" s="74"/>
      <c r="J19" s="102" t="s">
        <v>499</v>
      </c>
      <c r="K19" s="103"/>
      <c r="L19" s="103">
        <f>EGRESOS!M174</f>
        <v>11538.461538461537</v>
      </c>
      <c r="M19" s="103">
        <f>EGRESOS!N174</f>
        <v>13846.153846153846</v>
      </c>
      <c r="N19" s="103">
        <f>EGRESOS!O174</f>
        <v>16153.846153846152</v>
      </c>
      <c r="O19" s="103">
        <f>EGRESOS!P174</f>
        <v>18461.538461538461</v>
      </c>
      <c r="P19" s="103">
        <f>EGRESOS!Q174</f>
        <v>20769.23076923077</v>
      </c>
      <c r="Q19" s="103">
        <f>EGRESOS!R174</f>
        <v>23076.923076923074</v>
      </c>
      <c r="R19" s="103">
        <f>EGRESOS!S174</f>
        <v>25384.615384615387</v>
      </c>
      <c r="S19" s="103">
        <f>EGRESOS!T174</f>
        <v>27692.307692307691</v>
      </c>
      <c r="T19" s="103">
        <f>EGRESOS!U174</f>
        <v>30000</v>
      </c>
      <c r="U19" s="103">
        <f>EGRESOS!V174</f>
        <v>32307.692307692305</v>
      </c>
      <c r="V19" s="103">
        <f>EGRESOS!W174</f>
        <v>34615.384615384617</v>
      </c>
      <c r="W19" s="103">
        <f>EGRESOS!X174</f>
        <v>36923.076923076922</v>
      </c>
      <c r="X19" s="103">
        <f t="shared" si="5"/>
        <v>290769.23076923081</v>
      </c>
      <c r="Z19" s="103">
        <f t="shared" si="2"/>
        <v>0</v>
      </c>
    </row>
    <row r="20" spans="2:26" hidden="1" outlineLevel="2">
      <c r="B20" s="106" t="s">
        <v>346</v>
      </c>
      <c r="C20" s="107"/>
      <c r="D20" s="107">
        <f>(K.W!D73-K.W!C73)*-1</f>
        <v>0</v>
      </c>
      <c r="E20" s="107">
        <f>(K.W!E73-K.W!D73)*-1</f>
        <v>-720805.41499924287</v>
      </c>
      <c r="F20" s="107">
        <f>(K.W!F73-K.W!E73)*-1</f>
        <v>-709411.32422396913</v>
      </c>
      <c r="G20" s="107">
        <f>(K.W!G73-K.W!F73)*-1</f>
        <v>-698154.52961822227</v>
      </c>
      <c r="H20" s="107">
        <f>(K.W!H73-K.W!G73)*-1</f>
        <v>-687295.99852991849</v>
      </c>
      <c r="J20" s="106" t="s">
        <v>346</v>
      </c>
      <c r="K20" s="107"/>
      <c r="L20" s="107">
        <f>(K.W!L73-K.W!K73)*-1</f>
        <v>0</v>
      </c>
      <c r="M20" s="107">
        <f>(K.W!M73-K.W!L73)*-1</f>
        <v>0</v>
      </c>
      <c r="N20" s="107">
        <f>(K.W!N73-K.W!M73)*-1</f>
        <v>0</v>
      </c>
      <c r="O20" s="107">
        <f>(K.W!O73-K.W!N73)*-1</f>
        <v>0</v>
      </c>
      <c r="P20" s="107">
        <f>(K.W!P73-K.W!O73)*-1</f>
        <v>0</v>
      </c>
      <c r="Q20" s="107">
        <f>(K.W!Q73-K.W!P73)*-1</f>
        <v>0</v>
      </c>
      <c r="R20" s="107">
        <f>(K.W!R73-K.W!Q73)*-1</f>
        <v>0</v>
      </c>
      <c r="S20" s="107">
        <f>(K.W!S73-K.W!R73)*-1</f>
        <v>0</v>
      </c>
      <c r="T20" s="107">
        <f>(K.W!T73-K.W!S73)*-1</f>
        <v>0</v>
      </c>
      <c r="U20" s="107">
        <f>(K.W!U73-K.W!T73)*-1</f>
        <v>0</v>
      </c>
      <c r="V20" s="107">
        <f>(K.W!V73-K.W!U73)*-1</f>
        <v>0</v>
      </c>
      <c r="W20" s="107">
        <f>(K.W!W73-K.W!V73)*-1</f>
        <v>0</v>
      </c>
      <c r="X20" s="107">
        <f t="shared" si="5"/>
        <v>0</v>
      </c>
      <c r="Z20" s="107">
        <f t="shared" si="2"/>
        <v>0</v>
      </c>
    </row>
    <row r="21" spans="2:26" hidden="1" outlineLevel="2">
      <c r="B21" s="106" t="s">
        <v>347</v>
      </c>
      <c r="C21" s="107"/>
      <c r="D21" s="107">
        <f>(K.W!D74-K.W!C74)*-1</f>
        <v>0</v>
      </c>
      <c r="E21" s="107">
        <f>(K.W!E74-K.W!D74)*-1</f>
        <v>-892341.1506775493</v>
      </c>
      <c r="F21" s="107">
        <f>(K.W!F74-K.W!E74)*-1</f>
        <v>-26324.063944987603</v>
      </c>
      <c r="G21" s="107">
        <f>(K.W!G74-K.W!F74)*-1</f>
        <v>-25906.359052355983</v>
      </c>
      <c r="H21" s="107">
        <f>(K.W!H74-K.W!G74)*-1</f>
        <v>-25503.432489222148</v>
      </c>
      <c r="J21" s="106" t="s">
        <v>347</v>
      </c>
      <c r="K21" s="107"/>
      <c r="L21" s="107">
        <f>+(K.W!L74-K.W!K74)*-1</f>
        <v>0</v>
      </c>
      <c r="M21" s="107">
        <f>+(K.W!M74-K.W!L74)*-1</f>
        <v>0</v>
      </c>
      <c r="N21" s="107">
        <f>+(K.W!N74-K.W!M74)*-1</f>
        <v>0</v>
      </c>
      <c r="O21" s="107">
        <f>+(K.W!O74-K.W!N74)*-1</f>
        <v>0</v>
      </c>
      <c r="P21" s="107">
        <f>+(K.W!P74-K.W!O74)*-1</f>
        <v>0</v>
      </c>
      <c r="Q21" s="107">
        <f>+(K.W!Q74-K.W!P74)*-1</f>
        <v>0</v>
      </c>
      <c r="R21" s="107">
        <f>+(K.W!R74-K.W!Q74)*-1</f>
        <v>0</v>
      </c>
      <c r="S21" s="107">
        <f>+(K.W!S74-K.W!R74)*-1</f>
        <v>0</v>
      </c>
      <c r="T21" s="107">
        <f>+(K.W!T74-K.W!S74)*-1</f>
        <v>0</v>
      </c>
      <c r="U21" s="107">
        <f>+(K.W!U74-K.W!T74)*-1</f>
        <v>0</v>
      </c>
      <c r="V21" s="107">
        <f>+(K.W!V74-K.W!U74)*-1</f>
        <v>0</v>
      </c>
      <c r="W21" s="107">
        <f>+(K.W!W74-K.W!V74)*-1</f>
        <v>0</v>
      </c>
      <c r="X21" s="107">
        <f t="shared" si="5"/>
        <v>0</v>
      </c>
      <c r="Z21" s="107">
        <f t="shared" si="2"/>
        <v>0</v>
      </c>
    </row>
    <row r="22" spans="2:26" hidden="1" outlineLevel="2">
      <c r="B22" s="106" t="s">
        <v>348</v>
      </c>
      <c r="C22" s="107"/>
      <c r="D22" s="107">
        <f>(K.W!D75-K.W!C75)*-1</f>
        <v>0</v>
      </c>
      <c r="E22" s="107">
        <f>(K.W!E75-K.W!D75)*-1</f>
        <v>-5093.4065934064565</v>
      </c>
      <c r="F22" s="107">
        <f>(K.W!F75-K.W!E75)*-1</f>
        <v>-5012.8928571429569</v>
      </c>
      <c r="G22" s="107">
        <f>(K.W!G75-K.W!F75)*-1</f>
        <v>-4933.349292857165</v>
      </c>
      <c r="H22" s="107">
        <f>(K.W!H75-K.W!G75)*-1</f>
        <v>-4856.6199666212779</v>
      </c>
      <c r="J22" s="106" t="s">
        <v>348</v>
      </c>
      <c r="K22" s="107"/>
      <c r="L22" s="107">
        <f>(K.W!L75-K.W!K75)*-1</f>
        <v>2.9103830456733704E-11</v>
      </c>
      <c r="M22" s="107">
        <f>(K.W!M75-K.W!L75)*-1</f>
        <v>0</v>
      </c>
      <c r="N22" s="107">
        <f>(K.W!N75-K.W!M75)*-1</f>
        <v>0</v>
      </c>
      <c r="O22" s="107">
        <f>(K.W!O75-K.W!N75)*-1</f>
        <v>0</v>
      </c>
      <c r="P22" s="107">
        <f>(K.W!P75-K.W!O75)*-1</f>
        <v>0</v>
      </c>
      <c r="Q22" s="107">
        <f>(K.W!Q75-K.W!P75)*-1</f>
        <v>0</v>
      </c>
      <c r="R22" s="107">
        <f>(K.W!R75-K.W!Q75)*-1</f>
        <v>0</v>
      </c>
      <c r="S22" s="107">
        <f>(K.W!S75-K.W!R75)*-1</f>
        <v>0</v>
      </c>
      <c r="T22" s="107">
        <f>(K.W!T75-K.W!S75)*-1</f>
        <v>0</v>
      </c>
      <c r="U22" s="107">
        <f>(K.W!U75-K.W!T75)*-1</f>
        <v>0</v>
      </c>
      <c r="V22" s="107">
        <f>(K.W!V75-K.W!U75)*-1</f>
        <v>0</v>
      </c>
      <c r="W22" s="107">
        <f>(K.W!W75-K.W!V75)*-1</f>
        <v>0</v>
      </c>
      <c r="X22" s="107">
        <f t="shared" si="5"/>
        <v>2.9103830456733704E-11</v>
      </c>
      <c r="Z22" s="107">
        <f t="shared" si="2"/>
        <v>2.9103830456733704E-11</v>
      </c>
    </row>
    <row r="23" spans="2:26" hidden="1" outlineLevel="2">
      <c r="B23" s="106" t="s">
        <v>349</v>
      </c>
      <c r="C23" s="107"/>
      <c r="D23" s="107">
        <f>(K.W!D76-K.W!C76)*-1</f>
        <v>0</v>
      </c>
      <c r="E23" s="107">
        <f>(K.W!E76-K.W!D76)*-1</f>
        <v>-169928.57142857133</v>
      </c>
      <c r="F23" s="107">
        <f>(K.W!F76-K.W!E76)*-1</f>
        <v>-5012.8928571429569</v>
      </c>
      <c r="G23" s="107">
        <f>(K.W!G76-K.W!F76)*-1</f>
        <v>-4933.349292857165</v>
      </c>
      <c r="H23" s="107">
        <f>(K.W!H76-K.W!G76)*-1</f>
        <v>-4856.6199666215107</v>
      </c>
      <c r="J23" s="106" t="s">
        <v>349</v>
      </c>
      <c r="K23" s="107"/>
      <c r="L23" s="107">
        <f>+(K.W!L76-K.W!K76)*-1</f>
        <v>0</v>
      </c>
      <c r="M23" s="107">
        <f>+(K.W!M76-K.W!L76)*-1</f>
        <v>0</v>
      </c>
      <c r="N23" s="107">
        <f>+(K.W!N76-K.W!M76)*-1</f>
        <v>0</v>
      </c>
      <c r="O23" s="107">
        <f>+(K.W!O76-K.W!N76)*-1</f>
        <v>0</v>
      </c>
      <c r="P23" s="107">
        <f>+(K.W!P76-K.W!O76)*-1</f>
        <v>0</v>
      </c>
      <c r="Q23" s="107">
        <f>+(K.W!Q76-K.W!P76)*-1</f>
        <v>0</v>
      </c>
      <c r="R23" s="107">
        <f>+(K.W!R76-K.W!Q76)*-1</f>
        <v>0</v>
      </c>
      <c r="S23" s="107">
        <f>+(K.W!S76-K.W!R76)*-1</f>
        <v>0</v>
      </c>
      <c r="T23" s="107">
        <f>+(K.W!T76-K.W!S76)*-1</f>
        <v>0</v>
      </c>
      <c r="U23" s="107">
        <f>+(K.W!U76-K.W!T76)*-1</f>
        <v>0</v>
      </c>
      <c r="V23" s="107">
        <f>+(K.W!V76-K.W!U76)*-1</f>
        <v>0</v>
      </c>
      <c r="W23" s="107">
        <f>+(K.W!W76-K.W!V76)*-1</f>
        <v>0</v>
      </c>
      <c r="X23" s="107">
        <f t="shared" si="5"/>
        <v>0</v>
      </c>
      <c r="Z23" s="107">
        <f t="shared" si="2"/>
        <v>0</v>
      </c>
    </row>
    <row r="24" spans="2:26" collapsed="1">
      <c r="B24" s="100" t="s">
        <v>1</v>
      </c>
      <c r="C24" s="101">
        <f t="shared" ref="C24:H24" si="12">C4-C13</f>
        <v>0</v>
      </c>
      <c r="D24" s="101">
        <f t="shared" si="12"/>
        <v>564952317.6665138</v>
      </c>
      <c r="E24" s="101">
        <f t="shared" si="12"/>
        <v>1031733303.27248</v>
      </c>
      <c r="F24" s="101">
        <f t="shared" si="12"/>
        <v>1293793086.7958252</v>
      </c>
      <c r="G24" s="101">
        <f t="shared" si="12"/>
        <v>1591250242.0955751</v>
      </c>
      <c r="H24" s="101">
        <f t="shared" si="12"/>
        <v>1926624672.6505094</v>
      </c>
      <c r="J24" s="100" t="s">
        <v>1</v>
      </c>
      <c r="K24" s="101"/>
      <c r="L24" s="101">
        <f t="shared" ref="L24:W24" si="13">L4-L13</f>
        <v>22418742.764544211</v>
      </c>
      <c r="M24" s="101">
        <f t="shared" si="13"/>
        <v>26902491.317453049</v>
      </c>
      <c r="N24" s="101">
        <f t="shared" si="13"/>
        <v>31386239.870361876</v>
      </c>
      <c r="O24" s="101">
        <f t="shared" si="13"/>
        <v>35869988.423270725</v>
      </c>
      <c r="P24" s="101">
        <f t="shared" si="13"/>
        <v>40353736.976179555</v>
      </c>
      <c r="Q24" s="101">
        <f t="shared" si="13"/>
        <v>44837485.529088423</v>
      </c>
      <c r="R24" s="101">
        <f t="shared" si="13"/>
        <v>49321234.08199726</v>
      </c>
      <c r="S24" s="101">
        <f t="shared" si="13"/>
        <v>53804982.634906098</v>
      </c>
      <c r="T24" s="101">
        <f t="shared" si="13"/>
        <v>58288731.187814936</v>
      </c>
      <c r="U24" s="101">
        <f t="shared" si="13"/>
        <v>62772479.740723751</v>
      </c>
      <c r="V24" s="101">
        <f t="shared" si="13"/>
        <v>67256228.293632567</v>
      </c>
      <c r="W24" s="101">
        <f t="shared" si="13"/>
        <v>71739976.846541449</v>
      </c>
      <c r="X24" s="101">
        <f t="shared" ref="X24" si="14">X4-X13</f>
        <v>564952317.6665138</v>
      </c>
      <c r="Z24" s="101">
        <f t="shared" si="2"/>
        <v>0</v>
      </c>
    </row>
    <row r="25" spans="2:26">
      <c r="B25" s="100" t="s">
        <v>2</v>
      </c>
      <c r="C25" s="101">
        <f>SUM(C26:C38)</f>
        <v>0</v>
      </c>
      <c r="D25" s="101">
        <f>SUM(D26:D38)</f>
        <v>523737337.32140976</v>
      </c>
      <c r="E25" s="101">
        <f>SUM(E26:E38)</f>
        <v>593156942.27736449</v>
      </c>
      <c r="F25" s="101">
        <f t="shared" ref="F25:H25" si="15">SUM(F26:F38)</f>
        <v>614366727.23910451</v>
      </c>
      <c r="G25" s="101">
        <f t="shared" si="15"/>
        <v>648359682.46609163</v>
      </c>
      <c r="H25" s="101">
        <f t="shared" si="15"/>
        <v>682991390.43505406</v>
      </c>
      <c r="J25" s="100" t="s">
        <v>2</v>
      </c>
      <c r="K25" s="101"/>
      <c r="L25" s="101">
        <f>SUM(L26:L38)</f>
        <v>41242479.884326078</v>
      </c>
      <c r="M25" s="101">
        <f t="shared" ref="M25:X25" si="16">SUM(M26:M38)</f>
        <v>41679261.379924513</v>
      </c>
      <c r="N25" s="101">
        <f t="shared" si="16"/>
        <v>42116042.875522949</v>
      </c>
      <c r="O25" s="101">
        <f t="shared" si="16"/>
        <v>42552824.371121384</v>
      </c>
      <c r="P25" s="101">
        <f t="shared" si="16"/>
        <v>42989605.86671982</v>
      </c>
      <c r="Q25" s="101">
        <f t="shared" si="16"/>
        <v>43426387.362318255</v>
      </c>
      <c r="R25" s="101">
        <f t="shared" si="16"/>
        <v>43863168.85791669</v>
      </c>
      <c r="S25" s="101">
        <f t="shared" si="16"/>
        <v>44299950.353515118</v>
      </c>
      <c r="T25" s="101">
        <f t="shared" si="16"/>
        <v>44736731.849113554</v>
      </c>
      <c r="U25" s="101">
        <f t="shared" si="16"/>
        <v>45173513.344711989</v>
      </c>
      <c r="V25" s="101">
        <f t="shared" si="16"/>
        <v>45610294.840310425</v>
      </c>
      <c r="W25" s="101">
        <f t="shared" si="16"/>
        <v>46047076.33590886</v>
      </c>
      <c r="X25" s="101">
        <f t="shared" si="16"/>
        <v>523737337.32140976</v>
      </c>
      <c r="Z25" s="101">
        <f t="shared" si="2"/>
        <v>0</v>
      </c>
    </row>
    <row r="26" spans="2:26">
      <c r="B26" s="102" t="s">
        <v>494</v>
      </c>
      <c r="C26" s="103">
        <v>0</v>
      </c>
      <c r="D26" s="103">
        <f>INVERSION!C18</f>
        <v>71123764.065853238</v>
      </c>
      <c r="E26" s="103">
        <f>INVERSION!E18</f>
        <v>74664137.762835443</v>
      </c>
      <c r="F26" s="103">
        <f>INVERSION!F18</f>
        <v>77137241.726583794</v>
      </c>
      <c r="G26" s="103">
        <f>INVERSION!G18</f>
        <v>79586638.115790173</v>
      </c>
      <c r="H26" s="103">
        <f>INVERSION!H18</f>
        <v>82025170.212656245</v>
      </c>
      <c r="J26" s="102" t="s">
        <v>494</v>
      </c>
      <c r="K26" s="103"/>
      <c r="L26" s="103">
        <f>INVERSION!V18</f>
        <v>5926980.3388211029</v>
      </c>
      <c r="M26" s="103">
        <f>INVERSION!W18</f>
        <v>5926980.3388211029</v>
      </c>
      <c r="N26" s="103">
        <f>INVERSION!X18</f>
        <v>5926980.3388211029</v>
      </c>
      <c r="O26" s="103">
        <f>INVERSION!Y18</f>
        <v>5926980.3388211029</v>
      </c>
      <c r="P26" s="103">
        <f>INVERSION!Z18</f>
        <v>5926980.3388211029</v>
      </c>
      <c r="Q26" s="103">
        <f>INVERSION!AA18</f>
        <v>5926980.3388211029</v>
      </c>
      <c r="R26" s="103">
        <f>INVERSION!AB18</f>
        <v>5926980.3388211029</v>
      </c>
      <c r="S26" s="103">
        <f>INVERSION!AC18</f>
        <v>5926980.3388211029</v>
      </c>
      <c r="T26" s="103">
        <f>INVERSION!AD18</f>
        <v>5926980.3388211029</v>
      </c>
      <c r="U26" s="103">
        <f>INVERSION!AE18</f>
        <v>5926980.3388211029</v>
      </c>
      <c r="V26" s="103">
        <f>INVERSION!AF18</f>
        <v>5926980.3388211029</v>
      </c>
      <c r="W26" s="103">
        <f>INVERSION!AG18</f>
        <v>5926980.3388211029</v>
      </c>
      <c r="X26" s="103">
        <f t="shared" ref="X26:X41" si="17">SUM(L26:W26)</f>
        <v>71123764.065853253</v>
      </c>
      <c r="Z26" s="103">
        <f t="shared" si="2"/>
        <v>0</v>
      </c>
    </row>
    <row r="27" spans="2:26">
      <c r="B27" s="102" t="s">
        <v>495</v>
      </c>
      <c r="C27" s="103">
        <v>0</v>
      </c>
      <c r="D27" s="103">
        <f>INVERSION!C19</f>
        <v>6504500</v>
      </c>
      <c r="E27" s="103">
        <f>INVERSION!E19</f>
        <v>6705489.0499999989</v>
      </c>
      <c r="F27" s="103">
        <f>INVERSION!F19</f>
        <v>6903300.9769749995</v>
      </c>
      <c r="G27" s="103">
        <f>INVERSION!G19</f>
        <v>7097974.0645256946</v>
      </c>
      <c r="H27" s="103">
        <f>INVERSION!H19</f>
        <v>7289619.3642678875</v>
      </c>
      <c r="J27" s="102" t="s">
        <v>495</v>
      </c>
      <c r="K27" s="103"/>
      <c r="L27" s="103">
        <f>INVERSION!V19</f>
        <v>542041.66666666663</v>
      </c>
      <c r="M27" s="103">
        <f>INVERSION!W19</f>
        <v>542041.66666666663</v>
      </c>
      <c r="N27" s="103">
        <f>INVERSION!X19</f>
        <v>542041.66666666663</v>
      </c>
      <c r="O27" s="103">
        <f>INVERSION!Y19</f>
        <v>542041.66666666663</v>
      </c>
      <c r="P27" s="103">
        <f>INVERSION!Z19</f>
        <v>542041.66666666663</v>
      </c>
      <c r="Q27" s="103">
        <f>INVERSION!AA19</f>
        <v>542041.66666666663</v>
      </c>
      <c r="R27" s="103">
        <f>INVERSION!AB19</f>
        <v>542041.66666666663</v>
      </c>
      <c r="S27" s="103">
        <f>INVERSION!AC19</f>
        <v>542041.66666666663</v>
      </c>
      <c r="T27" s="103">
        <f>INVERSION!AD19</f>
        <v>542041.66666666663</v>
      </c>
      <c r="U27" s="103">
        <f>INVERSION!AE19</f>
        <v>542041.66666666663</v>
      </c>
      <c r="V27" s="103">
        <f>INVERSION!AF19</f>
        <v>542041.66666666663</v>
      </c>
      <c r="W27" s="103">
        <f>INVERSION!AG19</f>
        <v>542041.66666666663</v>
      </c>
      <c r="X27" s="103">
        <f t="shared" si="17"/>
        <v>6504500.0000000009</v>
      </c>
      <c r="Z27" s="103">
        <f t="shared" si="2"/>
        <v>0</v>
      </c>
    </row>
    <row r="28" spans="2:26">
      <c r="B28" s="102" t="s">
        <v>227</v>
      </c>
      <c r="C28" s="103">
        <v>0</v>
      </c>
      <c r="D28" s="103">
        <f>INVERSION!C20</f>
        <v>3796734.8693146855</v>
      </c>
      <c r="E28" s="103">
        <f>INVERSION!E20</f>
        <v>0</v>
      </c>
      <c r="F28" s="103">
        <f>INVERSION!F20</f>
        <v>0</v>
      </c>
      <c r="G28" s="103">
        <f>INVERSION!G20</f>
        <v>0</v>
      </c>
      <c r="H28" s="103">
        <f>INVERSION!H20</f>
        <v>0</v>
      </c>
      <c r="J28" s="102" t="s">
        <v>227</v>
      </c>
      <c r="K28" s="103"/>
      <c r="L28" s="103">
        <f>INVERSION!V20</f>
        <v>316394.57244289044</v>
      </c>
      <c r="M28" s="103">
        <f>INVERSION!W20</f>
        <v>316394.57244289044</v>
      </c>
      <c r="N28" s="103">
        <f>INVERSION!X20</f>
        <v>316394.57244289044</v>
      </c>
      <c r="O28" s="103">
        <f>INVERSION!Y20</f>
        <v>316394.57244289044</v>
      </c>
      <c r="P28" s="103">
        <f>INVERSION!Z20</f>
        <v>316394.57244289044</v>
      </c>
      <c r="Q28" s="103">
        <f>INVERSION!AA20</f>
        <v>316394.57244289044</v>
      </c>
      <c r="R28" s="103">
        <f>INVERSION!AB20</f>
        <v>316394.57244289044</v>
      </c>
      <c r="S28" s="103">
        <f>INVERSION!AC20</f>
        <v>316394.57244289044</v>
      </c>
      <c r="T28" s="103">
        <f>INVERSION!AD20</f>
        <v>316394.57244289044</v>
      </c>
      <c r="U28" s="103">
        <f>INVERSION!AE20</f>
        <v>316394.57244289044</v>
      </c>
      <c r="V28" s="103">
        <f>INVERSION!AF20</f>
        <v>316394.57244289044</v>
      </c>
      <c r="W28" s="103">
        <f>INVERSION!AG20</f>
        <v>316394.57244289044</v>
      </c>
      <c r="X28" s="103">
        <f t="shared" si="17"/>
        <v>3796734.8693146859</v>
      </c>
      <c r="Z28" s="103">
        <f t="shared" si="2"/>
        <v>0</v>
      </c>
    </row>
    <row r="29" spans="2:26" ht="15.75" customHeight="1">
      <c r="B29" s="109" t="s">
        <v>367</v>
      </c>
      <c r="C29" s="103"/>
      <c r="D29" s="103">
        <f>EGRESOS!D181</f>
        <v>3140000</v>
      </c>
      <c r="E29" s="103">
        <f>EGRESOS!E181</f>
        <v>3237025.9999999986</v>
      </c>
      <c r="F29" s="103">
        <f>EGRESOS!F181</f>
        <v>3332518.2670000005</v>
      </c>
      <c r="G29" s="103">
        <f>EGRESOS!G181</f>
        <v>3426495.2821293999</v>
      </c>
      <c r="H29" s="103">
        <f>EGRESOS!H181</f>
        <v>3519010.6547468924</v>
      </c>
      <c r="J29" s="109" t="s">
        <v>367</v>
      </c>
      <c r="K29" s="103"/>
      <c r="L29" s="103">
        <f>EGRESOS!M181</f>
        <v>261666.66666666669</v>
      </c>
      <c r="M29" s="103">
        <f>EGRESOS!N181</f>
        <v>261666.66666666669</v>
      </c>
      <c r="N29" s="103">
        <f>EGRESOS!O181</f>
        <v>261666.66666666669</v>
      </c>
      <c r="O29" s="103">
        <f>EGRESOS!P181</f>
        <v>261666.66666666669</v>
      </c>
      <c r="P29" s="103">
        <f>EGRESOS!Q181</f>
        <v>261666.66666666669</v>
      </c>
      <c r="Q29" s="103">
        <f>EGRESOS!R181</f>
        <v>261666.66666666669</v>
      </c>
      <c r="R29" s="103">
        <f>EGRESOS!S181</f>
        <v>261666.66666666669</v>
      </c>
      <c r="S29" s="103">
        <f>EGRESOS!T181</f>
        <v>261666.66666666669</v>
      </c>
      <c r="T29" s="103">
        <f>EGRESOS!U181</f>
        <v>261666.66666666669</v>
      </c>
      <c r="U29" s="103">
        <f>EGRESOS!V181</f>
        <v>261666.66666666669</v>
      </c>
      <c r="V29" s="103">
        <f>EGRESOS!W181</f>
        <v>261666.66666666669</v>
      </c>
      <c r="W29" s="103">
        <f>EGRESOS!X181</f>
        <v>261666.66666666669</v>
      </c>
      <c r="X29" s="103">
        <f t="shared" si="17"/>
        <v>3140000</v>
      </c>
      <c r="Z29" s="103">
        <f t="shared" si="2"/>
        <v>0</v>
      </c>
    </row>
    <row r="30" spans="2:26">
      <c r="B30" s="102" t="s">
        <v>362</v>
      </c>
      <c r="C30" s="103"/>
      <c r="D30" s="103">
        <f>EGRESOS!D188+EGRESOS!D202</f>
        <v>59785763.520000011</v>
      </c>
      <c r="E30" s="103">
        <f>EGRESOS!E188+EGRESOS!E202</f>
        <v>61633143.612767994</v>
      </c>
      <c r="F30" s="103">
        <f>EGRESOS!F188+EGRESOS!F202</f>
        <v>63451321.349344663</v>
      </c>
      <c r="G30" s="103">
        <f>EGRESOS!G188+EGRESOS!G202</f>
        <v>65240648.611396194</v>
      </c>
      <c r="H30" s="103">
        <f>EGRESOS!H188+EGRESOS!H202</f>
        <v>67002146.123903871</v>
      </c>
      <c r="J30" s="102" t="s">
        <v>362</v>
      </c>
      <c r="K30" s="103"/>
      <c r="L30" s="103">
        <f>EGRESOS!M188+EGRESOS!M202</f>
        <v>4982146.96</v>
      </c>
      <c r="M30" s="103">
        <f>EGRESOS!N188+EGRESOS!N202</f>
        <v>4982146.96</v>
      </c>
      <c r="N30" s="103">
        <f>EGRESOS!O188+EGRESOS!O202</f>
        <v>4982146.96</v>
      </c>
      <c r="O30" s="103">
        <f>EGRESOS!P188+EGRESOS!P202</f>
        <v>4982146.96</v>
      </c>
      <c r="P30" s="103">
        <f>EGRESOS!Q188+EGRESOS!Q202</f>
        <v>4982146.96</v>
      </c>
      <c r="Q30" s="103">
        <f>EGRESOS!R188+EGRESOS!R202</f>
        <v>4982146.96</v>
      </c>
      <c r="R30" s="103">
        <f>EGRESOS!S188+EGRESOS!S202</f>
        <v>4982146.96</v>
      </c>
      <c r="S30" s="103">
        <f>EGRESOS!T188+EGRESOS!T202</f>
        <v>4982146.96</v>
      </c>
      <c r="T30" s="103">
        <f>EGRESOS!U188+EGRESOS!U202</f>
        <v>4982146.96</v>
      </c>
      <c r="U30" s="103">
        <f>EGRESOS!V188+EGRESOS!V202</f>
        <v>4982146.96</v>
      </c>
      <c r="V30" s="103">
        <f>EGRESOS!W188+EGRESOS!W202</f>
        <v>4982146.96</v>
      </c>
      <c r="W30" s="103">
        <f>EGRESOS!X188+EGRESOS!X202</f>
        <v>4982146.96</v>
      </c>
      <c r="X30" s="103">
        <f t="shared" si="17"/>
        <v>59785763.520000003</v>
      </c>
      <c r="Z30" s="103">
        <f t="shared" si="2"/>
        <v>0</v>
      </c>
    </row>
    <row r="31" spans="2:26">
      <c r="B31" s="102" t="s">
        <v>363</v>
      </c>
      <c r="C31" s="103"/>
      <c r="D31" s="103">
        <f>EGRESOS!D195</f>
        <v>0</v>
      </c>
      <c r="E31" s="103">
        <f>EGRESOS!E195</f>
        <v>24289335.427967999</v>
      </c>
      <c r="F31" s="103">
        <f>EGRESOS!F195</f>
        <v>25005870.823093057</v>
      </c>
      <c r="G31" s="103">
        <f>EGRESOS!G195</f>
        <v>38566554.570456423</v>
      </c>
      <c r="H31" s="103">
        <f>EGRESOS!H195</f>
        <v>52810468.72514499</v>
      </c>
      <c r="J31" s="102" t="s">
        <v>363</v>
      </c>
      <c r="K31" s="103"/>
      <c r="L31" s="103">
        <f>EGRESOS!M195</f>
        <v>0</v>
      </c>
      <c r="M31" s="103">
        <f>EGRESOS!N195</f>
        <v>0</v>
      </c>
      <c r="N31" s="103">
        <f>EGRESOS!O195</f>
        <v>0</v>
      </c>
      <c r="O31" s="103">
        <f>EGRESOS!P195</f>
        <v>0</v>
      </c>
      <c r="P31" s="103">
        <f>EGRESOS!Q195</f>
        <v>0</v>
      </c>
      <c r="Q31" s="103">
        <f>EGRESOS!R195</f>
        <v>0</v>
      </c>
      <c r="R31" s="103">
        <f>EGRESOS!S195</f>
        <v>0</v>
      </c>
      <c r="S31" s="103">
        <f>EGRESOS!T195</f>
        <v>0</v>
      </c>
      <c r="T31" s="103">
        <f>EGRESOS!U195</f>
        <v>0</v>
      </c>
      <c r="U31" s="103">
        <f>EGRESOS!V195</f>
        <v>0</v>
      </c>
      <c r="V31" s="103">
        <f>EGRESOS!W195</f>
        <v>0</v>
      </c>
      <c r="W31" s="103">
        <f>EGRESOS!X195</f>
        <v>0</v>
      </c>
      <c r="X31" s="103">
        <f t="shared" si="17"/>
        <v>0</v>
      </c>
      <c r="Z31" s="103">
        <f t="shared" si="2"/>
        <v>0</v>
      </c>
    </row>
    <row r="32" spans="2:26" outlineLevel="1">
      <c r="B32" s="102" t="s">
        <v>380</v>
      </c>
      <c r="C32" s="103"/>
      <c r="D32" s="103"/>
      <c r="E32" s="103"/>
      <c r="F32" s="103"/>
      <c r="G32" s="103"/>
      <c r="H32" s="103"/>
      <c r="J32" s="102" t="s">
        <v>380</v>
      </c>
      <c r="K32" s="103"/>
      <c r="L32" s="103"/>
      <c r="M32" s="103"/>
      <c r="N32" s="103"/>
      <c r="O32" s="103"/>
      <c r="P32" s="103"/>
      <c r="Q32" s="103"/>
      <c r="R32" s="103"/>
      <c r="S32" s="103"/>
      <c r="T32" s="103"/>
      <c r="U32" s="103"/>
      <c r="V32" s="103"/>
      <c r="W32" s="103"/>
      <c r="X32" s="103">
        <f t="shared" si="17"/>
        <v>0</v>
      </c>
      <c r="Z32" s="103">
        <f t="shared" si="2"/>
        <v>0</v>
      </c>
    </row>
    <row r="33" spans="2:26">
      <c r="B33" s="102" t="s">
        <v>500</v>
      </c>
      <c r="C33" s="103"/>
      <c r="D33" s="103">
        <f>EGRESOS!D209</f>
        <v>5100000</v>
      </c>
      <c r="E33" s="103">
        <f>EGRESOS!E209</f>
        <v>5257589.9999999991</v>
      </c>
      <c r="F33" s="103">
        <f>EGRESOS!F209</f>
        <v>5412688.9050000012</v>
      </c>
      <c r="G33" s="103">
        <f>EGRESOS!G209</f>
        <v>5565326.732121001</v>
      </c>
      <c r="H33" s="103">
        <f>EGRESOS!H209</f>
        <v>5715590.5538882678</v>
      </c>
      <c r="J33" s="102" t="s">
        <v>500</v>
      </c>
      <c r="K33" s="103"/>
      <c r="L33" s="103">
        <f>EGRESOS!M209</f>
        <v>425000</v>
      </c>
      <c r="M33" s="103">
        <f>EGRESOS!N209</f>
        <v>425000</v>
      </c>
      <c r="N33" s="103">
        <f>EGRESOS!O209</f>
        <v>425000</v>
      </c>
      <c r="O33" s="103">
        <f>EGRESOS!P209</f>
        <v>425000</v>
      </c>
      <c r="P33" s="103">
        <f>EGRESOS!Q209</f>
        <v>425000</v>
      </c>
      <c r="Q33" s="103">
        <f>EGRESOS!R209</f>
        <v>425000</v>
      </c>
      <c r="R33" s="103">
        <f>EGRESOS!S209</f>
        <v>425000</v>
      </c>
      <c r="S33" s="103">
        <f>EGRESOS!T209</f>
        <v>425000</v>
      </c>
      <c r="T33" s="103">
        <f>EGRESOS!U209</f>
        <v>425000</v>
      </c>
      <c r="U33" s="103">
        <f>EGRESOS!V209</f>
        <v>425000</v>
      </c>
      <c r="V33" s="103">
        <f>EGRESOS!W209</f>
        <v>425000</v>
      </c>
      <c r="W33" s="103">
        <f>EGRESOS!X209</f>
        <v>425000</v>
      </c>
      <c r="X33" s="103">
        <f t="shared" si="17"/>
        <v>5100000</v>
      </c>
      <c r="Z33" s="103">
        <f t="shared" si="2"/>
        <v>0</v>
      </c>
    </row>
    <row r="34" spans="2:26">
      <c r="B34" s="102" t="s">
        <v>501</v>
      </c>
      <c r="C34" s="103"/>
      <c r="D34" s="103">
        <f>EGRESOS!D210</f>
        <v>900000</v>
      </c>
      <c r="E34" s="103">
        <f>EGRESOS!E210</f>
        <v>927809.99999999988</v>
      </c>
      <c r="F34" s="103">
        <f>EGRESOS!F210</f>
        <v>955180.3949999999</v>
      </c>
      <c r="G34" s="103">
        <f>EGRESOS!G210</f>
        <v>982116.4821390002</v>
      </c>
      <c r="H34" s="103">
        <f>EGRESOS!H210</f>
        <v>1008633.6271567526</v>
      </c>
      <c r="J34" s="102" t="s">
        <v>501</v>
      </c>
      <c r="K34" s="103"/>
      <c r="L34" s="103">
        <f>EGRESOS!M210</f>
        <v>75000</v>
      </c>
      <c r="M34" s="103">
        <f>EGRESOS!N210</f>
        <v>75000</v>
      </c>
      <c r="N34" s="103">
        <f>EGRESOS!O210</f>
        <v>75000</v>
      </c>
      <c r="O34" s="103">
        <f>EGRESOS!P210</f>
        <v>75000</v>
      </c>
      <c r="P34" s="103">
        <f>EGRESOS!Q210</f>
        <v>75000</v>
      </c>
      <c r="Q34" s="103">
        <f>EGRESOS!R210</f>
        <v>75000</v>
      </c>
      <c r="R34" s="103">
        <f>EGRESOS!S210</f>
        <v>75000</v>
      </c>
      <c r="S34" s="103">
        <f>EGRESOS!T210</f>
        <v>75000</v>
      </c>
      <c r="T34" s="103">
        <f>EGRESOS!U210</f>
        <v>75000</v>
      </c>
      <c r="U34" s="103">
        <f>EGRESOS!V210</f>
        <v>75000</v>
      </c>
      <c r="V34" s="103">
        <f>EGRESOS!W210</f>
        <v>75000</v>
      </c>
      <c r="W34" s="103">
        <f>EGRESOS!X210</f>
        <v>75000</v>
      </c>
      <c r="X34" s="103">
        <f t="shared" si="17"/>
        <v>900000</v>
      </c>
      <c r="Z34" s="103">
        <f t="shared" si="2"/>
        <v>0</v>
      </c>
    </row>
    <row r="35" spans="2:26">
      <c r="B35" s="102" t="s">
        <v>502</v>
      </c>
      <c r="C35" s="103"/>
      <c r="D35" s="103">
        <f>EGRESOS!D217</f>
        <v>85517750.309213102</v>
      </c>
      <c r="E35" s="103">
        <f>EGRESOS!E217</f>
        <v>88160248.79376781</v>
      </c>
      <c r="F35" s="103">
        <f>EGRESOS!F217</f>
        <v>90760976.133183911</v>
      </c>
      <c r="G35" s="103">
        <f>EGRESOS!G217</f>
        <v>93320435.66013974</v>
      </c>
      <c r="H35" s="103">
        <f>EGRESOS!H217</f>
        <v>95840087.4229635</v>
      </c>
      <c r="J35" s="102" t="s">
        <v>502</v>
      </c>
      <c r="K35" s="103"/>
      <c r="L35" s="103">
        <f>EGRESOS!M217</f>
        <v>7126479.1924344255</v>
      </c>
      <c r="M35" s="103">
        <f>EGRESOS!N217</f>
        <v>7126479.1924344255</v>
      </c>
      <c r="N35" s="103">
        <f>EGRESOS!O217</f>
        <v>7126479.1924344255</v>
      </c>
      <c r="O35" s="103">
        <f>EGRESOS!P217</f>
        <v>7126479.1924344255</v>
      </c>
      <c r="P35" s="103">
        <f>EGRESOS!Q217</f>
        <v>7126479.1924344255</v>
      </c>
      <c r="Q35" s="103">
        <f>EGRESOS!R217</f>
        <v>7126479.1924344255</v>
      </c>
      <c r="R35" s="103">
        <f>EGRESOS!S217</f>
        <v>7126479.1924344255</v>
      </c>
      <c r="S35" s="103">
        <f>EGRESOS!T217</f>
        <v>7126479.1924344255</v>
      </c>
      <c r="T35" s="103">
        <f>EGRESOS!U217</f>
        <v>7126479.1924344255</v>
      </c>
      <c r="U35" s="103">
        <f>EGRESOS!V217</f>
        <v>7126479.1924344255</v>
      </c>
      <c r="V35" s="103">
        <f>EGRESOS!W217</f>
        <v>7126479.1924344255</v>
      </c>
      <c r="W35" s="103">
        <f>EGRESOS!X217</f>
        <v>7126479.1924344255</v>
      </c>
      <c r="X35" s="103">
        <f t="shared" si="17"/>
        <v>85517750.309213102</v>
      </c>
      <c r="Z35" s="103">
        <f t="shared" si="2"/>
        <v>0</v>
      </c>
    </row>
    <row r="36" spans="2:26">
      <c r="B36" s="102" t="s">
        <v>503</v>
      </c>
      <c r="C36" s="103"/>
      <c r="D36" s="103">
        <f>EGRESOS!D218</f>
        <v>15091367.701625841</v>
      </c>
      <c r="E36" s="103">
        <f>EGRESOS!E218</f>
        <v>15557690.963606084</v>
      </c>
      <c r="F36" s="103">
        <f>EGRESOS!F218</f>
        <v>16016642.847032459</v>
      </c>
      <c r="G36" s="103">
        <f>EGRESOS!G218</f>
        <v>16468312.175318776</v>
      </c>
      <c r="H36" s="103">
        <f>EGRESOS!H218</f>
        <v>16912956.604052383</v>
      </c>
      <c r="J36" s="102" t="s">
        <v>503</v>
      </c>
      <c r="K36" s="103"/>
      <c r="L36" s="103">
        <f>EGRESOS!M218</f>
        <v>1257613.9751354868</v>
      </c>
      <c r="M36" s="103">
        <f>EGRESOS!N218</f>
        <v>1257613.9751354868</v>
      </c>
      <c r="N36" s="103">
        <f>EGRESOS!O218</f>
        <v>1257613.9751354868</v>
      </c>
      <c r="O36" s="103">
        <f>EGRESOS!P218</f>
        <v>1257613.9751354868</v>
      </c>
      <c r="P36" s="103">
        <f>EGRESOS!Q218</f>
        <v>1257613.9751354868</v>
      </c>
      <c r="Q36" s="103">
        <f>EGRESOS!R218</f>
        <v>1257613.9751354868</v>
      </c>
      <c r="R36" s="103">
        <f>EGRESOS!S218</f>
        <v>1257613.9751354868</v>
      </c>
      <c r="S36" s="103">
        <f>EGRESOS!T218</f>
        <v>1257613.9751354868</v>
      </c>
      <c r="T36" s="103">
        <f>EGRESOS!U218</f>
        <v>1257613.9751354868</v>
      </c>
      <c r="U36" s="103">
        <f>EGRESOS!V218</f>
        <v>1257613.9751354868</v>
      </c>
      <c r="V36" s="103">
        <f>EGRESOS!W218</f>
        <v>1257613.9751354868</v>
      </c>
      <c r="W36" s="103">
        <f>EGRESOS!X218</f>
        <v>1257613.9751354868</v>
      </c>
      <c r="X36" s="103">
        <f t="shared" si="17"/>
        <v>15091367.701625841</v>
      </c>
      <c r="Z36" s="103">
        <f t="shared" si="2"/>
        <v>0</v>
      </c>
    </row>
    <row r="37" spans="2:26">
      <c r="B37" s="102" t="s">
        <v>364</v>
      </c>
      <c r="C37" s="103"/>
      <c r="D37" s="103">
        <f>EGRESOS!D236</f>
        <v>184737988.41000006</v>
      </c>
      <c r="E37" s="103">
        <f>EGRESOS!E236</f>
        <v>190446392.25186899</v>
      </c>
      <c r="F37" s="103">
        <f>EGRESOS!F236</f>
        <v>196064560.82329914</v>
      </c>
      <c r="G37" s="103">
        <f>EGRESOS!G236</f>
        <v>201593581.43851623</v>
      </c>
      <c r="H37" s="103">
        <f>EGRESOS!H236</f>
        <v>207036608.13735613</v>
      </c>
      <c r="J37" s="102" t="s">
        <v>364</v>
      </c>
      <c r="K37" s="103"/>
      <c r="L37" s="103">
        <f>EGRESOS!M236</f>
        <v>15394832.3675</v>
      </c>
      <c r="M37" s="103">
        <f>EGRESOS!N236</f>
        <v>15394832.3675</v>
      </c>
      <c r="N37" s="103">
        <f>EGRESOS!O236</f>
        <v>15394832.3675</v>
      </c>
      <c r="O37" s="103">
        <f>EGRESOS!P236</f>
        <v>15394832.3675</v>
      </c>
      <c r="P37" s="103">
        <f>EGRESOS!Q236</f>
        <v>15394832.3675</v>
      </c>
      <c r="Q37" s="103">
        <f>EGRESOS!R236</f>
        <v>15394832.3675</v>
      </c>
      <c r="R37" s="103">
        <f>EGRESOS!S236</f>
        <v>15394832.3675</v>
      </c>
      <c r="S37" s="103">
        <f>EGRESOS!T236</f>
        <v>15394832.3675</v>
      </c>
      <c r="T37" s="103">
        <f>EGRESOS!U236</f>
        <v>15394832.3675</v>
      </c>
      <c r="U37" s="103">
        <f>EGRESOS!V236</f>
        <v>15394832.3675</v>
      </c>
      <c r="V37" s="103">
        <f>EGRESOS!W236</f>
        <v>15394832.3675</v>
      </c>
      <c r="W37" s="103">
        <f>EGRESOS!X236</f>
        <v>15394832.3675</v>
      </c>
      <c r="X37" s="103">
        <f t="shared" si="17"/>
        <v>184737988.41000006</v>
      </c>
      <c r="Z37" s="103">
        <f t="shared" si="2"/>
        <v>0</v>
      </c>
    </row>
    <row r="38" spans="2:26">
      <c r="B38" s="102" t="s">
        <v>116</v>
      </c>
      <c r="C38" s="103"/>
      <c r="D38" s="103">
        <f>EGRESOS!D247-EGRESOS!D255-EGRESOS!D253</f>
        <v>88039468.445402801</v>
      </c>
      <c r="E38" s="103">
        <f>EGRESOS!E247-EGRESOS!E255-EGRESOS!E253</f>
        <v>122278078.41455022</v>
      </c>
      <c r="F38" s="103">
        <f>EGRESOS!F247-EGRESOS!F255-EGRESOS!F253</f>
        <v>129326424.99259251</v>
      </c>
      <c r="G38" s="103">
        <f>EGRESOS!G247-EGRESOS!G255-EGRESOS!G253</f>
        <v>136511599.3335591</v>
      </c>
      <c r="H38" s="103">
        <f>EGRESOS!H247-EGRESOS!H255-EGRESOS!H253</f>
        <v>143831099.00891715</v>
      </c>
      <c r="J38" s="102" t="s">
        <v>116</v>
      </c>
      <c r="K38" s="103"/>
      <c r="L38" s="103">
        <f>EGRESOS!M247-EGRESOS!M255-EGRESOS!M253</f>
        <v>4934324.1446588412</v>
      </c>
      <c r="M38" s="103">
        <f>EGRESOS!N247-EGRESOS!N255-EGRESOS!N253</f>
        <v>5371105.6402572747</v>
      </c>
      <c r="N38" s="103">
        <f>EGRESOS!O247-EGRESOS!O255-EGRESOS!O253</f>
        <v>5807887.1358557101</v>
      </c>
      <c r="O38" s="103">
        <f>EGRESOS!P247-EGRESOS!P255-EGRESOS!P253</f>
        <v>6244668.6314541455</v>
      </c>
      <c r="P38" s="103">
        <f>EGRESOS!Q247-EGRESOS!Q255-EGRESOS!Q253</f>
        <v>6681450.1270525809</v>
      </c>
      <c r="Q38" s="103">
        <f>EGRESOS!R247-EGRESOS!R255-EGRESOS!R253</f>
        <v>7118231.6226510163</v>
      </c>
      <c r="R38" s="103">
        <f>EGRESOS!S247-EGRESOS!S255-EGRESOS!S253</f>
        <v>7555013.1182494517</v>
      </c>
      <c r="S38" s="103">
        <f>EGRESOS!T247-EGRESOS!T255-EGRESOS!T253</f>
        <v>7991794.6138478853</v>
      </c>
      <c r="T38" s="103">
        <f>EGRESOS!U247-EGRESOS!U255-EGRESOS!U253</f>
        <v>8428576.1094463207</v>
      </c>
      <c r="U38" s="103">
        <f>EGRESOS!V247-EGRESOS!V255-EGRESOS!V253</f>
        <v>8865357.6050447542</v>
      </c>
      <c r="V38" s="103">
        <f>EGRESOS!W247-EGRESOS!W255-EGRESOS!W253</f>
        <v>9302139.1006431896</v>
      </c>
      <c r="W38" s="103">
        <f>EGRESOS!X247-EGRESOS!X255-EGRESOS!X253</f>
        <v>9738920.596241625</v>
      </c>
      <c r="X38" s="103">
        <f t="shared" si="17"/>
        <v>88039468.445402786</v>
      </c>
      <c r="Z38" s="103">
        <f t="shared" si="2"/>
        <v>0</v>
      </c>
    </row>
    <row r="39" spans="2:26">
      <c r="B39" s="100" t="s">
        <v>365</v>
      </c>
      <c r="C39" s="101"/>
      <c r="D39" s="101">
        <f>EGRESOS!D224+EGRESOS!D255</f>
        <v>8640000</v>
      </c>
      <c r="E39" s="101">
        <f>EGRESOS!E224+EGRESOS!E255</f>
        <v>11608992</v>
      </c>
      <c r="F39" s="101">
        <f>EGRESOS!F224+EGRESOS!F255</f>
        <v>11608992</v>
      </c>
      <c r="G39" s="101">
        <f>EGRESOS!G224+EGRESOS!G255</f>
        <v>13135350.7872</v>
      </c>
      <c r="H39" s="101">
        <f>EGRESOS!H224+EGRESOS!H255</f>
        <v>14702921.261654399</v>
      </c>
      <c r="J39" s="100" t="s">
        <v>365</v>
      </c>
      <c r="K39" s="101"/>
      <c r="L39" s="101">
        <f>EGRESOS!M224+EGRESOS!M255</f>
        <v>720000</v>
      </c>
      <c r="M39" s="101">
        <f>EGRESOS!N224+EGRESOS!N255</f>
        <v>720000</v>
      </c>
      <c r="N39" s="101">
        <f>EGRESOS!O224+EGRESOS!O255</f>
        <v>720000</v>
      </c>
      <c r="O39" s="101">
        <f>EGRESOS!P224+EGRESOS!P255</f>
        <v>720000</v>
      </c>
      <c r="P39" s="101">
        <f>EGRESOS!Q224+EGRESOS!Q255</f>
        <v>720000</v>
      </c>
      <c r="Q39" s="101">
        <f>EGRESOS!R224+EGRESOS!R255</f>
        <v>720000</v>
      </c>
      <c r="R39" s="101">
        <f>EGRESOS!S224+EGRESOS!S255</f>
        <v>720000</v>
      </c>
      <c r="S39" s="101">
        <f>EGRESOS!T224+EGRESOS!T255</f>
        <v>720000</v>
      </c>
      <c r="T39" s="101">
        <f>EGRESOS!U224+EGRESOS!U255</f>
        <v>720000</v>
      </c>
      <c r="U39" s="101">
        <f>EGRESOS!V224+EGRESOS!V255</f>
        <v>720000</v>
      </c>
      <c r="V39" s="101">
        <f>EGRESOS!W224+EGRESOS!W255</f>
        <v>720000</v>
      </c>
      <c r="W39" s="101">
        <f>EGRESOS!X224+EGRESOS!X255</f>
        <v>720000</v>
      </c>
      <c r="X39" s="101">
        <f t="shared" si="17"/>
        <v>8640000</v>
      </c>
      <c r="Z39" s="101">
        <f t="shared" si="2"/>
        <v>0</v>
      </c>
    </row>
    <row r="40" spans="2:26">
      <c r="B40" s="100" t="s">
        <v>3</v>
      </c>
      <c r="C40" s="101">
        <f t="shared" ref="C40:H40" si="18">C24-C25-C39</f>
        <v>0</v>
      </c>
      <c r="D40" s="101">
        <f t="shared" si="18"/>
        <v>32574980.345104039</v>
      </c>
      <c r="E40" s="101">
        <f t="shared" si="18"/>
        <v>426967368.99511552</v>
      </c>
      <c r="F40" s="101">
        <f t="shared" si="18"/>
        <v>667817367.55672073</v>
      </c>
      <c r="G40" s="101">
        <f t="shared" si="18"/>
        <v>929755208.84228349</v>
      </c>
      <c r="H40" s="101">
        <f t="shared" si="18"/>
        <v>1228930360.9538009</v>
      </c>
      <c r="J40" s="100" t="s">
        <v>3</v>
      </c>
      <c r="K40" s="101"/>
      <c r="L40" s="101">
        <f t="shared" ref="L40:X40" si="19">L24-L25-L39</f>
        <v>-19543737.119781867</v>
      </c>
      <c r="M40" s="101">
        <f t="shared" si="19"/>
        <v>-15496770.062471464</v>
      </c>
      <c r="N40" s="101">
        <f t="shared" si="19"/>
        <v>-11449803.005161073</v>
      </c>
      <c r="O40" s="101">
        <f t="shared" si="19"/>
        <v>-7402835.9478506595</v>
      </c>
      <c r="P40" s="101">
        <f t="shared" si="19"/>
        <v>-3355868.8905402645</v>
      </c>
      <c r="Q40" s="101">
        <f t="shared" si="19"/>
        <v>691098.16677016765</v>
      </c>
      <c r="R40" s="101">
        <f t="shared" si="19"/>
        <v>4738065.22408057</v>
      </c>
      <c r="S40" s="101">
        <f t="shared" si="19"/>
        <v>8785032.2813909799</v>
      </c>
      <c r="T40" s="101">
        <f t="shared" si="19"/>
        <v>12831999.338701382</v>
      </c>
      <c r="U40" s="101">
        <f t="shared" si="19"/>
        <v>16878966.396011762</v>
      </c>
      <c r="V40" s="101">
        <f t="shared" si="19"/>
        <v>20925933.453322142</v>
      </c>
      <c r="W40" s="101">
        <f t="shared" si="19"/>
        <v>24972900.510632589</v>
      </c>
      <c r="X40" s="101">
        <f t="shared" si="19"/>
        <v>32574980.345104039</v>
      </c>
      <c r="Z40" s="101">
        <f t="shared" si="2"/>
        <v>0</v>
      </c>
    </row>
    <row r="41" spans="2:26">
      <c r="B41" s="100" t="s">
        <v>351</v>
      </c>
      <c r="C41" s="101"/>
      <c r="D41" s="101">
        <f>D42-D43</f>
        <v>-18474854.843480278</v>
      </c>
      <c r="E41" s="101">
        <f t="shared" ref="E41:H41" si="20">E42-E43</f>
        <v>-16092261.68461073</v>
      </c>
      <c r="F41" s="101">
        <f t="shared" si="20"/>
        <v>-12967967.275385091</v>
      </c>
      <c r="G41" s="101">
        <f t="shared" si="20"/>
        <v>-8871080.0165675059</v>
      </c>
      <c r="H41" s="101">
        <f t="shared" si="20"/>
        <v>-3498831.7540800017</v>
      </c>
      <c r="J41" s="100" t="s">
        <v>351</v>
      </c>
      <c r="K41" s="101"/>
      <c r="L41" s="101">
        <f>L42-L43</f>
        <v>-1615783.0624252737</v>
      </c>
      <c r="M41" s="101">
        <f t="shared" ref="M41:W41" si="21">M42-M43</f>
        <v>-1602955.1603374181</v>
      </c>
      <c r="N41" s="101">
        <f t="shared" si="21"/>
        <v>-1589834.2447495516</v>
      </c>
      <c r="O41" s="101">
        <f t="shared" si="21"/>
        <v>-1576413.6226801868</v>
      </c>
      <c r="P41" s="101">
        <f t="shared" si="21"/>
        <v>-1562686.4482675055</v>
      </c>
      <c r="Q41" s="101">
        <f t="shared" si="21"/>
        <v>-1548645.7192772808</v>
      </c>
      <c r="R41" s="101">
        <f t="shared" si="21"/>
        <v>-1534284.2735310383</v>
      </c>
      <c r="S41" s="101">
        <f t="shared" si="21"/>
        <v>-1519594.7852526261</v>
      </c>
      <c r="T41" s="101">
        <f t="shared" si="21"/>
        <v>-1504569.7613313354</v>
      </c>
      <c r="U41" s="101">
        <f t="shared" si="21"/>
        <v>-1489201.5374996637</v>
      </c>
      <c r="V41" s="101">
        <f t="shared" si="21"/>
        <v>-1473482.2744237701</v>
      </c>
      <c r="W41" s="101">
        <f t="shared" si="21"/>
        <v>-1457403.9537046298</v>
      </c>
      <c r="X41" s="101">
        <f t="shared" si="17"/>
        <v>-18474854.843480278</v>
      </c>
      <c r="Z41" s="101">
        <f t="shared" si="2"/>
        <v>0</v>
      </c>
    </row>
    <row r="42" spans="2:26">
      <c r="B42" s="102" t="s">
        <v>352</v>
      </c>
      <c r="C42" s="103">
        <v>0</v>
      </c>
      <c r="D42" s="103">
        <v>0</v>
      </c>
      <c r="E42" s="103">
        <v>0</v>
      </c>
      <c r="F42" s="103">
        <v>0</v>
      </c>
      <c r="G42" s="103">
        <v>0</v>
      </c>
      <c r="H42" s="103">
        <v>0</v>
      </c>
      <c r="J42" s="102" t="s">
        <v>352</v>
      </c>
      <c r="K42" s="103"/>
      <c r="L42" s="103">
        <v>0</v>
      </c>
      <c r="M42" s="103">
        <v>0</v>
      </c>
      <c r="N42" s="103">
        <v>0</v>
      </c>
      <c r="O42" s="103">
        <v>0</v>
      </c>
      <c r="P42" s="103">
        <v>0</v>
      </c>
      <c r="Q42" s="103">
        <v>0</v>
      </c>
      <c r="R42" s="103">
        <v>0</v>
      </c>
      <c r="S42" s="103">
        <v>0</v>
      </c>
      <c r="T42" s="103">
        <v>0</v>
      </c>
      <c r="U42" s="103">
        <v>0</v>
      </c>
      <c r="V42" s="103">
        <v>0</v>
      </c>
      <c r="W42" s="103">
        <v>0</v>
      </c>
      <c r="X42" s="103">
        <v>0</v>
      </c>
      <c r="Z42" s="103">
        <f t="shared" si="2"/>
        <v>0</v>
      </c>
    </row>
    <row r="43" spans="2:26">
      <c r="B43" s="102" t="s">
        <v>86</v>
      </c>
      <c r="C43" s="103">
        <f t="shared" ref="C43:H43" si="22">SUM(C44:C44)</f>
        <v>0</v>
      </c>
      <c r="D43" s="103">
        <f t="shared" si="22"/>
        <v>18474854.843480278</v>
      </c>
      <c r="E43" s="103">
        <f t="shared" si="22"/>
        <v>16092261.68461073</v>
      </c>
      <c r="F43" s="103">
        <f t="shared" si="22"/>
        <v>12967967.275385091</v>
      </c>
      <c r="G43" s="103">
        <f t="shared" si="22"/>
        <v>8871080.0165675059</v>
      </c>
      <c r="H43" s="103">
        <f t="shared" si="22"/>
        <v>3498831.7540800017</v>
      </c>
      <c r="J43" s="102" t="s">
        <v>86</v>
      </c>
      <c r="K43" s="103"/>
      <c r="L43" s="103">
        <f t="shared" ref="L43:X43" si="23">SUM(L44:L44)</f>
        <v>1615783.0624252737</v>
      </c>
      <c r="M43" s="103">
        <f t="shared" si="23"/>
        <v>1602955.1603374181</v>
      </c>
      <c r="N43" s="103">
        <f t="shared" si="23"/>
        <v>1589834.2447495516</v>
      </c>
      <c r="O43" s="103">
        <f t="shared" si="23"/>
        <v>1576413.6226801868</v>
      </c>
      <c r="P43" s="103">
        <f t="shared" si="23"/>
        <v>1562686.4482675055</v>
      </c>
      <c r="Q43" s="103">
        <f t="shared" si="23"/>
        <v>1548645.7192772808</v>
      </c>
      <c r="R43" s="103">
        <f t="shared" si="23"/>
        <v>1534284.2735310383</v>
      </c>
      <c r="S43" s="103">
        <f t="shared" si="23"/>
        <v>1519594.7852526261</v>
      </c>
      <c r="T43" s="103">
        <f t="shared" si="23"/>
        <v>1504569.7613313354</v>
      </c>
      <c r="U43" s="103">
        <f t="shared" si="23"/>
        <v>1489201.5374996637</v>
      </c>
      <c r="V43" s="103">
        <f t="shared" si="23"/>
        <v>1473482.2744237701</v>
      </c>
      <c r="W43" s="103">
        <f t="shared" si="23"/>
        <v>1457403.9537046298</v>
      </c>
      <c r="X43" s="103">
        <f t="shared" si="23"/>
        <v>18474854.843480278</v>
      </c>
      <c r="Z43" s="103">
        <f t="shared" si="2"/>
        <v>0</v>
      </c>
    </row>
    <row r="44" spans="2:26" outlineLevel="1">
      <c r="B44" s="110" t="s">
        <v>366</v>
      </c>
      <c r="C44" s="111"/>
      <c r="D44" s="111">
        <f>EGRESOS!D279</f>
        <v>18474854.843480278</v>
      </c>
      <c r="E44" s="111">
        <f>EGRESOS!E279</f>
        <v>16092261.68461073</v>
      </c>
      <c r="F44" s="108">
        <f>EGRESOS!F279</f>
        <v>12967967.275385091</v>
      </c>
      <c r="G44" s="108">
        <f>EGRESOS!G279</f>
        <v>8871080.0165675059</v>
      </c>
      <c r="H44" s="108">
        <f>EGRESOS!H279</f>
        <v>3498831.7540800017</v>
      </c>
      <c r="J44" s="110" t="s">
        <v>366</v>
      </c>
      <c r="K44" s="111"/>
      <c r="L44" s="111">
        <f>EGRESOS!M279</f>
        <v>1615783.0624252737</v>
      </c>
      <c r="M44" s="111">
        <f>EGRESOS!N279</f>
        <v>1602955.1603374181</v>
      </c>
      <c r="N44" s="111">
        <f>EGRESOS!O279</f>
        <v>1589834.2447495516</v>
      </c>
      <c r="O44" s="111">
        <f>EGRESOS!P279</f>
        <v>1576413.6226801868</v>
      </c>
      <c r="P44" s="111">
        <f>EGRESOS!Q279</f>
        <v>1562686.4482675055</v>
      </c>
      <c r="Q44" s="111">
        <f>EGRESOS!R279</f>
        <v>1548645.7192772808</v>
      </c>
      <c r="R44" s="111">
        <f>EGRESOS!S279</f>
        <v>1534284.2735310383</v>
      </c>
      <c r="S44" s="111">
        <f>EGRESOS!T279</f>
        <v>1519594.7852526261</v>
      </c>
      <c r="T44" s="111">
        <f>EGRESOS!U279</f>
        <v>1504569.7613313354</v>
      </c>
      <c r="U44" s="111">
        <f>EGRESOS!V279</f>
        <v>1489201.5374996637</v>
      </c>
      <c r="V44" s="111">
        <f>EGRESOS!W279</f>
        <v>1473482.2744237701</v>
      </c>
      <c r="W44" s="111">
        <f>EGRESOS!X279</f>
        <v>1457403.9537046298</v>
      </c>
      <c r="X44" s="111">
        <f t="shared" ref="X44" si="24">SUM(L44:W44)</f>
        <v>18474854.843480278</v>
      </c>
      <c r="Z44" s="111">
        <f t="shared" si="2"/>
        <v>0</v>
      </c>
    </row>
    <row r="45" spans="2:26">
      <c r="B45" s="100" t="s">
        <v>4</v>
      </c>
      <c r="C45" s="101">
        <f>C40+C41</f>
        <v>0</v>
      </c>
      <c r="D45" s="101">
        <f>D40+D41</f>
        <v>14100125.501623761</v>
      </c>
      <c r="E45" s="101">
        <f t="shared" ref="E45:H45" si="25">E40+E41</f>
        <v>410875107.31050479</v>
      </c>
      <c r="F45" s="101">
        <f t="shared" si="25"/>
        <v>654849400.28133559</v>
      </c>
      <c r="G45" s="101">
        <f t="shared" si="25"/>
        <v>920884128.82571602</v>
      </c>
      <c r="H45" s="101">
        <f t="shared" si="25"/>
        <v>1225431529.1997209</v>
      </c>
      <c r="J45" s="100" t="s">
        <v>4</v>
      </c>
      <c r="K45" s="101"/>
      <c r="L45" s="101">
        <f>L40+L41</f>
        <v>-21159520.182207141</v>
      </c>
      <c r="M45" s="101">
        <f t="shared" ref="M45:X45" si="26">M40+M41</f>
        <v>-17099725.222808883</v>
      </c>
      <c r="N45" s="101">
        <f t="shared" si="26"/>
        <v>-13039637.249910625</v>
      </c>
      <c r="O45" s="101">
        <f t="shared" si="26"/>
        <v>-8979249.5705308467</v>
      </c>
      <c r="P45" s="101">
        <f t="shared" si="26"/>
        <v>-4918555.3388077701</v>
      </c>
      <c r="Q45" s="101">
        <f t="shared" si="26"/>
        <v>-857547.5525071132</v>
      </c>
      <c r="R45" s="101">
        <f t="shared" si="26"/>
        <v>3203780.9505495317</v>
      </c>
      <c r="S45" s="101">
        <f t="shared" si="26"/>
        <v>7265437.4961383538</v>
      </c>
      <c r="T45" s="101">
        <f t="shared" si="26"/>
        <v>11327429.577370048</v>
      </c>
      <c r="U45" s="101">
        <f t="shared" si="26"/>
        <v>15389764.858512098</v>
      </c>
      <c r="V45" s="101">
        <f t="shared" si="26"/>
        <v>19452451.178898372</v>
      </c>
      <c r="W45" s="101">
        <f t="shared" si="26"/>
        <v>23515496.55692796</v>
      </c>
      <c r="X45" s="101">
        <f t="shared" si="26"/>
        <v>14100125.501623761</v>
      </c>
      <c r="Z45" s="101">
        <f t="shared" si="2"/>
        <v>0</v>
      </c>
    </row>
    <row r="46" spans="2:26" hidden="1" outlineLevel="1">
      <c r="B46" s="102" t="s">
        <v>350</v>
      </c>
      <c r="C46" s="103"/>
      <c r="D46" s="103">
        <f>D45*DATOS!$B$26</f>
        <v>4653041.4155358411</v>
      </c>
      <c r="E46" s="103">
        <f>E45*DATOS!$B$26</f>
        <v>135588785.41246659</v>
      </c>
      <c r="F46" s="103">
        <f>F45*DATOS!$B$26</f>
        <v>216100302.09284076</v>
      </c>
      <c r="G46" s="103">
        <f>G45*DATOS!$B$26</f>
        <v>303891762.51248628</v>
      </c>
      <c r="H46" s="103">
        <f>H45*DATOS!$B$26</f>
        <v>404392404.63590789</v>
      </c>
      <c r="J46" s="102" t="s">
        <v>350</v>
      </c>
      <c r="K46" s="103"/>
      <c r="L46" s="103">
        <f>L45*DATOS!$B$26</f>
        <v>-6982641.6601283569</v>
      </c>
      <c r="M46" s="103">
        <f>M45*DATOS!$B$26</f>
        <v>-5642909.3235269319</v>
      </c>
      <c r="N46" s="103">
        <f>N45*DATOS!$B$26</f>
        <v>-4303080.2924705064</v>
      </c>
      <c r="O46" s="103">
        <f>O45*DATOS!$B$26</f>
        <v>-2963152.3582751798</v>
      </c>
      <c r="P46" s="103">
        <f>P45*DATOS!$B$26</f>
        <v>-1623123.2618065642</v>
      </c>
      <c r="Q46" s="103">
        <f>Q45*DATOS!$B$26</f>
        <v>-282990.69232734735</v>
      </c>
      <c r="R46" s="103">
        <f>R45*DATOS!$B$26</f>
        <v>1057247.7136813456</v>
      </c>
      <c r="S46" s="103">
        <f>S45*DATOS!$B$26</f>
        <v>2397594.3737256569</v>
      </c>
      <c r="T46" s="103">
        <f>T45*DATOS!$B$26</f>
        <v>3738051.7605321161</v>
      </c>
      <c r="U46" s="103">
        <f>U45*DATOS!$B$26</f>
        <v>5078622.4033089923</v>
      </c>
      <c r="V46" s="103">
        <f>V45*DATOS!$B$26</f>
        <v>6419308.8890364626</v>
      </c>
      <c r="W46" s="103">
        <f>W45*DATOS!$B$26</f>
        <v>7760113.8637862271</v>
      </c>
      <c r="X46" s="103">
        <f>X45*DATOS!$B$26</f>
        <v>4653041.4155358411</v>
      </c>
      <c r="Z46" s="103">
        <f t="shared" si="2"/>
        <v>0</v>
      </c>
    </row>
    <row r="47" spans="2:26" collapsed="1">
      <c r="B47" s="102" t="s">
        <v>559</v>
      </c>
      <c r="C47" s="103"/>
      <c r="D47" s="103">
        <f>D45*DATOS!$B$27</f>
        <v>3525031.3754059402</v>
      </c>
      <c r="E47" s="103">
        <f>E45*DATOS!$B$27</f>
        <v>102718776.8276262</v>
      </c>
      <c r="F47" s="103">
        <f>F45*DATOS!$B$27</f>
        <v>163712350.0703339</v>
      </c>
      <c r="G47" s="103">
        <f>G45*DATOS!$B$27</f>
        <v>230221032.206429</v>
      </c>
      <c r="H47" s="103">
        <f>H45*DATOS!$B$27</f>
        <v>306357882.29993021</v>
      </c>
      <c r="J47" s="102" t="s">
        <v>559</v>
      </c>
      <c r="K47" s="103"/>
      <c r="L47" s="103">
        <f>L45*DATOS!$B$27</f>
        <v>-5289880.0455517853</v>
      </c>
      <c r="M47" s="103">
        <f>M45*DATOS!$B$27</f>
        <v>-4274931.3057022206</v>
      </c>
      <c r="N47" s="103">
        <f>N45*DATOS!$B$27</f>
        <v>-3259909.3124776562</v>
      </c>
      <c r="O47" s="103">
        <f>O45*DATOS!$B$27</f>
        <v>-2244812.3926327117</v>
      </c>
      <c r="P47" s="103">
        <f>P45*DATOS!$B$27</f>
        <v>-1229638.8347019425</v>
      </c>
      <c r="Q47" s="103">
        <f>Q45*DATOS!$B$27</f>
        <v>-214386.8881267783</v>
      </c>
      <c r="R47" s="103">
        <f>R45*DATOS!$B$27</f>
        <v>800945.23763738293</v>
      </c>
      <c r="S47" s="103">
        <f>S45*DATOS!$B$27</f>
        <v>1816359.3740345885</v>
      </c>
      <c r="T47" s="103">
        <f>T45*DATOS!$B$27</f>
        <v>2831857.3943425119</v>
      </c>
      <c r="U47" s="103">
        <f>U45*DATOS!$B$27</f>
        <v>3847441.2146280245</v>
      </c>
      <c r="V47" s="103">
        <f>V45*DATOS!$B$27</f>
        <v>4863112.7947245929</v>
      </c>
      <c r="W47" s="103">
        <f>W45*DATOS!$B$27</f>
        <v>5878874.1392319901</v>
      </c>
      <c r="X47" s="103">
        <f>X45*DATOS!$B$27</f>
        <v>3525031.3754059402</v>
      </c>
      <c r="Z47" s="103"/>
    </row>
    <row r="48" spans="2:26">
      <c r="B48" s="102" t="s">
        <v>560</v>
      </c>
      <c r="C48" s="103"/>
      <c r="D48" s="103">
        <f>D45*DATOS!$B$28</f>
        <v>1128010.0401299009</v>
      </c>
      <c r="E48" s="103">
        <f>E45*DATOS!$B$28</f>
        <v>32870008.584840383</v>
      </c>
      <c r="F48" s="103">
        <f>F45*DATOS!$B$28</f>
        <v>52387952.022506848</v>
      </c>
      <c r="G48" s="103">
        <f>G45*DATOS!$B$28</f>
        <v>73670730.306057289</v>
      </c>
      <c r="H48" s="103">
        <f>H45*DATOS!$B$28</f>
        <v>98034522.335977674</v>
      </c>
      <c r="J48" s="102" t="s">
        <v>560</v>
      </c>
      <c r="K48" s="103"/>
      <c r="L48" s="103">
        <f>L45*DATOS!$B$28</f>
        <v>-1692761.6145765714</v>
      </c>
      <c r="M48" s="103">
        <f>M45*DATOS!$B$28</f>
        <v>-1367978.0178247106</v>
      </c>
      <c r="N48" s="103">
        <f>N45*DATOS!$B$28</f>
        <v>-1043170.97999285</v>
      </c>
      <c r="O48" s="103">
        <f>O45*DATOS!$B$28</f>
        <v>-718339.96564246772</v>
      </c>
      <c r="P48" s="103">
        <f>P45*DATOS!$B$28</f>
        <v>-393484.4271046216</v>
      </c>
      <c r="Q48" s="103">
        <f>Q45*DATOS!$B$28</f>
        <v>-68603.804200569051</v>
      </c>
      <c r="R48" s="103">
        <f>R45*DATOS!$B$28</f>
        <v>256302.47604396255</v>
      </c>
      <c r="S48" s="103">
        <f>S45*DATOS!$B$28</f>
        <v>581234.99969106831</v>
      </c>
      <c r="T48" s="103">
        <f>T45*DATOS!$B$28</f>
        <v>906194.36618960381</v>
      </c>
      <c r="U48" s="103">
        <f>U45*DATOS!$B$28</f>
        <v>1231181.1886809678</v>
      </c>
      <c r="V48" s="103">
        <f>V45*DATOS!$B$28</f>
        <v>1556196.0943118697</v>
      </c>
      <c r="W48" s="103">
        <f>W45*DATOS!$B$28</f>
        <v>1881239.724554237</v>
      </c>
      <c r="X48" s="103">
        <f>X45*DATOS!$B$28</f>
        <v>1128010.0401299009</v>
      </c>
      <c r="Z48" s="103"/>
    </row>
    <row r="49" spans="2:26">
      <c r="B49" s="112" t="s">
        <v>5</v>
      </c>
      <c r="C49" s="113">
        <f t="shared" ref="C49:H49" si="27">C45-C46</f>
        <v>0</v>
      </c>
      <c r="D49" s="113">
        <f t="shared" si="27"/>
        <v>9447084.0860879198</v>
      </c>
      <c r="E49" s="113">
        <f t="shared" si="27"/>
        <v>275286321.89803821</v>
      </c>
      <c r="F49" s="113">
        <f t="shared" si="27"/>
        <v>438749098.1884948</v>
      </c>
      <c r="G49" s="113">
        <f t="shared" si="27"/>
        <v>616992366.3132298</v>
      </c>
      <c r="H49" s="113">
        <f t="shared" si="27"/>
        <v>821039124.56381297</v>
      </c>
      <c r="J49" s="112" t="s">
        <v>5</v>
      </c>
      <c r="K49" s="113"/>
      <c r="L49" s="113">
        <f t="shared" ref="L49:X49" si="28">L45-L46</f>
        <v>-14176878.522078784</v>
      </c>
      <c r="M49" s="113">
        <f t="shared" si="28"/>
        <v>-11456815.899281951</v>
      </c>
      <c r="N49" s="113">
        <f t="shared" si="28"/>
        <v>-8736556.9574401192</v>
      </c>
      <c r="O49" s="113">
        <f t="shared" si="28"/>
        <v>-6016097.212255667</v>
      </c>
      <c r="P49" s="113">
        <f t="shared" si="28"/>
        <v>-3295432.0770012056</v>
      </c>
      <c r="Q49" s="113">
        <f t="shared" si="28"/>
        <v>-574556.86017976585</v>
      </c>
      <c r="R49" s="113">
        <f t="shared" si="28"/>
        <v>2146533.2368681859</v>
      </c>
      <c r="S49" s="113">
        <f t="shared" si="28"/>
        <v>4867843.1224126965</v>
      </c>
      <c r="T49" s="113">
        <f t="shared" si="28"/>
        <v>7589377.8168379311</v>
      </c>
      <c r="U49" s="113">
        <f t="shared" si="28"/>
        <v>10311142.455203105</v>
      </c>
      <c r="V49" s="113">
        <f t="shared" si="28"/>
        <v>13033142.28986191</v>
      </c>
      <c r="W49" s="113">
        <f t="shared" si="28"/>
        <v>15755382.693141732</v>
      </c>
      <c r="X49" s="113">
        <f t="shared" si="28"/>
        <v>9447084.0860879198</v>
      </c>
      <c r="Z49" s="113">
        <f t="shared" si="2"/>
        <v>0</v>
      </c>
    </row>
    <row r="50" spans="2:26">
      <c r="B50" s="75"/>
      <c r="C50" s="75"/>
      <c r="D50" s="75"/>
      <c r="E50" s="75"/>
      <c r="F50" s="75"/>
      <c r="G50" s="75"/>
      <c r="H50" s="75"/>
      <c r="I50" s="75"/>
      <c r="J50" s="75"/>
    </row>
    <row r="51" spans="2:26">
      <c r="B51" s="80"/>
      <c r="C51" s="81"/>
      <c r="D51" s="81"/>
      <c r="E51" s="81"/>
      <c r="F51" s="81"/>
      <c r="G51" s="81"/>
      <c r="H51" s="81"/>
      <c r="I51" s="75"/>
      <c r="J51" s="75"/>
    </row>
    <row r="52" spans="2:26">
      <c r="B52" s="75"/>
      <c r="C52" s="79"/>
      <c r="D52" s="79"/>
      <c r="E52" s="79"/>
      <c r="F52" s="79"/>
      <c r="G52" s="79"/>
      <c r="H52" s="79"/>
      <c r="I52" s="75"/>
    </row>
    <row r="53" spans="2:26">
      <c r="B53" s="75"/>
      <c r="C53" s="79"/>
      <c r="D53" s="79"/>
      <c r="E53" s="79"/>
      <c r="F53" s="79"/>
      <c r="G53" s="79"/>
      <c r="H53" s="79"/>
      <c r="I53" s="75"/>
    </row>
  </sheetData>
  <sheetProtection sheet="1" formatCells="0" formatColumns="0" formatRows="0" insertColumns="0" insertRows="0" insertHyperlinks="0" deleteColumns="0" deleteRows="0" sort="0" autoFilter="0" pivotTables="0"/>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sheetPr>
    <tabColor theme="3"/>
  </sheetPr>
  <dimension ref="B1:X66"/>
  <sheetViews>
    <sheetView topLeftCell="A3" zoomScale="90" zoomScaleNormal="90" workbookViewId="0">
      <selection activeCell="B6" sqref="B6"/>
    </sheetView>
  </sheetViews>
  <sheetFormatPr baseColWidth="10" defaultRowHeight="15" outlineLevelRow="2"/>
  <cols>
    <col min="1" max="1" width="2.140625" customWidth="1"/>
    <col min="2" max="2" width="83.42578125" customWidth="1"/>
    <col min="3" max="3" width="18.42578125" bestFit="1" customWidth="1"/>
    <col min="4" max="4" width="19.85546875" bestFit="1" customWidth="1"/>
    <col min="5" max="5" width="20.140625" bestFit="1" customWidth="1"/>
    <col min="6" max="6" width="19.42578125" bestFit="1" customWidth="1"/>
    <col min="7" max="8" width="20.42578125" bestFit="1" customWidth="1"/>
    <col min="9" max="9" width="12.85546875" bestFit="1" customWidth="1"/>
    <col min="10" max="10" width="81.5703125" style="22" hidden="1" customWidth="1"/>
    <col min="11" max="11" width="12.28515625" hidden="1" customWidth="1"/>
    <col min="12" max="12" width="15" hidden="1" customWidth="1"/>
    <col min="13" max="13" width="13.42578125" hidden="1" customWidth="1"/>
    <col min="14" max="14" width="12.140625" hidden="1" customWidth="1"/>
    <col min="15" max="18" width="12.28515625" hidden="1" customWidth="1"/>
    <col min="19" max="19" width="13.42578125" hidden="1" customWidth="1"/>
    <col min="20" max="20" width="16.7109375" hidden="1" customWidth="1"/>
    <col min="21" max="21" width="13.5703125" hidden="1" customWidth="1"/>
    <col min="22" max="22" width="16.42578125" hidden="1" customWidth="1"/>
    <col min="23" max="23" width="15.7109375" hidden="1" customWidth="1"/>
    <col min="24" max="24" width="12.28515625" hidden="1" customWidth="1"/>
  </cols>
  <sheetData>
    <row r="1" spans="2:24">
      <c r="C1" s="27"/>
      <c r="D1" s="39"/>
      <c r="E1" s="39"/>
      <c r="F1" s="39"/>
      <c r="G1" s="39"/>
      <c r="H1" s="39"/>
    </row>
    <row r="2" spans="2:24">
      <c r="B2" s="98" t="s">
        <v>544</v>
      </c>
      <c r="C2" s="99" t="s">
        <v>60</v>
      </c>
      <c r="D2" s="99" t="s">
        <v>6</v>
      </c>
      <c r="E2" s="99" t="s">
        <v>12</v>
      </c>
      <c r="F2" s="99" t="s">
        <v>13</v>
      </c>
      <c r="G2" s="99" t="s">
        <v>14</v>
      </c>
      <c r="H2" s="99" t="s">
        <v>15</v>
      </c>
      <c r="I2" s="40"/>
      <c r="J2" s="206"/>
      <c r="K2" s="99" t="s">
        <v>130</v>
      </c>
      <c r="L2" s="99" t="s">
        <v>131</v>
      </c>
      <c r="M2" s="99" t="s">
        <v>132</v>
      </c>
      <c r="N2" s="99" t="s">
        <v>133</v>
      </c>
      <c r="O2" s="99" t="s">
        <v>134</v>
      </c>
      <c r="P2" s="99" t="s">
        <v>135</v>
      </c>
      <c r="Q2" s="99" t="s">
        <v>136</v>
      </c>
      <c r="R2" s="99" t="s">
        <v>137</v>
      </c>
      <c r="S2" s="99" t="s">
        <v>138</v>
      </c>
      <c r="T2" s="99" t="s">
        <v>139</v>
      </c>
      <c r="U2" s="99" t="s">
        <v>140</v>
      </c>
      <c r="V2" s="99" t="s">
        <v>141</v>
      </c>
      <c r="W2" s="99" t="s">
        <v>142</v>
      </c>
      <c r="X2" s="99" t="s">
        <v>143</v>
      </c>
    </row>
    <row r="3" spans="2:24" ht="7.5" customHeight="1">
      <c r="B3" s="62"/>
      <c r="C3" s="82"/>
      <c r="D3" s="82"/>
      <c r="E3" s="82"/>
      <c r="F3" s="82"/>
      <c r="G3" s="82"/>
      <c r="H3" s="82"/>
      <c r="I3" s="40"/>
      <c r="J3" s="206"/>
      <c r="K3" s="28"/>
    </row>
    <row r="4" spans="2:24">
      <c r="B4" s="83" t="s">
        <v>109</v>
      </c>
      <c r="C4" s="83"/>
      <c r="D4" s="84"/>
      <c r="E4" s="85"/>
      <c r="F4" s="85"/>
      <c r="G4" s="85"/>
      <c r="H4" s="85"/>
      <c r="J4" s="440" t="s">
        <v>109</v>
      </c>
      <c r="K4" s="85"/>
      <c r="L4" s="85"/>
      <c r="M4" s="85"/>
      <c r="N4" s="85"/>
      <c r="O4" s="85"/>
      <c r="P4" s="85"/>
      <c r="Q4" s="85"/>
      <c r="R4" s="85"/>
      <c r="S4" s="85"/>
      <c r="T4" s="85"/>
      <c r="U4" s="85"/>
      <c r="V4" s="85"/>
      <c r="W4" s="85"/>
      <c r="X4" s="85"/>
    </row>
    <row r="5" spans="2:24">
      <c r="B5" s="86" t="s">
        <v>110</v>
      </c>
      <c r="C5" s="87">
        <f t="shared" ref="C5:H5" si="0">SUM(C6:C9)</f>
        <v>0</v>
      </c>
      <c r="D5" s="87">
        <f t="shared" si="0"/>
        <v>1072925058.4615383</v>
      </c>
      <c r="E5" s="87">
        <f t="shared" si="0"/>
        <v>1958567187.5965271</v>
      </c>
      <c r="F5" s="87">
        <f t="shared" si="0"/>
        <v>2381835718.8199282</v>
      </c>
      <c r="G5" s="87">
        <f t="shared" si="0"/>
        <v>2758898050.3154306</v>
      </c>
      <c r="H5" s="87">
        <f t="shared" si="0"/>
        <v>3232446739.9046245</v>
      </c>
      <c r="J5" s="441" t="s">
        <v>110</v>
      </c>
      <c r="K5" s="87"/>
      <c r="L5" s="87">
        <f t="shared" ref="L5:W5" si="1">SUM(L6:L9)</f>
        <v>18435138.46153846</v>
      </c>
      <c r="M5" s="87">
        <f t="shared" si="1"/>
        <v>49774873.84615384</v>
      </c>
      <c r="N5" s="87">
        <f t="shared" si="1"/>
        <v>58992443.076923065</v>
      </c>
      <c r="O5" s="87">
        <f t="shared" si="1"/>
        <v>68210012.307692289</v>
      </c>
      <c r="P5" s="87">
        <f t="shared" si="1"/>
        <v>77427581.538461536</v>
      </c>
      <c r="Q5" s="87">
        <f t="shared" si="1"/>
        <v>86645150.769230753</v>
      </c>
      <c r="R5" s="87">
        <f t="shared" si="1"/>
        <v>95862720</v>
      </c>
      <c r="S5" s="87">
        <f t="shared" si="1"/>
        <v>105080289.23076922</v>
      </c>
      <c r="T5" s="87">
        <f t="shared" si="1"/>
        <v>114297858.46153845</v>
      </c>
      <c r="U5" s="87">
        <f t="shared" si="1"/>
        <v>123515427.69230767</v>
      </c>
      <c r="V5" s="87">
        <f t="shared" si="1"/>
        <v>132732996.9230769</v>
      </c>
      <c r="W5" s="87">
        <f t="shared" si="1"/>
        <v>141950566.15384614</v>
      </c>
      <c r="X5" s="87"/>
    </row>
    <row r="6" spans="2:24" outlineLevel="1">
      <c r="B6" s="88" t="s">
        <v>368</v>
      </c>
      <c r="C6" s="84"/>
      <c r="D6" s="84">
        <f>INGRESOS!D13</f>
        <v>464565489.23076916</v>
      </c>
      <c r="E6" s="84">
        <f>INGRESOS!E13</f>
        <v>745391294.01759446</v>
      </c>
      <c r="F6" s="84">
        <f>INGRESOS!F13</f>
        <v>796155272.85599411</v>
      </c>
      <c r="G6" s="84">
        <f>INGRESOS!G13</f>
        <v>847451529.19894218</v>
      </c>
      <c r="H6" s="84">
        <f>INGRESOS!H13</f>
        <v>901465195.47161877</v>
      </c>
      <c r="J6" s="442" t="s">
        <v>368</v>
      </c>
      <c r="K6" s="84"/>
      <c r="L6" s="84">
        <f>INGRESOS!M13</f>
        <v>18435138.46153846</v>
      </c>
      <c r="M6" s="84">
        <f>INGRESOS!N13</f>
        <v>22122166.153846152</v>
      </c>
      <c r="N6" s="84">
        <f>INGRESOS!O13</f>
        <v>25809193.84615384</v>
      </c>
      <c r="O6" s="84">
        <f>INGRESOS!P13</f>
        <v>29496221.538461536</v>
      </c>
      <c r="P6" s="84">
        <f>INGRESOS!Q13</f>
        <v>33183249.230769232</v>
      </c>
      <c r="Q6" s="84">
        <f>INGRESOS!R13</f>
        <v>36870276.92307692</v>
      </c>
      <c r="R6" s="84">
        <f>INGRESOS!S13</f>
        <v>40557304.615384616</v>
      </c>
      <c r="S6" s="84">
        <f>INGRESOS!T13</f>
        <v>44244332.307692304</v>
      </c>
      <c r="T6" s="84">
        <f>INGRESOS!U13</f>
        <v>47931360</v>
      </c>
      <c r="U6" s="84">
        <f>INGRESOS!V13</f>
        <v>51618387.692307681</v>
      </c>
      <c r="V6" s="84">
        <f>INGRESOS!W13</f>
        <v>55305415.384615377</v>
      </c>
      <c r="W6" s="84">
        <f>INGRESOS!X13</f>
        <v>58992443.076923072</v>
      </c>
      <c r="X6" s="84"/>
    </row>
    <row r="7" spans="2:24" outlineLevel="1">
      <c r="B7" s="88" t="s">
        <v>505</v>
      </c>
      <c r="C7" s="84"/>
      <c r="D7" s="84">
        <f>INGRESOS!D12-INGRESOS!X12</f>
        <v>608359569.23076916</v>
      </c>
      <c r="E7" s="84">
        <f>INGRESOS!E12-INGRESOS!AK12+INGRESOS!X12</f>
        <v>1075032373.5789328</v>
      </c>
      <c r="F7" s="84">
        <f>INGRESOS!F12-INGRESOS!AX12+INGRESOS!AK12</f>
        <v>1208142906.8626955</v>
      </c>
      <c r="G7" s="84">
        <f>INGRESOS!G12-INGRESOS!BK12+INGRESOS!AX12</f>
        <v>1249533736.3862157</v>
      </c>
      <c r="H7" s="84">
        <f>INGRESOS!H12-INGRESOS!BX12+INGRESOS!BK12</f>
        <v>1352134227.5156817</v>
      </c>
      <c r="J7" s="442" t="s">
        <v>505</v>
      </c>
      <c r="K7" s="84"/>
      <c r="L7" s="84">
        <f>INGRESOS!L12</f>
        <v>0</v>
      </c>
      <c r="M7" s="84">
        <f>INGRESOS!M12</f>
        <v>27652707.692307692</v>
      </c>
      <c r="N7" s="84">
        <f>INGRESOS!N12</f>
        <v>33183249.230769224</v>
      </c>
      <c r="O7" s="84">
        <f>INGRESOS!O12</f>
        <v>38713790.769230761</v>
      </c>
      <c r="P7" s="84">
        <f>INGRESOS!P12</f>
        <v>44244332.307692304</v>
      </c>
      <c r="Q7" s="84">
        <f>INGRESOS!Q12</f>
        <v>49774873.84615384</v>
      </c>
      <c r="R7" s="84">
        <f>INGRESOS!R12</f>
        <v>55305415.384615384</v>
      </c>
      <c r="S7" s="84">
        <f>INGRESOS!S12</f>
        <v>60835956.92307692</v>
      </c>
      <c r="T7" s="84">
        <f>INGRESOS!T12</f>
        <v>66366498.461538449</v>
      </c>
      <c r="U7" s="84">
        <f>INGRESOS!U12</f>
        <v>71897039.999999985</v>
      </c>
      <c r="V7" s="84">
        <f>INGRESOS!V12</f>
        <v>77427581.538461521</v>
      </c>
      <c r="W7" s="84">
        <f>INGRESOS!W12</f>
        <v>82958123.076923057</v>
      </c>
      <c r="X7" s="84"/>
    </row>
    <row r="8" spans="2:24" outlineLevel="1">
      <c r="B8" s="88" t="s">
        <v>369</v>
      </c>
      <c r="C8" s="84"/>
      <c r="D8" s="84">
        <f>INGRESOS!D17</f>
        <v>0</v>
      </c>
      <c r="E8" s="84">
        <f>INGRESOS!E17</f>
        <v>59814720</v>
      </c>
      <c r="F8" s="84">
        <f>INGRESOS!F17</f>
        <v>157953838.13389367</v>
      </c>
      <c r="G8" s="84">
        <f>INGRESOS!G17</f>
        <v>271597723.21905333</v>
      </c>
      <c r="H8" s="84">
        <f>INGRESOS!H17</f>
        <v>400004464.28672016</v>
      </c>
      <c r="I8" s="6"/>
      <c r="J8" s="442" t="s">
        <v>369</v>
      </c>
      <c r="K8" s="84"/>
      <c r="L8" s="84">
        <f>INGRESOS!M17</f>
        <v>0</v>
      </c>
      <c r="M8" s="84">
        <f>INGRESOS!N17</f>
        <v>0</v>
      </c>
      <c r="N8" s="84">
        <f>INGRESOS!O17</f>
        <v>0</v>
      </c>
      <c r="O8" s="84">
        <f>INGRESOS!P17</f>
        <v>0</v>
      </c>
      <c r="P8" s="84">
        <f>INGRESOS!Q17</f>
        <v>0</v>
      </c>
      <c r="Q8" s="84">
        <f>INGRESOS!R17</f>
        <v>0</v>
      </c>
      <c r="R8" s="84">
        <f>INGRESOS!S17</f>
        <v>0</v>
      </c>
      <c r="S8" s="84">
        <f>INGRESOS!T17</f>
        <v>0</v>
      </c>
      <c r="T8" s="84">
        <f>INGRESOS!U17</f>
        <v>0</v>
      </c>
      <c r="U8" s="84">
        <f>INGRESOS!V17</f>
        <v>0</v>
      </c>
      <c r="V8" s="84">
        <f>INGRESOS!W17</f>
        <v>0</v>
      </c>
      <c r="W8" s="84">
        <f>INGRESOS!X17</f>
        <v>0</v>
      </c>
      <c r="X8" s="84"/>
    </row>
    <row r="9" spans="2:24" outlineLevel="1">
      <c r="B9" s="88" t="s">
        <v>506</v>
      </c>
      <c r="C9" s="84"/>
      <c r="D9" s="84">
        <f>INGRESOS!D16-INGRESOS!X16</f>
        <v>0</v>
      </c>
      <c r="E9" s="84">
        <f>INGRESOS!E16-INGRESOS!AK16+INGRESOS!X16</f>
        <v>78328800</v>
      </c>
      <c r="F9" s="84">
        <f>INGRESOS!F16-INGRESOS!AX16+INGRESOS!AK16</f>
        <v>219583700.96734536</v>
      </c>
      <c r="G9" s="84">
        <f>INGRESOS!G16-INGRESOS!BK16+INGRESOS!AX16</f>
        <v>390315061.51121962</v>
      </c>
      <c r="H9" s="84">
        <f>INGRESOS!H16-INGRESOS!BX16+INGRESOS!BK16</f>
        <v>578842852.63060391</v>
      </c>
      <c r="I9" s="6"/>
      <c r="J9" s="442" t="s">
        <v>506</v>
      </c>
      <c r="K9" s="84"/>
      <c r="L9" s="84">
        <f>INGRESOS!L16</f>
        <v>0</v>
      </c>
      <c r="M9" s="84">
        <f>INGRESOS!M16</f>
        <v>0</v>
      </c>
      <c r="N9" s="84">
        <f>INGRESOS!N16</f>
        <v>0</v>
      </c>
      <c r="O9" s="84">
        <f>INGRESOS!O16</f>
        <v>0</v>
      </c>
      <c r="P9" s="84">
        <f>INGRESOS!P16</f>
        <v>0</v>
      </c>
      <c r="Q9" s="84">
        <f>INGRESOS!Q16</f>
        <v>0</v>
      </c>
      <c r="R9" s="84">
        <f>INGRESOS!R16</f>
        <v>0</v>
      </c>
      <c r="S9" s="84">
        <f>INGRESOS!S16</f>
        <v>0</v>
      </c>
      <c r="T9" s="84">
        <f>INGRESOS!T16</f>
        <v>0</v>
      </c>
      <c r="U9" s="84">
        <f>INGRESOS!U16</f>
        <v>0</v>
      </c>
      <c r="V9" s="84">
        <f>INGRESOS!V16</f>
        <v>0</v>
      </c>
      <c r="W9" s="84">
        <f>INGRESOS!W16</f>
        <v>0</v>
      </c>
      <c r="X9" s="84"/>
    </row>
    <row r="10" spans="2:24">
      <c r="B10" s="86" t="s">
        <v>111</v>
      </c>
      <c r="C10" s="89">
        <f>C11+C12+C17+C22+C27+C28+C29+C30+C31+C32+C33+C34+C35+C36+C37+C38+C39</f>
        <v>0</v>
      </c>
      <c r="D10" s="89">
        <f t="shared" ref="D10:H10" si="2">D11+D12+D17+D22+D27+D28+D29+D30+D31+D32+D33+D34+D35+D36+D37+D38+D39</f>
        <v>993669350.99866033</v>
      </c>
      <c r="E10" s="89">
        <f t="shared" si="2"/>
        <v>1475562234.2477875</v>
      </c>
      <c r="F10" s="89">
        <f t="shared" si="2"/>
        <v>1762118631.914469</v>
      </c>
      <c r="G10" s="89">
        <f t="shared" si="2"/>
        <v>1970917843.6497333</v>
      </c>
      <c r="H10" s="89">
        <f t="shared" si="2"/>
        <v>2221930022.5828323</v>
      </c>
      <c r="I10" s="28"/>
      <c r="J10" s="441" t="s">
        <v>111</v>
      </c>
      <c r="K10" s="89"/>
      <c r="L10" s="89">
        <f t="shared" ref="L10:W10" si="3">L11+L12+L17+L22+L27+L28+L29+L30+L31+L32+L33+L34+L35+L36+L37+L38+L39</f>
        <v>14095981.263346961</v>
      </c>
      <c r="M10" s="89">
        <f t="shared" si="3"/>
        <v>16915177.516016353</v>
      </c>
      <c r="N10" s="89">
        <f t="shared" si="3"/>
        <v>19734373.768685747</v>
      </c>
      <c r="O10" s="89">
        <f t="shared" si="3"/>
        <v>22553570.021355137</v>
      </c>
      <c r="P10" s="89">
        <f t="shared" si="3"/>
        <v>25372766.274024535</v>
      </c>
      <c r="Q10" s="89">
        <f t="shared" si="3"/>
        <v>28191962.526693922</v>
      </c>
      <c r="R10" s="89">
        <f t="shared" si="3"/>
        <v>31011158.779363312</v>
      </c>
      <c r="S10" s="89">
        <f t="shared" si="3"/>
        <v>33830355.032032706</v>
      </c>
      <c r="T10" s="89">
        <f t="shared" si="3"/>
        <v>36649551.2847021</v>
      </c>
      <c r="U10" s="89">
        <f t="shared" si="3"/>
        <v>39468747.537371494</v>
      </c>
      <c r="V10" s="89">
        <f t="shared" si="3"/>
        <v>42287943.790040888</v>
      </c>
      <c r="W10" s="89">
        <f t="shared" si="3"/>
        <v>45107140.042710274</v>
      </c>
      <c r="X10" s="89"/>
    </row>
    <row r="11" spans="2:24" outlineLevel="1">
      <c r="B11" s="90" t="s">
        <v>410</v>
      </c>
      <c r="C11" s="137">
        <f>INGRESOS!C34</f>
        <v>0</v>
      </c>
      <c r="D11" s="137">
        <f>INGRESOS!D34</f>
        <v>2513942.2444758019</v>
      </c>
      <c r="E11" s="137">
        <f>INGRESOS!E34</f>
        <v>4033598.5046975436</v>
      </c>
      <c r="F11" s="137">
        <f>INGRESOS!F34</f>
        <v>4308301.8863689611</v>
      </c>
      <c r="G11" s="137">
        <f>INGRESOS!G34</f>
        <v>4585885.6259995624</v>
      </c>
      <c r="H11" s="137">
        <f>INGRESOS!H34</f>
        <v>4878174.3141815811</v>
      </c>
      <c r="I11" s="28"/>
      <c r="J11" s="443" t="s">
        <v>410</v>
      </c>
      <c r="K11" s="137"/>
      <c r="L11" s="137">
        <f>INGRESOS!M34</f>
        <v>99759.612876023879</v>
      </c>
      <c r="M11" s="137">
        <f>INGRESOS!N34</f>
        <v>119711.53545122864</v>
      </c>
      <c r="N11" s="137">
        <f>INGRESOS!O34</f>
        <v>139663.45802643342</v>
      </c>
      <c r="O11" s="137">
        <f>INGRESOS!P34</f>
        <v>159615.38060163823</v>
      </c>
      <c r="P11" s="137">
        <f>INGRESOS!Q34</f>
        <v>179567.30317684298</v>
      </c>
      <c r="Q11" s="137">
        <f>INGRESOS!R34</f>
        <v>199519.22575204776</v>
      </c>
      <c r="R11" s="137">
        <f>INGRESOS!S34</f>
        <v>219471.14832725257</v>
      </c>
      <c r="S11" s="137">
        <f>INGRESOS!T34</f>
        <v>239423.07090245729</v>
      </c>
      <c r="T11" s="137">
        <f>INGRESOS!U34</f>
        <v>259374.99347766206</v>
      </c>
      <c r="U11" s="137">
        <f>INGRESOS!V34</f>
        <v>279326.91605286684</v>
      </c>
      <c r="V11" s="137">
        <f>INGRESOS!W34</f>
        <v>299278.83862807159</v>
      </c>
      <c r="W11" s="137">
        <f>INGRESOS!X34</f>
        <v>319230.76120327646</v>
      </c>
      <c r="X11" s="137"/>
    </row>
    <row r="12" spans="2:24" ht="28.5" customHeight="1" outlineLevel="1">
      <c r="B12" s="138" t="s">
        <v>431</v>
      </c>
      <c r="C12" s="137">
        <f>SUM(C13:C16)</f>
        <v>0</v>
      </c>
      <c r="D12" s="137">
        <f t="shared" ref="D12:H12" si="4">SUM(D13:D16)</f>
        <v>0</v>
      </c>
      <c r="E12" s="137">
        <f t="shared" si="4"/>
        <v>45104392.797990516</v>
      </c>
      <c r="F12" s="137">
        <f t="shared" si="4"/>
        <v>69052415.745472774</v>
      </c>
      <c r="G12" s="137">
        <f t="shared" si="4"/>
        <v>65074205.631793216</v>
      </c>
      <c r="H12" s="137">
        <f t="shared" si="4"/>
        <v>79038550.89734602</v>
      </c>
      <c r="I12" s="28"/>
      <c r="J12" s="435" t="s">
        <v>431</v>
      </c>
      <c r="K12" s="137"/>
      <c r="L12" s="137">
        <f t="shared" ref="L12:W12" si="5">SUM(L13:L16)</f>
        <v>13996221.650470937</v>
      </c>
      <c r="M12" s="137">
        <f t="shared" si="5"/>
        <v>16795465.980565123</v>
      </c>
      <c r="N12" s="137">
        <f t="shared" si="5"/>
        <v>19594710.310659312</v>
      </c>
      <c r="O12" s="137">
        <f t="shared" si="5"/>
        <v>22393954.6407535</v>
      </c>
      <c r="P12" s="137">
        <f t="shared" si="5"/>
        <v>25193198.970847692</v>
      </c>
      <c r="Q12" s="137">
        <f t="shared" si="5"/>
        <v>27992443.300941873</v>
      </c>
      <c r="R12" s="137">
        <f t="shared" si="5"/>
        <v>30791687.631036058</v>
      </c>
      <c r="S12" s="137">
        <f t="shared" si="5"/>
        <v>33590931.961130247</v>
      </c>
      <c r="T12" s="137">
        <f t="shared" si="5"/>
        <v>36390176.291224435</v>
      </c>
      <c r="U12" s="137">
        <f t="shared" si="5"/>
        <v>39189420.621318623</v>
      </c>
      <c r="V12" s="137">
        <f t="shared" si="5"/>
        <v>41988664.951412819</v>
      </c>
      <c r="W12" s="137">
        <f t="shared" si="5"/>
        <v>44787909.281507</v>
      </c>
      <c r="X12" s="137"/>
    </row>
    <row r="13" spans="2:24" hidden="1" outlineLevel="2">
      <c r="B13" s="139" t="s">
        <v>370</v>
      </c>
      <c r="C13" s="140"/>
      <c r="D13" s="141">
        <v>0</v>
      </c>
      <c r="E13" s="141">
        <f>EGRESOS!X30</f>
        <v>44787909.281507</v>
      </c>
      <c r="F13" s="141">
        <f>EGRESOS!AK30</f>
        <v>66542649.467042387</v>
      </c>
      <c r="G13" s="141">
        <f>EGRESOS!AX30</f>
        <v>59527728.724738248</v>
      </c>
      <c r="H13" s="141">
        <f>EGRESOS!BK30</f>
        <v>70565845.012187704</v>
      </c>
      <c r="I13" s="75"/>
      <c r="J13" s="436" t="s">
        <v>370</v>
      </c>
      <c r="K13" s="141"/>
      <c r="L13" s="141">
        <f>EGRESOS!M30</f>
        <v>13996221.650470937</v>
      </c>
      <c r="M13" s="141">
        <f>EGRESOS!N30</f>
        <v>16795465.980565123</v>
      </c>
      <c r="N13" s="141">
        <f>EGRESOS!O30</f>
        <v>19594710.310659312</v>
      </c>
      <c r="O13" s="141">
        <f>EGRESOS!P30</f>
        <v>22393954.6407535</v>
      </c>
      <c r="P13" s="141">
        <f>EGRESOS!Q30</f>
        <v>25193198.970847692</v>
      </c>
      <c r="Q13" s="141">
        <f>EGRESOS!R30</f>
        <v>27992443.300941873</v>
      </c>
      <c r="R13" s="141">
        <f>EGRESOS!S30</f>
        <v>30791687.631036058</v>
      </c>
      <c r="S13" s="141">
        <f>EGRESOS!T30</f>
        <v>33590931.961130247</v>
      </c>
      <c r="T13" s="141">
        <f>EGRESOS!U30</f>
        <v>36390176.291224435</v>
      </c>
      <c r="U13" s="141">
        <f>EGRESOS!V30</f>
        <v>39189420.621318623</v>
      </c>
      <c r="V13" s="141">
        <f>EGRESOS!W30</f>
        <v>41988664.951412819</v>
      </c>
      <c r="W13" s="141">
        <f>EGRESOS!X30</f>
        <v>44787909.281507</v>
      </c>
      <c r="X13" s="141"/>
    </row>
    <row r="14" spans="2:24" hidden="1" outlineLevel="2">
      <c r="B14" s="139" t="s">
        <v>371</v>
      </c>
      <c r="C14" s="140"/>
      <c r="D14" s="141">
        <v>0</v>
      </c>
      <c r="E14" s="141">
        <f>EGRESOS!X72</f>
        <v>0</v>
      </c>
      <c r="F14" s="141">
        <f>EGRESOS!AK72</f>
        <v>1713295.0093008943</v>
      </c>
      <c r="G14" s="141">
        <f>EGRESOS!AX72</f>
        <v>4305870.6563840322</v>
      </c>
      <c r="H14" s="141">
        <f>EGRESOS!BK72</f>
        <v>6698477.1351479413</v>
      </c>
      <c r="I14" s="79"/>
      <c r="J14" s="436" t="s">
        <v>371</v>
      </c>
      <c r="K14" s="141"/>
      <c r="L14" s="141"/>
    </row>
    <row r="15" spans="2:24" hidden="1" outlineLevel="2">
      <c r="B15" s="139" t="s">
        <v>372</v>
      </c>
      <c r="C15" s="140"/>
      <c r="D15" s="141">
        <v>0</v>
      </c>
      <c r="E15" s="141">
        <f>EGRESOS!X103</f>
        <v>316483.51648351649</v>
      </c>
      <c r="F15" s="141">
        <f>EGRESOS!AK103</f>
        <v>470208.41198665061</v>
      </c>
      <c r="G15" s="141">
        <f>EGRESOS!AX103</f>
        <v>420639.07910211117</v>
      </c>
      <c r="H15" s="141">
        <f>EGRESOS!BK103</f>
        <v>498637.40307050408</v>
      </c>
      <c r="I15" s="28"/>
      <c r="J15" s="436" t="s">
        <v>372</v>
      </c>
      <c r="K15" s="141"/>
      <c r="L15" s="141"/>
    </row>
    <row r="16" spans="2:24" hidden="1" outlineLevel="2">
      <c r="B16" s="139" t="s">
        <v>373</v>
      </c>
      <c r="C16" s="140"/>
      <c r="D16" s="141">
        <v>0</v>
      </c>
      <c r="E16" s="141">
        <f>EGRESOS!X139</f>
        <v>0</v>
      </c>
      <c r="F16" s="141">
        <f>EGRESOS!AK139</f>
        <v>326262.8571428571</v>
      </c>
      <c r="G16" s="141">
        <f>EGRESOS!AX139</f>
        <v>819967.17156882829</v>
      </c>
      <c r="H16" s="141">
        <f>EGRESOS!BK139</f>
        <v>1275591.3469398597</v>
      </c>
      <c r="I16" s="28"/>
      <c r="J16" s="436" t="s">
        <v>373</v>
      </c>
      <c r="K16" s="141"/>
      <c r="L16" s="141"/>
    </row>
    <row r="17" spans="2:12" ht="28.5" customHeight="1" outlineLevel="1" collapsed="1">
      <c r="B17" s="142" t="s">
        <v>432</v>
      </c>
      <c r="C17" s="143">
        <f>SUM(C18:C21)</f>
        <v>0</v>
      </c>
      <c r="D17" s="143">
        <f t="shared" ref="D17:H17" si="6">SUM(D18:D21)</f>
        <v>236798062.18945023</v>
      </c>
      <c r="E17" s="143">
        <f t="shared" si="6"/>
        <v>390436837.54721087</v>
      </c>
      <c r="F17" s="143">
        <f t="shared" si="6"/>
        <v>433908515.28626537</v>
      </c>
      <c r="G17" s="143">
        <f t="shared" si="6"/>
        <v>479667327.72498906</v>
      </c>
      <c r="H17" s="143">
        <f t="shared" si="6"/>
        <v>527731783.95971978</v>
      </c>
      <c r="I17" s="28"/>
      <c r="J17" s="437" t="s">
        <v>432</v>
      </c>
      <c r="K17" s="143"/>
      <c r="L17" s="143">
        <f t="shared" ref="L17" si="7">SUM(L18:L21)</f>
        <v>0</v>
      </c>
    </row>
    <row r="18" spans="2:12" hidden="1" outlineLevel="2">
      <c r="B18" s="144" t="s">
        <v>374</v>
      </c>
      <c r="C18" s="141"/>
      <c r="D18" s="141">
        <f>EGRESOS!D31</f>
        <v>235136523.72791177</v>
      </c>
      <c r="E18" s="141">
        <f>EGRESOS!E31</f>
        <v>377064717.1714763</v>
      </c>
      <c r="F18" s="141">
        <f>EGRESOS!F31</f>
        <v>402890520.80542642</v>
      </c>
      <c r="G18" s="141">
        <f>EGRESOS!G31</f>
        <v>429368974.18849158</v>
      </c>
      <c r="H18" s="141">
        <f>EGRESOS!H31</f>
        <v>456486978.06096518</v>
      </c>
      <c r="I18" s="28"/>
      <c r="J18" s="438" t="s">
        <v>374</v>
      </c>
      <c r="K18" s="141"/>
      <c r="L18" s="141"/>
    </row>
    <row r="19" spans="2:12" hidden="1" outlineLevel="2">
      <c r="B19" s="144" t="s">
        <v>375</v>
      </c>
      <c r="C19" s="141"/>
      <c r="D19" s="141">
        <f>EGRESOS!D73</f>
        <v>0</v>
      </c>
      <c r="E19" s="141">
        <f>EGRESOS!E73</f>
        <v>8994798.7988296952</v>
      </c>
      <c r="F19" s="141">
        <f>EGRESOS!F73</f>
        <v>23664608.206334021</v>
      </c>
      <c r="G19" s="141">
        <f>EGRESOS!G73</f>
        <v>39703564.123623811</v>
      </c>
      <c r="H19" s="141">
        <f>EGRESOS!H73</f>
        <v>57138296.354711905</v>
      </c>
      <c r="I19" s="28"/>
      <c r="J19" s="438" t="s">
        <v>375</v>
      </c>
      <c r="K19" s="141"/>
      <c r="L19" s="141"/>
    </row>
    <row r="20" spans="2:12" hidden="1" outlineLevel="2">
      <c r="B20" s="144" t="s">
        <v>376</v>
      </c>
      <c r="C20" s="141"/>
      <c r="D20" s="141">
        <f>EGRESOS!D104</f>
        <v>1661538.4615384617</v>
      </c>
      <c r="E20" s="141">
        <f>EGRESOS!E104</f>
        <v>2664441.576904885</v>
      </c>
      <c r="F20" s="141">
        <f>EGRESOS!F104</f>
        <v>2846933.7110813763</v>
      </c>
      <c r="G20" s="141">
        <f>EGRESOS!G104</f>
        <v>3034037.6454277243</v>
      </c>
      <c r="H20" s="141">
        <f>EGRESOS!H104</f>
        <v>3225660.8170214426</v>
      </c>
      <c r="I20" s="28"/>
      <c r="J20" s="438" t="s">
        <v>376</v>
      </c>
      <c r="K20" s="141"/>
      <c r="L20" s="141"/>
    </row>
    <row r="21" spans="2:12" hidden="1" outlineLevel="2">
      <c r="B21" s="144" t="s">
        <v>377</v>
      </c>
      <c r="C21" s="141"/>
      <c r="D21" s="141">
        <f>EGRESOS!D140</f>
        <v>0</v>
      </c>
      <c r="E21" s="141">
        <f>EGRESOS!E140</f>
        <v>1712879.9999999998</v>
      </c>
      <c r="F21" s="141">
        <f>EGRESOS!F140</f>
        <v>4506452.5634235786</v>
      </c>
      <c r="G21" s="141">
        <f>EGRESOS!G140</f>
        <v>7560751.7674459936</v>
      </c>
      <c r="H21" s="141">
        <f>EGRESOS!H140</f>
        <v>10880848.727021307</v>
      </c>
      <c r="I21" s="28"/>
      <c r="J21" s="438" t="s">
        <v>377</v>
      </c>
      <c r="K21" s="141"/>
      <c r="L21" s="141"/>
    </row>
    <row r="22" spans="2:12" ht="30" outlineLevel="1" collapsed="1">
      <c r="B22" s="432" t="s">
        <v>507</v>
      </c>
      <c r="C22" s="84">
        <f>SUM(C23:C26)</f>
        <v>0</v>
      </c>
      <c r="D22" s="84">
        <f t="shared" ref="D22:H22" si="8">SUM(D23:D26)</f>
        <v>310092700.48618478</v>
      </c>
      <c r="E22" s="84">
        <f t="shared" si="8"/>
        <v>516602840.57534349</v>
      </c>
      <c r="F22" s="84">
        <f t="shared" si="8"/>
        <v>585788567.2976048</v>
      </c>
      <c r="G22" s="84">
        <f t="shared" si="8"/>
        <v>640462440.69013751</v>
      </c>
      <c r="H22" s="84">
        <f t="shared" si="8"/>
        <v>709148794.83815992</v>
      </c>
      <c r="I22" s="28"/>
      <c r="J22" s="439" t="s">
        <v>507</v>
      </c>
      <c r="K22" s="84"/>
      <c r="L22" s="84">
        <f t="shared" ref="L22" si="9">SUM(L23:L26)</f>
        <v>0</v>
      </c>
    </row>
    <row r="23" spans="2:12" hidden="1" outlineLevel="2">
      <c r="B23" s="144" t="s">
        <v>508</v>
      </c>
      <c r="C23" s="141"/>
      <c r="D23" s="141">
        <f>EGRESOS!D30-EGRESOS!X30</f>
        <v>307916876.31036061</v>
      </c>
      <c r="E23" s="141">
        <f>EGRESOS!E30-EGRESOS!AK30</f>
        <v>499054426.29017204</v>
      </c>
      <c r="F23" s="141">
        <f>EGRESOS!F30-EGRESOS!AX30</f>
        <v>544808052.4834013</v>
      </c>
      <c r="G23" s="141">
        <f>EGRESOS!G30-EGRESOS!BK30</f>
        <v>573487616.27054954</v>
      </c>
      <c r="H23" s="141">
        <f>EGRESOS!H30-EGRESOS!BX30</f>
        <v>614170828.09835172</v>
      </c>
      <c r="I23" s="28"/>
      <c r="J23" s="444" t="s">
        <v>508</v>
      </c>
      <c r="K23" s="141"/>
      <c r="L23" s="141"/>
    </row>
    <row r="24" spans="2:12" hidden="1" outlineLevel="2">
      <c r="B24" s="144" t="s">
        <v>509</v>
      </c>
      <c r="C24" s="141"/>
      <c r="D24" s="141">
        <f>EGRESOS!D72-EGRESOS!X72</f>
        <v>0</v>
      </c>
      <c r="E24" s="141">
        <f>EGRESOS!E72-EGRESOS!AK72</f>
        <v>11778903.188943645</v>
      </c>
      <c r="F24" s="141">
        <f>EGRESOS!F72-EGRESOS!AX72</f>
        <v>31191041.653116997</v>
      </c>
      <c r="G24" s="141">
        <f>EGRESOS!G72-EGRESOS!BK72</f>
        <v>52856869.050287761</v>
      </c>
      <c r="H24" s="141">
        <f>EGRESOS!H72-EGRESOS!BX72</f>
        <v>76138928.899660856</v>
      </c>
      <c r="I24" s="28"/>
      <c r="J24" s="444" t="s">
        <v>509</v>
      </c>
      <c r="K24" s="141"/>
      <c r="L24" s="141"/>
    </row>
    <row r="25" spans="2:12" hidden="1" outlineLevel="2">
      <c r="B25" s="144" t="s">
        <v>510</v>
      </c>
      <c r="C25" s="141"/>
      <c r="D25" s="141">
        <f>EGRESOS!D103-EGRESOS!X103</f>
        <v>2175824.1758241761</v>
      </c>
      <c r="E25" s="141">
        <f>EGRESOS!E103-EGRESOS!AK103</f>
        <v>3526453.9533706764</v>
      </c>
      <c r="F25" s="141">
        <f>EGRESOS!F103-EGRESOS!AX103</f>
        <v>3849761.4875199525</v>
      </c>
      <c r="G25" s="141">
        <f>EGRESOS!G103-EGRESOS!BK103</f>
        <v>4052419.0650710817</v>
      </c>
      <c r="H25" s="141">
        <f>EGRESOS!H103-EGRESOS!BX103</f>
        <v>4339897.6758760512</v>
      </c>
      <c r="I25" s="28"/>
      <c r="J25" s="444" t="s">
        <v>510</v>
      </c>
      <c r="K25" s="141"/>
      <c r="L25" s="141"/>
    </row>
    <row r="26" spans="2:12" hidden="1" outlineLevel="2">
      <c r="B26" s="144" t="s">
        <v>511</v>
      </c>
      <c r="C26" s="141"/>
      <c r="D26" s="141">
        <f>EGRESOS!D139-EGRESOS!X139</f>
        <v>0</v>
      </c>
      <c r="E26" s="141">
        <f>EGRESOS!E139-EGRESOS!AK139</f>
        <v>2243057.1428571423</v>
      </c>
      <c r="F26" s="141">
        <f>EGRESOS!F139-EGRESOS!AX139</f>
        <v>5939711.6735665388</v>
      </c>
      <c r="G26" s="141">
        <f>EGRESOS!G139-EGRESOS!BK139</f>
        <v>10065536.304229129</v>
      </c>
      <c r="H26" s="141">
        <f>EGRESOS!H139-EGRESOS!BX139</f>
        <v>14499140.164271317</v>
      </c>
      <c r="I26" s="28"/>
      <c r="J26" s="444" t="s">
        <v>511</v>
      </c>
      <c r="K26" s="141"/>
      <c r="L26" s="141"/>
    </row>
    <row r="27" spans="2:12" outlineLevel="1" collapsed="1">
      <c r="B27" s="88" t="s">
        <v>420</v>
      </c>
      <c r="C27" s="84">
        <f>EGRESOS!C164</f>
        <v>0</v>
      </c>
      <c r="D27" s="84">
        <f>EGRESOS!D164</f>
        <v>1661538.4615384613</v>
      </c>
      <c r="E27" s="84">
        <f>EGRESOS!E164</f>
        <v>2664441.5769048841</v>
      </c>
      <c r="F27" s="84">
        <f>EGRESOS!F164</f>
        <v>2846933.7110813763</v>
      </c>
      <c r="G27" s="84">
        <f>EGRESOS!G164</f>
        <v>3034037.6454277243</v>
      </c>
      <c r="H27" s="84">
        <f>EGRESOS!H164</f>
        <v>3225660.8170214421</v>
      </c>
      <c r="I27" s="28"/>
      <c r="J27" s="442" t="s">
        <v>420</v>
      </c>
      <c r="K27" s="84"/>
      <c r="L27" s="84"/>
    </row>
    <row r="28" spans="2:12" outlineLevel="1">
      <c r="B28" s="88" t="s">
        <v>512</v>
      </c>
      <c r="C28" s="84">
        <f>EGRESOS!C174</f>
        <v>0</v>
      </c>
      <c r="D28" s="84">
        <f>EGRESOS!D174</f>
        <v>290769.23076923081</v>
      </c>
      <c r="E28" s="84">
        <f>EGRESOS!E174</f>
        <v>279766.36557501287</v>
      </c>
      <c r="F28" s="84">
        <f>EGRESOS!F174</f>
        <v>298928.03966354451</v>
      </c>
      <c r="G28" s="84">
        <f>EGRESOS!G174</f>
        <v>318573.95276991115</v>
      </c>
      <c r="H28" s="84">
        <f>EGRESOS!H174</f>
        <v>338694.38578725135</v>
      </c>
      <c r="I28" s="28"/>
      <c r="J28" s="442" t="s">
        <v>512</v>
      </c>
      <c r="K28" s="84"/>
      <c r="L28" s="84"/>
    </row>
    <row r="29" spans="2:12" outlineLevel="1">
      <c r="B29" s="88" t="s">
        <v>561</v>
      </c>
      <c r="C29" s="84">
        <v>0</v>
      </c>
      <c r="D29" s="84">
        <v>0</v>
      </c>
      <c r="E29" s="84">
        <f>E.R!D46</f>
        <v>4653041.4155358411</v>
      </c>
      <c r="F29" s="84">
        <f>E.R!E46</f>
        <v>135588785.41246659</v>
      </c>
      <c r="G29" s="84">
        <f>E.R!F46</f>
        <v>216100302.09284076</v>
      </c>
      <c r="H29" s="84">
        <f>E.R!G46</f>
        <v>303891762.51248628</v>
      </c>
      <c r="I29" s="28"/>
      <c r="J29" s="442" t="s">
        <v>378</v>
      </c>
      <c r="K29" s="84"/>
      <c r="L29" s="84"/>
    </row>
    <row r="30" spans="2:12" outlineLevel="1">
      <c r="B30" s="88" t="s">
        <v>513</v>
      </c>
      <c r="C30" s="84"/>
      <c r="D30" s="84">
        <f>EGRESOS!D181</f>
        <v>3140000</v>
      </c>
      <c r="E30" s="84">
        <f>EGRESOS!E181</f>
        <v>3237025.9999999986</v>
      </c>
      <c r="F30" s="84">
        <f>EGRESOS!F181</f>
        <v>3332518.2670000005</v>
      </c>
      <c r="G30" s="84">
        <f>EGRESOS!G181</f>
        <v>3426495.2821293999</v>
      </c>
      <c r="H30" s="84">
        <f>EGRESOS!H181</f>
        <v>3519010.6547468924</v>
      </c>
      <c r="I30" s="28"/>
      <c r="J30" s="442" t="s">
        <v>513</v>
      </c>
      <c r="K30" s="84"/>
      <c r="L30" s="84"/>
    </row>
    <row r="31" spans="2:12" outlineLevel="1">
      <c r="B31" s="88" t="s">
        <v>379</v>
      </c>
      <c r="C31" s="84"/>
      <c r="D31" s="84">
        <f>EGRESOS!D188+EGRESOS!D202</f>
        <v>59785763.520000011</v>
      </c>
      <c r="E31" s="84">
        <f>EGRESOS!E188+EGRESOS!E202</f>
        <v>61633143.612767994</v>
      </c>
      <c r="F31" s="84">
        <f>EGRESOS!F188+EGRESOS!F202</f>
        <v>63451321.349344663</v>
      </c>
      <c r="G31" s="84">
        <f>EGRESOS!G188+EGRESOS!G202</f>
        <v>65240648.611396194</v>
      </c>
      <c r="H31" s="84">
        <f>EGRESOS!H188+EGRESOS!H202</f>
        <v>67002146.123903871</v>
      </c>
      <c r="J31" s="442" t="s">
        <v>379</v>
      </c>
      <c r="K31" s="84"/>
      <c r="L31" s="84"/>
    </row>
    <row r="32" spans="2:12" outlineLevel="1">
      <c r="B32" s="88" t="s">
        <v>363</v>
      </c>
      <c r="C32" s="84"/>
      <c r="D32" s="84">
        <f>EGRESOS!D195</f>
        <v>0</v>
      </c>
      <c r="E32" s="84">
        <f>EGRESOS!E195</f>
        <v>24289335.427967999</v>
      </c>
      <c r="F32" s="84">
        <f>EGRESOS!F195</f>
        <v>25005870.823093057</v>
      </c>
      <c r="G32" s="84">
        <f>EGRESOS!G195</f>
        <v>38566554.570456423</v>
      </c>
      <c r="H32" s="84">
        <f>EGRESOS!H195</f>
        <v>52810468.72514499</v>
      </c>
      <c r="J32" s="442" t="s">
        <v>363</v>
      </c>
      <c r="K32" s="84"/>
      <c r="L32" s="84"/>
    </row>
    <row r="33" spans="2:12" hidden="1" outlineLevel="2">
      <c r="B33" s="90" t="s">
        <v>380</v>
      </c>
      <c r="C33" s="84"/>
      <c r="D33" s="84"/>
      <c r="E33" s="84"/>
      <c r="F33" s="84"/>
      <c r="G33" s="84"/>
      <c r="H33" s="84"/>
      <c r="J33" s="443" t="s">
        <v>380</v>
      </c>
      <c r="K33" s="84"/>
      <c r="L33" s="84"/>
    </row>
    <row r="34" spans="2:12" outlineLevel="1" collapsed="1">
      <c r="B34" s="92" t="s">
        <v>500</v>
      </c>
      <c r="C34" s="84"/>
      <c r="D34" s="84">
        <f>EGRESOS!D209</f>
        <v>5100000</v>
      </c>
      <c r="E34" s="84">
        <f>EGRESOS!E209</f>
        <v>5257589.9999999991</v>
      </c>
      <c r="F34" s="84">
        <f>EGRESOS!F209</f>
        <v>5412688.9050000012</v>
      </c>
      <c r="G34" s="84">
        <f>EGRESOS!G209</f>
        <v>5565326.732121001</v>
      </c>
      <c r="H34" s="84">
        <f>EGRESOS!H209</f>
        <v>5715590.5538882678</v>
      </c>
      <c r="J34" s="445" t="s">
        <v>500</v>
      </c>
      <c r="K34" s="84"/>
      <c r="L34" s="84"/>
    </row>
    <row r="35" spans="2:12" outlineLevel="1">
      <c r="B35" s="92" t="s">
        <v>501</v>
      </c>
      <c r="C35" s="84"/>
      <c r="D35" s="84">
        <f>EGRESOS!D210</f>
        <v>900000</v>
      </c>
      <c r="E35" s="84">
        <f>EGRESOS!E210</f>
        <v>927809.99999999988</v>
      </c>
      <c r="F35" s="84">
        <f>EGRESOS!F210</f>
        <v>955180.3949999999</v>
      </c>
      <c r="G35" s="84">
        <f>EGRESOS!G210</f>
        <v>982116.4821390002</v>
      </c>
      <c r="H35" s="84">
        <f>EGRESOS!H210</f>
        <v>1008633.6271567526</v>
      </c>
      <c r="J35" s="445" t="s">
        <v>501</v>
      </c>
      <c r="K35" s="84"/>
      <c r="L35" s="84"/>
    </row>
    <row r="36" spans="2:12" outlineLevel="1">
      <c r="B36" s="92" t="s">
        <v>502</v>
      </c>
      <c r="C36" s="84"/>
      <c r="D36" s="84">
        <f>EGRESOS!D217</f>
        <v>85517750.309213102</v>
      </c>
      <c r="E36" s="84">
        <f>EGRESOS!E217</f>
        <v>88160248.79376781</v>
      </c>
      <c r="F36" s="84">
        <f>EGRESOS!F217</f>
        <v>90760976.133183911</v>
      </c>
      <c r="G36" s="84">
        <f>EGRESOS!G217</f>
        <v>93320435.66013974</v>
      </c>
      <c r="H36" s="84">
        <f>EGRESOS!H217</f>
        <v>95840087.4229635</v>
      </c>
      <c r="J36" s="445" t="s">
        <v>502</v>
      </c>
      <c r="K36" s="84"/>
      <c r="L36" s="84"/>
    </row>
    <row r="37" spans="2:12" outlineLevel="1">
      <c r="B37" s="92" t="s">
        <v>503</v>
      </c>
      <c r="C37" s="84"/>
      <c r="D37" s="84">
        <f>EGRESOS!D218</f>
        <v>15091367.701625841</v>
      </c>
      <c r="E37" s="84">
        <f>EGRESOS!E218</f>
        <v>15557690.963606084</v>
      </c>
      <c r="F37" s="84">
        <f>EGRESOS!F218</f>
        <v>16016642.847032459</v>
      </c>
      <c r="G37" s="84">
        <f>EGRESOS!G218</f>
        <v>16468312.175318776</v>
      </c>
      <c r="H37" s="84">
        <f>EGRESOS!H218</f>
        <v>16912956.604052383</v>
      </c>
      <c r="J37" s="445" t="s">
        <v>503</v>
      </c>
      <c r="K37" s="84"/>
      <c r="L37" s="84"/>
    </row>
    <row r="38" spans="2:12" outlineLevel="1">
      <c r="B38" s="88" t="s">
        <v>381</v>
      </c>
      <c r="C38" s="84"/>
      <c r="D38" s="84">
        <f>EGRESOS!D236</f>
        <v>184737988.41000006</v>
      </c>
      <c r="E38" s="84">
        <f>EGRESOS!E236</f>
        <v>190446392.25186899</v>
      </c>
      <c r="F38" s="84">
        <f>EGRESOS!F236</f>
        <v>196064560.82329914</v>
      </c>
      <c r="G38" s="84">
        <f>EGRESOS!G236</f>
        <v>201593581.43851623</v>
      </c>
      <c r="H38" s="84">
        <f>EGRESOS!H236</f>
        <v>207036608.13735613</v>
      </c>
      <c r="J38" s="442" t="s">
        <v>381</v>
      </c>
      <c r="K38" s="84"/>
      <c r="L38" s="84"/>
    </row>
    <row r="39" spans="2:12" outlineLevel="1">
      <c r="B39" s="88" t="s">
        <v>116</v>
      </c>
      <c r="C39" s="84"/>
      <c r="D39" s="84">
        <f>EGRESOS!D247-EGRESOS!D255-EGRESOS!D253</f>
        <v>88039468.445402801</v>
      </c>
      <c r="E39" s="84">
        <f>EGRESOS!E247-EGRESOS!E255-EGRESOS!E253</f>
        <v>122278078.41455022</v>
      </c>
      <c r="F39" s="84">
        <f>EGRESOS!F247-EGRESOS!F255-EGRESOS!F253</f>
        <v>129326424.99259251</v>
      </c>
      <c r="G39" s="84">
        <f>EGRESOS!G247-EGRESOS!G255-EGRESOS!G253</f>
        <v>136511599.3335591</v>
      </c>
      <c r="H39" s="84">
        <f>EGRESOS!H247-EGRESOS!H255-EGRESOS!H253</f>
        <v>143831099.00891715</v>
      </c>
      <c r="J39" s="442" t="s">
        <v>116</v>
      </c>
      <c r="K39" s="84"/>
      <c r="L39" s="84"/>
    </row>
    <row r="40" spans="2:12">
      <c r="B40" s="93" t="s">
        <v>112</v>
      </c>
      <c r="C40" s="94">
        <f t="shared" ref="C40:H40" si="10">+C5-C10</f>
        <v>0</v>
      </c>
      <c r="D40" s="94">
        <f t="shared" si="10"/>
        <v>79255707.462877989</v>
      </c>
      <c r="E40" s="94">
        <f t="shared" si="10"/>
        <v>483004953.34873962</v>
      </c>
      <c r="F40" s="94">
        <f t="shared" si="10"/>
        <v>619717086.90545917</v>
      </c>
      <c r="G40" s="94">
        <f t="shared" si="10"/>
        <v>787980206.66569734</v>
      </c>
      <c r="H40" s="94">
        <f t="shared" si="10"/>
        <v>1010516717.3217921</v>
      </c>
      <c r="J40" s="446" t="s">
        <v>112</v>
      </c>
      <c r="K40" s="94"/>
      <c r="L40" s="94">
        <f t="shared" ref="L40" si="11">+L5-L10</f>
        <v>4339157.1981914993</v>
      </c>
    </row>
    <row r="41" spans="2:12">
      <c r="B41" s="83" t="s">
        <v>504</v>
      </c>
      <c r="C41" s="83"/>
      <c r="D41" s="84"/>
      <c r="E41" s="91"/>
      <c r="F41" s="91"/>
      <c r="G41" s="91"/>
      <c r="H41" s="91"/>
      <c r="J41" s="440" t="s">
        <v>504</v>
      </c>
      <c r="K41" s="91"/>
      <c r="L41" s="91"/>
    </row>
    <row r="42" spans="2:12">
      <c r="B42" s="86" t="s">
        <v>110</v>
      </c>
      <c r="C42" s="87">
        <f>SUM(C43:C44)</f>
        <v>281913577.20217615</v>
      </c>
      <c r="D42" s="87">
        <f t="shared" ref="D42:H42" si="12">SUM(D43:D44)</f>
        <v>0</v>
      </c>
      <c r="E42" s="87">
        <f t="shared" si="12"/>
        <v>0</v>
      </c>
      <c r="F42" s="87">
        <f t="shared" si="12"/>
        <v>0</v>
      </c>
      <c r="G42" s="87">
        <f t="shared" si="12"/>
        <v>0</v>
      </c>
      <c r="H42" s="87">
        <f t="shared" si="12"/>
        <v>0</v>
      </c>
      <c r="J42" s="441" t="s">
        <v>110</v>
      </c>
      <c r="K42" s="87"/>
      <c r="L42" s="87">
        <f t="shared" ref="L42" si="13">SUM(L43:L44)</f>
        <v>0</v>
      </c>
    </row>
    <row r="43" spans="2:12" outlineLevel="1">
      <c r="B43" s="90" t="s">
        <v>382</v>
      </c>
      <c r="C43" s="84">
        <f>DATOS!$C$22</f>
        <v>70737720</v>
      </c>
      <c r="D43" s="84">
        <v>0</v>
      </c>
      <c r="E43" s="84">
        <v>0</v>
      </c>
      <c r="F43" s="84">
        <v>0</v>
      </c>
      <c r="G43" s="84"/>
      <c r="H43" s="84"/>
      <c r="J43" s="443" t="s">
        <v>382</v>
      </c>
      <c r="K43" s="84"/>
      <c r="L43" s="84"/>
    </row>
    <row r="44" spans="2:12" outlineLevel="1">
      <c r="B44" s="88" t="s">
        <v>383</v>
      </c>
      <c r="C44" s="84">
        <f>DATOS!$C$23</f>
        <v>211175857.20217615</v>
      </c>
      <c r="D44" s="84">
        <v>0</v>
      </c>
      <c r="E44" s="84">
        <v>0</v>
      </c>
      <c r="F44" s="84">
        <v>0</v>
      </c>
      <c r="G44" s="84"/>
      <c r="H44" s="84"/>
      <c r="J44" s="442" t="s">
        <v>383</v>
      </c>
      <c r="K44" s="84"/>
      <c r="L44" s="84"/>
    </row>
    <row r="45" spans="2:12">
      <c r="B45" s="86" t="s">
        <v>111</v>
      </c>
      <c r="C45" s="87">
        <f t="shared" ref="C45:H45" si="14">SUM(C46:C48)</f>
        <v>0</v>
      </c>
      <c r="D45" s="87">
        <f t="shared" si="14"/>
        <v>26128543.114824764</v>
      </c>
      <c r="E45" s="87">
        <f t="shared" si="14"/>
        <v>31796793.566477515</v>
      </c>
      <c r="F45" s="87">
        <f t="shared" si="14"/>
        <v>191300336.25364769</v>
      </c>
      <c r="G45" s="87">
        <f t="shared" si="14"/>
        <v>289378002.02792162</v>
      </c>
      <c r="H45" s="87">
        <f t="shared" si="14"/>
        <v>396323962.90276265</v>
      </c>
      <c r="J45" s="441" t="s">
        <v>111</v>
      </c>
      <c r="K45" s="87"/>
      <c r="L45" s="87">
        <f t="shared" ref="L45" si="15">SUM(L46:L48)</f>
        <v>0</v>
      </c>
    </row>
    <row r="46" spans="2:12" outlineLevel="1">
      <c r="B46" s="88" t="s">
        <v>117</v>
      </c>
      <c r="C46" s="84"/>
      <c r="D46" s="84">
        <f>EGRESOS!D279</f>
        <v>18474854.843480278</v>
      </c>
      <c r="E46" s="84">
        <f>EGRESOS!E279</f>
        <v>16092261.68461073</v>
      </c>
      <c r="F46" s="84">
        <f>EGRESOS!F279</f>
        <v>12967967.275385091</v>
      </c>
      <c r="G46" s="84">
        <f>EGRESOS!G279</f>
        <v>8871080.0165675059</v>
      </c>
      <c r="H46" s="84">
        <f>EGRESOS!H279</f>
        <v>3498831.7540800017</v>
      </c>
      <c r="I46" s="6"/>
      <c r="J46" s="442" t="s">
        <v>117</v>
      </c>
      <c r="K46" s="84"/>
      <c r="L46" s="84"/>
    </row>
    <row r="47" spans="2:12" outlineLevel="1">
      <c r="B47" s="88" t="s">
        <v>384</v>
      </c>
      <c r="C47" s="84"/>
      <c r="D47" s="84">
        <f>EGRESOS!D280</f>
        <v>7653688.2713444866</v>
      </c>
      <c r="E47" s="84">
        <f>EGRESOS!E280</f>
        <v>10036281.430214036</v>
      </c>
      <c r="F47" s="84">
        <f>EGRESOS!F280</f>
        <v>13160575.839439675</v>
      </c>
      <c r="G47" s="84">
        <f>EGRESOS!G280</f>
        <v>17257463.098257262</v>
      </c>
      <c r="H47" s="84">
        <f>EGRESOS!H280</f>
        <v>22629711.360744763</v>
      </c>
      <c r="I47" s="72"/>
      <c r="J47" s="442" t="s">
        <v>384</v>
      </c>
      <c r="K47" s="84"/>
      <c r="L47" s="84"/>
    </row>
    <row r="48" spans="2:12" outlineLevel="1">
      <c r="B48" s="88" t="s">
        <v>127</v>
      </c>
      <c r="C48" s="84">
        <f>'RESERVA LEGAL Y DIVIDENDOS'!B28</f>
        <v>0</v>
      </c>
      <c r="D48" s="84">
        <f>'RESERVA LEGAL Y DIVIDENDOS'!C28</f>
        <v>0</v>
      </c>
      <c r="E48" s="84">
        <f>'RESERVA LEGAL Y DIVIDENDOS'!D28</f>
        <v>5668250.4516527513</v>
      </c>
      <c r="F48" s="84">
        <f>'RESERVA LEGAL Y DIVIDENDOS'!E28</f>
        <v>165171793.13882291</v>
      </c>
      <c r="G48" s="84">
        <f>'RESERVA LEGAL Y DIVIDENDOS'!F28</f>
        <v>263249458.91309687</v>
      </c>
      <c r="H48" s="84">
        <f>'RESERVA LEGAL Y DIVIDENDOS'!G28</f>
        <v>370195419.78793788</v>
      </c>
      <c r="I48" s="75"/>
      <c r="J48" s="442" t="s">
        <v>127</v>
      </c>
      <c r="K48" s="84"/>
      <c r="L48" s="84"/>
    </row>
    <row r="49" spans="2:12">
      <c r="B49" s="93" t="s">
        <v>385</v>
      </c>
      <c r="C49" s="95">
        <f t="shared" ref="C49:H49" si="16">C42-C45</f>
        <v>281913577.20217615</v>
      </c>
      <c r="D49" s="95">
        <f t="shared" si="16"/>
        <v>-26128543.114824764</v>
      </c>
      <c r="E49" s="95">
        <f t="shared" si="16"/>
        <v>-31796793.566477515</v>
      </c>
      <c r="F49" s="95">
        <f t="shared" si="16"/>
        <v>-191300336.25364769</v>
      </c>
      <c r="G49" s="95">
        <f t="shared" si="16"/>
        <v>-289378002.02792162</v>
      </c>
      <c r="H49" s="95">
        <f t="shared" si="16"/>
        <v>-396323962.90276265</v>
      </c>
      <c r="J49" s="446" t="s">
        <v>385</v>
      </c>
      <c r="K49" s="95"/>
      <c r="L49" s="95">
        <f t="shared" ref="L49" si="17">L42-L45</f>
        <v>0</v>
      </c>
    </row>
    <row r="50" spans="2:12">
      <c r="B50" s="83" t="s">
        <v>386</v>
      </c>
      <c r="C50" s="83"/>
      <c r="D50" s="84"/>
      <c r="E50" s="91"/>
      <c r="F50" s="91"/>
      <c r="G50" s="91"/>
      <c r="H50" s="91"/>
      <c r="J50" s="440" t="s">
        <v>386</v>
      </c>
      <c r="K50" s="91"/>
      <c r="L50" s="91"/>
    </row>
    <row r="51" spans="2:12">
      <c r="B51" s="86" t="s">
        <v>110</v>
      </c>
      <c r="C51" s="96">
        <f t="shared" ref="C51:H51" si="18">SUM(C52:C53)</f>
        <v>0</v>
      </c>
      <c r="D51" s="96">
        <f t="shared" si="18"/>
        <v>0</v>
      </c>
      <c r="E51" s="96">
        <f t="shared" si="18"/>
        <v>0</v>
      </c>
      <c r="F51" s="96">
        <f t="shared" si="18"/>
        <v>0</v>
      </c>
      <c r="G51" s="96">
        <f t="shared" si="18"/>
        <v>0</v>
      </c>
      <c r="H51" s="96">
        <f t="shared" si="18"/>
        <v>0</v>
      </c>
      <c r="J51" s="441" t="s">
        <v>110</v>
      </c>
      <c r="K51" s="96"/>
      <c r="L51" s="96">
        <f t="shared" ref="L51" si="19">SUM(L52:L53)</f>
        <v>0</v>
      </c>
    </row>
    <row r="52" spans="2:12" outlineLevel="1">
      <c r="B52" s="88" t="s">
        <v>388</v>
      </c>
      <c r="C52" s="97">
        <v>0</v>
      </c>
      <c r="D52" s="97">
        <v>0</v>
      </c>
      <c r="E52" s="97">
        <v>0</v>
      </c>
      <c r="F52" s="97">
        <v>0</v>
      </c>
      <c r="G52" s="97">
        <v>0</v>
      </c>
      <c r="H52" s="97">
        <v>0</v>
      </c>
      <c r="I52" s="28"/>
      <c r="J52" s="442" t="s">
        <v>388</v>
      </c>
      <c r="K52" s="97"/>
      <c r="L52" s="97"/>
    </row>
    <row r="53" spans="2:12" outlineLevel="1">
      <c r="B53" s="88" t="s">
        <v>514</v>
      </c>
      <c r="C53" s="97">
        <v>0</v>
      </c>
      <c r="D53" s="97">
        <v>0</v>
      </c>
      <c r="E53" s="97">
        <v>0</v>
      </c>
      <c r="F53" s="97">
        <v>0</v>
      </c>
      <c r="G53" s="97">
        <v>0</v>
      </c>
      <c r="H53" s="97">
        <v>0</v>
      </c>
      <c r="I53" s="75"/>
      <c r="J53" s="442" t="s">
        <v>514</v>
      </c>
      <c r="K53" s="97"/>
      <c r="L53" s="97"/>
    </row>
    <row r="54" spans="2:12">
      <c r="B54" s="86" t="s">
        <v>111</v>
      </c>
      <c r="C54" s="87">
        <f t="shared" ref="C54:H54" si="20">SUM(C55:C60)</f>
        <v>247275670.18412131</v>
      </c>
      <c r="D54" s="87">
        <f t="shared" si="20"/>
        <v>0</v>
      </c>
      <c r="E54" s="87">
        <f t="shared" si="20"/>
        <v>233675205.17283547</v>
      </c>
      <c r="F54" s="87">
        <f t="shared" si="20"/>
        <v>102019584.88517879</v>
      </c>
      <c r="G54" s="87">
        <f t="shared" si="20"/>
        <v>304782465.66830504</v>
      </c>
      <c r="H54" s="87">
        <f t="shared" si="20"/>
        <v>430358159.86871761</v>
      </c>
      <c r="I54" s="28"/>
      <c r="J54" s="441" t="s">
        <v>111</v>
      </c>
      <c r="K54" s="87"/>
      <c r="L54" s="87">
        <f t="shared" ref="L54" si="21">SUM(L55:L60)</f>
        <v>0</v>
      </c>
    </row>
    <row r="55" spans="2:12" outlineLevel="1">
      <c r="B55" s="88" t="s">
        <v>389</v>
      </c>
      <c r="C55" s="84">
        <f>K.W!C73</f>
        <v>23327036.084118228</v>
      </c>
      <c r="D55" s="84">
        <v>0</v>
      </c>
      <c r="E55" s="84">
        <v>0</v>
      </c>
      <c r="F55" s="84">
        <v>0</v>
      </c>
      <c r="G55" s="84">
        <v>0</v>
      </c>
      <c r="H55" s="84">
        <v>0</v>
      </c>
      <c r="J55" s="442" t="s">
        <v>389</v>
      </c>
      <c r="K55" s="84"/>
      <c r="L55" s="84"/>
    </row>
    <row r="56" spans="2:12" outlineLevel="1">
      <c r="B56" s="88" t="s">
        <v>390</v>
      </c>
      <c r="C56" s="84">
        <f>K.W!C75</f>
        <v>164835.16483516488</v>
      </c>
      <c r="D56" s="84">
        <v>0</v>
      </c>
      <c r="E56" s="84">
        <v>0</v>
      </c>
      <c r="F56" s="84">
        <v>0</v>
      </c>
      <c r="G56" s="84">
        <v>0</v>
      </c>
      <c r="H56" s="84">
        <v>0</v>
      </c>
      <c r="J56" s="442" t="s">
        <v>390</v>
      </c>
      <c r="K56" s="84"/>
      <c r="L56" s="84"/>
    </row>
    <row r="57" spans="2:12" outlineLevel="1">
      <c r="B57" s="88" t="s">
        <v>214</v>
      </c>
      <c r="C57" s="84">
        <f>INVERSION!C17</f>
        <v>142358800</v>
      </c>
      <c r="D57" s="84">
        <f>INVERSION!D17</f>
        <v>0</v>
      </c>
      <c r="E57" s="84">
        <f>INVERSION!E17</f>
        <v>152305578.36000001</v>
      </c>
      <c r="F57" s="84">
        <f>INVERSION!F17</f>
        <v>17979042.181620002</v>
      </c>
      <c r="G57" s="84">
        <f>INVERSION!G17</f>
        <v>218097853.48798913</v>
      </c>
      <c r="H57" s="84">
        <f>INVERSION!H17</f>
        <v>341043370.29179347</v>
      </c>
      <c r="J57" s="442" t="s">
        <v>214</v>
      </c>
      <c r="K57" s="84"/>
      <c r="L57" s="84"/>
    </row>
    <row r="58" spans="2:12" outlineLevel="1">
      <c r="B58" s="88" t="s">
        <v>494</v>
      </c>
      <c r="C58" s="84">
        <f>INVERSION!C18</f>
        <v>71123764.065853238</v>
      </c>
      <c r="D58" s="84">
        <f>INVERSION!D18</f>
        <v>0</v>
      </c>
      <c r="E58" s="84">
        <f>INVERSION!E18</f>
        <v>74664137.762835443</v>
      </c>
      <c r="F58" s="84">
        <f>INVERSION!F18</f>
        <v>77137241.726583794</v>
      </c>
      <c r="G58" s="84">
        <f>INVERSION!G18</f>
        <v>79586638.115790173</v>
      </c>
      <c r="H58" s="84">
        <f>INVERSION!H18</f>
        <v>82025170.212656245</v>
      </c>
      <c r="J58" s="442" t="s">
        <v>494</v>
      </c>
      <c r="K58" s="84"/>
      <c r="L58" s="84"/>
    </row>
    <row r="59" spans="2:12" outlineLevel="1">
      <c r="B59" s="88" t="s">
        <v>495</v>
      </c>
      <c r="C59" s="84">
        <f>INVERSION!C19</f>
        <v>6504500</v>
      </c>
      <c r="D59" s="84">
        <f>INVERSION!D19</f>
        <v>0</v>
      </c>
      <c r="E59" s="84">
        <f>INVERSION!E19</f>
        <v>6705489.0499999989</v>
      </c>
      <c r="F59" s="84">
        <f>INVERSION!F19</f>
        <v>6903300.9769749995</v>
      </c>
      <c r="G59" s="84">
        <f>INVERSION!G19</f>
        <v>7097974.0645256946</v>
      </c>
      <c r="H59" s="84">
        <f>INVERSION!H19</f>
        <v>7289619.3642678875</v>
      </c>
      <c r="J59" s="442" t="s">
        <v>495</v>
      </c>
      <c r="K59" s="84"/>
      <c r="L59" s="84"/>
    </row>
    <row r="60" spans="2:12" outlineLevel="1">
      <c r="B60" s="88" t="s">
        <v>496</v>
      </c>
      <c r="C60" s="84">
        <f>INVERSION!C20</f>
        <v>3796734.8693146855</v>
      </c>
      <c r="D60" s="84">
        <f>INVERSION!D20</f>
        <v>0</v>
      </c>
      <c r="E60" s="84">
        <f>INVERSION!E20</f>
        <v>0</v>
      </c>
      <c r="F60" s="84">
        <f>INVERSION!F20</f>
        <v>0</v>
      </c>
      <c r="G60" s="84">
        <f>INVERSION!G20</f>
        <v>0</v>
      </c>
      <c r="H60" s="84">
        <f>INVERSION!H20</f>
        <v>0</v>
      </c>
      <c r="J60" s="442" t="s">
        <v>496</v>
      </c>
      <c r="K60" s="84"/>
      <c r="L60" s="84"/>
    </row>
    <row r="61" spans="2:12">
      <c r="B61" s="93" t="s">
        <v>387</v>
      </c>
      <c r="C61" s="94">
        <f t="shared" ref="C61:H61" si="22">C51-C54</f>
        <v>-247275670.18412131</v>
      </c>
      <c r="D61" s="94">
        <f t="shared" si="22"/>
        <v>0</v>
      </c>
      <c r="E61" s="94">
        <f t="shared" si="22"/>
        <v>-233675205.17283547</v>
      </c>
      <c r="F61" s="94">
        <f t="shared" si="22"/>
        <v>-102019584.88517879</v>
      </c>
      <c r="G61" s="94">
        <f t="shared" si="22"/>
        <v>-304782465.66830504</v>
      </c>
      <c r="H61" s="94">
        <f t="shared" si="22"/>
        <v>-430358159.86871761</v>
      </c>
      <c r="J61" s="446" t="s">
        <v>387</v>
      </c>
      <c r="K61" s="94"/>
      <c r="L61" s="94">
        <f t="shared" ref="L61" si="23">L51-L54</f>
        <v>0</v>
      </c>
    </row>
    <row r="62" spans="2:12">
      <c r="B62" s="93" t="s">
        <v>113</v>
      </c>
      <c r="C62" s="94">
        <f t="shared" ref="C62:H62" si="24">C40+C49+C61</f>
        <v>34637907.018054843</v>
      </c>
      <c r="D62" s="94">
        <f t="shared" si="24"/>
        <v>53127164.348053224</v>
      </c>
      <c r="E62" s="94">
        <f t="shared" si="24"/>
        <v>217532954.60942662</v>
      </c>
      <c r="F62" s="94">
        <f t="shared" si="24"/>
        <v>326397165.76663268</v>
      </c>
      <c r="G62" s="94">
        <f t="shared" si="24"/>
        <v>193819738.96947068</v>
      </c>
      <c r="H62" s="94">
        <f t="shared" si="24"/>
        <v>183834594.55031186</v>
      </c>
      <c r="J62" s="446" t="s">
        <v>113</v>
      </c>
      <c r="K62" s="94"/>
      <c r="L62" s="94">
        <f t="shared" ref="L62" si="25">L40+L49+L61</f>
        <v>4339157.1981914993</v>
      </c>
    </row>
    <row r="63" spans="2:12">
      <c r="B63" s="93" t="s">
        <v>114</v>
      </c>
      <c r="C63" s="94">
        <v>0</v>
      </c>
      <c r="D63" s="94">
        <f>C64</f>
        <v>34637907.018054843</v>
      </c>
      <c r="E63" s="94">
        <f t="shared" ref="E63:H63" si="26">D64</f>
        <v>87765071.36610806</v>
      </c>
      <c r="F63" s="94">
        <f t="shared" si="26"/>
        <v>305298025.97553468</v>
      </c>
      <c r="G63" s="94">
        <f t="shared" si="26"/>
        <v>631695191.74216735</v>
      </c>
      <c r="H63" s="94">
        <f t="shared" si="26"/>
        <v>825514930.71163797</v>
      </c>
      <c r="J63" s="446" t="s">
        <v>114</v>
      </c>
      <c r="K63" s="94"/>
      <c r="L63" s="94">
        <f>K64</f>
        <v>0</v>
      </c>
    </row>
    <row r="64" spans="2:12">
      <c r="B64" s="116" t="s">
        <v>115</v>
      </c>
      <c r="C64" s="117">
        <f t="shared" ref="C64:H64" si="27">C62+C63</f>
        <v>34637907.018054843</v>
      </c>
      <c r="D64" s="117">
        <f t="shared" si="27"/>
        <v>87765071.36610806</v>
      </c>
      <c r="E64" s="117">
        <f t="shared" si="27"/>
        <v>305298025.97553468</v>
      </c>
      <c r="F64" s="117">
        <f t="shared" si="27"/>
        <v>631695191.74216735</v>
      </c>
      <c r="G64" s="117">
        <f t="shared" si="27"/>
        <v>825514930.71163797</v>
      </c>
      <c r="H64" s="117">
        <f t="shared" si="27"/>
        <v>1009349525.2619498</v>
      </c>
      <c r="J64" s="447" t="s">
        <v>115</v>
      </c>
      <c r="K64" s="117"/>
      <c r="L64" s="117">
        <f t="shared" ref="L64" si="28">L62+L63</f>
        <v>4339157.1981914993</v>
      </c>
    </row>
    <row r="65" spans="3:11">
      <c r="J65" s="206"/>
      <c r="K65" s="28"/>
    </row>
    <row r="66" spans="3:11">
      <c r="C66" s="6">
        <f>C64-INVERSION!C15</f>
        <v>0</v>
      </c>
    </row>
  </sheetData>
  <sheetProtection sheet="1" formatCells="0" formatColumns="0" formatRows="0" insertColumns="0" insertRows="0" insertHyperlinks="0" deleteColumns="0" deleteRows="0" sort="0" autoFilter="0" pivotTables="0"/>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15</vt:i4>
      </vt:variant>
    </vt:vector>
  </HeadingPairs>
  <TitlesOfParts>
    <vt:vector size="31" baseType="lpstr">
      <vt:lpstr>DATOS</vt:lpstr>
      <vt:lpstr>INGRESOS</vt:lpstr>
      <vt:lpstr>EGRESOS</vt:lpstr>
      <vt:lpstr>TABLA DE AMORTIZACION</vt:lpstr>
      <vt:lpstr>INVERSION</vt:lpstr>
      <vt:lpstr>K.W</vt:lpstr>
      <vt:lpstr>RESERVA LEGAL Y DIVIDENDOS</vt:lpstr>
      <vt:lpstr>E.R</vt:lpstr>
      <vt:lpstr>F.E</vt:lpstr>
      <vt:lpstr>B.G</vt:lpstr>
      <vt:lpstr>F.C.L</vt:lpstr>
      <vt:lpstr>COSTO CAPITAL</vt:lpstr>
      <vt:lpstr>RATIOS FINANCIEROS</vt:lpstr>
      <vt:lpstr>EVALUACION FINANCIERA</vt:lpstr>
      <vt:lpstr>PUNTO DE EQUILIBRIO</vt:lpstr>
      <vt:lpstr>COSTO DE OPORTUNIDAD</vt:lpstr>
      <vt:lpstr>B.G!Área_de_impresión</vt:lpstr>
      <vt:lpstr>'COSTO CAPITAL'!Área_de_impresión</vt:lpstr>
      <vt:lpstr>'COSTO DE OPORTUNIDAD'!Área_de_impresión</vt:lpstr>
      <vt:lpstr>DATOS!Área_de_impresión</vt:lpstr>
      <vt:lpstr>E.R!Área_de_impresión</vt:lpstr>
      <vt:lpstr>EGRESOS!Área_de_impresión</vt:lpstr>
      <vt:lpstr>F.C.L!Área_de_impresión</vt:lpstr>
      <vt:lpstr>F.E!Área_de_impresión</vt:lpstr>
      <vt:lpstr>INGRESOS!Área_de_impresión</vt:lpstr>
      <vt:lpstr>INVERSION!Área_de_impresión</vt:lpstr>
      <vt:lpstr>K.W!Área_de_impresión</vt:lpstr>
      <vt:lpstr>'PUNTO DE EQUILIBRIO'!Área_de_impresión</vt:lpstr>
      <vt:lpstr>'RATIOS FINANCIEROS'!Área_de_impresión</vt:lpstr>
      <vt:lpstr>'RESERVA LEGAL Y DIVIDENDOS'!Área_de_impresión</vt:lpstr>
      <vt:lpstr>'TABLA DE AMORTIZACION'!Área_de_impresión</vt:lpstr>
    </vt:vector>
  </TitlesOfParts>
  <Company>Acer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co1020745240</cp:lastModifiedBy>
  <dcterms:created xsi:type="dcterms:W3CDTF">2011-03-11T12:17:47Z</dcterms:created>
  <dcterms:modified xsi:type="dcterms:W3CDTF">2013-07-19T20:34:18Z</dcterms:modified>
</cp:coreProperties>
</file>