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105" windowWidth="19440" windowHeight="7935" tabRatio="956"/>
  </bookViews>
  <sheets>
    <sheet name="Sup.Generales" sheetId="12" r:id="rId1"/>
    <sheet name="Pre.Ventas" sheetId="5" r:id="rId2"/>
    <sheet name="Presupuesto Gastos" sheetId="7" r:id="rId3"/>
    <sheet name="P Y G" sheetId="9" r:id="rId4"/>
    <sheet name="Financiamiento" sheetId="8" r:id="rId5"/>
    <sheet name="Flujo de Caja y BG" sheetId="10" r:id="rId6"/>
    <sheet name="RiskSim" sheetId="14" state="veryHidden" r:id="rId7"/>
    <sheet name="Evaluacion Financiera y PE" sheetId="13" r:id="rId8"/>
    <sheet name="Evolucion del mg.en la opera" sheetId="16" r:id="rId9"/>
    <sheet name="Grafiks Ev.Mg en la Opera" sheetId="17" r:id="rId10"/>
    <sheet name="Indicadores de KW" sheetId="22" r:id="rId11"/>
    <sheet name="Composici. de FCL del accionist" sheetId="24" r:id="rId12"/>
    <sheet name="Liquidez" sheetId="25" r:id="rId13"/>
  </sheets>
  <externalReferences>
    <externalReference r:id="rId14"/>
  </externalReferences>
  <calcPr calcId="145621"/>
</workbook>
</file>

<file path=xl/calcChain.xml><?xml version="1.0" encoding="utf-8"?>
<calcChain xmlns="http://schemas.openxmlformats.org/spreadsheetml/2006/main">
  <c r="C4" i="24"/>
  <c r="C43" s="1"/>
  <c r="D4"/>
  <c r="D43" s="1"/>
  <c r="E4"/>
  <c r="E43" s="1"/>
  <c r="F4"/>
  <c r="F43" s="1"/>
  <c r="G4"/>
  <c r="G43" s="1"/>
  <c r="G3"/>
  <c r="G36" s="1"/>
  <c r="F3"/>
  <c r="F15" s="1"/>
  <c r="E3"/>
  <c r="E36" s="1"/>
  <c r="D3"/>
  <c r="D15" s="1"/>
  <c r="C3"/>
  <c r="C36" s="1"/>
  <c r="C15" l="1"/>
  <c r="E15"/>
  <c r="G15"/>
  <c r="D36"/>
  <c r="F36"/>
  <c r="C37"/>
  <c r="C39" s="1"/>
  <c r="E37"/>
  <c r="E39" s="1"/>
  <c r="G37"/>
  <c r="G39" s="1"/>
  <c r="D37"/>
  <c r="F37"/>
  <c r="C5" i="22"/>
  <c r="D5"/>
  <c r="E5"/>
  <c r="F5"/>
  <c r="G5"/>
  <c r="D39" i="24" l="1"/>
  <c r="F39"/>
  <c r="G13" i="22"/>
  <c r="G11"/>
  <c r="G10"/>
  <c r="C71" i="12" l="1"/>
  <c r="C19" i="5" l="1"/>
  <c r="C20"/>
  <c r="C21"/>
  <c r="C7"/>
  <c r="E99" i="12"/>
  <c r="C82"/>
  <c r="B51" i="10" s="1"/>
  <c r="D21" i="5" l="1"/>
  <c r="D10" i="8"/>
  <c r="D11" s="1"/>
  <c r="C5" l="1"/>
  <c r="C88" i="12"/>
  <c r="B50" i="10"/>
  <c r="C85" i="7"/>
  <c r="C86"/>
  <c r="C87"/>
  <c r="C88"/>
  <c r="C90"/>
  <c r="C91"/>
  <c r="C92"/>
  <c r="D92" s="1"/>
  <c r="C93"/>
  <c r="C83"/>
  <c r="D83" s="1"/>
  <c r="D65"/>
  <c r="C61"/>
  <c r="D61" s="1"/>
  <c r="C62"/>
  <c r="D62" s="1"/>
  <c r="C63"/>
  <c r="D63" s="1"/>
  <c r="C60"/>
  <c r="D60" s="1"/>
  <c r="E60" s="1"/>
  <c r="F60" s="1"/>
  <c r="G60" s="1"/>
  <c r="H60" s="1"/>
  <c r="C54"/>
  <c r="D54"/>
  <c r="E54"/>
  <c r="C55"/>
  <c r="D55"/>
  <c r="E55"/>
  <c r="C56"/>
  <c r="D56"/>
  <c r="E56"/>
  <c r="D53"/>
  <c r="E53"/>
  <c r="C53"/>
  <c r="C29" i="12"/>
  <c r="C7" i="7"/>
  <c r="C8"/>
  <c r="C6"/>
  <c r="A35"/>
  <c r="A36"/>
  <c r="A34"/>
  <c r="A28"/>
  <c r="A29"/>
  <c r="A27"/>
  <c r="A21"/>
  <c r="A22"/>
  <c r="A20"/>
  <c r="A14"/>
  <c r="A15"/>
  <c r="A13"/>
  <c r="A7"/>
  <c r="A8"/>
  <c r="A6"/>
  <c r="I20" i="5"/>
  <c r="O20" s="1"/>
  <c r="U20" s="1"/>
  <c r="AA20" s="1"/>
  <c r="I21"/>
  <c r="O21" s="1"/>
  <c r="U21" s="1"/>
  <c r="AA21" s="1"/>
  <c r="I19"/>
  <c r="O19" s="1"/>
  <c r="U19" s="1"/>
  <c r="AA19" s="1"/>
  <c r="I8"/>
  <c r="O8" s="1"/>
  <c r="U8" s="1"/>
  <c r="AA8" s="1"/>
  <c r="I9"/>
  <c r="O9" s="1"/>
  <c r="U9" s="1"/>
  <c r="AA9" s="1"/>
  <c r="I7"/>
  <c r="O7" s="1"/>
  <c r="U7" s="1"/>
  <c r="AA7" s="1"/>
  <c r="G20"/>
  <c r="M20" s="1"/>
  <c r="S20" s="1"/>
  <c r="Y20" s="1"/>
  <c r="G21"/>
  <c r="M21" s="1"/>
  <c r="S21" s="1"/>
  <c r="Y21" s="1"/>
  <c r="G19"/>
  <c r="M19" s="1"/>
  <c r="S19" s="1"/>
  <c r="Y19" s="1"/>
  <c r="G8"/>
  <c r="M8" s="1"/>
  <c r="S8" s="1"/>
  <c r="Y8" s="1"/>
  <c r="G9"/>
  <c r="M9" s="1"/>
  <c r="S9" s="1"/>
  <c r="Y9" s="1"/>
  <c r="G7"/>
  <c r="M7" s="1"/>
  <c r="S7" s="1"/>
  <c r="Y7" s="1"/>
  <c r="D20"/>
  <c r="D19"/>
  <c r="D8"/>
  <c r="D9"/>
  <c r="D7"/>
  <c r="C8"/>
  <c r="C9"/>
  <c r="E62" i="7" l="1"/>
  <c r="F62" s="1"/>
  <c r="G62" s="1"/>
  <c r="H62" s="1"/>
  <c r="E63"/>
  <c r="F63" s="1"/>
  <c r="G63" s="1"/>
  <c r="H63" s="1"/>
  <c r="E61"/>
  <c r="F61" s="1"/>
  <c r="G61" s="1"/>
  <c r="H61" s="1"/>
  <c r="C47"/>
  <c r="C69" s="1"/>
  <c r="C48"/>
  <c r="C70" s="1"/>
  <c r="A8" i="9"/>
  <c r="A14" i="10" s="1"/>
  <c r="D93" i="7"/>
  <c r="J9" i="5"/>
  <c r="P9" s="1"/>
  <c r="J8"/>
  <c r="P8" s="1"/>
  <c r="J7"/>
  <c r="P7" s="1"/>
  <c r="H9" l="1"/>
  <c r="N9" s="1"/>
  <c r="T9" s="1"/>
  <c r="Z9" s="1"/>
  <c r="G49" i="7" s="1"/>
  <c r="E7" i="5"/>
  <c r="C49" i="7"/>
  <c r="H7" i="5"/>
  <c r="N7" s="1"/>
  <c r="E8"/>
  <c r="H8"/>
  <c r="N8" s="1"/>
  <c r="T8" s="1"/>
  <c r="Z8" s="1"/>
  <c r="G48" i="7" s="1"/>
  <c r="G70" s="1"/>
  <c r="E9" i="5"/>
  <c r="V8"/>
  <c r="V7"/>
  <c r="V9"/>
  <c r="E11" l="1"/>
  <c r="T7"/>
  <c r="W7" s="1"/>
  <c r="C71" i="7"/>
  <c r="C73" s="1"/>
  <c r="D80" s="1"/>
  <c r="F49"/>
  <c r="Q9" i="5"/>
  <c r="D49" i="7"/>
  <c r="D71" s="1"/>
  <c r="K9" i="5"/>
  <c r="E49" i="7"/>
  <c r="E71" s="1"/>
  <c r="W9" i="5"/>
  <c r="K8"/>
  <c r="E47" i="7"/>
  <c r="E69" s="1"/>
  <c r="D47"/>
  <c r="D69" s="1"/>
  <c r="K7" i="5"/>
  <c r="Q7"/>
  <c r="E48" i="7"/>
  <c r="E70" s="1"/>
  <c r="Q8" i="5"/>
  <c r="W8"/>
  <c r="D48" i="7"/>
  <c r="D70" s="1"/>
  <c r="F48"/>
  <c r="F70" s="1"/>
  <c r="AB9" i="5"/>
  <c r="AC9" s="1"/>
  <c r="AB7"/>
  <c r="AB8"/>
  <c r="AC8" s="1"/>
  <c r="F47" i="7" l="1"/>
  <c r="F69" s="1"/>
  <c r="Z7" i="5"/>
  <c r="AC7" s="1"/>
  <c r="AC11" s="1"/>
  <c r="D8" i="9"/>
  <c r="F71" i="7"/>
  <c r="K11" i="5"/>
  <c r="E73" i="7"/>
  <c r="D73"/>
  <c r="Q11" i="5"/>
  <c r="W11"/>
  <c r="G47" i="7" l="1"/>
  <c r="G69" s="1"/>
  <c r="B22" i="13"/>
  <c r="C14" i="10"/>
  <c r="E80" i="7"/>
  <c r="E8" i="9" s="1"/>
  <c r="F80" i="7"/>
  <c r="F8" i="9" s="1"/>
  <c r="E14" i="10" s="1"/>
  <c r="G71" i="7"/>
  <c r="F73"/>
  <c r="D14" i="10" l="1"/>
  <c r="C22" i="13"/>
  <c r="D22"/>
  <c r="G80" i="7"/>
  <c r="G8" i="9" s="1"/>
  <c r="G73" i="7"/>
  <c r="E22" i="13" l="1"/>
  <c r="F14" i="10"/>
  <c r="H80" i="7"/>
  <c r="H8" i="9" s="1"/>
  <c r="F22" i="13" l="1"/>
  <c r="G14" i="10"/>
  <c r="B32"/>
  <c r="B31"/>
  <c r="B30"/>
  <c r="B58"/>
  <c r="C58" s="1"/>
  <c r="D58" s="1"/>
  <c r="E58" s="1"/>
  <c r="F58" s="1"/>
  <c r="G58" s="1"/>
  <c r="B57"/>
  <c r="C57" s="1"/>
  <c r="D57" s="1"/>
  <c r="E57" s="1"/>
  <c r="F57" s="1"/>
  <c r="G57" s="1"/>
  <c r="B56"/>
  <c r="C56" s="1"/>
  <c r="B52"/>
  <c r="A52"/>
  <c r="A51"/>
  <c r="A50"/>
  <c r="A20" i="9"/>
  <c r="A23" i="10" s="1"/>
  <c r="A21" i="9"/>
  <c r="A24" i="10" s="1"/>
  <c r="A10" i="9"/>
  <c r="A11"/>
  <c r="A16" i="10" s="1"/>
  <c r="A12" i="9"/>
  <c r="A13"/>
  <c r="A17" i="10" s="1"/>
  <c r="A14" i="9"/>
  <c r="A18" i="10" s="1"/>
  <c r="A15" i="9"/>
  <c r="A19" i="10" s="1"/>
  <c r="A16" i="9"/>
  <c r="A20" i="10" s="1"/>
  <c r="A17" i="9"/>
  <c r="A18"/>
  <c r="A21" i="10" s="1"/>
  <c r="A19" i="9"/>
  <c r="A22" i="10" s="1"/>
  <c r="A9" i="9"/>
  <c r="A15" i="10" s="1"/>
  <c r="D88" i="7"/>
  <c r="D16" i="9" s="1"/>
  <c r="C20" i="10" s="1"/>
  <c r="D20" i="9"/>
  <c r="C23" i="10" s="1"/>
  <c r="D21" i="9"/>
  <c r="C24" i="10" s="1"/>
  <c r="D90" i="7"/>
  <c r="D18" i="9" s="1"/>
  <c r="C21" i="10" s="1"/>
  <c r="C9" i="7"/>
  <c r="D8"/>
  <c r="B15"/>
  <c r="B22" s="1"/>
  <c r="B29" s="1"/>
  <c r="B36" s="1"/>
  <c r="D56" i="10" l="1"/>
  <c r="B29"/>
  <c r="B33" s="1"/>
  <c r="D84" i="7"/>
  <c r="D89"/>
  <c r="E56" i="10" l="1"/>
  <c r="D12" i="9"/>
  <c r="E89" i="7"/>
  <c r="E17" i="9" s="1"/>
  <c r="D9" i="13" s="1"/>
  <c r="D17" i="9"/>
  <c r="C59" i="10" l="1"/>
  <c r="C60" s="1"/>
  <c r="C9" i="13"/>
  <c r="C53" i="10"/>
  <c r="C8" i="13"/>
  <c r="F56" i="10"/>
  <c r="D59" l="1"/>
  <c r="D60" s="1"/>
  <c r="G56"/>
  <c r="B14" i="7" l="1"/>
  <c r="B21" s="1"/>
  <c r="B28" s="1"/>
  <c r="B35" s="1"/>
  <c r="B13"/>
  <c r="B20" s="1"/>
  <c r="B27" s="1"/>
  <c r="B34" s="1"/>
  <c r="E7"/>
  <c r="D7"/>
  <c r="D6"/>
  <c r="D9" l="1"/>
  <c r="E100" i="12"/>
  <c r="C96" i="7" l="1"/>
  <c r="E92" s="1"/>
  <c r="F92" s="1"/>
  <c r="G92" s="1"/>
  <c r="H92" s="1"/>
  <c r="C41"/>
  <c r="C40"/>
  <c r="G8" s="1"/>
  <c r="C39"/>
  <c r="C28" i="10"/>
  <c r="F8" i="7" l="1"/>
  <c r="H8" s="1"/>
  <c r="F6"/>
  <c r="F7"/>
  <c r="E88"/>
  <c r="C15"/>
  <c r="D15" s="1"/>
  <c r="F15" s="1"/>
  <c r="E15"/>
  <c r="E22" s="1"/>
  <c r="E29" s="1"/>
  <c r="E36" s="1"/>
  <c r="E93"/>
  <c r="E90"/>
  <c r="F90" s="1"/>
  <c r="G90" s="1"/>
  <c r="H90" s="1"/>
  <c r="E13"/>
  <c r="E14"/>
  <c r="E21" s="1"/>
  <c r="E28" s="1"/>
  <c r="E35" s="1"/>
  <c r="C14"/>
  <c r="G7"/>
  <c r="N65" i="10"/>
  <c r="O65"/>
  <c r="F71"/>
  <c r="G71"/>
  <c r="C22" i="7" l="1"/>
  <c r="D22" s="1"/>
  <c r="F22" s="1"/>
  <c r="E18" i="9"/>
  <c r="D21" i="10" s="1"/>
  <c r="E20" i="9"/>
  <c r="D23" i="10" s="1"/>
  <c r="F93" i="7"/>
  <c r="E21" i="9"/>
  <c r="D24" i="10" s="1"/>
  <c r="F88" i="7"/>
  <c r="E16" i="9"/>
  <c r="D20" i="10" s="1"/>
  <c r="H7" i="7"/>
  <c r="E20"/>
  <c r="G15"/>
  <c r="C21"/>
  <c r="D14"/>
  <c r="F14" s="1"/>
  <c r="B60" i="10"/>
  <c r="G22" i="7" l="1"/>
  <c r="H22" s="1"/>
  <c r="C29"/>
  <c r="D29" s="1"/>
  <c r="F29" s="1"/>
  <c r="G88"/>
  <c r="F16" i="9"/>
  <c r="E20" i="10" s="1"/>
  <c r="G93" i="7"/>
  <c r="F21" i="9"/>
  <c r="E24" i="10" s="1"/>
  <c r="F20" i="9"/>
  <c r="E23" i="10" s="1"/>
  <c r="F18" i="9"/>
  <c r="E21" i="10" s="1"/>
  <c r="H15" i="7"/>
  <c r="E27"/>
  <c r="G14"/>
  <c r="D21"/>
  <c r="F21" s="1"/>
  <c r="C28"/>
  <c r="C36" l="1"/>
  <c r="D36" s="1"/>
  <c r="F36" s="1"/>
  <c r="G29"/>
  <c r="H18" i="9"/>
  <c r="G21" i="10" s="1"/>
  <c r="G18" i="9"/>
  <c r="F21" i="10" s="1"/>
  <c r="H20" i="9"/>
  <c r="G23" i="10" s="1"/>
  <c r="G20" i="9"/>
  <c r="F23" i="10" s="1"/>
  <c r="H93" i="7"/>
  <c r="H21" i="9" s="1"/>
  <c r="G24" i="10" s="1"/>
  <c r="G21" i="9"/>
  <c r="F24" i="10" s="1"/>
  <c r="H88" i="7"/>
  <c r="H16" i="9" s="1"/>
  <c r="G20" i="10" s="1"/>
  <c r="G16" i="9"/>
  <c r="F20" i="10" s="1"/>
  <c r="E34" i="7"/>
  <c r="H14"/>
  <c r="D28"/>
  <c r="F28" s="1"/>
  <c r="C35"/>
  <c r="D35" s="1"/>
  <c r="F35" s="1"/>
  <c r="G21"/>
  <c r="C27" i="10"/>
  <c r="G36" i="7" l="1"/>
  <c r="H36" s="1"/>
  <c r="H29"/>
  <c r="G35"/>
  <c r="H21"/>
  <c r="G28"/>
  <c r="D91"/>
  <c r="F9"/>
  <c r="D19" i="9" l="1"/>
  <c r="C22" i="10" s="1"/>
  <c r="E91" i="7"/>
  <c r="H28"/>
  <c r="H35"/>
  <c r="D85"/>
  <c r="D86"/>
  <c r="D87"/>
  <c r="E87" l="1"/>
  <c r="E15" i="9" s="1"/>
  <c r="D19" i="10" s="1"/>
  <c r="D15" i="9"/>
  <c r="C19" i="10" s="1"/>
  <c r="E85" i="7"/>
  <c r="E13" i="9" s="1"/>
  <c r="D17" i="10" s="1"/>
  <c r="D13" i="9"/>
  <c r="C17" i="10" s="1"/>
  <c r="E86" i="7"/>
  <c r="E14" i="9" s="1"/>
  <c r="D18" i="10" s="1"/>
  <c r="D14" i="9"/>
  <c r="C18" i="10" s="1"/>
  <c r="E19" i="9"/>
  <c r="D22" i="10" s="1"/>
  <c r="E83" i="7"/>
  <c r="D11" i="9"/>
  <c r="C16" i="10" s="1"/>
  <c r="F91" i="7"/>
  <c r="F19" i="9" s="1"/>
  <c r="E22" i="10" s="1"/>
  <c r="E11" i="9" l="1"/>
  <c r="D16" i="10" s="1"/>
  <c r="G91" i="7"/>
  <c r="F86"/>
  <c r="F14" i="9" s="1"/>
  <c r="E18" i="10" s="1"/>
  <c r="F83" i="7"/>
  <c r="F11" i="9" s="1"/>
  <c r="E16" i="10" s="1"/>
  <c r="F85" i="7"/>
  <c r="F13" i="9" s="1"/>
  <c r="E17" i="10" s="1"/>
  <c r="F87" i="7"/>
  <c r="F15" i="9" s="1"/>
  <c r="E19" i="10" s="1"/>
  <c r="F89" i="7"/>
  <c r="F17" i="9" l="1"/>
  <c r="H91" i="7"/>
  <c r="H19" i="9" s="1"/>
  <c r="G22" i="10" s="1"/>
  <c r="G19" i="9"/>
  <c r="F22" i="10" s="1"/>
  <c r="G85" i="7"/>
  <c r="G13" i="9" s="1"/>
  <c r="F17" i="10" s="1"/>
  <c r="G83" i="7"/>
  <c r="G11" i="9" s="1"/>
  <c r="F16" i="10" s="1"/>
  <c r="G87" i="7"/>
  <c r="G15" i="9" s="1"/>
  <c r="F19" i="10" s="1"/>
  <c r="G86" i="7"/>
  <c r="G14" i="9" s="1"/>
  <c r="F18" i="10" s="1"/>
  <c r="G89" i="7"/>
  <c r="E59" i="10" l="1"/>
  <c r="E60" s="1"/>
  <c r="E9" i="13"/>
  <c r="G17" i="9"/>
  <c r="H86" i="7"/>
  <c r="H14" i="9" s="1"/>
  <c r="G18" i="10" s="1"/>
  <c r="H83" i="7"/>
  <c r="H11" i="9" s="1"/>
  <c r="G16" i="10" s="1"/>
  <c r="H87" i="7"/>
  <c r="H15" i="9" s="1"/>
  <c r="G19" i="10" s="1"/>
  <c r="H85" i="7"/>
  <c r="H13" i="9" s="1"/>
  <c r="G17" i="10" s="1"/>
  <c r="H89" i="7"/>
  <c r="F59" i="10" l="1"/>
  <c r="F60" s="1"/>
  <c r="F9" i="13"/>
  <c r="H17" i="9"/>
  <c r="G59" i="10" l="1"/>
  <c r="G60" s="1"/>
  <c r="G9" i="13"/>
  <c r="C13" i="7" l="1"/>
  <c r="C16" s="1"/>
  <c r="E9" l="1"/>
  <c r="D13"/>
  <c r="F13" s="1"/>
  <c r="C20"/>
  <c r="C23" s="1"/>
  <c r="E16"/>
  <c r="G6"/>
  <c r="G9" s="1"/>
  <c r="D82" s="1"/>
  <c r="C82" s="1"/>
  <c r="D10" i="9" l="1"/>
  <c r="C67" i="10"/>
  <c r="F16" i="7"/>
  <c r="D16"/>
  <c r="G13"/>
  <c r="G16" s="1"/>
  <c r="E82" s="1"/>
  <c r="E23"/>
  <c r="D20"/>
  <c r="C27"/>
  <c r="C30" s="1"/>
  <c r="J20" i="5"/>
  <c r="P20" s="1"/>
  <c r="V20" s="1"/>
  <c r="AB20" s="1"/>
  <c r="J21"/>
  <c r="P21" s="1"/>
  <c r="V21" s="1"/>
  <c r="AB21" s="1"/>
  <c r="J19"/>
  <c r="P19" s="1"/>
  <c r="V19" s="1"/>
  <c r="AB19" s="1"/>
  <c r="H20"/>
  <c r="N20" s="1"/>
  <c r="T20" s="1"/>
  <c r="Z20" s="1"/>
  <c r="H21"/>
  <c r="N21" s="1"/>
  <c r="T21" s="1"/>
  <c r="Z21" s="1"/>
  <c r="H19"/>
  <c r="N19" s="1"/>
  <c r="T19" s="1"/>
  <c r="Z19" s="1"/>
  <c r="D23" i="7" l="1"/>
  <c r="F20"/>
  <c r="F23" s="1"/>
  <c r="E10" i="9"/>
  <c r="D67" i="10"/>
  <c r="E28" s="1"/>
  <c r="G20" i="7"/>
  <c r="G23" s="1"/>
  <c r="E30"/>
  <c r="D27"/>
  <c r="C34"/>
  <c r="D28" i="10"/>
  <c r="H13" i="7"/>
  <c r="H16" s="1"/>
  <c r="E81" s="1"/>
  <c r="D30" l="1"/>
  <c r="F27"/>
  <c r="F30" s="1"/>
  <c r="E9" i="9"/>
  <c r="F82" i="7"/>
  <c r="F10" i="9" s="1"/>
  <c r="E67" i="10"/>
  <c r="D34" i="7"/>
  <c r="C37"/>
  <c r="H20"/>
  <c r="H23" s="1"/>
  <c r="F81" s="1"/>
  <c r="G27"/>
  <c r="G30" s="1"/>
  <c r="D37" l="1"/>
  <c r="F34"/>
  <c r="F37" s="1"/>
  <c r="D15" i="10"/>
  <c r="F9" i="9"/>
  <c r="G82" i="7"/>
  <c r="G10" i="9" s="1"/>
  <c r="F67" i="10"/>
  <c r="G34" i="7"/>
  <c r="G37" s="1"/>
  <c r="E37"/>
  <c r="H27"/>
  <c r="H30" s="1"/>
  <c r="G81" s="1"/>
  <c r="F28" i="10"/>
  <c r="E15" l="1"/>
  <c r="G9" i="9"/>
  <c r="H82" i="7"/>
  <c r="H10" i="9" s="1"/>
  <c r="G67" i="10"/>
  <c r="H34" i="7"/>
  <c r="H37" s="1"/>
  <c r="H81" s="1"/>
  <c r="G28" i="10"/>
  <c r="Q20" i="5"/>
  <c r="Q21"/>
  <c r="Q19"/>
  <c r="W20"/>
  <c r="F15" i="10" l="1"/>
  <c r="H9" i="9"/>
  <c r="Q23" i="5"/>
  <c r="AC19"/>
  <c r="W19"/>
  <c r="W21"/>
  <c r="F4" i="9" l="1"/>
  <c r="D21" i="13" s="1"/>
  <c r="G15" i="10"/>
  <c r="AC21" i="5"/>
  <c r="AC20"/>
  <c r="W23"/>
  <c r="G4" i="9" l="1"/>
  <c r="E21" i="13" s="1"/>
  <c r="F6" i="9"/>
  <c r="L9" i="8"/>
  <c r="AC23" i="5"/>
  <c r="K21"/>
  <c r="K20"/>
  <c r="K19"/>
  <c r="E20"/>
  <c r="E21"/>
  <c r="E19"/>
  <c r="E8" i="10" l="1"/>
  <c r="E11" s="1"/>
  <c r="E4" i="22"/>
  <c r="D5" i="16"/>
  <c r="D15"/>
  <c r="E23" i="5"/>
  <c r="H4" i="9"/>
  <c r="F21" i="13" s="1"/>
  <c r="G6" i="9"/>
  <c r="K23" i="5"/>
  <c r="E13" i="22" l="1"/>
  <c r="E10"/>
  <c r="E11"/>
  <c r="F8" i="10"/>
  <c r="F11" s="1"/>
  <c r="C15" i="16"/>
  <c r="D4" i="22"/>
  <c r="C5" i="16"/>
  <c r="E4" i="9"/>
  <c r="C21" i="13" s="1"/>
  <c r="D4" i="9"/>
  <c r="B21" i="13" s="1"/>
  <c r="H6" i="9"/>
  <c r="C51" i="10"/>
  <c r="D51" s="1"/>
  <c r="E51" s="1"/>
  <c r="F51" s="1"/>
  <c r="G51" s="1"/>
  <c r="G8" l="1"/>
  <c r="G11" s="1"/>
  <c r="C4" i="22"/>
  <c r="B5" i="16"/>
  <c r="B15"/>
  <c r="D11" i="22"/>
  <c r="D13"/>
  <c r="D10"/>
  <c r="E6" i="9"/>
  <c r="D6"/>
  <c r="C52" i="10"/>
  <c r="D52" s="1"/>
  <c r="E52" s="1"/>
  <c r="F52" s="1"/>
  <c r="G52" s="1"/>
  <c r="D8" l="1"/>
  <c r="D11" s="1"/>
  <c r="E15" i="16"/>
  <c r="F4" i="22"/>
  <c r="E5" i="16"/>
  <c r="G4" i="22"/>
  <c r="F5" i="16"/>
  <c r="F15"/>
  <c r="C8" i="10"/>
  <c r="C11" s="1"/>
  <c r="C13" i="22" l="1"/>
  <c r="C10"/>
  <c r="C11"/>
  <c r="F11"/>
  <c r="F13"/>
  <c r="F10"/>
  <c r="C50" i="10"/>
  <c r="B54"/>
  <c r="D50" l="1"/>
  <c r="E50" l="1"/>
  <c r="F50" l="1"/>
  <c r="H6" i="7"/>
  <c r="H9" s="1"/>
  <c r="D81" s="1"/>
  <c r="D94" s="1"/>
  <c r="C93" i="12" s="1"/>
  <c r="C95" s="1"/>
  <c r="D9" i="9" l="1"/>
  <c r="D23" s="1"/>
  <c r="D25" s="1"/>
  <c r="C81" i="7"/>
  <c r="G50" i="10"/>
  <c r="F4" i="16" l="1"/>
  <c r="F6" s="1"/>
  <c r="C99" i="12"/>
  <c r="C15" i="10"/>
  <c r="C103" i="12" l="1"/>
  <c r="C4" i="8"/>
  <c r="L10"/>
  <c r="H28" i="9" l="1"/>
  <c r="G25" i="10"/>
  <c r="L11" i="8"/>
  <c r="F65" i="10" s="1"/>
  <c r="L12" i="8"/>
  <c r="G26" i="10" l="1"/>
  <c r="B10" l="1"/>
  <c r="D8" i="8" l="1"/>
  <c r="E14" s="1"/>
  <c r="B15" s="1"/>
  <c r="C15" l="1"/>
  <c r="D15" l="1"/>
  <c r="B16"/>
  <c r="B17" l="1"/>
  <c r="E15"/>
  <c r="C16" l="1"/>
  <c r="B18"/>
  <c r="B19" l="1"/>
  <c r="D16"/>
  <c r="E16" l="1"/>
  <c r="B20"/>
  <c r="B21" l="1"/>
  <c r="C17"/>
  <c r="B22" l="1"/>
  <c r="D17"/>
  <c r="B23" l="1"/>
  <c r="E17"/>
  <c r="C18" l="1"/>
  <c r="B24"/>
  <c r="B25" l="1"/>
  <c r="D18"/>
  <c r="B26" l="1"/>
  <c r="E18"/>
  <c r="C19" l="1"/>
  <c r="D19" s="1"/>
  <c r="E19" s="1"/>
  <c r="B27"/>
  <c r="H9"/>
  <c r="C20" l="1"/>
  <c r="D20" s="1"/>
  <c r="E20" s="1"/>
  <c r="B28"/>
  <c r="C21" l="1"/>
  <c r="D21" s="1"/>
  <c r="E21" s="1"/>
  <c r="B29"/>
  <c r="C22" l="1"/>
  <c r="D22" s="1"/>
  <c r="E22" s="1"/>
  <c r="B30"/>
  <c r="C23" l="1"/>
  <c r="D23" s="1"/>
  <c r="E23" s="1"/>
  <c r="B31"/>
  <c r="C24" l="1"/>
  <c r="D24" s="1"/>
  <c r="E24" s="1"/>
  <c r="B32"/>
  <c r="C25" l="1"/>
  <c r="D25" s="1"/>
  <c r="E25" s="1"/>
  <c r="B33"/>
  <c r="C26" l="1"/>
  <c r="B34"/>
  <c r="B35" l="1"/>
  <c r="H10"/>
  <c r="D26"/>
  <c r="H11" l="1"/>
  <c r="B65" i="10" s="1"/>
  <c r="E26" i="8"/>
  <c r="C25" i="10"/>
  <c r="D28" i="9"/>
  <c r="B36" i="8"/>
  <c r="D29" i="9" l="1"/>
  <c r="D31" s="1"/>
  <c r="D33" s="1"/>
  <c r="B20" i="13"/>
  <c r="B23" s="1"/>
  <c r="B37" i="8"/>
  <c r="H12"/>
  <c r="B70" i="10" s="1"/>
  <c r="B71" s="1"/>
  <c r="C27" i="8"/>
  <c r="C26" i="10"/>
  <c r="C33" s="1"/>
  <c r="B68"/>
  <c r="F14" i="16" l="1"/>
  <c r="F16" s="1"/>
  <c r="C35" i="10"/>
  <c r="B73"/>
  <c r="G5" i="25" s="1"/>
  <c r="B38" i="8"/>
  <c r="D27"/>
  <c r="C66" i="10"/>
  <c r="D27" s="1"/>
  <c r="C78" l="1"/>
  <c r="E27" i="8"/>
  <c r="B39"/>
  <c r="I9"/>
  <c r="D77" i="10" l="1"/>
  <c r="D76"/>
  <c r="C7" i="13"/>
  <c r="B9" i="10"/>
  <c r="B11" s="1"/>
  <c r="B35" s="1"/>
  <c r="B37" s="1"/>
  <c r="B5" i="13"/>
  <c r="B10" s="1"/>
  <c r="B75" i="10"/>
  <c r="B40" i="8"/>
  <c r="C28"/>
  <c r="D100" i="12" l="1"/>
  <c r="D99"/>
  <c r="D28" i="8"/>
  <c r="B41"/>
  <c r="B79" i="10"/>
  <c r="B81" s="1"/>
  <c r="C75"/>
  <c r="C36"/>
  <c r="C37" s="1"/>
  <c r="B46"/>
  <c r="B48" s="1"/>
  <c r="B62" l="1"/>
  <c r="B83" s="1"/>
  <c r="G4" i="25"/>
  <c r="D75" i="10"/>
  <c r="C79"/>
  <c r="G5" i="24" s="1"/>
  <c r="B42" i="8"/>
  <c r="D36" i="10"/>
  <c r="C46"/>
  <c r="C48" s="1"/>
  <c r="F4" i="25" s="1"/>
  <c r="E28" i="8"/>
  <c r="G16" i="24" l="1"/>
  <c r="G18" s="1"/>
  <c r="G19" s="1"/>
  <c r="G51"/>
  <c r="G8" i="25"/>
  <c r="G9"/>
  <c r="G7"/>
  <c r="C29" i="8"/>
  <c r="B43"/>
  <c r="E75" i="10"/>
  <c r="F75" l="1"/>
  <c r="B44" i="8"/>
  <c r="D29"/>
  <c r="E29" l="1"/>
  <c r="B45"/>
  <c r="G75" i="10"/>
  <c r="B46" i="8" l="1"/>
  <c r="C30"/>
  <c r="B47" l="1"/>
  <c r="D30"/>
  <c r="B48" l="1"/>
  <c r="E30"/>
  <c r="C31" l="1"/>
  <c r="B49"/>
  <c r="B50" l="1"/>
  <c r="D31"/>
  <c r="E31" l="1"/>
  <c r="J9"/>
  <c r="K9" l="1"/>
  <c r="C32"/>
  <c r="D32" s="1"/>
  <c r="E32" s="1"/>
  <c r="C33" l="1"/>
  <c r="D33" s="1"/>
  <c r="E33" s="1"/>
  <c r="C34" l="1"/>
  <c r="D34" s="1"/>
  <c r="E34" s="1"/>
  <c r="C35" l="1"/>
  <c r="D35" s="1"/>
  <c r="E35" s="1"/>
  <c r="C36" l="1"/>
  <c r="D36" s="1"/>
  <c r="E36" s="1"/>
  <c r="C37" l="1"/>
  <c r="D37" s="1"/>
  <c r="E37" s="1"/>
  <c r="C38" l="1"/>
  <c r="D38" l="1"/>
  <c r="I10"/>
  <c r="D25" i="10" l="1"/>
  <c r="E28" i="9"/>
  <c r="I11" i="8"/>
  <c r="C65" i="10" s="1"/>
  <c r="E38" i="8"/>
  <c r="I12" l="1"/>
  <c r="C70" i="10" s="1"/>
  <c r="C71" s="1"/>
  <c r="C39" i="8"/>
  <c r="D26" i="10"/>
  <c r="D33" s="1"/>
  <c r="D35" s="1"/>
  <c r="C68"/>
  <c r="G7" i="22" s="1"/>
  <c r="G12" s="1"/>
  <c r="D39" i="8" l="1"/>
  <c r="C73" i="10"/>
  <c r="C81" l="1"/>
  <c r="G8" i="24" s="1"/>
  <c r="F5" i="25"/>
  <c r="E39" i="8"/>
  <c r="G50" i="24" l="1"/>
  <c r="G53" s="1"/>
  <c r="G44"/>
  <c r="G46" s="1"/>
  <c r="F9" i="25"/>
  <c r="F8"/>
  <c r="F7"/>
  <c r="C40" i="8"/>
  <c r="D40" l="1"/>
  <c r="E40" l="1"/>
  <c r="C41" l="1"/>
  <c r="D41" l="1"/>
  <c r="E41" l="1"/>
  <c r="C42" l="1"/>
  <c r="D42" l="1"/>
  <c r="E42" l="1"/>
  <c r="C43" l="1"/>
  <c r="D43" l="1"/>
  <c r="E43" l="1"/>
  <c r="C44" l="1"/>
  <c r="D44" s="1"/>
  <c r="E44" s="1"/>
  <c r="C45" l="1"/>
  <c r="D45" s="1"/>
  <c r="E45" s="1"/>
  <c r="C46" l="1"/>
  <c r="D46" s="1"/>
  <c r="E46" s="1"/>
  <c r="C47" l="1"/>
  <c r="D47" s="1"/>
  <c r="E47" s="1"/>
  <c r="C48" l="1"/>
  <c r="D48" s="1"/>
  <c r="E48" s="1"/>
  <c r="C49" l="1"/>
  <c r="D49" s="1"/>
  <c r="E49" s="1"/>
  <c r="C50" l="1"/>
  <c r="D50" l="1"/>
  <c r="J10"/>
  <c r="E25" i="10" l="1"/>
  <c r="F28" i="9"/>
  <c r="J11" i="8"/>
  <c r="D65" i="10" s="1"/>
  <c r="E50" i="8"/>
  <c r="J12" l="1"/>
  <c r="D70" i="10" s="1"/>
  <c r="D71" s="1"/>
  <c r="E26"/>
  <c r="E84" i="7" l="1"/>
  <c r="E94" s="1"/>
  <c r="E12" i="9" l="1"/>
  <c r="D8" i="13" s="1"/>
  <c r="C10"/>
  <c r="F84" i="7"/>
  <c r="F94" s="1"/>
  <c r="D53" i="10" l="1"/>
  <c r="E23" i="9"/>
  <c r="C20" i="13" s="1"/>
  <c r="D37" i="10"/>
  <c r="F12" i="9"/>
  <c r="E8" i="13" s="1"/>
  <c r="G84" i="7"/>
  <c r="G94" s="1"/>
  <c r="C54" i="10"/>
  <c r="G7" i="24" s="1"/>
  <c r="C23" i="13" l="1"/>
  <c r="E53" i="10"/>
  <c r="F23" i="9"/>
  <c r="D20" i="13" s="1"/>
  <c r="E25" i="9"/>
  <c r="E4" i="16" s="1"/>
  <c r="C62" i="10"/>
  <c r="C83" s="1"/>
  <c r="E36"/>
  <c r="D46"/>
  <c r="D48" s="1"/>
  <c r="E4" i="25" s="1"/>
  <c r="G12" i="9"/>
  <c r="F8" i="13" s="1"/>
  <c r="H84" i="7"/>
  <c r="H94" s="1"/>
  <c r="D54" i="10"/>
  <c r="F7" i="24" s="1"/>
  <c r="E29" i="9" l="1"/>
  <c r="E31" s="1"/>
  <c r="D66" i="10" s="1"/>
  <c r="E6" i="16"/>
  <c r="F25" i="9"/>
  <c r="D4" i="16" s="1"/>
  <c r="D23" i="13"/>
  <c r="F53" i="10"/>
  <c r="G23" i="9"/>
  <c r="D62" i="10"/>
  <c r="F8" i="24" s="1"/>
  <c r="H12" i="9"/>
  <c r="G8" i="13" s="1"/>
  <c r="E54" i="10"/>
  <c r="E7" i="24" s="1"/>
  <c r="F44" l="1"/>
  <c r="F46" s="1"/>
  <c r="F50"/>
  <c r="F9" i="16"/>
  <c r="F29" i="9"/>
  <c r="F31" s="1"/>
  <c r="E66" i="10" s="1"/>
  <c r="E33" i="9"/>
  <c r="E14" i="16" s="1"/>
  <c r="E16" s="1"/>
  <c r="E27" i="10"/>
  <c r="D68"/>
  <c r="G53"/>
  <c r="G54" s="1"/>
  <c r="C7" i="24" s="1"/>
  <c r="H23" i="9"/>
  <c r="F20" i="13" s="1"/>
  <c r="G25" i="9"/>
  <c r="C4" i="16" s="1"/>
  <c r="C6" s="1"/>
  <c r="F54" i="10"/>
  <c r="D7" i="24" s="1"/>
  <c r="D73" i="10" l="1"/>
  <c r="E5" i="25"/>
  <c r="F7" i="22"/>
  <c r="F12" s="1"/>
  <c r="D7" i="13"/>
  <c r="D10" s="1"/>
  <c r="E9" i="16"/>
  <c r="D6"/>
  <c r="D9"/>
  <c r="F10"/>
  <c r="E33" i="10"/>
  <c r="E35" s="1"/>
  <c r="E37" s="1"/>
  <c r="D78"/>
  <c r="D79" s="1"/>
  <c r="F33" i="9"/>
  <c r="D14" i="16" s="1"/>
  <c r="D16" s="1"/>
  <c r="E20" s="1"/>
  <c r="F27" i="10"/>
  <c r="H25" i="9"/>
  <c r="B4" i="16" s="1"/>
  <c r="C9" s="1"/>
  <c r="F23" i="13"/>
  <c r="D81" i="10" l="1"/>
  <c r="D83" s="1"/>
  <c r="F5" i="24"/>
  <c r="E8" i="25"/>
  <c r="E7"/>
  <c r="E9"/>
  <c r="D10" i="16"/>
  <c r="E10"/>
  <c r="E7" i="13"/>
  <c r="E10" s="1"/>
  <c r="F19" i="16"/>
  <c r="F20"/>
  <c r="H29" i="9"/>
  <c r="H31" s="1"/>
  <c r="G66" i="10" s="1"/>
  <c r="G68" s="1"/>
  <c r="E46"/>
  <c r="E48" s="1"/>
  <c r="F36"/>
  <c r="E76"/>
  <c r="E78"/>
  <c r="E77"/>
  <c r="F16" i="24" l="1"/>
  <c r="F18" s="1"/>
  <c r="F19" s="1"/>
  <c r="F51"/>
  <c r="F53" s="1"/>
  <c r="G73" i="10"/>
  <c r="B5" i="25" s="1"/>
  <c r="C7" i="22"/>
  <c r="C12" s="1"/>
  <c r="E62" i="10"/>
  <c r="E8" i="24" s="1"/>
  <c r="D4" i="25"/>
  <c r="B6" i="16"/>
  <c r="C10" s="1"/>
  <c r="E19"/>
  <c r="F76" i="10"/>
  <c r="F77"/>
  <c r="E79"/>
  <c r="E5" i="24" s="1"/>
  <c r="H33" i="9"/>
  <c r="E50" i="24" l="1"/>
  <c r="E44"/>
  <c r="E46" s="1"/>
  <c r="E51"/>
  <c r="E16"/>
  <c r="E18" s="1"/>
  <c r="E19" s="1"/>
  <c r="G7" i="13"/>
  <c r="G10" s="1"/>
  <c r="B14" i="16"/>
  <c r="G78" i="10"/>
  <c r="K10" i="8"/>
  <c r="E53" i="24" l="1"/>
  <c r="B16" i="16"/>
  <c r="K12" i="8"/>
  <c r="E70" i="10" s="1"/>
  <c r="E71" s="1"/>
  <c r="K11" i="8"/>
  <c r="E65" i="10" s="1"/>
  <c r="F25"/>
  <c r="G28" i="9"/>
  <c r="G29" l="1"/>
  <c r="G31" s="1"/>
  <c r="F66" i="10" s="1"/>
  <c r="E20" i="13"/>
  <c r="E23" s="1"/>
  <c r="F26" i="10"/>
  <c r="F33" s="1"/>
  <c r="F35" s="1"/>
  <c r="F37" s="1"/>
  <c r="E68"/>
  <c r="E73" l="1"/>
  <c r="E7" i="22"/>
  <c r="E12" s="1"/>
  <c r="G27" i="10"/>
  <c r="G33" s="1"/>
  <c r="G35" s="1"/>
  <c r="F68"/>
  <c r="F46"/>
  <c r="F48" s="1"/>
  <c r="G36"/>
  <c r="G33" i="9"/>
  <c r="C14" i="16" s="1"/>
  <c r="F62" i="10" l="1"/>
  <c r="D8" i="24" s="1"/>
  <c r="C4" i="25"/>
  <c r="F73" i="10"/>
  <c r="C5" i="25" s="1"/>
  <c r="D7" i="22"/>
  <c r="D12" s="1"/>
  <c r="D19" i="16"/>
  <c r="C19"/>
  <c r="E81" i="10"/>
  <c r="E83" s="1"/>
  <c r="D5" i="25"/>
  <c r="C16" i="16"/>
  <c r="G37" i="10"/>
  <c r="G46" s="1"/>
  <c r="G48" s="1"/>
  <c r="F78"/>
  <c r="F7" i="13"/>
  <c r="F10" s="1"/>
  <c r="B13" s="1"/>
  <c r="D44" i="24" l="1"/>
  <c r="D46" s="1"/>
  <c r="D50"/>
  <c r="G62" i="10"/>
  <c r="C8" i="24" s="1"/>
  <c r="B4" i="25"/>
  <c r="D7"/>
  <c r="D8"/>
  <c r="D9"/>
  <c r="C8"/>
  <c r="C7"/>
  <c r="C9"/>
  <c r="D20" i="16"/>
  <c r="C20"/>
  <c r="G77" i="10"/>
  <c r="F79"/>
  <c r="G76"/>
  <c r="B14" i="13"/>
  <c r="F14" s="1"/>
  <c r="C50" i="24" l="1"/>
  <c r="C44"/>
  <c r="C46" s="1"/>
  <c r="F81" i="10"/>
  <c r="F83" s="1"/>
  <c r="D5" i="24"/>
  <c r="B8" i="25"/>
  <c r="B7"/>
  <c r="B9"/>
  <c r="G79" i="10"/>
  <c r="D16" i="24" l="1"/>
  <c r="D18" s="1"/>
  <c r="D19" s="1"/>
  <c r="D51"/>
  <c r="D53" s="1"/>
  <c r="G81" i="10"/>
  <c r="G83" s="1"/>
  <c r="C5" i="24"/>
  <c r="C51" l="1"/>
  <c r="C53" s="1"/>
  <c r="C16"/>
  <c r="C18" s="1"/>
  <c r="C19" s="1"/>
</calcChain>
</file>

<file path=xl/comments1.xml><?xml version="1.0" encoding="utf-8"?>
<comments xmlns="http://schemas.openxmlformats.org/spreadsheetml/2006/main">
  <authors>
    <author>Alumno</author>
  </authors>
  <commentList>
    <comment ref="C30" authorId="0">
      <text>
        <r>
          <rPr>
            <b/>
            <sz val="9"/>
            <color indexed="81"/>
            <rFont val="Tahoma"/>
            <family val="2"/>
          </rPr>
          <t>Alumno:</t>
        </r>
        <r>
          <rPr>
            <sz val="9"/>
            <color indexed="81"/>
            <rFont val="Tahoma"/>
            <family val="2"/>
          </rPr>
          <t xml:space="preserve">
Minimo igual a la inflacion, tomando como referencia la informacion de http://inflacion.com.co/inflacion-2012-colombia.html </t>
        </r>
      </text>
    </comment>
    <comment ref="B93" authorId="0">
      <text>
        <r>
          <rPr>
            <b/>
            <sz val="9"/>
            <color indexed="81"/>
            <rFont val="Tahoma"/>
            <family val="2"/>
          </rPr>
          <t>Alumno:</t>
        </r>
        <r>
          <rPr>
            <sz val="9"/>
            <color indexed="81"/>
            <rFont val="Tahoma"/>
            <family val="2"/>
          </rPr>
          <t xml:space="preserve">
plata para que el negocio funcione.</t>
        </r>
      </text>
    </comment>
  </commentList>
</comments>
</file>

<file path=xl/comments2.xml><?xml version="1.0" encoding="utf-8"?>
<comments xmlns="http://schemas.openxmlformats.org/spreadsheetml/2006/main">
  <authors>
    <author>Alumno</author>
  </authors>
  <commentList>
    <comment ref="B84" authorId="0">
      <text>
        <r>
          <rPr>
            <b/>
            <sz val="9"/>
            <color indexed="81"/>
            <rFont val="Tahoma"/>
            <family val="2"/>
          </rPr>
          <t>Alumno:</t>
        </r>
        <r>
          <rPr>
            <sz val="9"/>
            <color indexed="81"/>
            <rFont val="Tahoma"/>
            <family val="2"/>
          </rPr>
          <t xml:space="preserve">
correponde sobre equipo de off y de computo
</t>
        </r>
      </text>
    </comment>
    <comment ref="B89" authorId="0">
      <text>
        <r>
          <rPr>
            <b/>
            <sz val="9"/>
            <color indexed="81"/>
            <rFont val="Tahoma"/>
            <family val="2"/>
          </rPr>
          <t>Alumno:</t>
        </r>
        <r>
          <rPr>
            <sz val="9"/>
            <color indexed="81"/>
            <rFont val="Tahoma"/>
            <family val="2"/>
          </rPr>
          <t xml:space="preserve">
Funciona igual a la depreciacion. Se hizo sobre la pagina web y el aviso.
Es un gasto pagado por anticipado. No se puede diferir, pero contablemente se difiere utilizando esa cuenta</t>
        </r>
      </text>
    </comment>
  </commentList>
</comments>
</file>

<file path=xl/comments3.xml><?xml version="1.0" encoding="utf-8"?>
<comments xmlns="http://schemas.openxmlformats.org/spreadsheetml/2006/main">
  <authors>
    <author>USUARIO</author>
  </authors>
  <commentList>
    <comment ref="B12" authorId="0">
      <text>
        <r>
          <rPr>
            <sz val="9"/>
            <color indexed="81"/>
            <rFont val="Tahoma"/>
            <family val="2"/>
          </rPr>
          <t xml:space="preserve">Tasa de interes minima que pide el inversionista
</t>
        </r>
      </text>
    </comment>
    <comment ref="B13" authorId="0">
      <text>
        <r>
          <rPr>
            <sz val="9"/>
            <color indexed="81"/>
            <rFont val="Tahoma"/>
            <family val="2"/>
          </rPr>
          <t xml:space="preserve">El proyecto sera viable si el VNA es Mayor a 0
</t>
        </r>
      </text>
    </comment>
    <comment ref="B14" authorId="0">
      <text>
        <r>
          <rPr>
            <b/>
            <sz val="9"/>
            <color indexed="81"/>
            <rFont val="Tahoma"/>
            <family val="2"/>
          </rPr>
          <t>El proyecto es viable si la TIR es mayor a la Tasa de descuento</t>
        </r>
      </text>
    </comment>
    <comment ref="F14" authorId="0">
      <text>
        <r>
          <rPr>
            <b/>
            <sz val="9"/>
            <color indexed="81"/>
            <rFont val="Tahoma"/>
            <family val="2"/>
          </rPr>
          <t>El proyecto es viable</t>
        </r>
        <r>
          <rPr>
            <sz val="9"/>
            <color indexed="81"/>
            <rFont val="Tahoma"/>
            <family val="2"/>
          </rPr>
          <t xml:space="preserve">
</t>
        </r>
      </text>
    </comment>
  </commentList>
</comments>
</file>

<file path=xl/sharedStrings.xml><?xml version="1.0" encoding="utf-8"?>
<sst xmlns="http://schemas.openxmlformats.org/spreadsheetml/2006/main" count="541" uniqueCount="251">
  <si>
    <t>Año 1</t>
  </si>
  <si>
    <t>Unidades</t>
  </si>
  <si>
    <t>Precio</t>
  </si>
  <si>
    <t>Ingreso</t>
  </si>
  <si>
    <t>Ingreso Total</t>
  </si>
  <si>
    <t>Año 2</t>
  </si>
  <si>
    <t>%</t>
  </si>
  <si>
    <t>Año 3</t>
  </si>
  <si>
    <t>Año 4</t>
  </si>
  <si>
    <t>Año 5</t>
  </si>
  <si>
    <t>Presupuesto de Mano de Obra</t>
  </si>
  <si>
    <t>Cargo</t>
  </si>
  <si>
    <t>No.</t>
  </si>
  <si>
    <t>Basico</t>
  </si>
  <si>
    <t>Prestaciones</t>
  </si>
  <si>
    <t>Cesantias</t>
  </si>
  <si>
    <t>Total</t>
  </si>
  <si>
    <t>Aux. Transporte</t>
  </si>
  <si>
    <t>Prestaciones:</t>
  </si>
  <si>
    <t>Cesantias:</t>
  </si>
  <si>
    <t>% Aumento en sueldos</t>
  </si>
  <si>
    <t>Basico Mensual</t>
  </si>
  <si>
    <t>Arriendo</t>
  </si>
  <si>
    <t>Depreciacion</t>
  </si>
  <si>
    <t>Gasto Mensual</t>
  </si>
  <si>
    <t>Papeleria</t>
  </si>
  <si>
    <t>% Aumento en Gastos</t>
  </si>
  <si>
    <t>Amortizacion Diferidos</t>
  </si>
  <si>
    <t>Inversion</t>
  </si>
  <si>
    <t>Equipo de Computo</t>
  </si>
  <si>
    <t>Equipo de Oficina</t>
  </si>
  <si>
    <t>Capital de Trabajo</t>
  </si>
  <si>
    <t>Pagina Web</t>
  </si>
  <si>
    <t>Hosting</t>
  </si>
  <si>
    <t>Fuentes de Financiamiento</t>
  </si>
  <si>
    <t>Prestamo Bancario</t>
  </si>
  <si>
    <t>Capital Social</t>
  </si>
  <si>
    <t>Mensual</t>
  </si>
  <si>
    <t>Interes</t>
  </si>
  <si>
    <t>Cuota</t>
  </si>
  <si>
    <t>Periodo</t>
  </si>
  <si>
    <t>Abono a Capital</t>
  </si>
  <si>
    <t>Saldo</t>
  </si>
  <si>
    <t>Interes Efectivo Mensual:</t>
  </si>
  <si>
    <t>Interes Efectivo Annual:</t>
  </si>
  <si>
    <t>Amortizacion:</t>
  </si>
  <si>
    <t>Monto</t>
  </si>
  <si>
    <t>Resumen Prestamo Bancario</t>
  </si>
  <si>
    <t>Intereses</t>
  </si>
  <si>
    <t>VENTAS BRUTAS</t>
  </si>
  <si>
    <t>Menos descuentos</t>
  </si>
  <si>
    <t>VENTAS NETAS</t>
  </si>
  <si>
    <t>GASTOS DE ADMON. Y VENTAS</t>
  </si>
  <si>
    <t>UTILIDAD OPERACIONAL</t>
  </si>
  <si>
    <t>Otros ingresos</t>
  </si>
  <si>
    <t>Gastos financieros</t>
  </si>
  <si>
    <t>UTILIDAD ANTES DE IMPUESTOS</t>
  </si>
  <si>
    <t>Provisión de impuesto de renta</t>
  </si>
  <si>
    <t>UTILIDAD NETA</t>
  </si>
  <si>
    <t>INGRESOS</t>
  </si>
  <si>
    <t>Ventas del periodo</t>
  </si>
  <si>
    <t xml:space="preserve"> </t>
  </si>
  <si>
    <t>Incremento de capital</t>
  </si>
  <si>
    <t>TOTAL INGRESOS</t>
  </si>
  <si>
    <t>EGRESOS</t>
  </si>
  <si>
    <t>Pago de obligaciones bancarias</t>
  </si>
  <si>
    <t>Pago de impuesto de renta</t>
  </si>
  <si>
    <t>TOTAL EGRESOS</t>
  </si>
  <si>
    <t>Flujo neto del periodo</t>
  </si>
  <si>
    <t>Más saldo inicial de caja</t>
  </si>
  <si>
    <t>SALDO FINAL DE CAJA</t>
  </si>
  <si>
    <t>ACTIVO</t>
  </si>
  <si>
    <t>Caja y Bancos</t>
  </si>
  <si>
    <t>Cuentas por cobrar</t>
  </si>
  <si>
    <t>ACTIVO CORRIENTE</t>
  </si>
  <si>
    <t>Depreciación acumulada</t>
  </si>
  <si>
    <t>ACTIVO FIJO</t>
  </si>
  <si>
    <t>TOTAL ACTIVO</t>
  </si>
  <si>
    <t>PASIVO</t>
  </si>
  <si>
    <t>Porción corriente obligaciones a L.P.</t>
  </si>
  <si>
    <t>Impuesto de renta por pagar</t>
  </si>
  <si>
    <t>PASIVO CORRIENTE</t>
  </si>
  <si>
    <t>Obligaciones bancarias a L.P.</t>
  </si>
  <si>
    <t>PASIVO A LARGO PLAZO</t>
  </si>
  <si>
    <t>TOTAL PASIVO</t>
  </si>
  <si>
    <t>Capital social</t>
  </si>
  <si>
    <t>Reserva legal</t>
  </si>
  <si>
    <t>Utilidades retenidas</t>
  </si>
  <si>
    <t>Utilidad del ejercicio</t>
  </si>
  <si>
    <t>TOTAL PATRIMONIO</t>
  </si>
  <si>
    <t>TOTAL PASIVO Y PATRIMONIO</t>
  </si>
  <si>
    <t>Año 0</t>
  </si>
  <si>
    <t>Préstamo Bancario</t>
  </si>
  <si>
    <t>Compra Activos Fijos</t>
  </si>
  <si>
    <t>ACTIVOS DIFERIDOS</t>
  </si>
  <si>
    <t>Cesantias por pagar</t>
  </si>
  <si>
    <t>Pago de Cesantias</t>
  </si>
  <si>
    <t>Muebles y enseres</t>
  </si>
  <si>
    <t>Equipo de oficina</t>
  </si>
  <si>
    <t>10 Años</t>
  </si>
  <si>
    <t>Equipo de computo</t>
  </si>
  <si>
    <t>5 Años</t>
  </si>
  <si>
    <t>Cantidad</t>
  </si>
  <si>
    <t>Supuestos prestamo bancario</t>
  </si>
  <si>
    <t>Interes Efectivo Anual</t>
  </si>
  <si>
    <t>Amortizacion</t>
  </si>
  <si>
    <t>Plazo</t>
  </si>
  <si>
    <t>3 Años</t>
  </si>
  <si>
    <t xml:space="preserve">Inversion: </t>
  </si>
  <si>
    <t>Utilidad Neta</t>
  </si>
  <si>
    <t>(+) Depreciacion</t>
  </si>
  <si>
    <t>(+) Amortizacion</t>
  </si>
  <si>
    <t>Flujo de Caja Libre</t>
  </si>
  <si>
    <t>Tasa de descuento</t>
  </si>
  <si>
    <t>VNA</t>
  </si>
  <si>
    <t>TIR</t>
  </si>
  <si>
    <t>Punto de equilibrio</t>
  </si>
  <si>
    <t>Costos Fijos</t>
  </si>
  <si>
    <t>Costo de Ventas</t>
  </si>
  <si>
    <t>Punto de Equilibrio</t>
  </si>
  <si>
    <t>SLoYkPQu0APGq0MGAJtL/Znx8FCpo3cRlNPQCK/SFyLT/B4QTyMLOyBSaZwWhemND+QaxRaqbaokYwzkNEKoudMcp2llkonQIJ8RUhZJLOcPf2KwlDB5vgyLtFsNjh9EnCdjI3bdFnNru3MQvVP68pLjTs1Ebhh5aWEnoJXwgMOw5JbeZDEVdhYD46hUVw72MNXCm4OHn5HIa8OrHDPNCNmTDRLdrxfak2iruITVck8KgakV0fap620sxws=</t>
  </si>
  <si>
    <t>P Y G</t>
  </si>
  <si>
    <t>Flujo de Caja</t>
  </si>
  <si>
    <t>Balance General</t>
  </si>
  <si>
    <t>Efectivo Anual</t>
  </si>
  <si>
    <t>Golden</t>
  </si>
  <si>
    <t>Platinum</t>
  </si>
  <si>
    <t>VIP</t>
  </si>
  <si>
    <t>Asistentes</t>
  </si>
  <si>
    <t>Administrador</t>
  </si>
  <si>
    <t>Publicidad</t>
  </si>
  <si>
    <t>Transporte</t>
  </si>
  <si>
    <t>Sala</t>
  </si>
  <si>
    <t>Comedor</t>
  </si>
  <si>
    <t>Juegos de mesa</t>
  </si>
  <si>
    <t>TV</t>
  </si>
  <si>
    <t>Microondas</t>
  </si>
  <si>
    <t>Ejercicio</t>
  </si>
  <si>
    <t>Cocina</t>
  </si>
  <si>
    <t>Arte</t>
  </si>
  <si>
    <t>Planes</t>
  </si>
  <si>
    <t>Presupuesto de Ventas Membresia</t>
  </si>
  <si>
    <t>Telefono + Internet + TV</t>
  </si>
  <si>
    <t>Aseo + Utileria</t>
  </si>
  <si>
    <t>Nomina + Prestaciones</t>
  </si>
  <si>
    <t>Contador (Prestacion de Servicios)</t>
  </si>
  <si>
    <t>Mueble y Enseres</t>
  </si>
  <si>
    <t>Sillas X 10</t>
  </si>
  <si>
    <t>Computador</t>
  </si>
  <si>
    <t>Impresora Multifuncional</t>
  </si>
  <si>
    <t>Activo Diferidos</t>
  </si>
  <si>
    <t>Gastos de Constitucion</t>
  </si>
  <si>
    <t>Equipo de Sonido</t>
  </si>
  <si>
    <t>Gastos de Adecuacion</t>
  </si>
  <si>
    <t>Biblioteca + Libros Varios</t>
  </si>
  <si>
    <t>Gastos Operacionales</t>
  </si>
  <si>
    <t>Servicios Publicos (Luz + Agua + Gas)</t>
  </si>
  <si>
    <t>Costos Variables</t>
  </si>
  <si>
    <t>Gastos de constitucion</t>
  </si>
  <si>
    <t>Gastos de adecuacion</t>
  </si>
  <si>
    <t>Creacion de Pagina Web</t>
  </si>
  <si>
    <t>Ingresos por Pago de Mensualidades</t>
  </si>
  <si>
    <t>Mensualidades pagas</t>
  </si>
  <si>
    <t>Servicios incluidos en cada plan</t>
  </si>
  <si>
    <t xml:space="preserve">Cocina </t>
  </si>
  <si>
    <t>Costo por Servicio x Persona</t>
  </si>
  <si>
    <t>% Aumento de Costos Variables</t>
  </si>
  <si>
    <t>Total Costos Variables</t>
  </si>
  <si>
    <t>Servicios en cada plan</t>
  </si>
  <si>
    <t>Otras Salidas</t>
  </si>
  <si>
    <t>Otras salidas</t>
  </si>
  <si>
    <t>Auxiliar de Enfermeria</t>
  </si>
  <si>
    <t>rC6j+uMANgopHLMtBHRh0UgGcWXOT74QUhhnwu7wpyltsXLunuFLSypmtnjTgi7vKIn2vX7y4WLQ6ifjjP2gWwQfoE7PqW61KF4Nyids+L8jtNtcWQamFZMlLLgcLPx8ukN9vXA8XF2GPeRpP2ZdMGi97keMrVL2/NX8H1CtG1uodK/yb8+FgVmAdu+n0u2RgA/eVCmSLhvA/0JgOOeauWtfQEna6Nq0ea4QV33eZSVNjWmz74iKon+L2r8=</t>
  </si>
  <si>
    <t>yqWSkIbcfMCWtMq2jLcofd6hZ6MEcqoE5mQyKxHS63yMIxJo6J37q4nSqLEIwKhDTM8E9qacH+0B62/b2Wp3feaSaLBipMwxFyPw5dp2ZydmxMND53bPFuX5Eo7u1C794SL8RPlNLgJN/+CfkeO099C6sI+dzGZJzWrn3u+HfSGNquYkvsZIdPYLtI+kZCpuJ92U22wkUS53kPV7CaX1TM2sY+5jJOMRYXeZn2beQsJ1LLWJI3S/14x0iZk=</t>
  </si>
  <si>
    <t>g0cU5nU5Xc4yGUOonL0pgYxD6M7ySxIMQi3YSXOJ8IN4JbHGPhOto7DTzr3GFAHeUlaL+uRCJ+j3ZFiWzG21LnJc5onn6FhYX+oXBoi49mdk5ekOq8Seb6ZlNNrhpBOiPxaquiYxyuyXNmLXE+5DAIcM+p8GXtRoLCQa4V6NYIws24Jgbr2Wr1Xyhd/1jXKnQ7LLcbZncxisw2hfyDxDUdY7Rh4THfgPCj9WDoW2hi59GL0yzgsmQIFyCqc=</t>
  </si>
  <si>
    <t>JLa86jv2PLOjciwan6XVuFxctEfiAqbSWSTLXYYicnfK60GaymkiRGo4rzsdefp44DJ5xJR2lK4wMasSobJqgceb1S0feDtpeWsA7wzWKxs1psOzIaJPA2xsCXGinTPaV4o4Qt93HKOso9h/fXNjR9LSNqsvltVY+QqZSzgmUbIysiu3atYZZJl77wkEmxzZiuF9A0CxtaVDOnKsmh53fnWj/rpFjnEJsvfg84A6SNiK60yV4X9JpBfTQ9E=</t>
  </si>
  <si>
    <t>Hl+UQcBRV+8NF/rcL3/30J7GzvdYGnlIQVTinbIxweUHhFbOPYnFSoI5eauDZ//e7Et1jUJSr79IEGgoiOrgpRHCffrZaB3qPKnSU4lg/GeTQt1cK1RNg+FlVyQ0wyXKxGWjdjqcKVxmX8FWDXsj7ln30uCWc3wwplqQmCtA62PopS1l5RpwRgzRHJg7f4Da1ymE6aQXB7gTLqSjE26lvSUjBitzThlV4twBUs/cJjv3g8iZ4fSLryr9DAY=</t>
  </si>
  <si>
    <t>iOQwBs77P1TuKWRXq0Ud+icGZYOf9cfAbggOLKmMi1LVYIefhfHd01x/UkH/XyuV6Cl6gEDrX/f7sRMs133KHw==</t>
  </si>
  <si>
    <t>Costo Mensual</t>
  </si>
  <si>
    <t>1= Incluye</t>
  </si>
  <si>
    <t>El unico a;o negativo es el primero, debido al pago de intereses generado de la deuda bancaria. A;o a a;o la carga financiera disminuye</t>
  </si>
  <si>
    <t>El flujo de caja demuestra q la empresa jamas quedara con necesidad de capital, aunque en el primer a;o tenga utilidades negativas, el flujo de caja demuestra que gracias a la inversion inicial en capital de trabajo, no se tendran problemas de liquidez</t>
  </si>
  <si>
    <t>La ecuacion patrimonial se cumple, por lo que el presupuesto esta bien realizado</t>
  </si>
  <si>
    <t>activo = pasivo + patrimonio</t>
  </si>
  <si>
    <t>Unidades Mensuales</t>
  </si>
  <si>
    <t>Mensualidades</t>
  </si>
  <si>
    <t>Membresias</t>
  </si>
  <si>
    <t>Aumento Anual de membresias vendidas</t>
  </si>
  <si>
    <t>Aumento Anual de mensualidades vendidas</t>
  </si>
  <si>
    <t>Aumento Anual en Precio de membresias</t>
  </si>
  <si>
    <t>Aumento Anual en Precio de mensualidades</t>
  </si>
  <si>
    <t>Supuestos de Depreciacion y Amortizacion</t>
  </si>
  <si>
    <t>Activos Diferidos</t>
  </si>
  <si>
    <t>Nomina</t>
  </si>
  <si>
    <t># de Empleados</t>
  </si>
  <si>
    <t>El 1 significa q si esta incluido</t>
  </si>
  <si>
    <t>Equivalente para pagar todos los gastos de:</t>
  </si>
  <si>
    <t>Jueo de alcoba X 2</t>
  </si>
  <si>
    <t>VENTAS</t>
  </si>
  <si>
    <t xml:space="preserve">Var. Indicador rentabi. </t>
  </si>
  <si>
    <t xml:space="preserve">MARGEN OPERACIONAL </t>
  </si>
  <si>
    <t>UTIL. OPERACIONAL</t>
  </si>
  <si>
    <t xml:space="preserve">Variacion (valor neto) </t>
  </si>
  <si>
    <t>MARGEN NETO</t>
  </si>
  <si>
    <t xml:space="preserve">UTIL.  NETA </t>
  </si>
  <si>
    <t xml:space="preserve">Variacion ( valor neto) </t>
  </si>
  <si>
    <t>INDICADORES DE KW</t>
  </si>
  <si>
    <t>Ventas</t>
  </si>
  <si>
    <t xml:space="preserve">Cartera </t>
  </si>
  <si>
    <t>Inventario</t>
  </si>
  <si>
    <t xml:space="preserve">Pasivo (sin deuda) </t>
  </si>
  <si>
    <t xml:space="preserve">WKNO </t>
  </si>
  <si>
    <t>Cartera/Ventas</t>
  </si>
  <si>
    <t>Inventario/Ventas</t>
  </si>
  <si>
    <t>Pasivo (sin deuda)/Ventas</t>
  </si>
  <si>
    <t>WKNO/Ventas</t>
  </si>
  <si>
    <t>Ventas Netas</t>
  </si>
  <si>
    <t>Patrimonio</t>
  </si>
  <si>
    <t>KWNO</t>
  </si>
  <si>
    <t>Activo fijos</t>
  </si>
  <si>
    <t xml:space="preserve">Activo neto </t>
  </si>
  <si>
    <t>ROE (Rendimiento sobre el patrimonio)</t>
  </si>
  <si>
    <t>ANALISIS DUPONT</t>
  </si>
  <si>
    <t>RENTABILIDAD NETA</t>
  </si>
  <si>
    <r>
      <rPr>
        <b/>
        <sz val="11"/>
        <color theme="1"/>
        <rFont val="Calibri"/>
        <family val="2"/>
        <scheme val="minor"/>
      </rPr>
      <t xml:space="preserve"> </t>
    </r>
    <r>
      <rPr>
        <sz val="11"/>
        <color theme="1"/>
        <rFont val="Calibri"/>
        <family val="2"/>
        <scheme val="minor"/>
      </rPr>
      <t>utilidad neta</t>
    </r>
  </si>
  <si>
    <t>ventas netas</t>
  </si>
  <si>
    <t>RENT. ACTIVO NETO</t>
  </si>
  <si>
    <t>Activos netos</t>
  </si>
  <si>
    <t xml:space="preserve">APALANCAMIENTO FIN. </t>
  </si>
  <si>
    <t xml:space="preserve"> activos netos</t>
  </si>
  <si>
    <t>patrimonio</t>
  </si>
  <si>
    <t>Año 5-4</t>
  </si>
  <si>
    <t>Año 4-3</t>
  </si>
  <si>
    <t>Año3 -2</t>
  </si>
  <si>
    <t>Año 2-1</t>
  </si>
  <si>
    <t>INDICADORES DE LIQUIDEZ</t>
  </si>
  <si>
    <t>PERIODO</t>
  </si>
  <si>
    <t>ACTIVOS CORRIENTES</t>
  </si>
  <si>
    <t>PASIVOS CORRIENTES</t>
  </si>
  <si>
    <t>INVENTARIOS</t>
  </si>
  <si>
    <t>CAPITAL DE TRABAJO</t>
  </si>
  <si>
    <t>RAZON CORRIENTE</t>
  </si>
  <si>
    <t>PRUEBA ACIDA</t>
  </si>
  <si>
    <t>AÑO 1</t>
  </si>
  <si>
    <t>AÑO 3</t>
  </si>
  <si>
    <t>AÑO 2</t>
  </si>
  <si>
    <t>AÑO 4</t>
  </si>
  <si>
    <t>AÑO 5</t>
  </si>
  <si>
    <t>SUPUESTOS GENERALES</t>
  </si>
  <si>
    <t>EVALUACIÓN FINANCIERA</t>
  </si>
  <si>
    <t>Margen neto</t>
  </si>
</sst>
</file>

<file path=xl/styles.xml><?xml version="1.0" encoding="utf-8"?>
<styleSheet xmlns="http://schemas.openxmlformats.org/spreadsheetml/2006/main">
  <numFmts count="10">
    <numFmt numFmtId="43" formatCode="_(* #,##0.00_);_(* \(#,##0.00\);_(* &quot;-&quot;??_);_(@_)"/>
    <numFmt numFmtId="164" formatCode="_-* #,##0.00\ _€_-;\-* #,##0.00\ _€_-;_-* &quot;-&quot;??\ _€_-;_-@_-"/>
    <numFmt numFmtId="165" formatCode="_-* #,##0\ _€_-;\-* #,##0\ _€_-;_-* &quot;-&quot;??\ _€_-;_-@_-"/>
    <numFmt numFmtId="166" formatCode="_-* #,##0_-;\-* #,##0_-;_-* &quot;-&quot;??_-;_-@_-"/>
    <numFmt numFmtId="167" formatCode="_(* #,##0_);_(* \(#,##0\);_(* &quot;-&quot;??_);_(@_)"/>
    <numFmt numFmtId="168" formatCode="_(* #.##0.00_);_(* \(#.##0.00\);_(* &quot;-&quot;??_);_(@_)"/>
    <numFmt numFmtId="169" formatCode="0.000%"/>
    <numFmt numFmtId="170" formatCode="0.0%"/>
    <numFmt numFmtId="171" formatCode="_ * #,##0_ ;_ * \-#,##0_ ;_ * &quot;-&quot;??_ ;_ @_ "/>
    <numFmt numFmtId="172" formatCode="0.0000"/>
  </numFmts>
  <fonts count="13">
    <font>
      <sz val="11"/>
      <color theme="1"/>
      <name val="Calibri"/>
      <family val="2"/>
      <scheme val="minor"/>
    </font>
    <font>
      <b/>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2"/>
      <color theme="1"/>
      <name val="Arial"/>
      <family val="2"/>
    </font>
    <font>
      <sz val="12"/>
      <color theme="1"/>
      <name val="Arial"/>
      <family val="2"/>
    </font>
    <font>
      <sz val="12"/>
      <color theme="1"/>
      <name val="Calibri"/>
      <family val="2"/>
      <scheme val="minor"/>
    </font>
    <font>
      <b/>
      <sz val="12"/>
      <color theme="0"/>
      <name val="Arial"/>
      <family val="2"/>
    </font>
    <font>
      <sz val="11"/>
      <color rgb="FFFF0000"/>
      <name val="Calibri"/>
      <family val="2"/>
      <scheme val="minor"/>
    </font>
    <font>
      <b/>
      <i/>
      <sz val="11"/>
      <color theme="1"/>
      <name val="Calibri"/>
      <family val="2"/>
      <scheme val="minor"/>
    </font>
    <font>
      <b/>
      <sz val="11"/>
      <name val="Calibri"/>
      <family val="2"/>
      <scheme val="minor"/>
    </font>
    <font>
      <b/>
      <i/>
      <sz val="12"/>
      <color theme="1"/>
      <name val="Calibri"/>
      <family val="2"/>
      <scheme val="minor"/>
    </font>
  </fonts>
  <fills count="17">
    <fill>
      <patternFill patternType="none"/>
    </fill>
    <fill>
      <patternFill patternType="gray125"/>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5" tint="0.59999389629810485"/>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6" tint="0.79998168889431442"/>
        <bgColor indexed="64"/>
      </patternFill>
    </fill>
  </fills>
  <borders count="6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theme="5"/>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theme="5"/>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s>
  <cellStyleXfs count="15">
    <xf numFmtId="0" fontId="0" fillId="0" borderId="0"/>
    <xf numFmtId="9"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467">
    <xf numFmtId="0" fontId="0" fillId="0" borderId="0" xfId="0"/>
    <xf numFmtId="0" fontId="0" fillId="0" borderId="0" xfId="0" applyBorder="1"/>
    <xf numFmtId="0" fontId="0" fillId="0" borderId="0" xfId="0" applyBorder="1" applyAlignment="1">
      <alignment horizontal="center"/>
    </xf>
    <xf numFmtId="1" fontId="0" fillId="0" borderId="0" xfId="0" applyNumberFormat="1"/>
    <xf numFmtId="0" fontId="0" fillId="0" borderId="3" xfId="0" applyBorder="1"/>
    <xf numFmtId="0" fontId="0" fillId="0" borderId="4" xfId="0" applyBorder="1"/>
    <xf numFmtId="0" fontId="0" fillId="0" borderId="6" xfId="0" applyBorder="1"/>
    <xf numFmtId="9" fontId="0" fillId="0" borderId="0" xfId="0" applyNumberFormat="1" applyBorder="1"/>
    <xf numFmtId="0" fontId="0" fillId="0" borderId="8" xfId="0" applyBorder="1"/>
    <xf numFmtId="0" fontId="0" fillId="0" borderId="9" xfId="0" applyBorder="1"/>
    <xf numFmtId="0" fontId="0" fillId="0" borderId="0" xfId="0" applyFill="1" applyBorder="1"/>
    <xf numFmtId="0" fontId="0" fillId="0" borderId="11" xfId="0" applyBorder="1"/>
    <xf numFmtId="0" fontId="0" fillId="0" borderId="0" xfId="0" applyFill="1"/>
    <xf numFmtId="0" fontId="0" fillId="0" borderId="0" xfId="0" applyAlignment="1">
      <alignment horizontal="center"/>
    </xf>
    <xf numFmtId="0" fontId="1" fillId="0" borderId="0" xfId="0" applyFont="1"/>
    <xf numFmtId="9" fontId="0" fillId="0" borderId="0" xfId="0" applyNumberFormat="1"/>
    <xf numFmtId="165" fontId="0" fillId="0" borderId="0" xfId="2" applyNumberFormat="1" applyFont="1"/>
    <xf numFmtId="0" fontId="0" fillId="0" borderId="0" xfId="0" applyFont="1"/>
    <xf numFmtId="10" fontId="0" fillId="0" borderId="0" xfId="0" applyNumberFormat="1"/>
    <xf numFmtId="9" fontId="0" fillId="0" borderId="0" xfId="1" applyFont="1"/>
    <xf numFmtId="165" fontId="0" fillId="0" borderId="0" xfId="0" applyNumberFormat="1"/>
    <xf numFmtId="0" fontId="1" fillId="0" borderId="6" xfId="0" applyFont="1" applyBorder="1" applyAlignment="1">
      <alignment horizontal="left"/>
    </xf>
    <xf numFmtId="0" fontId="1" fillId="0" borderId="0" xfId="0" applyFont="1" applyBorder="1" applyAlignment="1">
      <alignment horizontal="left"/>
    </xf>
    <xf numFmtId="0" fontId="0" fillId="0" borderId="7" xfId="0" applyBorder="1"/>
    <xf numFmtId="0" fontId="1" fillId="0" borderId="6" xfId="0" applyFont="1" applyBorder="1"/>
    <xf numFmtId="0" fontId="1" fillId="0" borderId="0" xfId="0" applyFont="1" applyBorder="1"/>
    <xf numFmtId="0" fontId="1" fillId="0" borderId="7" xfId="0" applyFont="1" applyBorder="1"/>
    <xf numFmtId="165" fontId="0" fillId="0" borderId="0" xfId="2" applyNumberFormat="1" applyFont="1" applyBorder="1"/>
    <xf numFmtId="165" fontId="0" fillId="0" borderId="7" xfId="2" applyNumberFormat="1" applyFont="1" applyBorder="1"/>
    <xf numFmtId="165" fontId="1" fillId="0" borderId="0" xfId="0" applyNumberFormat="1" applyFont="1" applyBorder="1"/>
    <xf numFmtId="165" fontId="1" fillId="0" borderId="7" xfId="0" applyNumberFormat="1" applyFont="1" applyBorder="1"/>
    <xf numFmtId="165" fontId="1" fillId="0" borderId="0" xfId="2" applyNumberFormat="1" applyFont="1" applyBorder="1"/>
    <xf numFmtId="10" fontId="0" fillId="0" borderId="0" xfId="0" applyNumberFormat="1" applyBorder="1"/>
    <xf numFmtId="0" fontId="0" fillId="0" borderId="10" xfId="0" applyBorder="1"/>
    <xf numFmtId="165" fontId="1" fillId="0" borderId="7" xfId="2" applyNumberFormat="1" applyFont="1" applyBorder="1"/>
    <xf numFmtId="0" fontId="1" fillId="0" borderId="0" xfId="0" applyFont="1" applyBorder="1" applyAlignment="1">
      <alignment horizontal="center"/>
    </xf>
    <xf numFmtId="0" fontId="1" fillId="0" borderId="7" xfId="0" applyFont="1" applyBorder="1" applyAlignment="1">
      <alignment horizontal="center"/>
    </xf>
    <xf numFmtId="0" fontId="0" fillId="0" borderId="5" xfId="0" applyBorder="1"/>
    <xf numFmtId="0" fontId="1" fillId="0" borderId="8" xfId="0" applyFont="1" applyFill="1" applyBorder="1"/>
    <xf numFmtId="165" fontId="0" fillId="0" borderId="10" xfId="2" applyNumberFormat="1" applyFont="1" applyBorder="1"/>
    <xf numFmtId="0" fontId="1" fillId="0" borderId="0" xfId="0" applyFont="1" applyBorder="1" applyAlignment="1"/>
    <xf numFmtId="0" fontId="1" fillId="0" borderId="7" xfId="0" applyFont="1" applyBorder="1" applyAlignment="1"/>
    <xf numFmtId="165" fontId="0" fillId="0" borderId="0" xfId="0" applyNumberFormat="1" applyBorder="1"/>
    <xf numFmtId="165" fontId="0" fillId="0" borderId="7" xfId="0" applyNumberFormat="1" applyBorder="1"/>
    <xf numFmtId="165" fontId="0" fillId="0" borderId="9" xfId="0" applyNumberFormat="1" applyBorder="1"/>
    <xf numFmtId="165" fontId="0" fillId="0" borderId="10" xfId="0" applyNumberFormat="1" applyBorder="1"/>
    <xf numFmtId="165" fontId="0" fillId="0" borderId="9" xfId="2" applyNumberFormat="1" applyFont="1" applyBorder="1"/>
    <xf numFmtId="165" fontId="0" fillId="0" borderId="7" xfId="0" applyNumberFormat="1" applyBorder="1" applyAlignment="1"/>
    <xf numFmtId="0" fontId="0" fillId="0" borderId="7" xfId="0" applyBorder="1" applyAlignment="1">
      <alignment horizontal="right"/>
    </xf>
    <xf numFmtId="10" fontId="0" fillId="0" borderId="10" xfId="1" applyNumberFormat="1" applyFont="1" applyBorder="1"/>
    <xf numFmtId="164" fontId="0" fillId="0" borderId="0" xfId="2" applyFont="1"/>
    <xf numFmtId="166" fontId="0" fillId="0" borderId="0" xfId="2" applyNumberFormat="1" applyFont="1"/>
    <xf numFmtId="0" fontId="0" fillId="0" borderId="0" xfId="0" applyAlignment="1">
      <alignment horizontal="center"/>
    </xf>
    <xf numFmtId="0" fontId="1" fillId="0" borderId="0" xfId="0" applyFont="1" applyAlignment="1">
      <alignment horizontal="center"/>
    </xf>
    <xf numFmtId="0" fontId="0" fillId="0" borderId="6" xfId="0" applyFont="1" applyBorder="1"/>
    <xf numFmtId="165" fontId="0" fillId="0" borderId="0" xfId="2" applyNumberFormat="1" applyFont="1" applyFill="1" applyBorder="1"/>
    <xf numFmtId="165" fontId="0" fillId="0" borderId="0" xfId="0" applyNumberFormat="1" applyFont="1" applyFill="1" applyBorder="1" applyAlignment="1">
      <alignment horizontal="center"/>
    </xf>
    <xf numFmtId="168" fontId="0" fillId="0" borderId="0" xfId="0" applyNumberFormat="1"/>
    <xf numFmtId="10" fontId="0" fillId="0" borderId="0" xfId="1" applyNumberFormat="1" applyFont="1"/>
    <xf numFmtId="10" fontId="0" fillId="0" borderId="7" xfId="0" applyNumberFormat="1" applyFill="1" applyBorder="1"/>
    <xf numFmtId="0" fontId="0" fillId="0" borderId="0" xfId="0" applyAlignment="1">
      <alignment horizontal="center"/>
    </xf>
    <xf numFmtId="0" fontId="1" fillId="0" borderId="0" xfId="0" applyFont="1" applyFill="1" applyBorder="1"/>
    <xf numFmtId="169" fontId="0" fillId="0" borderId="0" xfId="0" applyNumberFormat="1"/>
    <xf numFmtId="0" fontId="0" fillId="0" borderId="0" xfId="0" applyAlignment="1">
      <alignment horizontal="center"/>
    </xf>
    <xf numFmtId="0" fontId="1" fillId="0" borderId="0" xfId="0" applyFont="1" applyFill="1" applyBorder="1" applyAlignment="1">
      <alignment horizontal="center"/>
    </xf>
    <xf numFmtId="0" fontId="0" fillId="0" borderId="6" xfId="0" applyFill="1" applyBorder="1"/>
    <xf numFmtId="0" fontId="0" fillId="0" borderId="7" xfId="0" applyFill="1" applyBorder="1"/>
    <xf numFmtId="165" fontId="0" fillId="0" borderId="7" xfId="0" applyNumberFormat="1" applyFont="1" applyFill="1" applyBorder="1" applyAlignment="1">
      <alignment horizontal="center"/>
    </xf>
    <xf numFmtId="165" fontId="0" fillId="0" borderId="7" xfId="2" applyNumberFormat="1" applyFont="1" applyFill="1" applyBorder="1"/>
    <xf numFmtId="0" fontId="1" fillId="0" borderId="6" xfId="0" applyFont="1" applyFill="1" applyBorder="1"/>
    <xf numFmtId="0" fontId="1" fillId="0" borderId="7" xfId="0" applyFont="1" applyFill="1" applyBorder="1"/>
    <xf numFmtId="165" fontId="1" fillId="0" borderId="0" xfId="2" applyNumberFormat="1" applyFont="1" applyFill="1" applyBorder="1"/>
    <xf numFmtId="165" fontId="1" fillId="0" borderId="7" xfId="2" applyNumberFormat="1" applyFont="1" applyFill="1" applyBorder="1"/>
    <xf numFmtId="9" fontId="0" fillId="0" borderId="0" xfId="1" applyFont="1" applyBorder="1"/>
    <xf numFmtId="43" fontId="0" fillId="0" borderId="0" xfId="0" applyNumberFormat="1" applyBorder="1"/>
    <xf numFmtId="1" fontId="0" fillId="0" borderId="0" xfId="0" applyNumberFormat="1" applyBorder="1"/>
    <xf numFmtId="0" fontId="0" fillId="0" borderId="8" xfId="0" applyFont="1" applyBorder="1"/>
    <xf numFmtId="0" fontId="0" fillId="0" borderId="7" xfId="0" applyBorder="1" applyAlignment="1">
      <alignment horizontal="center"/>
    </xf>
    <xf numFmtId="10" fontId="0" fillId="0" borderId="0" xfId="0" applyNumberFormat="1" applyFill="1" applyBorder="1"/>
    <xf numFmtId="0" fontId="1" fillId="0" borderId="6" xfId="0" applyFont="1" applyBorder="1" applyAlignment="1">
      <alignment horizontal="center"/>
    </xf>
    <xf numFmtId="0" fontId="1" fillId="0" borderId="0" xfId="0" applyFont="1" applyBorder="1" applyAlignment="1">
      <alignment horizontal="center"/>
    </xf>
    <xf numFmtId="0" fontId="1" fillId="0" borderId="7" xfId="0" applyFont="1" applyBorder="1" applyAlignment="1">
      <alignment horizontal="center"/>
    </xf>
    <xf numFmtId="0" fontId="1" fillId="0" borderId="0" xfId="0" applyFont="1" applyFill="1" applyBorder="1" applyAlignment="1">
      <alignment horizontal="center"/>
    </xf>
    <xf numFmtId="0" fontId="1" fillId="0" borderId="7" xfId="0" applyFont="1" applyFill="1" applyBorder="1" applyAlignment="1">
      <alignment horizontal="center"/>
    </xf>
    <xf numFmtId="0" fontId="0" fillId="0" borderId="14" xfId="0" applyBorder="1" applyAlignment="1">
      <alignment horizontal="center"/>
    </xf>
    <xf numFmtId="170" fontId="1" fillId="0" borderId="8" xfId="1" applyNumberFormat="1" applyFont="1" applyBorder="1" applyAlignment="1">
      <alignment horizontal="center"/>
    </xf>
    <xf numFmtId="170" fontId="1" fillId="0" borderId="9" xfId="1" applyNumberFormat="1" applyFont="1" applyBorder="1" applyAlignment="1">
      <alignment horizontal="center"/>
    </xf>
    <xf numFmtId="170" fontId="1" fillId="0" borderId="10" xfId="1" applyNumberFormat="1" applyFont="1" applyBorder="1" applyAlignment="1">
      <alignment horizontal="center"/>
    </xf>
    <xf numFmtId="0" fontId="1" fillId="0" borderId="15" xfId="0" applyFont="1" applyBorder="1" applyAlignment="1">
      <alignment horizontal="center"/>
    </xf>
    <xf numFmtId="167" fontId="0" fillId="0" borderId="15" xfId="3" applyNumberFormat="1" applyFont="1" applyBorder="1" applyAlignment="1">
      <alignment horizontal="center"/>
    </xf>
    <xf numFmtId="170" fontId="1" fillId="0" borderId="15" xfId="1" applyNumberFormat="1" applyFont="1" applyBorder="1" applyAlignment="1">
      <alignment horizontal="center"/>
    </xf>
    <xf numFmtId="167" fontId="0" fillId="0" borderId="15" xfId="3" applyNumberFormat="1" applyFont="1" applyBorder="1"/>
    <xf numFmtId="171" fontId="0" fillId="0" borderId="16" xfId="3" applyNumberFormat="1" applyFont="1" applyBorder="1"/>
    <xf numFmtId="43" fontId="0" fillId="0" borderId="0" xfId="3" applyFont="1"/>
    <xf numFmtId="167" fontId="0" fillId="0" borderId="0" xfId="3" applyNumberFormat="1" applyFont="1"/>
    <xf numFmtId="167" fontId="0" fillId="0" borderId="15" xfId="0" applyNumberFormat="1" applyBorder="1"/>
    <xf numFmtId="0" fontId="1" fillId="3" borderId="15" xfId="0" applyFont="1" applyFill="1" applyBorder="1" applyAlignment="1">
      <alignment horizontal="center" vertical="center"/>
    </xf>
    <xf numFmtId="167" fontId="0" fillId="0" borderId="0" xfId="0" applyNumberFormat="1"/>
    <xf numFmtId="0" fontId="1" fillId="4" borderId="15" xfId="0" applyFont="1" applyFill="1" applyBorder="1" applyAlignment="1">
      <alignment horizontal="center" vertical="center"/>
    </xf>
    <xf numFmtId="167" fontId="0" fillId="0" borderId="0" xfId="4" applyNumberFormat="1" applyFont="1"/>
    <xf numFmtId="0" fontId="1" fillId="0" borderId="0" xfId="0" applyFont="1" applyAlignment="1">
      <alignment vertical="center"/>
    </xf>
    <xf numFmtId="171" fontId="0" fillId="0" borderId="7" xfId="4" applyNumberFormat="1" applyFont="1" applyBorder="1"/>
    <xf numFmtId="171" fontId="0" fillId="0" borderId="18" xfId="4" applyNumberFormat="1" applyFont="1" applyBorder="1"/>
    <xf numFmtId="0" fontId="0" fillId="0" borderId="18" xfId="0" applyBorder="1"/>
    <xf numFmtId="171" fontId="0" fillId="0" borderId="18" xfId="0" applyNumberFormat="1" applyBorder="1"/>
    <xf numFmtId="0" fontId="7" fillId="0" borderId="0" xfId="0" applyFont="1" applyFill="1" applyBorder="1" applyAlignment="1"/>
    <xf numFmtId="0" fontId="0" fillId="0" borderId="17" xfId="0" applyBorder="1"/>
    <xf numFmtId="0" fontId="1" fillId="0" borderId="17" xfId="0" applyFont="1" applyFill="1" applyBorder="1" applyAlignment="1">
      <alignment horizontal="center" vertical="center"/>
    </xf>
    <xf numFmtId="0" fontId="1" fillId="0" borderId="2" xfId="0" applyFont="1" applyFill="1" applyBorder="1" applyAlignment="1">
      <alignment horizontal="center" vertical="center"/>
    </xf>
    <xf numFmtId="0" fontId="0" fillId="0" borderId="22" xfId="0" applyFont="1" applyBorder="1"/>
    <xf numFmtId="0" fontId="0" fillId="0" borderId="18" xfId="0" applyFont="1" applyBorder="1"/>
    <xf numFmtId="167" fontId="0" fillId="0" borderId="18" xfId="4" applyNumberFormat="1" applyFont="1" applyBorder="1"/>
    <xf numFmtId="167" fontId="0" fillId="0" borderId="7" xfId="4" applyNumberFormat="1" applyFont="1" applyBorder="1"/>
    <xf numFmtId="167" fontId="0" fillId="0" borderId="18" xfId="0" applyNumberFormat="1" applyBorder="1"/>
    <xf numFmtId="167" fontId="0" fillId="0" borderId="7" xfId="0" applyNumberFormat="1" applyBorder="1"/>
    <xf numFmtId="0" fontId="1" fillId="0" borderId="18" xfId="0" applyFont="1" applyBorder="1" applyAlignment="1">
      <alignment horizontal="left"/>
    </xf>
    <xf numFmtId="172" fontId="0" fillId="0" borderId="18" xfId="1" applyNumberFormat="1" applyFont="1" applyBorder="1" applyAlignment="1">
      <alignment horizontal="center"/>
    </xf>
    <xf numFmtId="172" fontId="0" fillId="0" borderId="7" xfId="1" applyNumberFormat="1" applyFont="1" applyBorder="1" applyAlignment="1">
      <alignment horizontal="center"/>
    </xf>
    <xf numFmtId="172" fontId="0" fillId="0" borderId="18" xfId="0" applyNumberFormat="1" applyBorder="1" applyAlignment="1">
      <alignment horizontal="center"/>
    </xf>
    <xf numFmtId="172" fontId="0" fillId="0" borderId="7" xfId="0" applyNumberFormat="1" applyBorder="1" applyAlignment="1">
      <alignment horizontal="center"/>
    </xf>
    <xf numFmtId="0" fontId="1" fillId="0" borderId="21" xfId="0" applyFont="1" applyBorder="1" applyAlignment="1">
      <alignment horizontal="left"/>
    </xf>
    <xf numFmtId="172" fontId="0" fillId="0" borderId="21" xfId="0" applyNumberFormat="1" applyBorder="1" applyAlignment="1">
      <alignment horizontal="center"/>
    </xf>
    <xf numFmtId="172" fontId="0" fillId="0" borderId="10" xfId="0" applyNumberFormat="1" applyBorder="1" applyAlignment="1">
      <alignment horizontal="center"/>
    </xf>
    <xf numFmtId="171" fontId="0" fillId="0" borderId="0" xfId="4" applyNumberFormat="1" applyFont="1" applyBorder="1"/>
    <xf numFmtId="0" fontId="0" fillId="0" borderId="21" xfId="0" applyBorder="1"/>
    <xf numFmtId="0" fontId="0" fillId="0" borderId="0"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171" fontId="0" fillId="0" borderId="7" xfId="0" applyNumberFormat="1" applyBorder="1"/>
    <xf numFmtId="0" fontId="0" fillId="0" borderId="8" xfId="0" applyBorder="1" applyAlignment="1">
      <alignment horizontal="center"/>
    </xf>
    <xf numFmtId="0" fontId="0" fillId="0" borderId="9" xfId="0" applyBorder="1" applyAlignment="1">
      <alignment horizontal="center"/>
    </xf>
    <xf numFmtId="167" fontId="0" fillId="0" borderId="21" xfId="0" applyNumberFormat="1" applyBorder="1"/>
    <xf numFmtId="0" fontId="1" fillId="0" borderId="22" xfId="0" applyFont="1" applyFill="1" applyBorder="1" applyAlignment="1">
      <alignment horizontal="center" vertical="center"/>
    </xf>
    <xf numFmtId="0" fontId="0" fillId="0" borderId="22" xfId="0" applyBorder="1"/>
    <xf numFmtId="171" fontId="2" fillId="0" borderId="22" xfId="4" applyNumberFormat="1" applyFont="1" applyFill="1" applyBorder="1"/>
    <xf numFmtId="171" fontId="2" fillId="0" borderId="5" xfId="4" applyNumberFormat="1" applyFont="1" applyFill="1" applyBorder="1"/>
    <xf numFmtId="171" fontId="0" fillId="0" borderId="0" xfId="0" applyNumberFormat="1"/>
    <xf numFmtId="0" fontId="0" fillId="0" borderId="18" xfId="0" applyFill="1" applyBorder="1"/>
    <xf numFmtId="167" fontId="0" fillId="0" borderId="19" xfId="0" applyNumberFormat="1" applyFont="1" applyFill="1" applyBorder="1"/>
    <xf numFmtId="167" fontId="2" fillId="0" borderId="19" xfId="4" applyNumberFormat="1" applyFont="1" applyBorder="1"/>
    <xf numFmtId="171" fontId="2" fillId="0" borderId="19" xfId="4" applyNumberFormat="1" applyFont="1" applyBorder="1"/>
    <xf numFmtId="171" fontId="2" fillId="0" borderId="13" xfId="4" applyNumberFormat="1" applyFont="1" applyBorder="1"/>
    <xf numFmtId="167" fontId="0" fillId="0" borderId="10" xfId="0" applyNumberFormat="1" applyBorder="1"/>
    <xf numFmtId="0" fontId="1" fillId="0" borderId="6" xfId="0" applyFont="1" applyFill="1" applyBorder="1" applyAlignment="1">
      <alignment horizontal="center" vertical="center" wrapText="1"/>
    </xf>
    <xf numFmtId="0" fontId="1" fillId="0" borderId="18" xfId="0" applyFont="1" applyFill="1" applyBorder="1" applyAlignment="1">
      <alignment horizontal="center" vertical="center"/>
    </xf>
    <xf numFmtId="0" fontId="0" fillId="0" borderId="18" xfId="0" applyFont="1" applyBorder="1" applyAlignment="1">
      <alignment horizontal="center"/>
    </xf>
    <xf numFmtId="171" fontId="0" fillId="0" borderId="18" xfId="0" applyNumberFormat="1" applyBorder="1" applyAlignment="1"/>
    <xf numFmtId="171" fontId="2" fillId="0" borderId="18" xfId="4" applyNumberFormat="1" applyFont="1" applyFill="1" applyBorder="1"/>
    <xf numFmtId="0" fontId="0" fillId="0" borderId="20" xfId="0" applyFont="1" applyBorder="1" applyAlignment="1">
      <alignment horizontal="center" vertical="center"/>
    </xf>
    <xf numFmtId="167" fontId="0" fillId="0" borderId="18" xfId="0" applyNumberFormat="1" applyBorder="1" applyAlignment="1"/>
    <xf numFmtId="0" fontId="1" fillId="0" borderId="6" xfId="0" applyFont="1" applyBorder="1" applyAlignment="1">
      <alignment vertical="center"/>
    </xf>
    <xf numFmtId="172" fontId="1" fillId="0" borderId="18" xfId="0" applyNumberFormat="1" applyFont="1" applyBorder="1" applyAlignment="1">
      <alignment horizontal="center"/>
    </xf>
    <xf numFmtId="0" fontId="1" fillId="0" borderId="8" xfId="0" applyFont="1" applyBorder="1" applyAlignment="1">
      <alignment vertical="center"/>
    </xf>
    <xf numFmtId="10" fontId="1" fillId="0" borderId="21" xfId="1" applyNumberFormat="1" applyFont="1" applyBorder="1" applyAlignment="1">
      <alignment horizontal="center"/>
    </xf>
    <xf numFmtId="0" fontId="1" fillId="0" borderId="0" xfId="0" applyFont="1" applyBorder="1" applyAlignment="1">
      <alignment vertical="center"/>
    </xf>
    <xf numFmtId="10" fontId="1" fillId="0" borderId="0" xfId="1" applyNumberFormat="1" applyFont="1" applyBorder="1" applyAlignment="1">
      <alignment horizontal="center"/>
    </xf>
    <xf numFmtId="0" fontId="8" fillId="0" borderId="0" xfId="0" applyFont="1" applyFill="1" applyAlignment="1">
      <alignment horizontal="center" vertical="center"/>
    </xf>
    <xf numFmtId="0" fontId="5" fillId="0" borderId="0" xfId="0" applyFont="1" applyFill="1" applyAlignment="1">
      <alignment horizontal="center" vertical="center"/>
    </xf>
    <xf numFmtId="0" fontId="1" fillId="7" borderId="17" xfId="0" applyFont="1" applyFill="1" applyBorder="1" applyAlignment="1">
      <alignment horizontal="center"/>
    </xf>
    <xf numFmtId="0" fontId="0" fillId="0" borderId="18" xfId="0" applyBorder="1" applyAlignment="1">
      <alignment horizontal="center"/>
    </xf>
    <xf numFmtId="0" fontId="0" fillId="0" borderId="23" xfId="0" applyBorder="1" applyAlignment="1">
      <alignment horizontal="center"/>
    </xf>
    <xf numFmtId="171" fontId="0" fillId="0" borderId="0" xfId="4" applyNumberFormat="1" applyFont="1"/>
    <xf numFmtId="9" fontId="1" fillId="0" borderId="21" xfId="1" applyFont="1" applyBorder="1" applyAlignment="1">
      <alignment horizontal="center"/>
    </xf>
    <xf numFmtId="16" fontId="1" fillId="0" borderId="15" xfId="0" applyNumberFormat="1" applyFont="1" applyBorder="1" applyAlignment="1">
      <alignment horizontal="center"/>
    </xf>
    <xf numFmtId="0" fontId="1" fillId="8" borderId="24" xfId="0" applyFont="1" applyFill="1" applyBorder="1" applyAlignment="1">
      <alignment horizontal="center" vertical="center" wrapText="1"/>
    </xf>
    <xf numFmtId="0" fontId="0" fillId="0" borderId="15" xfId="0" applyFill="1" applyBorder="1" applyAlignment="1">
      <alignment horizontal="center" vertical="center" wrapText="1"/>
    </xf>
    <xf numFmtId="167" fontId="0" fillId="0" borderId="15" xfId="4" applyNumberFormat="1" applyFont="1" applyFill="1" applyBorder="1" applyAlignment="1">
      <alignment horizontal="center" vertical="center"/>
    </xf>
    <xf numFmtId="171" fontId="0" fillId="0" borderId="15" xfId="4" applyNumberFormat="1" applyFont="1" applyFill="1" applyBorder="1" applyAlignment="1">
      <alignment horizontal="center" vertical="center"/>
    </xf>
    <xf numFmtId="0" fontId="1" fillId="0" borderId="15" xfId="0" applyFont="1" applyFill="1" applyBorder="1" applyAlignment="1">
      <alignment horizontal="center" vertical="center" wrapText="1"/>
    </xf>
    <xf numFmtId="167" fontId="1" fillId="0" borderId="15" xfId="0" applyNumberFormat="1" applyFont="1" applyFill="1" applyBorder="1" applyAlignment="1">
      <alignment horizontal="center" vertical="center"/>
    </xf>
    <xf numFmtId="2" fontId="1" fillId="0" borderId="15" xfId="0" applyNumberFormat="1" applyFont="1" applyFill="1" applyBorder="1" applyAlignment="1">
      <alignment horizontal="right" vertical="center"/>
    </xf>
    <xf numFmtId="43" fontId="1" fillId="0" borderId="15" xfId="0" applyNumberFormat="1" applyFont="1" applyFill="1" applyBorder="1" applyAlignment="1">
      <alignment horizontal="right" vertical="center"/>
    </xf>
    <xf numFmtId="0" fontId="1" fillId="8" borderId="15" xfId="0" applyFont="1" applyFill="1" applyBorder="1" applyAlignment="1">
      <alignment horizontal="center"/>
    </xf>
    <xf numFmtId="169" fontId="9" fillId="0" borderId="0" xfId="0" applyNumberFormat="1" applyFont="1"/>
    <xf numFmtId="0" fontId="0" fillId="10" borderId="4" xfId="0" applyFill="1" applyBorder="1"/>
    <xf numFmtId="0" fontId="1" fillId="10" borderId="3" xfId="0" applyFont="1" applyFill="1" applyBorder="1"/>
    <xf numFmtId="0" fontId="0" fillId="10" borderId="5" xfId="0" applyFill="1" applyBorder="1"/>
    <xf numFmtId="0" fontId="0" fillId="11" borderId="6" xfId="0" applyFill="1" applyBorder="1"/>
    <xf numFmtId="0" fontId="0" fillId="11" borderId="0" xfId="0" applyFill="1" applyBorder="1"/>
    <xf numFmtId="0" fontId="1" fillId="11" borderId="0" xfId="0" applyFont="1" applyFill="1" applyBorder="1"/>
    <xf numFmtId="0" fontId="0" fillId="11" borderId="9" xfId="0" applyFill="1" applyBorder="1"/>
    <xf numFmtId="0" fontId="1" fillId="11" borderId="6" xfId="0" applyFont="1" applyFill="1" applyBorder="1"/>
    <xf numFmtId="0" fontId="1" fillId="11" borderId="8" xfId="0" applyFont="1" applyFill="1" applyBorder="1"/>
    <xf numFmtId="0" fontId="1" fillId="10" borderId="5" xfId="0" applyFont="1" applyFill="1" applyBorder="1" applyAlignment="1">
      <alignment horizontal="center"/>
    </xf>
    <xf numFmtId="0" fontId="1" fillId="9" borderId="3" xfId="0" applyFont="1" applyFill="1" applyBorder="1"/>
    <xf numFmtId="0" fontId="1" fillId="9" borderId="4" xfId="0" applyFont="1" applyFill="1" applyBorder="1"/>
    <xf numFmtId="0" fontId="0" fillId="9" borderId="5" xfId="0" applyFill="1" applyBorder="1"/>
    <xf numFmtId="0" fontId="0" fillId="0" borderId="8" xfId="0" applyFill="1" applyBorder="1"/>
    <xf numFmtId="0" fontId="0" fillId="0" borderId="9" xfId="0" applyFill="1" applyBorder="1"/>
    <xf numFmtId="0" fontId="1" fillId="0" borderId="3" xfId="0" applyFont="1" applyFill="1" applyBorder="1"/>
    <xf numFmtId="9" fontId="0" fillId="0" borderId="4" xfId="0" applyNumberFormat="1" applyFill="1" applyBorder="1"/>
    <xf numFmtId="0" fontId="0" fillId="0" borderId="6" xfId="0" applyFont="1" applyFill="1" applyBorder="1"/>
    <xf numFmtId="0" fontId="0" fillId="0" borderId="8" xfId="0" applyFont="1" applyFill="1" applyBorder="1"/>
    <xf numFmtId="1" fontId="0" fillId="11" borderId="0" xfId="0" applyNumberFormat="1" applyFill="1" applyBorder="1"/>
    <xf numFmtId="9" fontId="0" fillId="11" borderId="0" xfId="0" applyNumberFormat="1" applyFill="1" applyBorder="1"/>
    <xf numFmtId="9" fontId="0" fillId="11" borderId="0" xfId="1" applyFont="1" applyFill="1" applyBorder="1"/>
    <xf numFmtId="0" fontId="0" fillId="11" borderId="7" xfId="0" applyFill="1" applyBorder="1"/>
    <xf numFmtId="1" fontId="0" fillId="11" borderId="9" xfId="0" applyNumberFormat="1" applyFill="1" applyBorder="1"/>
    <xf numFmtId="9" fontId="0" fillId="11" borderId="9" xfId="0" applyNumberFormat="1" applyFill="1" applyBorder="1"/>
    <xf numFmtId="9" fontId="0" fillId="11" borderId="9" xfId="1" applyFont="1" applyFill="1" applyBorder="1"/>
    <xf numFmtId="0" fontId="0" fillId="11" borderId="10" xfId="0" applyFill="1" applyBorder="1"/>
    <xf numFmtId="0" fontId="1" fillId="11" borderId="6" xfId="0" applyFont="1" applyFill="1" applyBorder="1" applyAlignment="1">
      <alignment horizontal="center"/>
    </xf>
    <xf numFmtId="0" fontId="0" fillId="11" borderId="0" xfId="0" applyFill="1" applyBorder="1" applyAlignment="1">
      <alignment horizontal="center"/>
    </xf>
    <xf numFmtId="165" fontId="0" fillId="0" borderId="0" xfId="2" applyNumberFormat="1" applyFont="1" applyBorder="1" applyAlignment="1">
      <alignment horizontal="center"/>
    </xf>
    <xf numFmtId="43" fontId="0" fillId="0" borderId="0" xfId="0" applyNumberFormat="1" applyBorder="1" applyAlignment="1">
      <alignment horizontal="center"/>
    </xf>
    <xf numFmtId="165" fontId="0" fillId="0" borderId="7" xfId="2" applyNumberFormat="1" applyFont="1" applyBorder="1" applyAlignment="1">
      <alignment horizontal="center"/>
    </xf>
    <xf numFmtId="0" fontId="0" fillId="0" borderId="32" xfId="0" applyBorder="1" applyAlignment="1">
      <alignment horizontal="center"/>
    </xf>
    <xf numFmtId="43" fontId="0" fillId="0" borderId="27" xfId="0" applyNumberFormat="1" applyBorder="1" applyAlignment="1">
      <alignment horizontal="center"/>
    </xf>
    <xf numFmtId="43" fontId="0" fillId="0" borderId="29" xfId="0" applyNumberFormat="1" applyBorder="1" applyAlignment="1">
      <alignment horizontal="center"/>
    </xf>
    <xf numFmtId="165" fontId="0" fillId="0" borderId="32" xfId="2" applyNumberFormat="1" applyFont="1" applyBorder="1"/>
    <xf numFmtId="165" fontId="0" fillId="0" borderId="24" xfId="2" applyNumberFormat="1" applyFont="1" applyBorder="1"/>
    <xf numFmtId="165" fontId="0" fillId="0" borderId="32" xfId="2" applyNumberFormat="1" applyFont="1" applyFill="1" applyBorder="1"/>
    <xf numFmtId="0" fontId="0" fillId="0" borderId="32" xfId="0" applyBorder="1"/>
    <xf numFmtId="0" fontId="0" fillId="0" borderId="24" xfId="0" applyBorder="1"/>
    <xf numFmtId="0" fontId="0" fillId="0" borderId="27" xfId="0" applyBorder="1" applyAlignment="1">
      <alignment horizontal="center"/>
    </xf>
    <xf numFmtId="0" fontId="0" fillId="11" borderId="26" xfId="0" applyFill="1" applyBorder="1"/>
    <xf numFmtId="0" fontId="0" fillId="0" borderId="27" xfId="0" applyBorder="1"/>
    <xf numFmtId="0" fontId="0" fillId="0" borderId="28" xfId="0" applyBorder="1"/>
    <xf numFmtId="0" fontId="0" fillId="0" borderId="30" xfId="0" applyBorder="1"/>
    <xf numFmtId="0" fontId="0" fillId="11" borderId="25" xfId="0" applyFill="1" applyBorder="1" applyAlignment="1">
      <alignment horizontal="center"/>
    </xf>
    <xf numFmtId="0" fontId="0" fillId="0" borderId="26" xfId="0" applyBorder="1"/>
    <xf numFmtId="0" fontId="0" fillId="0" borderId="26" xfId="0" applyFill="1" applyBorder="1"/>
    <xf numFmtId="0" fontId="0" fillId="0" borderId="27" xfId="0" applyFill="1" applyBorder="1"/>
    <xf numFmtId="0" fontId="0" fillId="0" borderId="28" xfId="0" applyFill="1" applyBorder="1"/>
    <xf numFmtId="0" fontId="1" fillId="11" borderId="29" xfId="0" applyFont="1" applyFill="1" applyBorder="1"/>
    <xf numFmtId="0" fontId="1" fillId="11" borderId="31" xfId="0" applyFont="1" applyFill="1" applyBorder="1" applyAlignment="1">
      <alignment horizontal="center"/>
    </xf>
    <xf numFmtId="0" fontId="1" fillId="11" borderId="25" xfId="0" applyFont="1" applyFill="1" applyBorder="1" applyAlignment="1">
      <alignment horizontal="center"/>
    </xf>
    <xf numFmtId="0" fontId="0" fillId="11" borderId="26" xfId="0" applyFill="1"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1" fillId="11" borderId="31" xfId="0" applyFont="1" applyFill="1" applyBorder="1" applyAlignment="1">
      <alignment horizontal="center" vertical="center"/>
    </xf>
    <xf numFmtId="165" fontId="0" fillId="0" borderId="32" xfId="2" applyNumberFormat="1" applyFont="1" applyBorder="1" applyAlignment="1">
      <alignment horizontal="center"/>
    </xf>
    <xf numFmtId="165" fontId="0" fillId="0" borderId="24" xfId="2" applyNumberFormat="1" applyFont="1" applyBorder="1" applyAlignment="1">
      <alignment horizontal="center"/>
    </xf>
    <xf numFmtId="167" fontId="0" fillId="0" borderId="32" xfId="0" applyNumberFormat="1" applyBorder="1" applyAlignment="1">
      <alignment horizontal="center"/>
    </xf>
    <xf numFmtId="167" fontId="0" fillId="0" borderId="24" xfId="0" applyNumberFormat="1" applyBorder="1" applyAlignment="1">
      <alignment horizontal="center"/>
    </xf>
    <xf numFmtId="0" fontId="1" fillId="11" borderId="26" xfId="0" applyFont="1" applyFill="1" applyBorder="1" applyAlignment="1">
      <alignment horizontal="center" vertical="center"/>
    </xf>
    <xf numFmtId="165" fontId="0" fillId="0" borderId="28" xfId="2" applyNumberFormat="1" applyFont="1" applyBorder="1"/>
    <xf numFmtId="0" fontId="0" fillId="0" borderId="11" xfId="0" applyFill="1" applyBorder="1"/>
    <xf numFmtId="0" fontId="1" fillId="11" borderId="14" xfId="0" applyFont="1" applyFill="1" applyBorder="1"/>
    <xf numFmtId="0" fontId="1" fillId="11" borderId="34" xfId="0" applyFont="1" applyFill="1" applyBorder="1"/>
    <xf numFmtId="0" fontId="0" fillId="0" borderId="33" xfId="0" applyBorder="1"/>
    <xf numFmtId="0" fontId="0" fillId="11" borderId="34" xfId="0" applyFill="1" applyBorder="1"/>
    <xf numFmtId="165" fontId="0" fillId="0" borderId="31" xfId="0" applyNumberFormat="1" applyFont="1" applyFill="1" applyBorder="1" applyAlignment="1">
      <alignment horizontal="center"/>
    </xf>
    <xf numFmtId="10" fontId="0" fillId="0" borderId="31" xfId="1" applyNumberFormat="1" applyFont="1" applyBorder="1"/>
    <xf numFmtId="0" fontId="0" fillId="0" borderId="40" xfId="0" applyBorder="1"/>
    <xf numFmtId="0" fontId="0" fillId="0" borderId="41" xfId="0" applyBorder="1"/>
    <xf numFmtId="0" fontId="1" fillId="9" borderId="43" xfId="0" applyFont="1" applyFill="1" applyBorder="1" applyAlignment="1">
      <alignment horizontal="center"/>
    </xf>
    <xf numFmtId="10" fontId="0" fillId="0" borderId="44" xfId="0" applyNumberFormat="1" applyBorder="1"/>
    <xf numFmtId="10" fontId="0" fillId="0" borderId="45" xfId="1" applyNumberFormat="1" applyFont="1" applyBorder="1"/>
    <xf numFmtId="9" fontId="0" fillId="0" borderId="46" xfId="0" applyNumberFormat="1" applyBorder="1"/>
    <xf numFmtId="0" fontId="1" fillId="11" borderId="47" xfId="0" applyFont="1" applyFill="1" applyBorder="1"/>
    <xf numFmtId="165" fontId="1" fillId="11" borderId="48" xfId="2" applyNumberFormat="1" applyFont="1" applyFill="1" applyBorder="1"/>
    <xf numFmtId="0" fontId="0" fillId="0" borderId="36" xfId="0" applyBorder="1"/>
    <xf numFmtId="165" fontId="0" fillId="0" borderId="13" xfId="2" applyNumberFormat="1" applyFont="1" applyBorder="1"/>
    <xf numFmtId="165" fontId="0" fillId="0" borderId="41" xfId="2" applyNumberFormat="1" applyFont="1" applyBorder="1"/>
    <xf numFmtId="0" fontId="1" fillId="11" borderId="49" xfId="0" applyFont="1" applyFill="1" applyBorder="1"/>
    <xf numFmtId="0" fontId="1" fillId="11" borderId="50" xfId="0" applyFont="1" applyFill="1" applyBorder="1"/>
    <xf numFmtId="165" fontId="1" fillId="11" borderId="51" xfId="2" applyNumberFormat="1" applyFont="1" applyFill="1" applyBorder="1"/>
    <xf numFmtId="0" fontId="0" fillId="0" borderId="40" xfId="0" applyFill="1" applyBorder="1"/>
    <xf numFmtId="165" fontId="0" fillId="0" borderId="44" xfId="2" applyNumberFormat="1" applyFont="1" applyFill="1" applyBorder="1"/>
    <xf numFmtId="165" fontId="0" fillId="0" borderId="52" xfId="2" applyNumberFormat="1" applyFont="1" applyFill="1" applyBorder="1"/>
    <xf numFmtId="165" fontId="0" fillId="0" borderId="52" xfId="0" applyNumberFormat="1" applyFill="1" applyBorder="1"/>
    <xf numFmtId="0" fontId="0" fillId="0" borderId="53" xfId="0" applyBorder="1"/>
    <xf numFmtId="0" fontId="0" fillId="11" borderId="54" xfId="0" applyFill="1" applyBorder="1"/>
    <xf numFmtId="10" fontId="0" fillId="11" borderId="46" xfId="0" applyNumberFormat="1" applyFill="1" applyBorder="1"/>
    <xf numFmtId="0" fontId="0" fillId="0" borderId="44" xfId="0" applyBorder="1"/>
    <xf numFmtId="0" fontId="0" fillId="0" borderId="52" xfId="0" applyBorder="1"/>
    <xf numFmtId="0" fontId="1" fillId="0" borderId="49" xfId="0" applyFont="1" applyBorder="1"/>
    <xf numFmtId="0" fontId="0" fillId="0" borderId="50" xfId="0" applyBorder="1"/>
    <xf numFmtId="10" fontId="0" fillId="0" borderId="55" xfId="0" applyNumberFormat="1" applyBorder="1"/>
    <xf numFmtId="0" fontId="0" fillId="11" borderId="40" xfId="0" applyFill="1" applyBorder="1" applyAlignment="1">
      <alignment horizontal="center"/>
    </xf>
    <xf numFmtId="0" fontId="1" fillId="11" borderId="44" xfId="0" applyFont="1" applyFill="1" applyBorder="1" applyAlignment="1">
      <alignment horizontal="center"/>
    </xf>
    <xf numFmtId="0" fontId="0" fillId="0" borderId="52" xfId="0" applyBorder="1" applyAlignment="1">
      <alignment horizontal="center"/>
    </xf>
    <xf numFmtId="0" fontId="0" fillId="0" borderId="54" xfId="0" applyBorder="1" applyAlignment="1">
      <alignment horizontal="center"/>
    </xf>
    <xf numFmtId="0" fontId="0" fillId="0" borderId="45" xfId="0" applyBorder="1" applyAlignment="1">
      <alignment horizontal="center"/>
    </xf>
    <xf numFmtId="0" fontId="0" fillId="0" borderId="42" xfId="0" applyBorder="1" applyAlignment="1">
      <alignment horizontal="center"/>
    </xf>
    <xf numFmtId="0" fontId="0" fillId="0" borderId="46" xfId="0" applyBorder="1" applyAlignment="1">
      <alignment horizontal="center"/>
    </xf>
    <xf numFmtId="0" fontId="0" fillId="10" borderId="56" xfId="0" applyFill="1" applyBorder="1"/>
    <xf numFmtId="0" fontId="0" fillId="0" borderId="54" xfId="0" applyFill="1" applyBorder="1"/>
    <xf numFmtId="0" fontId="0" fillId="0" borderId="46" xfId="0" applyBorder="1"/>
    <xf numFmtId="9" fontId="0" fillId="0" borderId="56" xfId="0" applyNumberFormat="1" applyBorder="1"/>
    <xf numFmtId="10" fontId="0" fillId="0" borderId="52" xfId="1" applyNumberFormat="1" applyFont="1" applyBorder="1"/>
    <xf numFmtId="10" fontId="0" fillId="0" borderId="46" xfId="0" applyNumberFormat="1" applyBorder="1"/>
    <xf numFmtId="0" fontId="1" fillId="10" borderId="56" xfId="0" applyFont="1" applyFill="1" applyBorder="1" applyAlignment="1">
      <alignment horizontal="center" vertical="center"/>
    </xf>
    <xf numFmtId="0" fontId="0" fillId="0" borderId="40" xfId="0" applyFont="1" applyFill="1" applyBorder="1"/>
    <xf numFmtId="165" fontId="0" fillId="0" borderId="46" xfId="2" applyNumberFormat="1" applyFont="1" applyFill="1" applyBorder="1"/>
    <xf numFmtId="0" fontId="1" fillId="11" borderId="40" xfId="0" applyFont="1" applyFill="1" applyBorder="1"/>
    <xf numFmtId="0" fontId="1" fillId="11" borderId="44" xfId="0" applyFont="1" applyFill="1" applyBorder="1" applyAlignment="1">
      <alignment horizontal="center" vertical="center"/>
    </xf>
    <xf numFmtId="165" fontId="0" fillId="0" borderId="52" xfId="2" applyNumberFormat="1" applyFont="1" applyBorder="1"/>
    <xf numFmtId="0" fontId="0" fillId="0" borderId="54" xfId="0" applyBorder="1"/>
    <xf numFmtId="165" fontId="0" fillId="0" borderId="45" xfId="2" applyNumberFormat="1" applyFont="1" applyBorder="1"/>
    <xf numFmtId="165" fontId="0" fillId="0" borderId="46" xfId="2" applyNumberFormat="1" applyFont="1" applyBorder="1"/>
    <xf numFmtId="0" fontId="0" fillId="10" borderId="58" xfId="0" applyFill="1" applyBorder="1" applyAlignment="1">
      <alignment horizontal="center"/>
    </xf>
    <xf numFmtId="0" fontId="0" fillId="0" borderId="60" xfId="0" applyBorder="1" applyAlignment="1">
      <alignment horizontal="center"/>
    </xf>
    <xf numFmtId="165" fontId="0" fillId="0" borderId="52" xfId="2" applyNumberFormat="1" applyFont="1" applyBorder="1" applyAlignment="1">
      <alignment horizontal="center"/>
    </xf>
    <xf numFmtId="0" fontId="0" fillId="0" borderId="61" xfId="0" applyBorder="1" applyAlignment="1">
      <alignment horizontal="center"/>
    </xf>
    <xf numFmtId="165" fontId="0" fillId="0" borderId="53" xfId="2" applyNumberFormat="1" applyFont="1" applyBorder="1" applyAlignment="1">
      <alignment horizontal="center"/>
    </xf>
    <xf numFmtId="165" fontId="0" fillId="0" borderId="25" xfId="0" applyNumberFormat="1" applyBorder="1" applyAlignment="1">
      <alignment horizontal="center"/>
    </xf>
    <xf numFmtId="10" fontId="0" fillId="0" borderId="27" xfId="0" applyNumberFormat="1" applyFill="1" applyBorder="1" applyAlignment="1">
      <alignment horizontal="center"/>
    </xf>
    <xf numFmtId="165" fontId="0" fillId="0" borderId="45" xfId="0" applyNumberFormat="1" applyFont="1" applyFill="1" applyBorder="1" applyAlignment="1">
      <alignment horizontal="center"/>
    </xf>
    <xf numFmtId="0" fontId="0" fillId="15" borderId="0" xfId="0" applyFill="1"/>
    <xf numFmtId="0" fontId="1" fillId="15" borderId="0" xfId="0" applyFont="1" applyFill="1"/>
    <xf numFmtId="165" fontId="0" fillId="0" borderId="27" xfId="2" applyNumberFormat="1" applyFont="1" applyFill="1" applyBorder="1"/>
    <xf numFmtId="165" fontId="0" fillId="0" borderId="28" xfId="2" applyNumberFormat="1" applyFont="1" applyFill="1" applyBorder="1"/>
    <xf numFmtId="165" fontId="1" fillId="0" borderId="27" xfId="2" applyNumberFormat="1" applyFont="1" applyFill="1" applyBorder="1"/>
    <xf numFmtId="165" fontId="1" fillId="0" borderId="28" xfId="2" applyNumberFormat="1" applyFont="1" applyFill="1" applyBorder="1"/>
    <xf numFmtId="166" fontId="0" fillId="0" borderId="32" xfId="2" applyNumberFormat="1" applyFont="1" applyFill="1" applyBorder="1"/>
    <xf numFmtId="165" fontId="1" fillId="0" borderId="32" xfId="2" applyNumberFormat="1" applyFont="1" applyFill="1" applyBorder="1"/>
    <xf numFmtId="0" fontId="0" fillId="0" borderId="32" xfId="0" applyFill="1" applyBorder="1"/>
    <xf numFmtId="0" fontId="1" fillId="12" borderId="15" xfId="0" applyFont="1" applyFill="1" applyBorder="1" applyAlignment="1">
      <alignment horizontal="center"/>
    </xf>
    <xf numFmtId="0" fontId="1" fillId="12" borderId="35" xfId="0" applyFont="1" applyFill="1" applyBorder="1" applyAlignment="1">
      <alignment horizontal="center"/>
    </xf>
    <xf numFmtId="0" fontId="1" fillId="14" borderId="15" xfId="0" applyFont="1" applyFill="1" applyBorder="1" applyAlignment="1">
      <alignment horizontal="center"/>
    </xf>
    <xf numFmtId="0" fontId="1" fillId="14" borderId="14" xfId="0" applyFont="1" applyFill="1" applyBorder="1" applyAlignment="1">
      <alignment horizontal="center"/>
    </xf>
    <xf numFmtId="0" fontId="1" fillId="14" borderId="35" xfId="0" applyFont="1" applyFill="1" applyBorder="1" applyAlignment="1">
      <alignment horizontal="center"/>
    </xf>
    <xf numFmtId="0" fontId="0" fillId="16" borderId="32" xfId="0" applyFill="1" applyBorder="1"/>
    <xf numFmtId="0" fontId="1" fillId="16" borderId="32" xfId="0" applyFont="1" applyFill="1" applyBorder="1"/>
    <xf numFmtId="166" fontId="0" fillId="16" borderId="32" xfId="2" applyNumberFormat="1" applyFont="1" applyFill="1" applyBorder="1"/>
    <xf numFmtId="0" fontId="1" fillId="13" borderId="15" xfId="0" applyFont="1" applyFill="1" applyBorder="1" applyAlignment="1">
      <alignment horizontal="center"/>
    </xf>
    <xf numFmtId="43" fontId="0" fillId="0" borderId="28" xfId="2" applyNumberFormat="1" applyFont="1" applyBorder="1"/>
    <xf numFmtId="0" fontId="1" fillId="13" borderId="35" xfId="0" applyFont="1" applyFill="1" applyBorder="1" applyAlignment="1">
      <alignment horizontal="center"/>
    </xf>
    <xf numFmtId="43" fontId="0" fillId="0" borderId="32" xfId="2" applyNumberFormat="1" applyFont="1" applyBorder="1"/>
    <xf numFmtId="0" fontId="1" fillId="0" borderId="32" xfId="0" applyFont="1" applyBorder="1"/>
    <xf numFmtId="165" fontId="1" fillId="0" borderId="32" xfId="2" applyNumberFormat="1" applyFont="1" applyBorder="1"/>
    <xf numFmtId="165" fontId="1" fillId="0" borderId="28" xfId="2" applyNumberFormat="1" applyFont="1" applyBorder="1"/>
    <xf numFmtId="0" fontId="1" fillId="0" borderId="24" xfId="0" applyFont="1" applyBorder="1"/>
    <xf numFmtId="0" fontId="10" fillId="0" borderId="32" xfId="0" applyFont="1" applyBorder="1"/>
    <xf numFmtId="165" fontId="10" fillId="0" borderId="32" xfId="2" applyNumberFormat="1" applyFont="1" applyBorder="1"/>
    <xf numFmtId="165" fontId="10" fillId="0" borderId="28" xfId="2" applyNumberFormat="1" applyFont="1" applyBorder="1"/>
    <xf numFmtId="0" fontId="10" fillId="16" borderId="24" xfId="0" applyFont="1" applyFill="1" applyBorder="1"/>
    <xf numFmtId="165" fontId="10" fillId="16" borderId="24" xfId="2" applyNumberFormat="1" applyFont="1" applyFill="1" applyBorder="1"/>
    <xf numFmtId="165" fontId="10" fillId="16" borderId="30" xfId="2" applyNumberFormat="1" applyFont="1" applyFill="1" applyBorder="1"/>
    <xf numFmtId="0" fontId="1" fillId="0" borderId="27" xfId="0" applyFont="1" applyBorder="1"/>
    <xf numFmtId="0" fontId="0" fillId="0" borderId="27" xfId="0" applyBorder="1" applyAlignment="1">
      <alignment horizontal="left" indent="1"/>
    </xf>
    <xf numFmtId="0" fontId="1" fillId="11" borderId="11" xfId="0" applyFont="1" applyFill="1" applyBorder="1"/>
    <xf numFmtId="165" fontId="1" fillId="11" borderId="30" xfId="2" applyNumberFormat="1" applyFont="1" applyFill="1" applyBorder="1"/>
    <xf numFmtId="0" fontId="1" fillId="0" borderId="28" xfId="0" applyFont="1" applyBorder="1"/>
    <xf numFmtId="0" fontId="1" fillId="11" borderId="30" xfId="0" applyFont="1" applyFill="1" applyBorder="1"/>
    <xf numFmtId="165" fontId="1" fillId="11" borderId="24" xfId="2" applyNumberFormat="1" applyFont="1" applyFill="1" applyBorder="1"/>
    <xf numFmtId="0" fontId="1" fillId="11" borderId="24" xfId="0" applyFont="1" applyFill="1" applyBorder="1"/>
    <xf numFmtId="165" fontId="1" fillId="11" borderId="29" xfId="2" applyNumberFormat="1" applyFont="1" applyFill="1" applyBorder="1"/>
    <xf numFmtId="0" fontId="1" fillId="11" borderId="15" xfId="0" applyFont="1" applyFill="1" applyBorder="1" applyAlignment="1">
      <alignment horizontal="center"/>
    </xf>
    <xf numFmtId="0" fontId="0" fillId="11" borderId="15" xfId="0" applyFill="1" applyBorder="1"/>
    <xf numFmtId="0" fontId="1" fillId="0" borderId="32" xfId="0" applyFont="1" applyFill="1" applyBorder="1"/>
    <xf numFmtId="165" fontId="1" fillId="11" borderId="24" xfId="0" applyNumberFormat="1" applyFont="1" applyFill="1" applyBorder="1"/>
    <xf numFmtId="0" fontId="1" fillId="0" borderId="32" xfId="0" applyFont="1" applyBorder="1" applyAlignment="1">
      <alignment horizontal="center"/>
    </xf>
    <xf numFmtId="0" fontId="0" fillId="0" borderId="31" xfId="0" applyFill="1" applyBorder="1"/>
    <xf numFmtId="167" fontId="1" fillId="11" borderId="24" xfId="2" applyNumberFormat="1" applyFont="1" applyFill="1" applyBorder="1"/>
    <xf numFmtId="167" fontId="1" fillId="11" borderId="34" xfId="2" applyNumberFormat="1" applyFont="1" applyFill="1" applyBorder="1"/>
    <xf numFmtId="167" fontId="1" fillId="11" borderId="15" xfId="2" applyNumberFormat="1" applyFont="1" applyFill="1" applyBorder="1"/>
    <xf numFmtId="167" fontId="1" fillId="11" borderId="35" xfId="2" applyNumberFormat="1" applyFont="1" applyFill="1" applyBorder="1"/>
    <xf numFmtId="165" fontId="0" fillId="0" borderId="6" xfId="2" applyNumberFormat="1" applyFont="1" applyBorder="1" applyAlignment="1">
      <alignment horizontal="center"/>
    </xf>
    <xf numFmtId="43" fontId="0" fillId="0" borderId="6" xfId="0" applyNumberFormat="1" applyBorder="1" applyAlignment="1">
      <alignment horizontal="center"/>
    </xf>
    <xf numFmtId="0" fontId="1" fillId="0" borderId="9" xfId="0" applyFont="1" applyBorder="1" applyAlignment="1">
      <alignment horizontal="center"/>
    </xf>
    <xf numFmtId="165" fontId="1" fillId="0" borderId="10" xfId="2" applyNumberFormat="1" applyFont="1" applyBorder="1" applyAlignment="1">
      <alignment horizontal="center"/>
    </xf>
    <xf numFmtId="9" fontId="0" fillId="0" borderId="6" xfId="0" applyNumberFormat="1" applyBorder="1" applyAlignment="1">
      <alignment horizontal="center"/>
    </xf>
    <xf numFmtId="1" fontId="0" fillId="0" borderId="0" xfId="0" applyNumberFormat="1" applyBorder="1" applyAlignment="1">
      <alignment horizontal="center"/>
    </xf>
    <xf numFmtId="9" fontId="0" fillId="0" borderId="0" xfId="0" applyNumberFormat="1" applyBorder="1" applyAlignment="1">
      <alignment horizontal="center"/>
    </xf>
    <xf numFmtId="0" fontId="0" fillId="15" borderId="0" xfId="0" applyFill="1" applyAlignment="1">
      <alignment horizontal="center"/>
    </xf>
    <xf numFmtId="0" fontId="1" fillId="11" borderId="0" xfId="0" applyFont="1" applyFill="1" applyBorder="1" applyAlignment="1">
      <alignment horizontal="center"/>
    </xf>
    <xf numFmtId="0" fontId="0" fillId="11" borderId="7" xfId="0" applyFill="1" applyBorder="1" applyAlignment="1">
      <alignment horizontal="center"/>
    </xf>
    <xf numFmtId="1" fontId="0" fillId="0" borderId="9" xfId="0" applyNumberFormat="1" applyBorder="1" applyAlignment="1">
      <alignment horizontal="center"/>
    </xf>
    <xf numFmtId="0" fontId="1" fillId="11" borderId="7" xfId="0" applyFont="1" applyFill="1" applyBorder="1" applyAlignment="1">
      <alignment horizontal="center"/>
    </xf>
    <xf numFmtId="1" fontId="0" fillId="0" borderId="7" xfId="0" applyNumberFormat="1" applyBorder="1" applyAlignment="1">
      <alignment horizontal="center"/>
    </xf>
    <xf numFmtId="1" fontId="0" fillId="0" borderId="10" xfId="0" applyNumberFormat="1" applyBorder="1" applyAlignment="1">
      <alignment horizontal="center"/>
    </xf>
    <xf numFmtId="165" fontId="0" fillId="0" borderId="0" xfId="2" applyNumberFormat="1" applyFont="1" applyBorder="1" applyAlignment="1"/>
    <xf numFmtId="0" fontId="0" fillId="0" borderId="0" xfId="0" applyBorder="1" applyAlignment="1"/>
    <xf numFmtId="165" fontId="0" fillId="0" borderId="9" xfId="0" applyNumberFormat="1" applyBorder="1" applyAlignment="1"/>
    <xf numFmtId="0" fontId="1" fillId="11" borderId="1" xfId="0" applyFont="1" applyFill="1" applyBorder="1"/>
    <xf numFmtId="0" fontId="0" fillId="11" borderId="12" xfId="0" applyFill="1" applyBorder="1"/>
    <xf numFmtId="10" fontId="0" fillId="11" borderId="12" xfId="0" applyNumberFormat="1" applyFill="1" applyBorder="1"/>
    <xf numFmtId="0" fontId="0" fillId="11" borderId="2" xfId="0" applyFill="1" applyBorder="1"/>
    <xf numFmtId="0" fontId="1" fillId="0" borderId="62" xfId="0" applyFont="1" applyBorder="1" applyAlignment="1">
      <alignment horizontal="center"/>
    </xf>
    <xf numFmtId="0" fontId="1" fillId="0" borderId="63" xfId="0" applyFont="1" applyBorder="1" applyAlignment="1">
      <alignment horizontal="center"/>
    </xf>
    <xf numFmtId="167" fontId="0" fillId="0" borderId="62" xfId="3" applyNumberFormat="1" applyFont="1" applyBorder="1"/>
    <xf numFmtId="167" fontId="0" fillId="0" borderId="63" xfId="3" applyNumberFormat="1" applyFont="1" applyBorder="1"/>
    <xf numFmtId="171" fontId="0" fillId="0" borderId="64" xfId="3" applyNumberFormat="1" applyFont="1" applyBorder="1"/>
    <xf numFmtId="167" fontId="0" fillId="0" borderId="62" xfId="3" applyNumberFormat="1" applyFont="1" applyBorder="1" applyAlignment="1">
      <alignment horizontal="center"/>
    </xf>
    <xf numFmtId="167" fontId="0" fillId="0" borderId="63" xfId="3" applyNumberFormat="1" applyFont="1"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9" fontId="0" fillId="0" borderId="6" xfId="0" applyNumberFormat="1" applyBorder="1"/>
    <xf numFmtId="0" fontId="1" fillId="0" borderId="9" xfId="0" applyFont="1" applyBorder="1"/>
    <xf numFmtId="165" fontId="1" fillId="0" borderId="10" xfId="2" applyNumberFormat="1" applyFont="1" applyBorder="1"/>
    <xf numFmtId="0" fontId="1" fillId="12" borderId="1" xfId="0" applyFont="1" applyFill="1" applyBorder="1" applyAlignment="1">
      <alignment horizontal="center"/>
    </xf>
    <xf numFmtId="0" fontId="1" fillId="12" borderId="12" xfId="0" applyFont="1" applyFill="1" applyBorder="1" applyAlignment="1">
      <alignment horizontal="center"/>
    </xf>
    <xf numFmtId="0" fontId="1" fillId="12" borderId="2" xfId="0" applyFont="1" applyFill="1" applyBorder="1" applyAlignment="1">
      <alignment horizontal="center"/>
    </xf>
    <xf numFmtId="9" fontId="10" fillId="15" borderId="4" xfId="0" applyNumberFormat="1" applyFont="1" applyFill="1" applyBorder="1" applyAlignment="1">
      <alignment horizontal="center"/>
    </xf>
    <xf numFmtId="0" fontId="0" fillId="15" borderId="5" xfId="0" applyFill="1" applyBorder="1" applyAlignment="1">
      <alignment horizontal="center"/>
    </xf>
    <xf numFmtId="165" fontId="10" fillId="15" borderId="0" xfId="2" applyNumberFormat="1" applyFont="1" applyFill="1" applyBorder="1" applyAlignment="1">
      <alignment horizontal="center"/>
    </xf>
    <xf numFmtId="0" fontId="0" fillId="15" borderId="7" xfId="0" applyFill="1" applyBorder="1" applyAlignment="1">
      <alignment horizontal="center"/>
    </xf>
    <xf numFmtId="169" fontId="10" fillId="15" borderId="9" xfId="0" applyNumberFormat="1" applyFont="1" applyFill="1" applyBorder="1" applyAlignment="1">
      <alignment horizontal="center"/>
    </xf>
    <xf numFmtId="0" fontId="0" fillId="15" borderId="10" xfId="0" applyFill="1" applyBorder="1" applyAlignment="1">
      <alignment horizontal="center"/>
    </xf>
    <xf numFmtId="0" fontId="12" fillId="15" borderId="3" xfId="0" applyFont="1" applyFill="1" applyBorder="1" applyAlignment="1">
      <alignment horizontal="center"/>
    </xf>
    <xf numFmtId="0" fontId="12" fillId="15" borderId="6" xfId="0" applyFont="1" applyFill="1" applyBorder="1" applyAlignment="1">
      <alignment horizontal="center"/>
    </xf>
    <xf numFmtId="0" fontId="12" fillId="15" borderId="8" xfId="0" applyFont="1" applyFill="1" applyBorder="1" applyAlignment="1">
      <alignment horizontal="center"/>
    </xf>
    <xf numFmtId="0" fontId="1" fillId="9" borderId="37" xfId="0" applyFont="1" applyFill="1" applyBorder="1" applyAlignment="1">
      <alignment horizontal="center"/>
    </xf>
    <xf numFmtId="0" fontId="1" fillId="9" borderId="38" xfId="0" applyFont="1" applyFill="1" applyBorder="1" applyAlignment="1">
      <alignment horizontal="center"/>
    </xf>
    <xf numFmtId="0" fontId="1" fillId="9" borderId="39" xfId="0" applyFont="1" applyFill="1" applyBorder="1" applyAlignment="1">
      <alignment horizontal="center"/>
    </xf>
    <xf numFmtId="0" fontId="1" fillId="9" borderId="0" xfId="0" applyFont="1" applyFill="1" applyAlignment="1">
      <alignment horizontal="center" vertical="center"/>
    </xf>
    <xf numFmtId="0" fontId="1" fillId="10" borderId="58" xfId="0" applyFont="1" applyFill="1" applyBorder="1" applyAlignment="1">
      <alignment horizontal="center" vertical="center"/>
    </xf>
    <xf numFmtId="0" fontId="1" fillId="10" borderId="59" xfId="0" applyFont="1" applyFill="1" applyBorder="1" applyAlignment="1">
      <alignment horizontal="center" vertical="center"/>
    </xf>
    <xf numFmtId="0" fontId="1" fillId="10" borderId="4" xfId="0" applyFont="1" applyFill="1" applyBorder="1" applyAlignment="1">
      <alignment horizontal="center" vertical="center"/>
    </xf>
    <xf numFmtId="0" fontId="1" fillId="10" borderId="5" xfId="0" applyFont="1" applyFill="1" applyBorder="1" applyAlignment="1">
      <alignment horizontal="center" vertical="center"/>
    </xf>
    <xf numFmtId="0" fontId="1" fillId="9" borderId="1" xfId="0" applyFont="1" applyFill="1" applyBorder="1" applyAlignment="1">
      <alignment horizontal="center"/>
    </xf>
    <xf numFmtId="0" fontId="1" fillId="9" borderId="12" xfId="0" applyFont="1" applyFill="1" applyBorder="1" applyAlignment="1">
      <alignment horizontal="center"/>
    </xf>
    <xf numFmtId="0" fontId="1" fillId="9" borderId="2" xfId="0" applyFont="1" applyFill="1" applyBorder="1" applyAlignment="1">
      <alignment horizontal="center"/>
    </xf>
    <xf numFmtId="0" fontId="1" fillId="11" borderId="40" xfId="0" applyFont="1" applyFill="1" applyBorder="1" applyAlignment="1">
      <alignment horizontal="center"/>
    </xf>
    <xf numFmtId="0" fontId="1" fillId="11" borderId="33" xfId="0" applyFont="1" applyFill="1" applyBorder="1" applyAlignment="1">
      <alignment horizontal="center"/>
    </xf>
    <xf numFmtId="0" fontId="1" fillId="11" borderId="41" xfId="0" applyFont="1" applyFill="1" applyBorder="1" applyAlignment="1">
      <alignment horizontal="center"/>
    </xf>
    <xf numFmtId="0" fontId="1" fillId="10" borderId="37" xfId="0" applyFont="1" applyFill="1" applyBorder="1" applyAlignment="1">
      <alignment horizontal="center"/>
    </xf>
    <xf numFmtId="0" fontId="1" fillId="10" borderId="38" xfId="0" applyFont="1" applyFill="1" applyBorder="1" applyAlignment="1">
      <alignment horizontal="center"/>
    </xf>
    <xf numFmtId="0" fontId="1" fillId="10" borderId="39" xfId="0" applyFont="1" applyFill="1" applyBorder="1" applyAlignment="1">
      <alignment horizontal="center"/>
    </xf>
    <xf numFmtId="0" fontId="1" fillId="11" borderId="57" xfId="0" applyFont="1" applyFill="1" applyBorder="1" applyAlignment="1">
      <alignment horizontal="center" vertical="center"/>
    </xf>
    <xf numFmtId="0" fontId="1" fillId="11" borderId="60" xfId="0" applyFont="1" applyFill="1" applyBorder="1" applyAlignment="1">
      <alignment horizontal="center" vertical="center"/>
    </xf>
    <xf numFmtId="0" fontId="1" fillId="0" borderId="1" xfId="0" applyFont="1" applyBorder="1" applyAlignment="1">
      <alignment horizontal="center"/>
    </xf>
    <xf numFmtId="0" fontId="1" fillId="0" borderId="12"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11" borderId="6" xfId="0" applyFont="1" applyFill="1" applyBorder="1" applyAlignment="1">
      <alignment horizontal="center"/>
    </xf>
    <xf numFmtId="0" fontId="1" fillId="11" borderId="0" xfId="0" applyFont="1" applyFill="1" applyBorder="1" applyAlignment="1">
      <alignment horizontal="center"/>
    </xf>
    <xf numFmtId="0" fontId="1" fillId="11" borderId="7" xfId="0" applyFont="1" applyFill="1" applyBorder="1" applyAlignment="1">
      <alignment horizontal="center"/>
    </xf>
    <xf numFmtId="0" fontId="1" fillId="15" borderId="1" xfId="0" applyFont="1" applyFill="1" applyBorder="1" applyAlignment="1">
      <alignment horizontal="center"/>
    </xf>
    <xf numFmtId="0" fontId="1" fillId="15" borderId="12" xfId="0" applyFont="1" applyFill="1" applyBorder="1" applyAlignment="1">
      <alignment horizontal="center"/>
    </xf>
    <xf numFmtId="0" fontId="1" fillId="15" borderId="2" xfId="0" applyFont="1" applyFill="1" applyBorder="1" applyAlignment="1">
      <alignment horizontal="center"/>
    </xf>
    <xf numFmtId="0" fontId="11" fillId="12" borderId="14" xfId="0" applyFont="1" applyFill="1" applyBorder="1" applyAlignment="1">
      <alignment horizontal="center"/>
    </xf>
    <xf numFmtId="0" fontId="11" fillId="12" borderId="34" xfId="0" applyFont="1" applyFill="1" applyBorder="1" applyAlignment="1">
      <alignment horizontal="center"/>
    </xf>
    <xf numFmtId="0" fontId="11" fillId="12" borderId="35" xfId="0" applyFont="1" applyFill="1" applyBorder="1" applyAlignment="1">
      <alignment horizontal="center"/>
    </xf>
    <xf numFmtId="0" fontId="1" fillId="12" borderId="1" xfId="0" applyFont="1" applyFill="1" applyBorder="1" applyAlignment="1">
      <alignment horizontal="center"/>
    </xf>
    <xf numFmtId="0" fontId="1" fillId="12" borderId="12" xfId="0" applyFont="1" applyFill="1" applyBorder="1" applyAlignment="1">
      <alignment horizont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1" fillId="12" borderId="5" xfId="0" applyFont="1" applyFill="1" applyBorder="1" applyAlignment="1">
      <alignment horizontal="center"/>
    </xf>
    <xf numFmtId="0" fontId="1" fillId="15" borderId="0" xfId="0" applyFont="1" applyFill="1" applyAlignment="1">
      <alignment horizontal="center"/>
    </xf>
    <xf numFmtId="0" fontId="1" fillId="11" borderId="14" xfId="0" applyFont="1" applyFill="1" applyBorder="1" applyAlignment="1">
      <alignment horizontal="center"/>
    </xf>
    <xf numFmtId="0" fontId="1" fillId="11" borderId="34" xfId="0" applyFont="1" applyFill="1" applyBorder="1" applyAlignment="1">
      <alignment horizontal="center"/>
    </xf>
    <xf numFmtId="0" fontId="1" fillId="11" borderId="35" xfId="0" applyFont="1" applyFill="1" applyBorder="1" applyAlignment="1">
      <alignment horizontal="center"/>
    </xf>
    <xf numFmtId="0" fontId="5"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 fillId="3" borderId="15" xfId="0" applyFont="1" applyFill="1" applyBorder="1" applyAlignment="1">
      <alignment horizontal="center" vertical="center"/>
    </xf>
    <xf numFmtId="0" fontId="5"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 fillId="4" borderId="15"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8" fillId="6" borderId="0" xfId="0" applyFont="1" applyFill="1" applyAlignment="1">
      <alignment horizontal="center" vertical="center"/>
    </xf>
    <xf numFmtId="0" fontId="5" fillId="7" borderId="6"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1" fillId="10" borderId="15" xfId="0" applyFont="1" applyFill="1" applyBorder="1" applyAlignment="1">
      <alignment horizontal="left"/>
    </xf>
    <xf numFmtId="0" fontId="0" fillId="0" borderId="15" xfId="0" applyBorder="1" applyAlignment="1">
      <alignment horizontal="center"/>
    </xf>
    <xf numFmtId="9" fontId="0" fillId="0" borderId="15" xfId="1" applyFont="1" applyBorder="1" applyAlignment="1">
      <alignment horizontal="center"/>
    </xf>
  </cellXfs>
  <cellStyles count="15">
    <cellStyle name="Millares" xfId="2" builtinId="3"/>
    <cellStyle name="Millares 10" xfId="4"/>
    <cellStyle name="Millares 11" xfId="5"/>
    <cellStyle name="Millares 12" xfId="6"/>
    <cellStyle name="Millares 13" xfId="7"/>
    <cellStyle name="Millares 16" xfId="8"/>
    <cellStyle name="Millares 17" xfId="9"/>
    <cellStyle name="Millares 2" xfId="3"/>
    <cellStyle name="Millares 3" xfId="10"/>
    <cellStyle name="Millares 4" xfId="11"/>
    <cellStyle name="Millares 7" xfId="12"/>
    <cellStyle name="Millares 8" xfId="13"/>
    <cellStyle name="Millares 9" xfId="14"/>
    <cellStyle name="Normal" xfId="0" builtinId="0"/>
    <cellStyle name="Porcentual"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title/>
    <c:view3D>
      <c:rAngAx val="1"/>
    </c:view3D>
    <c:plotArea>
      <c:layout/>
      <c:bar3DChart>
        <c:barDir val="col"/>
        <c:grouping val="clustered"/>
        <c:ser>
          <c:idx val="0"/>
          <c:order val="0"/>
          <c:tx>
            <c:strRef>
              <c:f>'Evolucion del mg.en la opera'!$B$8:$B$9</c:f>
              <c:strCache>
                <c:ptCount val="1"/>
                <c:pt idx="0">
                  <c:v>Variacion (valor neto) </c:v>
                </c:pt>
              </c:strCache>
            </c:strRef>
          </c:tx>
          <c:cat>
            <c:strRef>
              <c:f>'Evolucion del mg.en la opera'!$C$8:$F$8</c:f>
              <c:strCache>
                <c:ptCount val="4"/>
                <c:pt idx="0">
                  <c:v>Año 5-4</c:v>
                </c:pt>
                <c:pt idx="1">
                  <c:v>Año 4-3</c:v>
                </c:pt>
                <c:pt idx="2">
                  <c:v>Año3 -2</c:v>
                </c:pt>
                <c:pt idx="3">
                  <c:v>Año 2-1</c:v>
                </c:pt>
              </c:strCache>
            </c:strRef>
          </c:cat>
          <c:val>
            <c:numRef>
              <c:f>'Evolucion del mg.en la opera'!$C$9:$F$9</c:f>
              <c:numCache>
                <c:formatCode>_(* #,##0_);_(* \(#,##0\);_(* "-"??_);_(@_)</c:formatCode>
                <c:ptCount val="4"/>
                <c:pt idx="0">
                  <c:v>13993887.364648432</c:v>
                </c:pt>
                <c:pt idx="1">
                  <c:v>13769292.640625</c:v>
                </c:pt>
                <c:pt idx="2">
                  <c:v>7371803.75</c:v>
                </c:pt>
                <c:pt idx="3">
                  <c:v>16700100</c:v>
                </c:pt>
              </c:numCache>
            </c:numRef>
          </c:val>
        </c:ser>
        <c:dLbls/>
        <c:shape val="box"/>
        <c:axId val="121074048"/>
        <c:axId val="121075584"/>
        <c:axId val="0"/>
      </c:bar3DChart>
      <c:catAx>
        <c:axId val="121074048"/>
        <c:scaling>
          <c:orientation val="minMax"/>
        </c:scaling>
        <c:axPos val="b"/>
        <c:tickLblPos val="nextTo"/>
        <c:crossAx val="121075584"/>
        <c:crosses val="autoZero"/>
        <c:auto val="1"/>
        <c:lblAlgn val="ctr"/>
        <c:lblOffset val="100"/>
      </c:catAx>
      <c:valAx>
        <c:axId val="121075584"/>
        <c:scaling>
          <c:orientation val="minMax"/>
        </c:scaling>
        <c:axPos val="l"/>
        <c:majorGridlines/>
        <c:numFmt formatCode="_(* #,##0_);_(* \(#,##0\);_(* &quot;-&quot;??_);_(@_)" sourceLinked="1"/>
        <c:tickLblPos val="nextTo"/>
        <c:crossAx val="121074048"/>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style val="6"/>
  <c:chart>
    <c:title/>
    <c:plotArea>
      <c:layout/>
      <c:lineChart>
        <c:grouping val="standard"/>
        <c:ser>
          <c:idx val="0"/>
          <c:order val="0"/>
          <c:tx>
            <c:strRef>
              <c:f>'Evolucion del mg.en la opera'!$B$12:$F$12</c:f>
              <c:strCache>
                <c:ptCount val="1"/>
                <c:pt idx="0">
                  <c:v>MARGEN NETO</c:v>
                </c:pt>
              </c:strCache>
            </c:strRef>
          </c:tx>
          <c:cat>
            <c:strRef>
              <c:f>'Evolucion del mg.en la opera'!$B$13:$F$13</c:f>
              <c:strCache>
                <c:ptCount val="5"/>
                <c:pt idx="0">
                  <c:v>Año 5</c:v>
                </c:pt>
                <c:pt idx="1">
                  <c:v>Año 4</c:v>
                </c:pt>
                <c:pt idx="2">
                  <c:v>Año 3</c:v>
                </c:pt>
                <c:pt idx="3">
                  <c:v>Año 2</c:v>
                </c:pt>
                <c:pt idx="4">
                  <c:v>Año 1</c:v>
                </c:pt>
              </c:strCache>
            </c:strRef>
          </c:cat>
          <c:val>
            <c:numRef>
              <c:f>'Evolucion del mg.en la opera'!$B$14:$F$14</c:f>
              <c:numCache>
                <c:formatCode>_(* #,##0_);_(* \(#,##0\);_(* "-"??_);_(@_)</c:formatCode>
                <c:ptCount val="5"/>
                <c:pt idx="0">
                  <c:v>34291929.116033196</c:v>
                </c:pt>
                <c:pt idx="1">
                  <c:v>24916024.58171875</c:v>
                </c:pt>
                <c:pt idx="2">
                  <c:v>14866436.71567473</c:v>
                </c:pt>
                <c:pt idx="3">
                  <c:v>8573293.9085275643</c:v>
                </c:pt>
                <c:pt idx="4">
                  <c:v>-5608859.9112254893</c:v>
                </c:pt>
              </c:numCache>
            </c:numRef>
          </c:val>
        </c:ser>
        <c:dLbls/>
        <c:marker val="1"/>
        <c:axId val="121099776"/>
        <c:axId val="121101312"/>
      </c:lineChart>
      <c:catAx>
        <c:axId val="121099776"/>
        <c:scaling>
          <c:orientation val="minMax"/>
        </c:scaling>
        <c:axPos val="b"/>
        <c:numFmt formatCode="General" sourceLinked="1"/>
        <c:tickLblPos val="nextTo"/>
        <c:crossAx val="121101312"/>
        <c:crosses val="autoZero"/>
        <c:auto val="1"/>
        <c:lblAlgn val="ctr"/>
        <c:lblOffset val="100"/>
      </c:catAx>
      <c:valAx>
        <c:axId val="121101312"/>
        <c:scaling>
          <c:orientation val="minMax"/>
        </c:scaling>
        <c:axPos val="l"/>
        <c:majorGridlines/>
        <c:numFmt formatCode="_(* #,##0_);_(* \(#,##0\);_(* &quot;-&quot;??_);_(@_)" sourceLinked="1"/>
        <c:tickLblPos val="nextTo"/>
        <c:crossAx val="121099776"/>
        <c:crosses val="autoZero"/>
        <c:crossBetween val="between"/>
      </c:valAx>
    </c:plotArea>
    <c:plotVisOnly val="1"/>
    <c:dispBlanksAs val="gap"/>
  </c:chart>
  <c:spPr>
    <a:solidFill>
      <a:schemeClr val="accent4">
        <a:lumMod val="40000"/>
        <a:lumOff val="60000"/>
      </a:schemeClr>
    </a:solidFill>
  </c:spPr>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chart>
    <c:title/>
    <c:view3D>
      <c:rAngAx val="1"/>
    </c:view3D>
    <c:plotArea>
      <c:layout/>
      <c:bar3DChart>
        <c:barDir val="col"/>
        <c:grouping val="clustered"/>
        <c:ser>
          <c:idx val="0"/>
          <c:order val="0"/>
          <c:tx>
            <c:strRef>
              <c:f>'Evolucion del mg.en la opera'!$B$18:$B$19</c:f>
              <c:strCache>
                <c:ptCount val="1"/>
                <c:pt idx="0">
                  <c:v>Variacion ( valor neto) </c:v>
                </c:pt>
              </c:strCache>
            </c:strRef>
          </c:tx>
          <c:cat>
            <c:strRef>
              <c:f>'Evolucion del mg.en la opera'!$C$18:$F$18</c:f>
              <c:strCache>
                <c:ptCount val="4"/>
                <c:pt idx="0">
                  <c:v>Año 5-4</c:v>
                </c:pt>
                <c:pt idx="1">
                  <c:v>Año 4-3</c:v>
                </c:pt>
                <c:pt idx="2">
                  <c:v>Año3 -2</c:v>
                </c:pt>
                <c:pt idx="3">
                  <c:v>Año 2-1</c:v>
                </c:pt>
              </c:strCache>
            </c:strRef>
          </c:cat>
          <c:val>
            <c:numRef>
              <c:f>'Evolucion del mg.en la opera'!$C$19:$F$19</c:f>
              <c:numCache>
                <c:formatCode>_(* #,##0_);_(* \(#,##0\);_(* "-"??_);_(@_)</c:formatCode>
                <c:ptCount val="4"/>
                <c:pt idx="0">
                  <c:v>9375904.5343144462</c:v>
                </c:pt>
                <c:pt idx="1">
                  <c:v>10049587.86604402</c:v>
                </c:pt>
                <c:pt idx="2">
                  <c:v>6293142.8071471658</c:v>
                </c:pt>
                <c:pt idx="3">
                  <c:v>14182153.819753055</c:v>
                </c:pt>
              </c:numCache>
            </c:numRef>
          </c:val>
        </c:ser>
        <c:dLbls/>
        <c:shape val="box"/>
        <c:axId val="121142272"/>
        <c:axId val="121152256"/>
        <c:axId val="0"/>
      </c:bar3DChart>
      <c:catAx>
        <c:axId val="121142272"/>
        <c:scaling>
          <c:orientation val="minMax"/>
        </c:scaling>
        <c:axPos val="b"/>
        <c:tickLblPos val="nextTo"/>
        <c:crossAx val="121152256"/>
        <c:crosses val="autoZero"/>
        <c:auto val="1"/>
        <c:lblAlgn val="ctr"/>
        <c:lblOffset val="100"/>
      </c:catAx>
      <c:valAx>
        <c:axId val="121152256"/>
        <c:scaling>
          <c:orientation val="minMax"/>
        </c:scaling>
        <c:axPos val="l"/>
        <c:majorGridlines/>
        <c:numFmt formatCode="_(* #,##0_);_(* \(#,##0\);_(* &quot;-&quot;??_);_(@_)" sourceLinked="1"/>
        <c:tickLblPos val="nextTo"/>
        <c:crossAx val="121142272"/>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chart>
    <c:title/>
    <c:plotArea>
      <c:layout/>
      <c:lineChart>
        <c:grouping val="standard"/>
        <c:ser>
          <c:idx val="0"/>
          <c:order val="0"/>
          <c:tx>
            <c:strRef>
              <c:f>'Evolucion del mg.en la opera'!$B$10</c:f>
              <c:strCache>
                <c:ptCount val="1"/>
                <c:pt idx="0">
                  <c:v>Var. Indicador rentabi. </c:v>
                </c:pt>
              </c:strCache>
            </c:strRef>
          </c:tx>
          <c:cat>
            <c:strRef>
              <c:f>'Evolucion del mg.en la opera'!$C$8:$F$8</c:f>
              <c:strCache>
                <c:ptCount val="4"/>
                <c:pt idx="0">
                  <c:v>Año 5-4</c:v>
                </c:pt>
                <c:pt idx="1">
                  <c:v>Año 4-3</c:v>
                </c:pt>
                <c:pt idx="2">
                  <c:v>Año3 -2</c:v>
                </c:pt>
                <c:pt idx="3">
                  <c:v>Año 2-1</c:v>
                </c:pt>
              </c:strCache>
            </c:strRef>
          </c:cat>
          <c:val>
            <c:numRef>
              <c:f>'Evolucion del mg.en la opera'!$C$10:$F$10</c:f>
              <c:numCache>
                <c:formatCode>0.0%</c:formatCode>
                <c:ptCount val="4"/>
                <c:pt idx="0">
                  <c:v>2.8796003073805199E-2</c:v>
                </c:pt>
                <c:pt idx="1">
                  <c:v>4.3229450936767722E-2</c:v>
                </c:pt>
                <c:pt idx="2">
                  <c:v>2.558862771273622E-2</c:v>
                </c:pt>
                <c:pt idx="3">
                  <c:v>0.11489051965351671</c:v>
                </c:pt>
              </c:numCache>
            </c:numRef>
          </c:val>
        </c:ser>
        <c:dLbls/>
        <c:marker val="1"/>
        <c:axId val="121246080"/>
        <c:axId val="121247616"/>
      </c:lineChart>
      <c:catAx>
        <c:axId val="121246080"/>
        <c:scaling>
          <c:orientation val="minMax"/>
        </c:scaling>
        <c:axPos val="b"/>
        <c:tickLblPos val="nextTo"/>
        <c:crossAx val="121247616"/>
        <c:crosses val="autoZero"/>
        <c:auto val="1"/>
        <c:lblAlgn val="ctr"/>
        <c:lblOffset val="100"/>
      </c:catAx>
      <c:valAx>
        <c:axId val="121247616"/>
        <c:scaling>
          <c:orientation val="minMax"/>
        </c:scaling>
        <c:axPos val="l"/>
        <c:majorGridlines/>
        <c:numFmt formatCode="0.0%" sourceLinked="1"/>
        <c:tickLblPos val="nextTo"/>
        <c:crossAx val="121246080"/>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chart>
    <c:title/>
    <c:plotArea>
      <c:layout/>
      <c:lineChart>
        <c:grouping val="standard"/>
        <c:ser>
          <c:idx val="0"/>
          <c:order val="0"/>
          <c:tx>
            <c:strRef>
              <c:f>'Evolucion del mg.en la opera'!$B$10</c:f>
              <c:strCache>
                <c:ptCount val="1"/>
                <c:pt idx="0">
                  <c:v>Var. Indicador rentabi. </c:v>
                </c:pt>
              </c:strCache>
            </c:strRef>
          </c:tx>
          <c:cat>
            <c:strRef>
              <c:f>'Evolucion del mg.en la opera'!$C$18:$F$18</c:f>
              <c:strCache>
                <c:ptCount val="4"/>
                <c:pt idx="0">
                  <c:v>Año 5-4</c:v>
                </c:pt>
                <c:pt idx="1">
                  <c:v>Año 4-3</c:v>
                </c:pt>
                <c:pt idx="2">
                  <c:v>Año3 -2</c:v>
                </c:pt>
                <c:pt idx="3">
                  <c:v>Año 2-1</c:v>
                </c:pt>
              </c:strCache>
            </c:strRef>
          </c:cat>
          <c:val>
            <c:numRef>
              <c:f>'Evolucion del mg.en la opera'!$C$20:$F$20</c:f>
              <c:numCache>
                <c:formatCode>0.0%</c:formatCode>
                <c:ptCount val="4"/>
                <c:pt idx="0">
                  <c:v>1.9293322059449475E-2</c:v>
                </c:pt>
                <c:pt idx="1">
                  <c:v>3.3718924146164841E-2</c:v>
                </c:pt>
                <c:pt idx="2">
                  <c:v>2.7256842786840881E-2</c:v>
                </c:pt>
                <c:pt idx="3">
                  <c:v>0.10454142585578788</c:v>
                </c:pt>
              </c:numCache>
            </c:numRef>
          </c:val>
        </c:ser>
        <c:dLbls/>
        <c:marker val="1"/>
        <c:axId val="121271808"/>
        <c:axId val="121273344"/>
      </c:lineChart>
      <c:catAx>
        <c:axId val="121271808"/>
        <c:scaling>
          <c:orientation val="minMax"/>
        </c:scaling>
        <c:axPos val="b"/>
        <c:tickLblPos val="nextTo"/>
        <c:crossAx val="121273344"/>
        <c:crosses val="autoZero"/>
        <c:auto val="1"/>
        <c:lblAlgn val="ctr"/>
        <c:lblOffset val="100"/>
      </c:catAx>
      <c:valAx>
        <c:axId val="121273344"/>
        <c:scaling>
          <c:orientation val="minMax"/>
        </c:scaling>
        <c:axPos val="l"/>
        <c:majorGridlines/>
        <c:numFmt formatCode="0.0%" sourceLinked="1"/>
        <c:tickLblPos val="nextTo"/>
        <c:crossAx val="121271808"/>
        <c:crosses val="autoZero"/>
        <c:crossBetween val="between"/>
      </c:valAx>
    </c:plotArea>
    <c:legend>
      <c:legendPos val="r"/>
    </c:legend>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chart>
    <c:title/>
    <c:plotArea>
      <c:layout/>
      <c:lineChart>
        <c:grouping val="standard"/>
        <c:ser>
          <c:idx val="0"/>
          <c:order val="0"/>
          <c:tx>
            <c:strRef>
              <c:f>'Evolucion del mg.en la opera'!$B$2:$F$2</c:f>
              <c:strCache>
                <c:ptCount val="1"/>
                <c:pt idx="0">
                  <c:v>MARGEN OPERACIONAL </c:v>
                </c:pt>
              </c:strCache>
            </c:strRef>
          </c:tx>
          <c:cat>
            <c:strRef>
              <c:f>'Evolucion del mg.en la opera'!$B$3:$F$3</c:f>
              <c:strCache>
                <c:ptCount val="5"/>
                <c:pt idx="0">
                  <c:v>Año 5</c:v>
                </c:pt>
                <c:pt idx="1">
                  <c:v>Año 4</c:v>
                </c:pt>
                <c:pt idx="2">
                  <c:v>Año 3</c:v>
                </c:pt>
                <c:pt idx="3">
                  <c:v>Año 2</c:v>
                </c:pt>
                <c:pt idx="4">
                  <c:v>Año 1</c:v>
                </c:pt>
              </c:strCache>
            </c:strRef>
          </c:cat>
          <c:val>
            <c:numRef>
              <c:f>'Evolucion del mg.en la opera'!$B$4:$F$4</c:f>
              <c:numCache>
                <c:formatCode>_(* #,##0_);_(* \(#,##0\);_(* "-"??_);_(@_)</c:formatCode>
                <c:ptCount val="5"/>
                <c:pt idx="0">
                  <c:v>51181983.755273432</c:v>
                </c:pt>
                <c:pt idx="1">
                  <c:v>37188096.390625</c:v>
                </c:pt>
                <c:pt idx="2">
                  <c:v>23418803.75</c:v>
                </c:pt>
                <c:pt idx="3">
                  <c:v>16047000</c:v>
                </c:pt>
                <c:pt idx="4">
                  <c:v>-653100</c:v>
                </c:pt>
              </c:numCache>
            </c:numRef>
          </c:val>
        </c:ser>
        <c:dLbls/>
        <c:marker val="1"/>
        <c:axId val="121233792"/>
        <c:axId val="121235328"/>
      </c:lineChart>
      <c:catAx>
        <c:axId val="121233792"/>
        <c:scaling>
          <c:orientation val="minMax"/>
        </c:scaling>
        <c:axPos val="b"/>
        <c:tickLblPos val="nextTo"/>
        <c:crossAx val="121235328"/>
        <c:crosses val="autoZero"/>
        <c:auto val="1"/>
        <c:lblAlgn val="ctr"/>
        <c:lblOffset val="100"/>
      </c:catAx>
      <c:valAx>
        <c:axId val="121235328"/>
        <c:scaling>
          <c:orientation val="minMax"/>
        </c:scaling>
        <c:axPos val="l"/>
        <c:majorGridlines/>
        <c:numFmt formatCode="_(* #,##0_);_(* \(#,##0\);_(* &quot;-&quot;??_);_(@_)" sourceLinked="1"/>
        <c:tickLblPos val="nextTo"/>
        <c:crossAx val="121233792"/>
        <c:crosses val="autoZero"/>
        <c:crossBetween val="between"/>
      </c:valAx>
    </c:plotArea>
    <c:plotVisOnly val="1"/>
    <c:dispBlanksAs val="gap"/>
  </c:chart>
  <c:spPr>
    <a:gradFill flip="none" rotWithShape="1">
      <a:gsLst>
        <a:gs pos="0">
          <a:schemeClr val="accent5">
            <a:lumMod val="40000"/>
            <a:lumOff val="60000"/>
            <a:shade val="30000"/>
            <a:satMod val="115000"/>
          </a:schemeClr>
        </a:gs>
        <a:gs pos="50000">
          <a:schemeClr val="accent5">
            <a:lumMod val="40000"/>
            <a:lumOff val="60000"/>
            <a:shade val="67500"/>
            <a:satMod val="115000"/>
          </a:schemeClr>
        </a:gs>
        <a:gs pos="100000">
          <a:schemeClr val="accent5">
            <a:lumMod val="40000"/>
            <a:lumOff val="60000"/>
            <a:shade val="100000"/>
            <a:satMod val="115000"/>
          </a:schemeClr>
        </a:gs>
      </a:gsLst>
      <a:path path="circle">
        <a:fillToRect t="100000" r="100000"/>
      </a:path>
      <a:tileRect l="-100000" b="-100000"/>
    </a:gradFill>
  </c:spPr>
  <c:printSettings>
    <c:headerFooter/>
    <c:pageMargins b="0.75000000000000078" l="0.70000000000000062" r="0.70000000000000062" t="0.750000000000000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ES_tradnl"/>
            </a:pPr>
            <a:r>
              <a:rPr lang="en-US"/>
              <a:t>INDICADORES DE KW</a:t>
            </a:r>
          </a:p>
        </c:rich>
      </c:tx>
    </c:title>
    <c:plotArea>
      <c:layout/>
      <c:lineChart>
        <c:grouping val="standard"/>
        <c:ser>
          <c:idx val="0"/>
          <c:order val="0"/>
          <c:tx>
            <c:strRef>
              <c:f>'Indicadores de KW'!$B$10</c:f>
              <c:strCache>
                <c:ptCount val="1"/>
                <c:pt idx="0">
                  <c:v>Cartera/Ventas</c:v>
                </c:pt>
              </c:strCache>
            </c:strRef>
          </c:tx>
          <c:cat>
            <c:strRef>
              <c:f>'Indicadores de KW'!$C$3:$G$3</c:f>
              <c:strCache>
                <c:ptCount val="5"/>
                <c:pt idx="0">
                  <c:v>AÑO 5</c:v>
                </c:pt>
                <c:pt idx="1">
                  <c:v>AÑO 4</c:v>
                </c:pt>
                <c:pt idx="2">
                  <c:v>AÑO 3</c:v>
                </c:pt>
                <c:pt idx="3">
                  <c:v>AÑO 2</c:v>
                </c:pt>
                <c:pt idx="4">
                  <c:v>AÑO 1</c:v>
                </c:pt>
              </c:strCache>
            </c:strRef>
          </c:cat>
          <c:val>
            <c:numRef>
              <c:f>'Indicadores de KW'!$C$10:$G$10</c:f>
              <c:numCache>
                <c:formatCode>0.0000</c:formatCode>
                <c:ptCount val="5"/>
                <c:pt idx="0">
                  <c:v>0</c:v>
                </c:pt>
                <c:pt idx="1">
                  <c:v>0</c:v>
                </c:pt>
                <c:pt idx="2">
                  <c:v>0</c:v>
                </c:pt>
                <c:pt idx="3">
                  <c:v>0</c:v>
                </c:pt>
                <c:pt idx="4">
                  <c:v>0</c:v>
                </c:pt>
              </c:numCache>
            </c:numRef>
          </c:val>
        </c:ser>
        <c:ser>
          <c:idx val="1"/>
          <c:order val="1"/>
          <c:tx>
            <c:strRef>
              <c:f>'Indicadores de KW'!$B$11</c:f>
              <c:strCache>
                <c:ptCount val="1"/>
                <c:pt idx="0">
                  <c:v>Inventario/Ventas</c:v>
                </c:pt>
              </c:strCache>
            </c:strRef>
          </c:tx>
          <c:cat>
            <c:strRef>
              <c:f>'Indicadores de KW'!$C$3:$G$3</c:f>
              <c:strCache>
                <c:ptCount val="5"/>
                <c:pt idx="0">
                  <c:v>AÑO 5</c:v>
                </c:pt>
                <c:pt idx="1">
                  <c:v>AÑO 4</c:v>
                </c:pt>
                <c:pt idx="2">
                  <c:v>AÑO 3</c:v>
                </c:pt>
                <c:pt idx="3">
                  <c:v>AÑO 2</c:v>
                </c:pt>
                <c:pt idx="4">
                  <c:v>AÑO 1</c:v>
                </c:pt>
              </c:strCache>
            </c:strRef>
          </c:cat>
          <c:val>
            <c:numRef>
              <c:f>'Indicadores de KW'!$C$11:$G$11</c:f>
              <c:numCache>
                <c:formatCode>0.0000</c:formatCode>
                <c:ptCount val="5"/>
                <c:pt idx="0">
                  <c:v>0</c:v>
                </c:pt>
                <c:pt idx="1">
                  <c:v>0</c:v>
                </c:pt>
                <c:pt idx="2">
                  <c:v>0</c:v>
                </c:pt>
                <c:pt idx="3">
                  <c:v>0</c:v>
                </c:pt>
                <c:pt idx="4">
                  <c:v>0</c:v>
                </c:pt>
              </c:numCache>
            </c:numRef>
          </c:val>
        </c:ser>
        <c:ser>
          <c:idx val="2"/>
          <c:order val="2"/>
          <c:tx>
            <c:strRef>
              <c:f>'Indicadores de KW'!$B$12</c:f>
              <c:strCache>
                <c:ptCount val="1"/>
                <c:pt idx="0">
                  <c:v>Pasivo (sin deuda)/Ventas</c:v>
                </c:pt>
              </c:strCache>
            </c:strRef>
          </c:tx>
          <c:cat>
            <c:strRef>
              <c:f>'Indicadores de KW'!$C$3:$G$3</c:f>
              <c:strCache>
                <c:ptCount val="5"/>
                <c:pt idx="0">
                  <c:v>AÑO 5</c:v>
                </c:pt>
                <c:pt idx="1">
                  <c:v>AÑO 4</c:v>
                </c:pt>
                <c:pt idx="2">
                  <c:v>AÑO 3</c:v>
                </c:pt>
                <c:pt idx="3">
                  <c:v>AÑO 2</c:v>
                </c:pt>
                <c:pt idx="4">
                  <c:v>AÑO 1</c:v>
                </c:pt>
              </c:strCache>
            </c:strRef>
          </c:cat>
          <c:val>
            <c:numRef>
              <c:f>'Indicadores de KW'!$C$12:$G$12</c:f>
              <c:numCache>
                <c:formatCode>0.0000</c:formatCode>
                <c:ptCount val="5"/>
                <c:pt idx="0">
                  <c:v>0.18613660870297472</c:v>
                </c:pt>
                <c:pt idx="1">
                  <c:v>8.2157608011164091E-2</c:v>
                </c:pt>
                <c:pt idx="2">
                  <c:v>6.5747095374566356E-2</c:v>
                </c:pt>
                <c:pt idx="3">
                  <c:v>0.13975978598447092</c:v>
                </c:pt>
                <c:pt idx="4">
                  <c:v>0</c:v>
                </c:pt>
              </c:numCache>
            </c:numRef>
          </c:val>
        </c:ser>
        <c:ser>
          <c:idx val="3"/>
          <c:order val="3"/>
          <c:tx>
            <c:strRef>
              <c:f>'Indicadores de KW'!$B$13</c:f>
              <c:strCache>
                <c:ptCount val="1"/>
                <c:pt idx="0">
                  <c:v>WKNO/Ventas</c:v>
                </c:pt>
              </c:strCache>
            </c:strRef>
          </c:tx>
          <c:cat>
            <c:strRef>
              <c:f>'Indicadores de KW'!$C$3:$G$3</c:f>
              <c:strCache>
                <c:ptCount val="5"/>
                <c:pt idx="0">
                  <c:v>AÑO 5</c:v>
                </c:pt>
                <c:pt idx="1">
                  <c:v>AÑO 4</c:v>
                </c:pt>
                <c:pt idx="2">
                  <c:v>AÑO 3</c:v>
                </c:pt>
                <c:pt idx="3">
                  <c:v>AÑO 2</c:v>
                </c:pt>
                <c:pt idx="4">
                  <c:v>AÑO 1</c:v>
                </c:pt>
              </c:strCache>
            </c:strRef>
          </c:cat>
          <c:val>
            <c:numRef>
              <c:f>'Indicadores de KW'!$C$13:$G$13</c:f>
              <c:numCache>
                <c:formatCode>0.0000</c:formatCode>
                <c:ptCount val="5"/>
                <c:pt idx="0">
                  <c:v>0</c:v>
                </c:pt>
                <c:pt idx="1">
                  <c:v>0</c:v>
                </c:pt>
                <c:pt idx="2">
                  <c:v>0</c:v>
                </c:pt>
                <c:pt idx="3">
                  <c:v>0</c:v>
                </c:pt>
                <c:pt idx="4">
                  <c:v>0</c:v>
                </c:pt>
              </c:numCache>
            </c:numRef>
          </c:val>
        </c:ser>
        <c:dLbls/>
        <c:marker val="1"/>
        <c:axId val="121353728"/>
        <c:axId val="121355264"/>
      </c:lineChart>
      <c:catAx>
        <c:axId val="121353728"/>
        <c:scaling>
          <c:orientation val="minMax"/>
        </c:scaling>
        <c:axPos val="b"/>
        <c:numFmt formatCode="General" sourceLinked="1"/>
        <c:majorTickMark val="none"/>
        <c:tickLblPos val="nextTo"/>
        <c:txPr>
          <a:bodyPr/>
          <a:lstStyle/>
          <a:p>
            <a:pPr>
              <a:defRPr lang="es-ES_tradnl"/>
            </a:pPr>
            <a:endParaRPr lang="es-CO"/>
          </a:p>
        </c:txPr>
        <c:crossAx val="121355264"/>
        <c:crosses val="autoZero"/>
        <c:auto val="1"/>
        <c:lblAlgn val="ctr"/>
        <c:lblOffset val="100"/>
      </c:catAx>
      <c:valAx>
        <c:axId val="121355264"/>
        <c:scaling>
          <c:orientation val="minMax"/>
        </c:scaling>
        <c:axPos val="l"/>
        <c:majorGridlines/>
        <c:numFmt formatCode="0.0000" sourceLinked="1"/>
        <c:majorTickMark val="none"/>
        <c:tickLblPos val="nextTo"/>
        <c:txPr>
          <a:bodyPr/>
          <a:lstStyle/>
          <a:p>
            <a:pPr>
              <a:defRPr lang="es-ES_tradnl"/>
            </a:pPr>
            <a:endParaRPr lang="es-CO"/>
          </a:p>
        </c:txPr>
        <c:crossAx val="121353728"/>
        <c:crosses val="autoZero"/>
        <c:crossBetween val="between"/>
      </c:valAx>
    </c:plotArea>
    <c:legend>
      <c:legendPos val="r"/>
      <c:txPr>
        <a:bodyPr/>
        <a:lstStyle/>
        <a:p>
          <a:pPr>
            <a:defRPr lang="es-ES_tradnl"/>
          </a:pPr>
          <a:endParaRPr lang="es-CO"/>
        </a:p>
      </c:txPr>
    </c:legend>
    <c:plotVisOnly val="1"/>
    <c:dispBlanksAs val="gap"/>
  </c:chart>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CO"/>
    </a:p>
  </c:txPr>
  <c:printSettings>
    <c:headerFooter/>
    <c:pageMargins b="0.75000000000000189" l="0.70000000000000062" r="0.70000000000000062" t="0.750000000000001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style val="31"/>
  <c:chart>
    <c:title>
      <c:tx>
        <c:rich>
          <a:bodyPr/>
          <a:lstStyle/>
          <a:p>
            <a:pPr>
              <a:defRPr lang="es-ES_tradnl"/>
            </a:pPr>
            <a:r>
              <a:rPr lang="en-US"/>
              <a:t>ROE</a:t>
            </a:r>
          </a:p>
        </c:rich>
      </c:tx>
    </c:title>
    <c:plotArea>
      <c:layout/>
      <c:barChart>
        <c:barDir val="bar"/>
        <c:grouping val="stacked"/>
        <c:ser>
          <c:idx val="0"/>
          <c:order val="0"/>
          <c:tx>
            <c:strRef>
              <c:f>'Composici. de FCL del accionist'!$B$15:$B$16</c:f>
              <c:strCache>
                <c:ptCount val="1"/>
                <c:pt idx="0">
                  <c:v>Utilidad Neta Patrimonio</c:v>
                </c:pt>
              </c:strCache>
            </c:strRef>
          </c:tx>
          <c:cat>
            <c:strRef>
              <c:f>'Composici. de FCL del accionist'!$C$13:$G$13</c:f>
              <c:strCache>
                <c:ptCount val="5"/>
                <c:pt idx="0">
                  <c:v>Año 5</c:v>
                </c:pt>
                <c:pt idx="1">
                  <c:v>Año 4</c:v>
                </c:pt>
                <c:pt idx="2">
                  <c:v>Año 3</c:v>
                </c:pt>
                <c:pt idx="3">
                  <c:v>Año 2</c:v>
                </c:pt>
                <c:pt idx="4">
                  <c:v>Año 1</c:v>
                </c:pt>
              </c:strCache>
            </c:strRef>
          </c:cat>
          <c:val>
            <c:numRef>
              <c:f>'Composici. de FCL del accionist'!$C$19:$G$19</c:f>
              <c:numCache>
                <c:formatCode>0.00%</c:formatCode>
                <c:ptCount val="5"/>
                <c:pt idx="0">
                  <c:v>0.39856343169371694</c:v>
                </c:pt>
                <c:pt idx="1">
                  <c:v>0.48149796117860677</c:v>
                </c:pt>
                <c:pt idx="2">
                  <c:v>0.55407954794715431</c:v>
                </c:pt>
                <c:pt idx="3">
                  <c:v>0.7165649382545638</c:v>
                </c:pt>
                <c:pt idx="4">
                  <c:v>-1.653974700069798</c:v>
                </c:pt>
              </c:numCache>
            </c:numRef>
          </c:val>
        </c:ser>
        <c:dLbls/>
        <c:overlap val="100"/>
        <c:axId val="121484416"/>
        <c:axId val="121470336"/>
      </c:barChart>
      <c:valAx>
        <c:axId val="121470336"/>
        <c:scaling>
          <c:orientation val="minMax"/>
        </c:scaling>
        <c:axPos val="b"/>
        <c:majorGridlines/>
        <c:numFmt formatCode="0.00%" sourceLinked="1"/>
        <c:majorTickMark val="none"/>
        <c:tickLblPos val="nextTo"/>
        <c:txPr>
          <a:bodyPr/>
          <a:lstStyle/>
          <a:p>
            <a:pPr>
              <a:defRPr lang="es-ES_tradnl"/>
            </a:pPr>
            <a:endParaRPr lang="es-CO"/>
          </a:p>
        </c:txPr>
        <c:crossAx val="121484416"/>
        <c:crosses val="autoZero"/>
        <c:crossBetween val="between"/>
      </c:valAx>
      <c:catAx>
        <c:axId val="121484416"/>
        <c:scaling>
          <c:orientation val="minMax"/>
        </c:scaling>
        <c:axPos val="l"/>
        <c:numFmt formatCode="General" sourceLinked="1"/>
        <c:majorTickMark val="none"/>
        <c:tickLblPos val="nextTo"/>
        <c:txPr>
          <a:bodyPr/>
          <a:lstStyle/>
          <a:p>
            <a:pPr>
              <a:defRPr lang="es-ES_tradnl"/>
            </a:pPr>
            <a:endParaRPr lang="es-CO"/>
          </a:p>
        </c:txPr>
        <c:crossAx val="121470336"/>
        <c:crosses val="autoZero"/>
        <c:auto val="1"/>
        <c:lblAlgn val="ctr"/>
        <c:lblOffset val="100"/>
      </c:catAx>
    </c:plotArea>
    <c:plotVisOnly val="1"/>
    <c:dispBlanksAs val="gap"/>
  </c:chart>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CO"/>
    </a:p>
  </c:txPr>
  <c:printSettings>
    <c:headerFooter/>
    <c:pageMargins b="0.75000000000000189" l="0.70000000000000062" r="0.70000000000000062" t="0.750000000000001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ES_tradnl"/>
            </a:pPr>
            <a:r>
              <a:rPr lang="es-ES_tradnl"/>
              <a:t>ANALISIS DUPONT</a:t>
            </a:r>
          </a:p>
        </c:rich>
      </c:tx>
    </c:title>
    <c:plotArea>
      <c:layout/>
      <c:lineChart>
        <c:grouping val="standard"/>
        <c:ser>
          <c:idx val="0"/>
          <c:order val="0"/>
          <c:tx>
            <c:strRef>
              <c:f>'Composici. de FCL del accionist'!$B$35</c:f>
              <c:strCache>
                <c:ptCount val="1"/>
                <c:pt idx="0">
                  <c:v>RENTABILIDAD NETA</c:v>
                </c:pt>
              </c:strCache>
            </c:strRef>
          </c:tx>
          <c:marker>
            <c:spPr>
              <a:solidFill>
                <a:schemeClr val="accent2"/>
              </a:solidFill>
            </c:spPr>
          </c:marker>
          <c:cat>
            <c:strRef>
              <c:f>'Composici. de FCL del accionist'!$C$49:$G$49</c:f>
              <c:strCache>
                <c:ptCount val="5"/>
                <c:pt idx="0">
                  <c:v>Año 5</c:v>
                </c:pt>
                <c:pt idx="1">
                  <c:v>Año 4</c:v>
                </c:pt>
                <c:pt idx="2">
                  <c:v>Año 3</c:v>
                </c:pt>
                <c:pt idx="3">
                  <c:v>Año 2</c:v>
                </c:pt>
                <c:pt idx="4">
                  <c:v>Año 1</c:v>
                </c:pt>
              </c:strCache>
            </c:strRef>
          </c:cat>
          <c:val>
            <c:numRef>
              <c:f>'Composici. de FCL del accionist'!$C$39:$G$39</c:f>
              <c:numCache>
                <c:formatCode>0.00%</c:formatCode>
                <c:ptCount val="5"/>
                <c:pt idx="0">
                  <c:v>0.13878758969602895</c:v>
                </c:pt>
                <c:pt idx="1">
                  <c:v>0.11949426763657947</c:v>
                </c:pt>
                <c:pt idx="2">
                  <c:v>8.5775343490414629E-2</c:v>
                </c:pt>
                <c:pt idx="3">
                  <c:v>5.8518500703573749E-2</c:v>
                </c:pt>
                <c:pt idx="4">
                  <c:v>-4.6022925152214136E-2</c:v>
                </c:pt>
              </c:numCache>
            </c:numRef>
          </c:val>
        </c:ser>
        <c:ser>
          <c:idx val="1"/>
          <c:order val="1"/>
          <c:tx>
            <c:strRef>
              <c:f>'Composici. de FCL del accionist'!$B$42</c:f>
              <c:strCache>
                <c:ptCount val="1"/>
                <c:pt idx="0">
                  <c:v>RENT. ACTIVO NETO</c:v>
                </c:pt>
              </c:strCache>
            </c:strRef>
          </c:tx>
          <c:marker>
            <c:spPr>
              <a:solidFill>
                <a:srgbClr val="FFC000"/>
              </a:solidFill>
            </c:spPr>
          </c:marker>
          <c:cat>
            <c:strRef>
              <c:f>'Composici. de FCL del accionist'!$C$49:$G$49</c:f>
              <c:strCache>
                <c:ptCount val="5"/>
                <c:pt idx="0">
                  <c:v>Año 5</c:v>
                </c:pt>
                <c:pt idx="1">
                  <c:v>Año 4</c:v>
                </c:pt>
                <c:pt idx="2">
                  <c:v>Año 3</c:v>
                </c:pt>
                <c:pt idx="3">
                  <c:v>Año 2</c:v>
                </c:pt>
                <c:pt idx="4">
                  <c:v>Año 1</c:v>
                </c:pt>
              </c:strCache>
            </c:strRef>
          </c:cat>
          <c:val>
            <c:numRef>
              <c:f>'Composici. de FCL del accionist'!$C$46:$G$46</c:f>
              <c:numCache>
                <c:formatCode>0%</c:formatCode>
                <c:ptCount val="5"/>
                <c:pt idx="0">
                  <c:v>2.2725735246794465</c:v>
                </c:pt>
                <c:pt idx="1">
                  <c:v>3.0272801916817116</c:v>
                </c:pt>
                <c:pt idx="2">
                  <c:v>4.5340368765059456</c:v>
                </c:pt>
                <c:pt idx="3">
                  <c:v>4.516199834374917</c:v>
                </c:pt>
                <c:pt idx="4">
                  <c:v>4.0065461782215985</c:v>
                </c:pt>
              </c:numCache>
            </c:numRef>
          </c:val>
        </c:ser>
        <c:ser>
          <c:idx val="2"/>
          <c:order val="2"/>
          <c:tx>
            <c:strRef>
              <c:f>'Composici. de FCL del accionist'!$B$49</c:f>
              <c:strCache>
                <c:ptCount val="1"/>
                <c:pt idx="0">
                  <c:v>APALANCAMIENTO FIN. </c:v>
                </c:pt>
              </c:strCache>
            </c:strRef>
          </c:tx>
          <c:marker>
            <c:spPr>
              <a:solidFill>
                <a:srgbClr val="0070C0"/>
              </a:solidFill>
            </c:spPr>
          </c:marker>
          <c:cat>
            <c:strRef>
              <c:f>'Composici. de FCL del accionist'!$C$49:$G$49</c:f>
              <c:strCache>
                <c:ptCount val="5"/>
                <c:pt idx="0">
                  <c:v>Año 5</c:v>
                </c:pt>
                <c:pt idx="1">
                  <c:v>Año 4</c:v>
                </c:pt>
                <c:pt idx="2">
                  <c:v>Año 3</c:v>
                </c:pt>
                <c:pt idx="3">
                  <c:v>Año 2</c:v>
                </c:pt>
                <c:pt idx="4">
                  <c:v>Año 1</c:v>
                </c:pt>
              </c:strCache>
            </c:strRef>
          </c:cat>
          <c:val>
            <c:numRef>
              <c:f>'Composici. de FCL del accionist'!$C$53:$G$53</c:f>
              <c:numCache>
                <c:formatCode>0%</c:formatCode>
                <c:ptCount val="5"/>
                <c:pt idx="0">
                  <c:v>1.2636560273179596</c:v>
                </c:pt>
                <c:pt idx="1">
                  <c:v>1.3310512004893615</c:v>
                </c:pt>
                <c:pt idx="2">
                  <c:v>1.4247038764473052</c:v>
                </c:pt>
                <c:pt idx="3">
                  <c:v>2.7113726635227597</c:v>
                </c:pt>
                <c:pt idx="4">
                  <c:v>8.9698357605733801</c:v>
                </c:pt>
              </c:numCache>
            </c:numRef>
          </c:val>
        </c:ser>
        <c:dLbls/>
        <c:marker val="1"/>
        <c:axId val="121527296"/>
        <c:axId val="121533184"/>
      </c:lineChart>
      <c:catAx>
        <c:axId val="121527296"/>
        <c:scaling>
          <c:orientation val="minMax"/>
        </c:scaling>
        <c:axPos val="b"/>
        <c:numFmt formatCode="General" sourceLinked="1"/>
        <c:majorTickMark val="none"/>
        <c:tickLblPos val="nextTo"/>
        <c:txPr>
          <a:bodyPr/>
          <a:lstStyle/>
          <a:p>
            <a:pPr>
              <a:defRPr lang="es-ES_tradnl"/>
            </a:pPr>
            <a:endParaRPr lang="es-CO"/>
          </a:p>
        </c:txPr>
        <c:crossAx val="121533184"/>
        <c:crosses val="autoZero"/>
        <c:auto val="1"/>
        <c:lblAlgn val="ctr"/>
        <c:lblOffset val="100"/>
      </c:catAx>
      <c:valAx>
        <c:axId val="121533184"/>
        <c:scaling>
          <c:orientation val="minMax"/>
        </c:scaling>
        <c:axPos val="l"/>
        <c:majorGridlines/>
        <c:numFmt formatCode="0.00%" sourceLinked="1"/>
        <c:majorTickMark val="none"/>
        <c:tickLblPos val="nextTo"/>
        <c:txPr>
          <a:bodyPr/>
          <a:lstStyle/>
          <a:p>
            <a:pPr>
              <a:defRPr lang="es-ES_tradnl"/>
            </a:pPr>
            <a:endParaRPr lang="es-CO"/>
          </a:p>
        </c:txPr>
        <c:crossAx val="121527296"/>
        <c:crosses val="autoZero"/>
        <c:crossBetween val="between"/>
      </c:valAx>
    </c:plotArea>
    <c:legend>
      <c:legendPos val="r"/>
      <c:txPr>
        <a:bodyPr/>
        <a:lstStyle/>
        <a:p>
          <a:pPr>
            <a:defRPr lang="es-ES_tradnl"/>
          </a:pPr>
          <a:endParaRPr lang="es-CO"/>
        </a:p>
      </c:txPr>
    </c:legend>
    <c:plotVisOnly val="1"/>
    <c:dispBlanksAs val="gap"/>
  </c:chart>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CO"/>
    </a:p>
  </c:txPr>
  <c:printSettings>
    <c:headerFooter/>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5</xdr:col>
      <xdr:colOff>634999</xdr:colOff>
      <xdr:row>2</xdr:row>
      <xdr:rowOff>128057</xdr:rowOff>
    </xdr:from>
    <xdr:to>
      <xdr:col>12</xdr:col>
      <xdr:colOff>263524</xdr:colOff>
      <xdr:row>16</xdr:row>
      <xdr:rowOff>184149</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31</xdr:row>
      <xdr:rowOff>105834</xdr:rowOff>
    </xdr:from>
    <xdr:to>
      <xdr:col>5</xdr:col>
      <xdr:colOff>359833</xdr:colOff>
      <xdr:row>46</xdr:row>
      <xdr:rowOff>1059</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610659</xdr:colOff>
      <xdr:row>31</xdr:row>
      <xdr:rowOff>125942</xdr:rowOff>
    </xdr:from>
    <xdr:to>
      <xdr:col>12</xdr:col>
      <xdr:colOff>317500</xdr:colOff>
      <xdr:row>45</xdr:row>
      <xdr:rowOff>179917</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648757</xdr:colOff>
      <xdr:row>2</xdr:row>
      <xdr:rowOff>117475</xdr:rowOff>
    </xdr:from>
    <xdr:to>
      <xdr:col>19</xdr:col>
      <xdr:colOff>373591</xdr:colOff>
      <xdr:row>17</xdr:row>
      <xdr:rowOff>3175</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644522</xdr:colOff>
      <xdr:row>31</xdr:row>
      <xdr:rowOff>102659</xdr:rowOff>
    </xdr:from>
    <xdr:to>
      <xdr:col>19</xdr:col>
      <xdr:colOff>369356</xdr:colOff>
      <xdr:row>45</xdr:row>
      <xdr:rowOff>178859</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1</xdr:col>
      <xdr:colOff>179916</xdr:colOff>
      <xdr:row>29</xdr:row>
      <xdr:rowOff>74083</xdr:rowOff>
    </xdr:from>
    <xdr:ext cx="184731" cy="264560"/>
    <xdr:sp macro="" textlink="">
      <xdr:nvSpPr>
        <xdr:cNvPr id="11" name="10 CuadroTexto"/>
        <xdr:cNvSpPr txBox="1"/>
      </xdr:nvSpPr>
      <xdr:spPr>
        <a:xfrm>
          <a:off x="351366" y="109421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ES_tradnl" sz="1100"/>
        </a:p>
      </xdr:txBody>
    </xdr:sp>
    <xdr:clientData/>
  </xdr:oneCellAnchor>
  <xdr:oneCellAnchor>
    <xdr:from>
      <xdr:col>1</xdr:col>
      <xdr:colOff>21166</xdr:colOff>
      <xdr:row>49</xdr:row>
      <xdr:rowOff>120917</xdr:rowOff>
    </xdr:from>
    <xdr:ext cx="14784918" cy="996418"/>
    <xdr:sp macro="" textlink="">
      <xdr:nvSpPr>
        <xdr:cNvPr id="12" name="11 CuadroTexto"/>
        <xdr:cNvSpPr txBox="1"/>
      </xdr:nvSpPr>
      <xdr:spPr>
        <a:xfrm>
          <a:off x="187854" y="9479230"/>
          <a:ext cx="14784918" cy="996418"/>
        </a:xfrm>
        <a:prstGeom prst="rect">
          <a:avLst/>
        </a:prstGeom>
        <a:solidFill>
          <a:schemeClr val="bg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wrap="square" lIns="36000" tIns="36000" rIns="36000" bIns="36000" rtlCol="0" anchor="ctr">
          <a:spAutoFit/>
        </a:bodyPr>
        <a:lstStyle/>
        <a:p>
          <a:pPr algn="l"/>
          <a:r>
            <a:rPr lang="es-ES" sz="1200">
              <a:solidFill>
                <a:schemeClr val="dk1"/>
              </a:solidFill>
              <a:latin typeface="+mn-lt"/>
              <a:ea typeface="+mn-ea"/>
              <a:cs typeface="Arial" pitchFamily="34" charset="0"/>
            </a:rPr>
            <a:t>Como se puede observar  en la grafica, el valor de la utilidad neta de la empresa ha venido presentando un crecimiento cada vez mayor. El  índice de variación (en pesos) de la utilidad neta entre un año y otro, refleja el resultado de acciones que la empresa, ya sea de una manera u otra ha llevado a cabo efectivamente.  Es lógico que con estos resultados, tanto el costo de ventas que la empresa ha tenido que asumir así como otros gastos (operacionales y obligaciones contraídas), hayan aumentado, lo que  justifica el comportamiento del mismo puesto que se ha puesto todo a disposición para ofrecer mejores servicios y del mismo modo generar mayores ingresos.  </a:t>
          </a:r>
        </a:p>
        <a:p>
          <a:pPr algn="l"/>
          <a:endParaRPr lang="es-ES_tradnl" sz="1200">
            <a:solidFill>
              <a:schemeClr val="dk1"/>
            </a:solidFill>
            <a:latin typeface="+mn-lt"/>
            <a:ea typeface="+mn-ea"/>
            <a:cs typeface="Arial" pitchFamily="34" charset="0"/>
          </a:endParaRPr>
        </a:p>
        <a:p>
          <a:endParaRPr lang="es-ES_tradnl" sz="1100"/>
        </a:p>
      </xdr:txBody>
    </xdr:sp>
    <xdr:clientData/>
  </xdr:oneCellAnchor>
  <xdr:oneCellAnchor>
    <xdr:from>
      <xdr:col>7</xdr:col>
      <xdr:colOff>95250</xdr:colOff>
      <xdr:row>40</xdr:row>
      <xdr:rowOff>63500</xdr:rowOff>
    </xdr:from>
    <xdr:ext cx="184731" cy="264560"/>
    <xdr:sp macro="" textlink="">
      <xdr:nvSpPr>
        <xdr:cNvPr id="13" name="12 CuadroTexto"/>
        <xdr:cNvSpPr txBox="1"/>
      </xdr:nvSpPr>
      <xdr:spPr>
        <a:xfrm>
          <a:off x="6010275" y="1302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ES_tradnl" sz="1100"/>
        </a:p>
      </xdr:txBody>
    </xdr:sp>
    <xdr:clientData/>
  </xdr:oneCellAnchor>
  <xdr:oneCellAnchor>
    <xdr:from>
      <xdr:col>1</xdr:col>
      <xdr:colOff>21166</xdr:colOff>
      <xdr:row>19</xdr:row>
      <xdr:rowOff>70140</xdr:rowOff>
    </xdr:from>
    <xdr:ext cx="14784918" cy="1747905"/>
    <xdr:sp macro="" textlink="">
      <xdr:nvSpPr>
        <xdr:cNvPr id="14" name="13 CuadroTexto"/>
        <xdr:cNvSpPr txBox="1"/>
      </xdr:nvSpPr>
      <xdr:spPr>
        <a:xfrm>
          <a:off x="187854" y="3713453"/>
          <a:ext cx="14784918" cy="1747905"/>
        </a:xfrm>
        <a:prstGeom prst="rect">
          <a:avLst/>
        </a:prstGeom>
        <a:solidFill>
          <a:schemeClr val="bg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wrap="square" lIns="36000" tIns="36000" rIns="36000" bIns="36000" rtlCol="0" anchor="ctr">
          <a:spAutoFit/>
        </a:bodyPr>
        <a:lstStyle/>
        <a:p>
          <a:r>
            <a:rPr lang="es-ES_tradnl" sz="1200">
              <a:solidFill>
                <a:schemeClr val="dk1"/>
              </a:solidFill>
              <a:latin typeface="+mn-lt"/>
              <a:ea typeface="+mn-ea"/>
              <a:cs typeface="+mn-cs"/>
            </a:rPr>
            <a:t>E</a:t>
          </a:r>
          <a:r>
            <a:rPr lang="es-ES_tradnl" sz="1200" baseline="0">
              <a:solidFill>
                <a:schemeClr val="dk1"/>
              </a:solidFill>
              <a:latin typeface="+mn-lt"/>
              <a:ea typeface="+mn-ea"/>
              <a:cs typeface="+mn-cs"/>
            </a:rPr>
            <a:t>n la primera grafica se puede observar como la empresa tiene una proyección  reflejada en un aumento progresivo del valor real  a lo largo de los 5 años.</a:t>
          </a:r>
        </a:p>
        <a:p>
          <a:endParaRPr lang="es-ES_tradnl" sz="1200" baseline="0">
            <a:solidFill>
              <a:schemeClr val="dk1"/>
            </a:solidFill>
            <a:latin typeface="+mn-lt"/>
            <a:ea typeface="+mn-ea"/>
            <a:cs typeface="+mn-cs"/>
          </a:endParaRPr>
        </a:p>
        <a:p>
          <a:r>
            <a:rPr lang="es-ES_tradnl" sz="1200">
              <a:solidFill>
                <a:schemeClr val="dk1"/>
              </a:solidFill>
              <a:latin typeface="+mn-lt"/>
              <a:ea typeface="+mn-ea"/>
              <a:cs typeface="+mn-cs"/>
            </a:rPr>
            <a:t>Se observa además, que en los cinco años existe un aumento de las ventas, y de igual forma de los costos de venta  en medida proporcional teniendo en cuenta que los gastos operacionales representan una cifra adecuada.  Pcada vez se va dando a conocer mas en el mercado y de este modo la variación (valor neto) a aumentado, debiéndose esto también a que esta organización </a:t>
          </a:r>
          <a:r>
            <a:rPr lang="es-ES_tradnl" sz="1200" baseline="0">
              <a:solidFill>
                <a:schemeClr val="dk1"/>
              </a:solidFill>
              <a:latin typeface="+mn-lt"/>
              <a:ea typeface="+mn-ea"/>
              <a:cs typeface="+mn-cs"/>
            </a:rPr>
            <a:t> sabe</a:t>
          </a:r>
          <a:r>
            <a:rPr lang="es-ES_tradnl" sz="1200">
              <a:solidFill>
                <a:schemeClr val="dk1"/>
              </a:solidFill>
              <a:latin typeface="+mn-lt"/>
              <a:ea typeface="+mn-ea"/>
              <a:cs typeface="+mn-cs"/>
            </a:rPr>
            <a:t>manejar bien sus costos y gastos</a:t>
          </a:r>
          <a:r>
            <a:rPr lang="es-ES_tradnl" sz="1200" baseline="0">
              <a:solidFill>
                <a:schemeClr val="dk1"/>
              </a:solidFill>
              <a:latin typeface="+mn-lt"/>
              <a:ea typeface="+mn-ea"/>
              <a:cs typeface="+mn-cs"/>
            </a:rPr>
            <a:t> (aumentandolos proporcionalmente segun la demanda, para que sean cubiertos por los ingrsos que se incrementan año a año).</a:t>
          </a:r>
          <a:r>
            <a:rPr lang="es-ES_tradnl" sz="1200">
              <a:solidFill>
                <a:schemeClr val="dk1"/>
              </a:solidFill>
              <a:latin typeface="+mn-lt"/>
              <a:ea typeface="+mn-ea"/>
              <a:cs typeface="+mn-cs"/>
            </a:rPr>
            <a:t>  </a:t>
          </a:r>
        </a:p>
        <a:p>
          <a:r>
            <a:rPr lang="es-ES_tradnl" sz="1200">
              <a:solidFill>
                <a:schemeClr val="dk1"/>
              </a:solidFill>
              <a:latin typeface="+mn-lt"/>
              <a:ea typeface="+mn-ea"/>
              <a:cs typeface="+mn-cs"/>
            </a:rPr>
            <a:t> </a:t>
          </a:r>
        </a:p>
        <a:p>
          <a:r>
            <a:rPr lang="es-ES_tradnl" sz="1200">
              <a:solidFill>
                <a:schemeClr val="dk1"/>
              </a:solidFill>
              <a:latin typeface="+mn-lt"/>
              <a:ea typeface="+mn-ea"/>
              <a:cs typeface="+mn-cs"/>
            </a:rPr>
            <a:t>Con respecto a la variación en el indicador de rentabilidad, se muestra que la empresa tiene un margen con poca fluctuacion</a:t>
          </a:r>
          <a:r>
            <a:rPr lang="es-ES_tradnl" sz="1200" baseline="0">
              <a:solidFill>
                <a:schemeClr val="dk1"/>
              </a:solidFill>
              <a:latin typeface="+mn-lt"/>
              <a:ea typeface="+mn-ea"/>
              <a:cs typeface="+mn-cs"/>
            </a:rPr>
            <a:t> en cuanto a la</a:t>
          </a:r>
          <a:r>
            <a:rPr lang="es-ES_tradnl" sz="1200">
              <a:solidFill>
                <a:schemeClr val="dk1"/>
              </a:solidFill>
              <a:latin typeface="+mn-lt"/>
              <a:ea typeface="+mn-ea"/>
              <a:cs typeface="+mn-cs"/>
            </a:rPr>
            <a:t> eficiente entre elos</a:t>
          </a:r>
          <a:r>
            <a:rPr lang="es-ES_tradnl" sz="1200" baseline="0">
              <a:solidFill>
                <a:schemeClr val="dk1"/>
              </a:solidFill>
              <a:latin typeface="+mn-lt"/>
              <a:ea typeface="+mn-ea"/>
              <a:cs typeface="+mn-cs"/>
            </a:rPr>
            <a:t> años dos y cinco,</a:t>
          </a:r>
          <a:r>
            <a:rPr lang="es-ES_tradnl" sz="1200">
              <a:solidFill>
                <a:schemeClr val="dk1"/>
              </a:solidFill>
              <a:latin typeface="+mn-lt"/>
              <a:ea typeface="+mn-ea"/>
              <a:cs typeface="+mn-cs"/>
            </a:rPr>
            <a:t> </a:t>
          </a:r>
          <a:r>
            <a:rPr lang="es-ES_tradnl" sz="1200" baseline="0">
              <a:solidFill>
                <a:schemeClr val="dk1"/>
              </a:solidFill>
              <a:latin typeface="+mn-lt"/>
              <a:ea typeface="+mn-ea"/>
              <a:cs typeface="+mn-cs"/>
            </a:rPr>
            <a:t> siendo esto el reflejo de la </a:t>
          </a:r>
          <a:r>
            <a:rPr lang="es-ES_tradnl" sz="1200">
              <a:solidFill>
                <a:schemeClr val="dk1"/>
              </a:solidFill>
              <a:latin typeface="+mn-lt"/>
              <a:ea typeface="+mn-ea"/>
              <a:cs typeface="+mn-cs"/>
            </a:rPr>
            <a:t>administración de la empresa para controlar los costos y gastos.</a:t>
          </a:r>
        </a:p>
        <a:p>
          <a:endParaRPr lang="es-ES_tradnl" sz="1100"/>
        </a:p>
      </xdr:txBody>
    </xdr:sp>
    <xdr:clientData/>
  </xdr:oneCellAnchor>
  <xdr:twoCellAnchor>
    <xdr:from>
      <xdr:col>0</xdr:col>
      <xdr:colOff>27214</xdr:colOff>
      <xdr:row>2</xdr:row>
      <xdr:rowOff>108857</xdr:rowOff>
    </xdr:from>
    <xdr:to>
      <xdr:col>5</xdr:col>
      <xdr:colOff>462643</xdr:colOff>
      <xdr:row>16</xdr:row>
      <xdr:rowOff>185057</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323850</xdr:colOff>
      <xdr:row>1</xdr:row>
      <xdr:rowOff>0</xdr:rowOff>
    </xdr:from>
    <xdr:to>
      <xdr:col>13</xdr:col>
      <xdr:colOff>323850</xdr:colOff>
      <xdr:row>13</xdr:row>
      <xdr:rowOff>133350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190500</xdr:colOff>
      <xdr:row>18</xdr:row>
      <xdr:rowOff>66939</xdr:rowOff>
    </xdr:from>
    <xdr:ext cx="12087225" cy="2499521"/>
    <xdr:sp macro="" textlink="">
      <xdr:nvSpPr>
        <xdr:cNvPr id="3" name="2 CuadroTexto"/>
        <xdr:cNvSpPr txBox="1"/>
      </xdr:nvSpPr>
      <xdr:spPr>
        <a:xfrm>
          <a:off x="190500" y="3829314"/>
          <a:ext cx="12087225" cy="2499521"/>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wrap="square" lIns="36000" tIns="36000" rIns="36000" bIns="36000" rtlCol="0" anchor="ctr">
          <a:spAutoFit/>
        </a:bodyPr>
        <a:lstStyle/>
        <a:p>
          <a:r>
            <a:rPr lang="es-ES_tradnl" sz="1200">
              <a:solidFill>
                <a:schemeClr val="dk1"/>
              </a:solidFill>
              <a:latin typeface="+mn-lt"/>
              <a:ea typeface="+mn-ea"/>
              <a:cs typeface="+mn-cs"/>
            </a:rPr>
            <a:t>E</a:t>
          </a:r>
          <a:r>
            <a:rPr lang="es-ES" sz="1100">
              <a:solidFill>
                <a:schemeClr val="dk1"/>
              </a:solidFill>
              <a:latin typeface="+mn-lt"/>
              <a:ea typeface="+mn-ea"/>
              <a:cs typeface="+mn-cs"/>
            </a:rPr>
            <a:t>l concepto de capital de trabajo (KW) representa para la empresa un elemento muy importante puesto que es el valor que requieren al comienzo de un periodo para iniciar con el desarrollo de sus operaciones.  Ahora bien, dentro de estos indicadores, las ventas se representan como el denominador más significativo puesto que son el elemento más importante para la compañía y el cual determina el margen de rentabilidad o de pérdidas de la misma. </a:t>
          </a:r>
          <a:endParaRPr lang="es-ES_tradnl" sz="1100">
            <a:solidFill>
              <a:schemeClr val="dk1"/>
            </a:solidFill>
            <a:latin typeface="+mn-lt"/>
            <a:ea typeface="+mn-ea"/>
            <a:cs typeface="+mn-cs"/>
          </a:endParaRPr>
        </a:p>
        <a:p>
          <a:r>
            <a:rPr lang="es-ES" sz="1100">
              <a:solidFill>
                <a:schemeClr val="dk1"/>
              </a:solidFill>
              <a:latin typeface="+mn-lt"/>
              <a:ea typeface="+mn-ea"/>
              <a:cs typeface="+mn-cs"/>
            </a:rPr>
            <a:t>La relación de capital de trabajo neto operativo  (activos que intervienen directamente en la generación de recursos menos las cuentas por pagar) sobre ventas, se representa en la grafica anterior como aquella</a:t>
          </a:r>
          <a:r>
            <a:rPr lang="es-ES" sz="1100" baseline="0">
              <a:solidFill>
                <a:schemeClr val="dk1"/>
              </a:solidFill>
              <a:latin typeface="+mn-lt"/>
              <a:ea typeface="+mn-ea"/>
              <a:cs typeface="+mn-cs"/>
            </a:rPr>
            <a:t> vemos que es cero pues no contamos con una cartera puesto que se brinda un servivio</a:t>
          </a:r>
          <a:r>
            <a:rPr lang="es-ES" sz="1100">
              <a:solidFill>
                <a:schemeClr val="dk1"/>
              </a:solidFill>
              <a:latin typeface="+mn-lt"/>
              <a:ea typeface="+mn-ea"/>
              <a:cs typeface="+mn-cs"/>
            </a:rPr>
            <a:t>. </a:t>
          </a:r>
          <a:endParaRPr lang="es-ES_tradnl" sz="1100">
            <a:solidFill>
              <a:schemeClr val="dk1"/>
            </a:solidFill>
            <a:latin typeface="+mn-lt"/>
            <a:ea typeface="+mn-ea"/>
            <a:cs typeface="+mn-cs"/>
          </a:endParaRPr>
        </a:p>
        <a:p>
          <a:r>
            <a:rPr lang="es-ES" sz="1100">
              <a:solidFill>
                <a:schemeClr val="dk1"/>
              </a:solidFill>
              <a:latin typeface="+mn-lt"/>
              <a:ea typeface="+mn-ea"/>
              <a:cs typeface="+mn-cs"/>
            </a:rPr>
            <a:t>Con relación a lo anterior, se observa que el margen de  inventarios sobre ventas  reflejo el comportamiento</a:t>
          </a:r>
          <a:r>
            <a:rPr lang="es-ES" sz="1100" baseline="0">
              <a:solidFill>
                <a:schemeClr val="dk1"/>
              </a:solidFill>
              <a:latin typeface="+mn-lt"/>
              <a:ea typeface="+mn-ea"/>
              <a:cs typeface="+mn-cs"/>
            </a:rPr>
            <a:t> cero ya quenuestra empresa no cunata con inventario por lo que prestamos un servio</a:t>
          </a:r>
          <a:r>
            <a:rPr lang="es-ES" sz="1100">
              <a:solidFill>
                <a:schemeClr val="dk1"/>
              </a:solidFill>
              <a:latin typeface="+mn-lt"/>
              <a:ea typeface="+mn-ea"/>
              <a:cs typeface="+mn-cs"/>
            </a:rPr>
            <a:t>. </a:t>
          </a:r>
          <a:endParaRPr lang="es-ES_tradnl" sz="1100">
            <a:solidFill>
              <a:schemeClr val="dk1"/>
            </a:solidFill>
            <a:latin typeface="+mn-lt"/>
            <a:ea typeface="+mn-ea"/>
            <a:cs typeface="+mn-cs"/>
          </a:endParaRPr>
        </a:p>
        <a:p>
          <a:r>
            <a:rPr lang="es-ES" sz="1100">
              <a:solidFill>
                <a:schemeClr val="dk1"/>
              </a:solidFill>
              <a:latin typeface="+mn-lt"/>
              <a:ea typeface="+mn-ea"/>
              <a:cs typeface="+mn-cs"/>
            </a:rPr>
            <a:t>En lo que respecta al pasivo sin deuda, en el periodo  comprendido entre los años 3 y 4 y como necesidad de crecimiento,elCentro</a:t>
          </a:r>
          <a:r>
            <a:rPr lang="es-ES" sz="1100" baseline="0">
              <a:solidFill>
                <a:schemeClr val="dk1"/>
              </a:solidFill>
              <a:latin typeface="+mn-lt"/>
              <a:ea typeface="+mn-ea"/>
              <a:cs typeface="+mn-cs"/>
            </a:rPr>
            <a:t> Cultural Edad De Oro </a:t>
          </a:r>
          <a:r>
            <a:rPr lang="es-ES" sz="1100">
              <a:solidFill>
                <a:schemeClr val="dk1"/>
              </a:solidFill>
              <a:latin typeface="+mn-lt"/>
              <a:ea typeface="+mn-ea"/>
              <a:cs typeface="+mn-cs"/>
            </a:rPr>
            <a:t>contrajo en mayor grado, obligaciones financieras con diferentes entidades lo que los obligo a retener una porción de sus ventas para cubrir con deudas haciendo que las demás cuentas que componen su pasivo dentro del balance general, fueran cada vez menores, puesto que en su mayoría todo se soportaba en las obligaciones financieras. Pero a diferencia de ello, para el año inmediatamente anterior</a:t>
          </a:r>
          <a:r>
            <a:rPr lang="es-ES" sz="1100" baseline="0">
              <a:solidFill>
                <a:schemeClr val="dk1"/>
              </a:solidFill>
              <a:latin typeface="+mn-lt"/>
              <a:ea typeface="+mn-ea"/>
              <a:cs typeface="+mn-cs"/>
            </a:rPr>
            <a:t> (año5)</a:t>
          </a:r>
          <a:r>
            <a:rPr lang="es-ES" sz="1100">
              <a:solidFill>
                <a:schemeClr val="dk1"/>
              </a:solidFill>
              <a:latin typeface="+mn-lt"/>
              <a:ea typeface="+mn-ea"/>
              <a:cs typeface="+mn-cs"/>
            </a:rPr>
            <a:t> y gracias a la buena gestión en los  procesos de negocio desarrollados, la empresa ha logrado consolidad un capital de trabajo optimo, que la ha ayudado al desarrollo de su actividad sin necesidad de tanto endeudamiento, haciendo que las obligaciones financieras representen cada vez menor cantidad de dinero.  </a:t>
          </a:r>
          <a:endParaRPr lang="es-ES_tradnl" sz="1100">
            <a:solidFill>
              <a:schemeClr val="dk1"/>
            </a:solidFill>
            <a:latin typeface="+mn-lt"/>
            <a:ea typeface="+mn-ea"/>
            <a:cs typeface="+mn-cs"/>
          </a:endParaRPr>
        </a:p>
        <a:p>
          <a:r>
            <a:rPr lang="es-ES" sz="1100">
              <a:solidFill>
                <a:schemeClr val="dk1"/>
              </a:solidFill>
              <a:latin typeface="+mn-lt"/>
              <a:ea typeface="+mn-ea"/>
              <a:cs typeface="+mn-cs"/>
            </a:rPr>
            <a:t>Por último, así mismo como la empresa genera  un nivel de ventas, y</a:t>
          </a:r>
          <a:r>
            <a:rPr lang="es-ES" sz="1100" baseline="0">
              <a:solidFill>
                <a:schemeClr val="dk1"/>
              </a:solidFill>
              <a:latin typeface="+mn-lt"/>
              <a:ea typeface="+mn-ea"/>
              <a:cs typeface="+mn-cs"/>
            </a:rPr>
            <a:t> tentindo en cuenta que su cartera es o vemos que este incador no tiene ninguncambio pues siempre es cero. A un que tambien q</a:t>
          </a:r>
          <a:r>
            <a:rPr lang="es-ES" sz="1100">
              <a:solidFill>
                <a:schemeClr val="dk1"/>
              </a:solidFill>
              <a:latin typeface="+mn-lt"/>
              <a:ea typeface="+mn-ea"/>
              <a:cs typeface="+mn-cs"/>
            </a:rPr>
            <a:t>ue la empresa se financia con bancos, puesto que no cuenta con recursos inmediatos para hacerlo. </a:t>
          </a:r>
          <a:endParaRPr lang="es-ES_tradnl" sz="1100">
            <a:solidFill>
              <a:schemeClr val="dk1"/>
            </a:solidFill>
            <a:latin typeface="+mn-lt"/>
            <a:ea typeface="+mn-ea"/>
            <a:cs typeface="+mn-cs"/>
          </a:endParaRPr>
        </a:p>
        <a:p>
          <a:endParaRPr lang="es-ES_tradnl"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7</xdr:col>
      <xdr:colOff>104775</xdr:colOff>
      <xdr:row>0</xdr:row>
      <xdr:rowOff>171450</xdr:rowOff>
    </xdr:from>
    <xdr:to>
      <xdr:col>13</xdr:col>
      <xdr:colOff>104775</xdr:colOff>
      <xdr:row>15</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285750</xdr:colOff>
      <xdr:row>37</xdr:row>
      <xdr:rowOff>161925</xdr:rowOff>
    </xdr:from>
    <xdr:to>
      <xdr:col>12</xdr:col>
      <xdr:colOff>714375</xdr:colOff>
      <xdr:row>51</xdr:row>
      <xdr:rowOff>142875</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1</xdr:colOff>
      <xdr:row>21</xdr:row>
      <xdr:rowOff>22059</xdr:rowOff>
    </xdr:from>
    <xdr:ext cx="10972800" cy="1354080"/>
    <xdr:sp macro="" textlink="">
      <xdr:nvSpPr>
        <xdr:cNvPr id="5" name="4 CuadroTexto"/>
        <xdr:cNvSpPr txBox="1"/>
      </xdr:nvSpPr>
      <xdr:spPr>
        <a:xfrm>
          <a:off x="190501" y="4185845"/>
          <a:ext cx="10972800" cy="1354080"/>
        </a:xfrm>
        <a:prstGeom prst="rect">
          <a:avLst/>
        </a:prstGeom>
        <a:solidFill>
          <a:schemeClr val="bg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wrap="square" lIns="36000" tIns="36000" rIns="36000" bIns="36000" rtlCol="0" anchor="ctr">
          <a:spAutoFit/>
        </a:bodyPr>
        <a:lstStyle/>
        <a:p>
          <a:r>
            <a:rPr lang="es-ES_tradnl" sz="1400">
              <a:solidFill>
                <a:schemeClr val="dk1"/>
              </a:solidFill>
              <a:latin typeface="+mn-lt"/>
              <a:ea typeface="+mn-ea"/>
              <a:cs typeface="+mn-cs"/>
            </a:rPr>
            <a:t> </a:t>
          </a:r>
          <a:r>
            <a:rPr lang="es-ES_tradnl" sz="1200">
              <a:solidFill>
                <a:schemeClr val="dk1"/>
              </a:solidFill>
              <a:latin typeface="Arial" pitchFamily="34" charset="0"/>
              <a:ea typeface="+mn-ea"/>
              <a:cs typeface="Arial" pitchFamily="34" charset="0"/>
            </a:rPr>
            <a:t>Con</a:t>
          </a:r>
          <a:r>
            <a:rPr lang="es-ES_tradnl" sz="1200" baseline="0">
              <a:solidFill>
                <a:schemeClr val="dk1"/>
              </a:solidFill>
              <a:latin typeface="Arial" pitchFamily="34" charset="0"/>
              <a:ea typeface="+mn-ea"/>
              <a:cs typeface="Arial" pitchFamily="34" charset="0"/>
            </a:rPr>
            <a:t> respecto a este indicador, observamos que el Año  2 fue un año en el cual la rentabilidad generada por aportes a la empresa fue mayor en comparacion a los demas. Esto se puede deber al crecimiento de las ventas para este mismo año que en relacion a los años anteriores  3, 4 y  5 supero sus cifras de manera significativa. </a:t>
          </a:r>
          <a:endParaRPr lang="es-ES_tradnl" sz="1200">
            <a:solidFill>
              <a:schemeClr val="dk1"/>
            </a:solidFill>
            <a:latin typeface="Arial" pitchFamily="34" charset="0"/>
            <a:ea typeface="+mn-ea"/>
            <a:cs typeface="Arial" pitchFamily="34" charset="0"/>
          </a:endParaRPr>
        </a:p>
        <a:p>
          <a:pPr lvl="0" algn="l"/>
          <a:endParaRPr lang="es-ES_tradnl" sz="1200">
            <a:solidFill>
              <a:schemeClr val="dk1"/>
            </a:solidFill>
            <a:latin typeface="Arial" pitchFamily="34" charset="0"/>
            <a:ea typeface="+mn-ea"/>
            <a:cs typeface="Arial" pitchFamily="34" charset="0"/>
          </a:endParaRPr>
        </a:p>
        <a:p>
          <a:pPr lvl="0" algn="l"/>
          <a:r>
            <a:rPr lang="es-ES_tradnl" sz="1200" baseline="0">
              <a:solidFill>
                <a:schemeClr val="dk1"/>
              </a:solidFill>
              <a:latin typeface="Arial" pitchFamily="34" charset="0"/>
              <a:ea typeface="+mn-ea"/>
              <a:cs typeface="Arial" pitchFamily="34" charset="0"/>
            </a:rPr>
            <a:t>De lado contrario, el año 1 fue el año mas critico para la compañia, quiza debido a una mala gestion o administracion de este rubro o de los activos  por parte de los socios  de la misma independientemente de que hayan  sido financiado con deuda  o con capital patrimonial.</a:t>
          </a:r>
          <a:r>
            <a:rPr lang="es-ES_tradnl" sz="1200">
              <a:latin typeface="Arial" pitchFamily="34" charset="0"/>
              <a:cs typeface="Arial" pitchFamily="34" charset="0"/>
            </a:rPr>
            <a:t>  Esto</a:t>
          </a:r>
          <a:r>
            <a:rPr lang="es-ES_tradnl" sz="1200" baseline="0">
              <a:latin typeface="Arial" pitchFamily="34" charset="0"/>
              <a:cs typeface="Arial" pitchFamily="34" charset="0"/>
            </a:rPr>
            <a:t> tambien se debe al reflejo de un alto nivel de gastos de operacion con un bajo nivel de ingreso.</a:t>
          </a:r>
          <a:endParaRPr lang="es-ES_tradnl" sz="1200">
            <a:latin typeface="Arial" pitchFamily="34" charset="0"/>
            <a:cs typeface="Arial"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opezdi\AppData\Local\Microsoft\Windows\Temporary%20Internet%20Files\Content.IE5\O7PQMAN2\EVALUACION%20FINANCIERA-EDAD%20DE%20ORO%20AN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p. Generales"/>
      <sheetName val="Pre. Ventas"/>
      <sheetName val="Presupuesto Gastos"/>
      <sheetName val="P Y G"/>
      <sheetName val="Financiamiento"/>
      <sheetName val="Flujo de Caja y BG"/>
      <sheetName val="RiskSim"/>
      <sheetName val="Evaluacion Financiera y PE"/>
      <sheetName val="Evolucion del mg. en la operaci"/>
      <sheetName val="Grafiks Ev. Mg en la Operac"/>
      <sheetName val="Indicadores de KW"/>
      <sheetName val="Caja Generada"/>
      <sheetName val="Composici. de FCL del accionist"/>
      <sheetName val="Liquidez"/>
    </sheetNames>
    <sheetDataSet>
      <sheetData sheetId="0"/>
      <sheetData sheetId="1"/>
      <sheetData sheetId="2"/>
      <sheetData sheetId="3">
        <row r="6">
          <cell r="D6">
            <v>121871000</v>
          </cell>
          <cell r="E6">
            <v>146505700</v>
          </cell>
          <cell r="F6">
            <v>173318300</v>
          </cell>
          <cell r="G6">
            <v>208512300</v>
          </cell>
          <cell r="H6">
            <v>247082100</v>
          </cell>
        </row>
        <row r="33">
          <cell r="D33">
            <v>-5608859.9112254893</v>
          </cell>
          <cell r="E33">
            <v>8573293.9085275643</v>
          </cell>
          <cell r="F33">
            <v>14866436.71567473</v>
          </cell>
          <cell r="G33">
            <v>24916024.58171875</v>
          </cell>
          <cell r="H33">
            <v>34291929.116033196</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2:G106"/>
  <sheetViews>
    <sheetView showGridLines="0" tabSelected="1" zoomScaleNormal="100" workbookViewId="0">
      <selection activeCell="E26" sqref="E26"/>
    </sheetView>
  </sheetViews>
  <sheetFormatPr baseColWidth="10" defaultColWidth="11.42578125" defaultRowHeight="15"/>
  <cols>
    <col min="2" max="2" width="15.28515625" customWidth="1"/>
    <col min="3" max="3" width="18.28515625" bestFit="1" customWidth="1"/>
    <col min="4" max="4" width="13.5703125" customWidth="1"/>
    <col min="5" max="5" width="12.140625" bestFit="1" customWidth="1"/>
    <col min="6" max="6" width="14.42578125" customWidth="1"/>
    <col min="7" max="7" width="15.5703125" bestFit="1" customWidth="1"/>
  </cols>
  <sheetData>
    <row r="2" spans="1:6" ht="14.25" customHeight="1"/>
    <row r="3" spans="1:6" ht="22.5" customHeight="1">
      <c r="A3" s="403" t="s">
        <v>248</v>
      </c>
      <c r="B3" s="403"/>
      <c r="C3" s="403"/>
      <c r="D3" s="403"/>
      <c r="E3" s="403"/>
      <c r="F3" s="403"/>
    </row>
    <row r="4" spans="1:6" ht="15.75" thickBot="1">
      <c r="B4" s="52"/>
      <c r="C4" s="52"/>
    </row>
    <row r="5" spans="1:6">
      <c r="A5" s="417" t="s">
        <v>140</v>
      </c>
      <c r="B5" s="404" t="s">
        <v>185</v>
      </c>
      <c r="C5" s="405"/>
      <c r="D5" s="292"/>
      <c r="E5" s="406" t="s">
        <v>186</v>
      </c>
      <c r="F5" s="407"/>
    </row>
    <row r="6" spans="1:6">
      <c r="A6" s="418"/>
      <c r="B6" s="230" t="s">
        <v>2</v>
      </c>
      <c r="C6" s="230" t="s">
        <v>1</v>
      </c>
      <c r="D6" s="219"/>
      <c r="E6" s="235" t="s">
        <v>2</v>
      </c>
      <c r="F6" s="287" t="s">
        <v>1</v>
      </c>
    </row>
    <row r="7" spans="1:6">
      <c r="A7" s="293" t="s">
        <v>125</v>
      </c>
      <c r="B7" s="231">
        <v>422000</v>
      </c>
      <c r="C7" s="233">
        <v>9</v>
      </c>
      <c r="D7" s="207"/>
      <c r="E7" s="228">
        <v>15</v>
      </c>
      <c r="F7" s="294">
        <v>235000</v>
      </c>
    </row>
    <row r="8" spans="1:6">
      <c r="A8" s="293" t="s">
        <v>126</v>
      </c>
      <c r="B8" s="231">
        <v>452000</v>
      </c>
      <c r="C8" s="233">
        <v>7</v>
      </c>
      <c r="D8" s="207"/>
      <c r="E8" s="228">
        <v>13</v>
      </c>
      <c r="F8" s="294">
        <v>206000</v>
      </c>
    </row>
    <row r="9" spans="1:6">
      <c r="A9" s="295" t="s">
        <v>127</v>
      </c>
      <c r="B9" s="232">
        <v>509000</v>
      </c>
      <c r="C9" s="234">
        <v>5</v>
      </c>
      <c r="D9" s="208"/>
      <c r="E9" s="229">
        <v>9</v>
      </c>
      <c r="F9" s="296">
        <v>176000</v>
      </c>
    </row>
    <row r="10" spans="1:6">
      <c r="A10" s="6"/>
      <c r="B10" s="27"/>
      <c r="C10" s="74"/>
      <c r="D10" s="74"/>
      <c r="E10" s="73"/>
      <c r="F10" s="23"/>
    </row>
    <row r="11" spans="1:6">
      <c r="A11" s="181" t="s">
        <v>187</v>
      </c>
      <c r="B11" s="178"/>
      <c r="C11" s="193"/>
      <c r="D11" s="194">
        <v>0.1</v>
      </c>
      <c r="E11" s="195"/>
      <c r="F11" s="196"/>
    </row>
    <row r="12" spans="1:6">
      <c r="A12" s="181" t="s">
        <v>188</v>
      </c>
      <c r="B12" s="178"/>
      <c r="C12" s="193"/>
      <c r="D12" s="194">
        <v>0.1</v>
      </c>
      <c r="E12" s="195"/>
      <c r="F12" s="196"/>
    </row>
    <row r="13" spans="1:6">
      <c r="A13" s="24"/>
      <c r="B13" s="1"/>
      <c r="C13" s="75"/>
      <c r="D13" s="1"/>
      <c r="E13" s="73"/>
      <c r="F13" s="23"/>
    </row>
    <row r="14" spans="1:6">
      <c r="A14" s="181" t="s">
        <v>189</v>
      </c>
      <c r="B14" s="178"/>
      <c r="C14" s="193"/>
      <c r="D14" s="194">
        <v>0.05</v>
      </c>
      <c r="E14" s="195"/>
      <c r="F14" s="196"/>
    </row>
    <row r="15" spans="1:6" ht="15.75" thickBot="1">
      <c r="A15" s="182" t="s">
        <v>190</v>
      </c>
      <c r="B15" s="180"/>
      <c r="C15" s="197"/>
      <c r="D15" s="198">
        <v>0.05</v>
      </c>
      <c r="E15" s="199"/>
      <c r="F15" s="200"/>
    </row>
    <row r="16" spans="1:6" ht="15.75" thickBot="1">
      <c r="A16" s="14"/>
      <c r="C16" s="3"/>
      <c r="E16" s="19"/>
    </row>
    <row r="17" spans="1:7">
      <c r="A17" s="414" t="s">
        <v>193</v>
      </c>
      <c r="B17" s="415"/>
      <c r="C17" s="415"/>
      <c r="D17" s="415"/>
      <c r="E17" s="415"/>
      <c r="F17" s="415"/>
      <c r="G17" s="416"/>
    </row>
    <row r="18" spans="1:7">
      <c r="A18" s="286" t="s">
        <v>194</v>
      </c>
      <c r="B18" s="215"/>
      <c r="C18" s="230" t="s">
        <v>0</v>
      </c>
      <c r="D18" s="230" t="s">
        <v>5</v>
      </c>
      <c r="E18" s="230" t="s">
        <v>7</v>
      </c>
      <c r="F18" s="230" t="s">
        <v>8</v>
      </c>
      <c r="G18" s="287" t="s">
        <v>9</v>
      </c>
    </row>
    <row r="19" spans="1:7">
      <c r="A19" s="54" t="s">
        <v>171</v>
      </c>
      <c r="B19" s="217"/>
      <c r="C19" s="209">
        <v>1</v>
      </c>
      <c r="D19" s="209">
        <v>1</v>
      </c>
      <c r="E19" s="209">
        <v>1</v>
      </c>
      <c r="F19" s="209">
        <v>1</v>
      </c>
      <c r="G19" s="288">
        <v>2</v>
      </c>
    </row>
    <row r="20" spans="1:7">
      <c r="A20" s="54" t="s">
        <v>128</v>
      </c>
      <c r="B20" s="217"/>
      <c r="C20" s="209">
        <v>1</v>
      </c>
      <c r="D20" s="209">
        <v>1</v>
      </c>
      <c r="E20" s="209">
        <v>2</v>
      </c>
      <c r="F20" s="209">
        <v>3</v>
      </c>
      <c r="G20" s="288">
        <v>3</v>
      </c>
    </row>
    <row r="21" spans="1:7" ht="15.75" thickBot="1">
      <c r="A21" s="76" t="s">
        <v>129</v>
      </c>
      <c r="B21" s="289"/>
      <c r="C21" s="290">
        <v>2</v>
      </c>
      <c r="D21" s="290">
        <v>2</v>
      </c>
      <c r="E21" s="290">
        <v>2</v>
      </c>
      <c r="F21" s="290">
        <v>2</v>
      </c>
      <c r="G21" s="291">
        <v>2</v>
      </c>
    </row>
    <row r="22" spans="1:7" ht="15.75" thickBot="1">
      <c r="A22" s="14"/>
      <c r="C22" s="3"/>
      <c r="E22" s="19"/>
    </row>
    <row r="23" spans="1:7">
      <c r="A23" s="175" t="s">
        <v>21</v>
      </c>
      <c r="B23" s="174"/>
      <c r="C23" s="283" t="s">
        <v>0</v>
      </c>
      <c r="E23" s="19"/>
    </row>
    <row r="24" spans="1:7">
      <c r="A24" s="284" t="s">
        <v>171</v>
      </c>
      <c r="B24" s="221"/>
      <c r="C24" s="259">
        <v>650000</v>
      </c>
      <c r="E24" s="19"/>
    </row>
    <row r="25" spans="1:7">
      <c r="A25" s="191" t="s">
        <v>128</v>
      </c>
      <c r="B25" s="223"/>
      <c r="C25" s="260">
        <v>566700</v>
      </c>
      <c r="E25" s="19"/>
    </row>
    <row r="26" spans="1:7" ht="15.75" thickBot="1">
      <c r="A26" s="192" t="s">
        <v>129</v>
      </c>
      <c r="B26" s="278"/>
      <c r="C26" s="285">
        <v>1000000</v>
      </c>
      <c r="E26" s="19"/>
    </row>
    <row r="27" spans="1:7" ht="15.75" thickBot="1">
      <c r="A27" s="14"/>
      <c r="C27" s="3"/>
      <c r="E27" s="19"/>
    </row>
    <row r="28" spans="1:7">
      <c r="A28" s="189" t="s">
        <v>18</v>
      </c>
      <c r="B28" s="190"/>
      <c r="C28" s="280">
        <v>0.43</v>
      </c>
      <c r="E28" s="19"/>
    </row>
    <row r="29" spans="1:7">
      <c r="A29" s="69" t="s">
        <v>19</v>
      </c>
      <c r="B29" s="78"/>
      <c r="C29" s="281">
        <f>1/12</f>
        <v>8.3333333333333329E-2</v>
      </c>
      <c r="E29" s="19"/>
    </row>
    <row r="30" spans="1:7" ht="15.75" thickBot="1">
      <c r="A30" s="38" t="s">
        <v>20</v>
      </c>
      <c r="B30" s="188"/>
      <c r="C30" s="282">
        <v>3.7499999999999999E-2</v>
      </c>
      <c r="E30" s="19"/>
    </row>
    <row r="31" spans="1:7" ht="15.75" thickBot="1"/>
    <row r="32" spans="1:7">
      <c r="A32" s="175" t="s">
        <v>191</v>
      </c>
      <c r="B32" s="174"/>
      <c r="C32" s="277"/>
    </row>
    <row r="33" spans="1:7">
      <c r="A33" s="258" t="s">
        <v>97</v>
      </c>
      <c r="B33" s="221"/>
      <c r="C33" s="265" t="s">
        <v>99</v>
      </c>
    </row>
    <row r="34" spans="1:7">
      <c r="A34" s="65" t="s">
        <v>98</v>
      </c>
      <c r="B34" s="223"/>
      <c r="C34" s="266" t="s">
        <v>99</v>
      </c>
    </row>
    <row r="35" spans="1:7">
      <c r="A35" s="65" t="s">
        <v>100</v>
      </c>
      <c r="B35" s="223"/>
      <c r="C35" s="266" t="s">
        <v>101</v>
      </c>
    </row>
    <row r="36" spans="1:7" ht="15.75" thickBot="1">
      <c r="A36" s="187" t="s">
        <v>192</v>
      </c>
      <c r="B36" s="278"/>
      <c r="C36" s="279" t="s">
        <v>101</v>
      </c>
    </row>
    <row r="37" spans="1:7" ht="15.75" thickBot="1"/>
    <row r="38" spans="1:7">
      <c r="A38" s="175" t="s">
        <v>163</v>
      </c>
      <c r="B38" s="174"/>
      <c r="C38" s="174"/>
      <c r="D38" s="174"/>
      <c r="E38" s="176"/>
    </row>
    <row r="39" spans="1:7">
      <c r="A39" s="270"/>
      <c r="B39" s="227"/>
      <c r="C39" s="225" t="s">
        <v>125</v>
      </c>
      <c r="D39" s="226" t="s">
        <v>126</v>
      </c>
      <c r="E39" s="271" t="s">
        <v>127</v>
      </c>
    </row>
    <row r="40" spans="1:7">
      <c r="A40" s="127" t="s">
        <v>137</v>
      </c>
      <c r="B40" s="228"/>
      <c r="C40" s="206"/>
      <c r="D40" s="214"/>
      <c r="E40" s="272">
        <v>1</v>
      </c>
    </row>
    <row r="41" spans="1:7">
      <c r="A41" s="127" t="s">
        <v>164</v>
      </c>
      <c r="B41" s="228"/>
      <c r="C41" s="206"/>
      <c r="D41" s="214">
        <v>1</v>
      </c>
      <c r="E41" s="272">
        <v>1</v>
      </c>
    </row>
    <row r="42" spans="1:7">
      <c r="A42" s="127" t="s">
        <v>139</v>
      </c>
      <c r="B42" s="228"/>
      <c r="C42" s="206">
        <v>1</v>
      </c>
      <c r="D42" s="214">
        <v>1</v>
      </c>
      <c r="E42" s="272">
        <v>1</v>
      </c>
      <c r="F42" t="s">
        <v>195</v>
      </c>
    </row>
    <row r="43" spans="1:7" ht="15.75" thickBot="1">
      <c r="A43" s="129" t="s">
        <v>169</v>
      </c>
      <c r="B43" s="273"/>
      <c r="C43" s="274">
        <v>1</v>
      </c>
      <c r="D43" s="275">
        <v>1</v>
      </c>
      <c r="E43" s="276">
        <v>1</v>
      </c>
    </row>
    <row r="44" spans="1:7" ht="15.75" thickBot="1">
      <c r="D44" s="5"/>
      <c r="E44" s="5"/>
    </row>
    <row r="45" spans="1:7">
      <c r="A45" s="175" t="s">
        <v>165</v>
      </c>
      <c r="B45" s="174"/>
      <c r="C45" s="176"/>
      <c r="D45" s="1"/>
    </row>
    <row r="46" spans="1:7">
      <c r="A46" s="411" t="s">
        <v>178</v>
      </c>
      <c r="B46" s="412"/>
      <c r="C46" s="413"/>
      <c r="G46" s="1"/>
    </row>
    <row r="47" spans="1:7">
      <c r="A47" s="244" t="s">
        <v>137</v>
      </c>
      <c r="B47" s="220"/>
      <c r="C47" s="265">
        <v>72000</v>
      </c>
    </row>
    <row r="48" spans="1:7">
      <c r="A48" s="6" t="s">
        <v>138</v>
      </c>
      <c r="B48" s="217"/>
      <c r="C48" s="266">
        <v>40000</v>
      </c>
    </row>
    <row r="49" spans="1:3">
      <c r="A49" s="6" t="s">
        <v>139</v>
      </c>
      <c r="B49" s="217"/>
      <c r="C49" s="266">
        <v>15000</v>
      </c>
    </row>
    <row r="50" spans="1:3">
      <c r="A50" s="6" t="s">
        <v>170</v>
      </c>
      <c r="B50" s="217"/>
      <c r="C50" s="266">
        <v>38000</v>
      </c>
    </row>
    <row r="51" spans="1:3">
      <c r="A51" s="252"/>
      <c r="B51" s="218"/>
      <c r="C51" s="262"/>
    </row>
    <row r="52" spans="1:3" ht="15.75" thickBot="1">
      <c r="A52" s="267" t="s">
        <v>166</v>
      </c>
      <c r="B52" s="268"/>
      <c r="C52" s="269">
        <v>3.7499999999999999E-2</v>
      </c>
    </row>
    <row r="54" spans="1:3" ht="15.75" thickBot="1"/>
    <row r="55" spans="1:3">
      <c r="A55" s="175" t="s">
        <v>155</v>
      </c>
      <c r="B55" s="174"/>
      <c r="C55" s="183" t="s">
        <v>37</v>
      </c>
    </row>
    <row r="56" spans="1:3">
      <c r="A56" s="258" t="s">
        <v>145</v>
      </c>
      <c r="B56" s="221"/>
      <c r="C56" s="259">
        <v>380000</v>
      </c>
    </row>
    <row r="57" spans="1:3">
      <c r="A57" s="65" t="s">
        <v>142</v>
      </c>
      <c r="B57" s="223"/>
      <c r="C57" s="260">
        <v>90000</v>
      </c>
    </row>
    <row r="58" spans="1:3">
      <c r="A58" s="65" t="s">
        <v>25</v>
      </c>
      <c r="B58" s="223"/>
      <c r="C58" s="260">
        <v>30000</v>
      </c>
    </row>
    <row r="59" spans="1:3">
      <c r="A59" s="65" t="s">
        <v>143</v>
      </c>
      <c r="B59" s="223"/>
      <c r="C59" s="260">
        <v>100000</v>
      </c>
    </row>
    <row r="60" spans="1:3">
      <c r="A60" s="65" t="s">
        <v>156</v>
      </c>
      <c r="B60" s="223"/>
      <c r="C60" s="260">
        <v>252000</v>
      </c>
    </row>
    <row r="61" spans="1:3">
      <c r="A61" s="65" t="s">
        <v>130</v>
      </c>
      <c r="B61" s="223"/>
      <c r="C61" s="261">
        <v>300000</v>
      </c>
    </row>
    <row r="62" spans="1:3">
      <c r="A62" s="65" t="s">
        <v>33</v>
      </c>
      <c r="B62" s="223"/>
      <c r="C62" s="260">
        <v>70000</v>
      </c>
    </row>
    <row r="63" spans="1:3">
      <c r="A63" s="65" t="s">
        <v>131</v>
      </c>
      <c r="B63" s="223"/>
      <c r="C63" s="260">
        <v>1000000</v>
      </c>
    </row>
    <row r="64" spans="1:3">
      <c r="A64" s="65" t="s">
        <v>22</v>
      </c>
      <c r="B64" s="223"/>
      <c r="C64" s="261">
        <v>1120000</v>
      </c>
    </row>
    <row r="65" spans="1:3">
      <c r="A65" s="252"/>
      <c r="B65" s="218"/>
      <c r="C65" s="262"/>
    </row>
    <row r="66" spans="1:3" ht="15.75" thickBot="1">
      <c r="A66" s="182" t="s">
        <v>26</v>
      </c>
      <c r="B66" s="263"/>
      <c r="C66" s="264">
        <v>3.7499999999999999E-2</v>
      </c>
    </row>
    <row r="67" spans="1:3">
      <c r="A67" s="5"/>
      <c r="B67" s="5"/>
      <c r="C67" s="5"/>
    </row>
    <row r="68" spans="1:3" ht="15.75" thickBot="1">
      <c r="A68" s="6"/>
      <c r="B68" s="1"/>
      <c r="C68" s="9"/>
    </row>
    <row r="69" spans="1:3" ht="15.75" thickBot="1">
      <c r="A69" s="408" t="s">
        <v>28</v>
      </c>
      <c r="B69" s="409"/>
      <c r="C69" s="410"/>
    </row>
    <row r="70" spans="1:3">
      <c r="A70" s="4"/>
      <c r="B70" s="5"/>
      <c r="C70" s="37"/>
    </row>
    <row r="71" spans="1:3">
      <c r="A71" s="250" t="s">
        <v>146</v>
      </c>
      <c r="B71" s="239"/>
      <c r="C71" s="251">
        <f>SUM(C72:C80)</f>
        <v>5420000</v>
      </c>
    </row>
    <row r="72" spans="1:3">
      <c r="A72" s="6"/>
      <c r="B72" s="1" t="s">
        <v>132</v>
      </c>
      <c r="C72" s="28">
        <v>840000</v>
      </c>
    </row>
    <row r="73" spans="1:3">
      <c r="A73" s="6"/>
      <c r="B73" s="1" t="s">
        <v>133</v>
      </c>
      <c r="C73" s="28">
        <v>700000</v>
      </c>
    </row>
    <row r="74" spans="1:3">
      <c r="A74" s="6"/>
      <c r="B74" s="1" t="s">
        <v>197</v>
      </c>
      <c r="C74" s="28">
        <v>880000</v>
      </c>
    </row>
    <row r="75" spans="1:3">
      <c r="A75" s="6"/>
      <c r="B75" s="1" t="s">
        <v>154</v>
      </c>
      <c r="C75" s="28">
        <v>1040000</v>
      </c>
    </row>
    <row r="76" spans="1:3">
      <c r="A76" s="6"/>
      <c r="B76" s="10" t="s">
        <v>147</v>
      </c>
      <c r="C76" s="28">
        <v>500000</v>
      </c>
    </row>
    <row r="77" spans="1:3">
      <c r="A77" s="6"/>
      <c r="B77" s="10" t="s">
        <v>134</v>
      </c>
      <c r="C77" s="28">
        <v>250000</v>
      </c>
    </row>
    <row r="78" spans="1:3">
      <c r="A78" s="6"/>
      <c r="B78" s="10" t="s">
        <v>135</v>
      </c>
      <c r="C78" s="28">
        <v>810000</v>
      </c>
    </row>
    <row r="79" spans="1:3">
      <c r="A79" s="6"/>
      <c r="B79" s="10" t="s">
        <v>152</v>
      </c>
      <c r="C79" s="28">
        <v>300000</v>
      </c>
    </row>
    <row r="80" spans="1:3">
      <c r="A80" s="252"/>
      <c r="B80" s="237" t="s">
        <v>136</v>
      </c>
      <c r="C80" s="253">
        <v>100000</v>
      </c>
    </row>
    <row r="81" spans="1:7">
      <c r="A81" s="6"/>
      <c r="B81" s="1"/>
      <c r="C81" s="28"/>
    </row>
    <row r="82" spans="1:7">
      <c r="A82" s="250" t="s">
        <v>29</v>
      </c>
      <c r="B82" s="239"/>
      <c r="C82" s="251">
        <f>SUM(C83:C84)</f>
        <v>1272000</v>
      </c>
    </row>
    <row r="83" spans="1:7">
      <c r="A83" s="6"/>
      <c r="B83" s="1" t="s">
        <v>148</v>
      </c>
      <c r="C83" s="28">
        <v>1062000</v>
      </c>
    </row>
    <row r="84" spans="1:7">
      <c r="A84" s="252"/>
      <c r="B84" s="11" t="s">
        <v>149</v>
      </c>
      <c r="C84" s="253">
        <v>210000</v>
      </c>
    </row>
    <row r="85" spans="1:7">
      <c r="A85" s="6"/>
      <c r="B85" s="1"/>
      <c r="C85" s="28"/>
    </row>
    <row r="86" spans="1:7">
      <c r="A86" s="250" t="s">
        <v>30</v>
      </c>
      <c r="B86" s="239"/>
      <c r="C86" s="251">
        <v>400000</v>
      </c>
    </row>
    <row r="87" spans="1:7">
      <c r="A87" s="6"/>
      <c r="B87" s="1"/>
      <c r="C87" s="28"/>
    </row>
    <row r="88" spans="1:7">
      <c r="A88" s="250" t="s">
        <v>150</v>
      </c>
      <c r="B88" s="239"/>
      <c r="C88" s="251">
        <f>SUM(C89:C91)</f>
        <v>3715000</v>
      </c>
    </row>
    <row r="89" spans="1:7">
      <c r="A89" s="244"/>
      <c r="B89" s="240" t="s">
        <v>32</v>
      </c>
      <c r="C89" s="254">
        <v>1600000</v>
      </c>
    </row>
    <row r="90" spans="1:7">
      <c r="A90" s="6"/>
      <c r="B90" s="1" t="s">
        <v>151</v>
      </c>
      <c r="C90" s="28">
        <v>415000</v>
      </c>
    </row>
    <row r="91" spans="1:7">
      <c r="A91" s="252"/>
      <c r="B91" s="11" t="s">
        <v>153</v>
      </c>
      <c r="C91" s="253">
        <v>1700000</v>
      </c>
    </row>
    <row r="92" spans="1:7">
      <c r="A92" s="6"/>
      <c r="B92" s="1"/>
      <c r="C92" s="28"/>
    </row>
    <row r="93" spans="1:7">
      <c r="A93" s="250" t="s">
        <v>31</v>
      </c>
      <c r="B93" s="241"/>
      <c r="C93" s="251">
        <f>(+'Presupuesto Gastos'!D94-'Presupuesto Gastos'!D89-'Presupuesto Gastos'!D84)/(12/G93)</f>
        <v>30236175</v>
      </c>
      <c r="D93" t="s">
        <v>196</v>
      </c>
      <c r="G93">
        <v>3</v>
      </c>
    </row>
    <row r="94" spans="1:7">
      <c r="A94" s="24"/>
      <c r="B94" s="1"/>
      <c r="C94" s="28"/>
    </row>
    <row r="95" spans="1:7" ht="15.75" thickBot="1">
      <c r="A95" s="255" t="s">
        <v>16</v>
      </c>
      <c r="B95" s="256"/>
      <c r="C95" s="257">
        <f>+C93+C88+C86+C82+C71</f>
        <v>41043175</v>
      </c>
    </row>
    <row r="97" spans="1:7" ht="15.75" thickBot="1"/>
    <row r="98" spans="1:7">
      <c r="A98" s="184" t="s">
        <v>34</v>
      </c>
      <c r="B98" s="185"/>
      <c r="C98" s="246" t="s">
        <v>102</v>
      </c>
      <c r="D98" s="246" t="s">
        <v>6</v>
      </c>
      <c r="E98" s="186" t="s">
        <v>38</v>
      </c>
    </row>
    <row r="99" spans="1:7">
      <c r="A99" s="6" t="s">
        <v>35</v>
      </c>
      <c r="B99" s="1"/>
      <c r="C99" s="242">
        <f>ROUNDUP(+C95-C100,-6)</f>
        <v>33000000</v>
      </c>
      <c r="D99" s="243">
        <f>C99/(C99+C100)</f>
        <v>0.7857142857142857</v>
      </c>
      <c r="E99" s="247">
        <f>C104</f>
        <v>0.1855</v>
      </c>
      <c r="G99" s="12"/>
    </row>
    <row r="100" spans="1:7" ht="15.75" thickBot="1">
      <c r="A100" s="8" t="s">
        <v>85</v>
      </c>
      <c r="B100" s="9"/>
      <c r="C100" s="299">
        <v>9000000</v>
      </c>
      <c r="D100" s="248">
        <f>C100/(C100+C99)</f>
        <v>0.21428571428571427</v>
      </c>
      <c r="E100" s="249">
        <f>'Evaluacion Financiera y PE'!B12</f>
        <v>0.18</v>
      </c>
    </row>
    <row r="101" spans="1:7" ht="15.75" thickBot="1"/>
    <row r="102" spans="1:7">
      <c r="A102" s="400" t="s">
        <v>103</v>
      </c>
      <c r="B102" s="401"/>
      <c r="C102" s="401"/>
      <c r="D102" s="402"/>
    </row>
    <row r="103" spans="1:7">
      <c r="A103" s="244" t="s">
        <v>46</v>
      </c>
      <c r="B103" s="240"/>
      <c r="C103" s="297">
        <f>+C99</f>
        <v>33000000</v>
      </c>
      <c r="D103" s="245"/>
    </row>
    <row r="104" spans="1:7">
      <c r="A104" s="6" t="s">
        <v>104</v>
      </c>
      <c r="B104" s="1"/>
      <c r="C104" s="298">
        <v>0.1855</v>
      </c>
      <c r="D104" s="23" t="s">
        <v>124</v>
      </c>
    </row>
    <row r="105" spans="1:7">
      <c r="A105" s="6" t="s">
        <v>105</v>
      </c>
      <c r="B105" s="1"/>
      <c r="C105" s="214" t="s">
        <v>37</v>
      </c>
      <c r="D105" s="23"/>
    </row>
    <row r="106" spans="1:7" ht="15.75" thickBot="1">
      <c r="A106" s="8" t="s">
        <v>106</v>
      </c>
      <c r="B106" s="9"/>
      <c r="C106" s="275" t="s">
        <v>107</v>
      </c>
      <c r="D106" s="33"/>
    </row>
  </sheetData>
  <sheetProtection password="B3AF" sheet="1" objects="1" scenarios="1"/>
  <mergeCells count="8">
    <mergeCell ref="A102:D102"/>
    <mergeCell ref="A3:F3"/>
    <mergeCell ref="B5:C5"/>
    <mergeCell ref="E5:F5"/>
    <mergeCell ref="A69:C69"/>
    <mergeCell ref="A46:C46"/>
    <mergeCell ref="A17:G17"/>
    <mergeCell ref="A5:A6"/>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dimension ref="B1:U43"/>
  <sheetViews>
    <sheetView zoomScale="80" zoomScaleNormal="80" workbookViewId="0">
      <selection activeCell="O18" sqref="O18"/>
    </sheetView>
  </sheetViews>
  <sheetFormatPr baseColWidth="10" defaultColWidth="11.42578125" defaultRowHeight="15"/>
  <cols>
    <col min="1" max="1" width="2.5703125" customWidth="1"/>
    <col min="2" max="2" width="14.140625" customWidth="1"/>
    <col min="3" max="6" width="15.140625" bestFit="1" customWidth="1"/>
    <col min="14" max="14" width="4.140625" customWidth="1"/>
  </cols>
  <sheetData>
    <row r="1" spans="2:21">
      <c r="B1" s="100"/>
      <c r="C1" s="97"/>
      <c r="D1" s="99"/>
      <c r="E1" s="97"/>
      <c r="F1" s="97"/>
    </row>
    <row r="2" spans="2:21" ht="17.25" customHeight="1"/>
    <row r="9" spans="2:21">
      <c r="B9" s="12"/>
      <c r="C9" s="12"/>
      <c r="D9" s="12"/>
      <c r="E9" s="12"/>
      <c r="F9" s="12"/>
      <c r="G9" s="12"/>
      <c r="H9" s="12"/>
      <c r="I9" s="12"/>
      <c r="J9" s="12"/>
      <c r="K9" s="12"/>
      <c r="L9" s="12"/>
      <c r="M9" s="12"/>
      <c r="N9" s="12"/>
      <c r="O9" s="12"/>
      <c r="P9" s="12"/>
      <c r="Q9" s="12"/>
      <c r="R9" s="12"/>
      <c r="S9" s="12"/>
      <c r="T9" s="12"/>
      <c r="U9" s="12"/>
    </row>
    <row r="28" ht="15" customHeight="1"/>
    <row r="43" spans="9:9">
      <c r="I43" s="63"/>
    </row>
  </sheetData>
  <sheetProtection password="B3AF" sheet="1" objects="1" scenarios="1"/>
  <pageMargins left="0.7" right="0.7" top="0.75" bottom="0.75" header="0.3" footer="0.3"/>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dimension ref="B1:H13"/>
  <sheetViews>
    <sheetView topLeftCell="C1" workbookViewId="0">
      <selection activeCell="K17" sqref="K17"/>
    </sheetView>
  </sheetViews>
  <sheetFormatPr baseColWidth="10" defaultColWidth="11.42578125" defaultRowHeight="15"/>
  <cols>
    <col min="1" max="1" width="3.140625" customWidth="1"/>
    <col min="2" max="2" width="25.140625" customWidth="1"/>
    <col min="3" max="3" width="16.28515625" customWidth="1"/>
    <col min="4" max="6" width="16.42578125" customWidth="1"/>
    <col min="7" max="7" width="14.85546875" customWidth="1"/>
  </cols>
  <sheetData>
    <row r="1" spans="2:8" ht="15.75" thickBot="1"/>
    <row r="2" spans="2:8" ht="32.25" customHeight="1" thickBot="1">
      <c r="B2" s="455" t="s">
        <v>206</v>
      </c>
      <c r="C2" s="456"/>
      <c r="D2" s="456"/>
      <c r="E2" s="456"/>
      <c r="F2" s="456"/>
      <c r="G2" s="457"/>
      <c r="H2" s="105"/>
    </row>
    <row r="3" spans="2:8" ht="22.5" customHeight="1" thickBot="1">
      <c r="B3" s="106"/>
      <c r="C3" s="108" t="s">
        <v>247</v>
      </c>
      <c r="D3" s="108" t="s">
        <v>246</v>
      </c>
      <c r="E3" s="108" t="s">
        <v>244</v>
      </c>
      <c r="F3" s="108" t="s">
        <v>245</v>
      </c>
      <c r="G3" s="108" t="s">
        <v>243</v>
      </c>
    </row>
    <row r="4" spans="2:8">
      <c r="B4" s="109" t="s">
        <v>207</v>
      </c>
      <c r="C4" s="16">
        <f>'P Y G'!H6</f>
        <v>247082100</v>
      </c>
      <c r="D4" s="16">
        <f>'P Y G'!G6</f>
        <v>208512300</v>
      </c>
      <c r="E4" s="16">
        <f>'P Y G'!F6</f>
        <v>173318300</v>
      </c>
      <c r="F4" s="16">
        <f>'P Y G'!E6</f>
        <v>146505700</v>
      </c>
      <c r="G4" s="16">
        <f>'P Y G'!D6</f>
        <v>121871000</v>
      </c>
    </row>
    <row r="5" spans="2:8">
      <c r="B5" s="110" t="s">
        <v>208</v>
      </c>
      <c r="C5" s="101">
        <f>'Flujo de Caja y BG'!G47</f>
        <v>0</v>
      </c>
      <c r="D5" s="101">
        <f>'Flujo de Caja y BG'!F47</f>
        <v>0</v>
      </c>
      <c r="E5" s="101">
        <f>'Flujo de Caja y BG'!E47</f>
        <v>0</v>
      </c>
      <c r="F5" s="101">
        <f>'Flujo de Caja y BG'!D47</f>
        <v>0</v>
      </c>
      <c r="G5" s="101">
        <f>'Flujo de Caja y BG'!C47</f>
        <v>0</v>
      </c>
    </row>
    <row r="6" spans="2:8">
      <c r="B6" s="110" t="s">
        <v>209</v>
      </c>
      <c r="C6" s="111"/>
      <c r="D6" s="111"/>
      <c r="E6" s="102"/>
      <c r="F6" s="102"/>
      <c r="G6" s="101"/>
    </row>
    <row r="7" spans="2:8">
      <c r="B7" s="110" t="s">
        <v>210</v>
      </c>
      <c r="C7" s="112">
        <f>'Flujo de Caja y BG'!G68</f>
        <v>22684654.639240231</v>
      </c>
      <c r="D7" s="112">
        <f>'Flujo de Caja y BG'!F68</f>
        <v>17130871.80890625</v>
      </c>
      <c r="E7" s="112">
        <f>'Flujo de Caja y BG'!E68</f>
        <v>11395174.800257703</v>
      </c>
      <c r="F7" s="112">
        <f>'Flujo de Caja y BG'!D68</f>
        <v>20475605.2775051</v>
      </c>
      <c r="G7" s="112">
        <f>'Flujo de Caja y BG'!C68</f>
        <v>14111291.420100233</v>
      </c>
    </row>
    <row r="8" spans="2:8">
      <c r="B8" s="110" t="s">
        <v>211</v>
      </c>
      <c r="C8" s="113"/>
      <c r="D8" s="113"/>
      <c r="E8" s="113"/>
      <c r="F8" s="113"/>
      <c r="G8" s="114"/>
    </row>
    <row r="9" spans="2:8">
      <c r="B9" s="110"/>
      <c r="C9" s="103"/>
      <c r="D9" s="103"/>
      <c r="E9" s="103"/>
      <c r="F9" s="103"/>
      <c r="G9" s="23"/>
    </row>
    <row r="10" spans="2:8">
      <c r="B10" s="115" t="s">
        <v>212</v>
      </c>
      <c r="C10" s="116">
        <f>C5/G4</f>
        <v>0</v>
      </c>
      <c r="D10" s="116">
        <f>D5/D4</f>
        <v>0</v>
      </c>
      <c r="E10" s="116">
        <f t="shared" ref="E10:F10" si="0">E5/E4</f>
        <v>0</v>
      </c>
      <c r="F10" s="116">
        <f t="shared" si="0"/>
        <v>0</v>
      </c>
      <c r="G10" s="117" t="e">
        <f>G5/#REF!</f>
        <v>#REF!</v>
      </c>
    </row>
    <row r="11" spans="2:8">
      <c r="B11" s="115" t="s">
        <v>213</v>
      </c>
      <c r="C11" s="118">
        <f>C6/G4</f>
        <v>0</v>
      </c>
      <c r="D11" s="118">
        <f t="shared" ref="D11:F11" si="1">D6/D4</f>
        <v>0</v>
      </c>
      <c r="E11" s="118">
        <f t="shared" si="1"/>
        <v>0</v>
      </c>
      <c r="F11" s="118">
        <f t="shared" si="1"/>
        <v>0</v>
      </c>
      <c r="G11" s="119" t="e">
        <f>G6/#REF!</f>
        <v>#REF!</v>
      </c>
    </row>
    <row r="12" spans="2:8">
      <c r="B12" s="115" t="s">
        <v>214</v>
      </c>
      <c r="C12" s="118">
        <f>C7/G4</f>
        <v>0.18613660870297472</v>
      </c>
      <c r="D12" s="118">
        <f t="shared" ref="D12:F12" si="2">D7/D4</f>
        <v>8.2157608011164091E-2</v>
      </c>
      <c r="E12" s="118">
        <f t="shared" si="2"/>
        <v>6.5747095374566356E-2</v>
      </c>
      <c r="F12" s="118">
        <f t="shared" si="2"/>
        <v>0.13975978598447092</v>
      </c>
      <c r="G12" s="119" t="e">
        <f>G7/#REF!</f>
        <v>#REF!</v>
      </c>
    </row>
    <row r="13" spans="2:8" ht="15.75" thickBot="1">
      <c r="B13" s="120" t="s">
        <v>215</v>
      </c>
      <c r="C13" s="121">
        <f>C8/G4</f>
        <v>0</v>
      </c>
      <c r="D13" s="121">
        <f t="shared" ref="D13:F13" si="3">D8/D4</f>
        <v>0</v>
      </c>
      <c r="E13" s="121">
        <f t="shared" si="3"/>
        <v>0</v>
      </c>
      <c r="F13" s="121">
        <f t="shared" si="3"/>
        <v>0</v>
      </c>
      <c r="G13" s="122" t="e">
        <f>G8/#REF!</f>
        <v>#REF!</v>
      </c>
    </row>
  </sheetData>
  <sheetProtection password="B3AF" sheet="1" objects="1" scenarios="1"/>
  <mergeCells count="1">
    <mergeCell ref="B2:G2"/>
  </mergeCells>
  <pageMargins left="0.7" right="0.7" top="0.75" bottom="0.75" header="0.3" footer="0.3"/>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dimension ref="B1:J53"/>
  <sheetViews>
    <sheetView zoomScale="70" zoomScaleNormal="70" workbookViewId="0">
      <selection activeCell="I18" sqref="I18"/>
    </sheetView>
  </sheetViews>
  <sheetFormatPr baseColWidth="10" defaultColWidth="11.42578125" defaultRowHeight="15"/>
  <cols>
    <col min="1" max="1" width="2.85546875" customWidth="1"/>
    <col min="2" max="2" width="23.28515625" customWidth="1"/>
    <col min="3" max="4" width="15.140625" bestFit="1" customWidth="1"/>
    <col min="5" max="7" width="14.85546875" bestFit="1" customWidth="1"/>
  </cols>
  <sheetData>
    <row r="1" spans="2:10" ht="21" customHeight="1"/>
    <row r="2" spans="2:10" ht="15.75" thickBot="1">
      <c r="C2" s="310" t="s">
        <v>9</v>
      </c>
      <c r="D2" s="309" t="s">
        <v>8</v>
      </c>
      <c r="E2" s="310" t="s">
        <v>7</v>
      </c>
      <c r="F2" s="309" t="s">
        <v>5</v>
      </c>
      <c r="G2" s="310" t="s">
        <v>0</v>
      </c>
    </row>
    <row r="3" spans="2:10">
      <c r="B3" s="133" t="s">
        <v>109</v>
      </c>
      <c r="C3" s="134">
        <f>'[1]P Y G'!$H$33</f>
        <v>34291929.116033196</v>
      </c>
      <c r="D3" s="134">
        <f>'[1]P Y G'!$G$33</f>
        <v>24916024.58171875</v>
      </c>
      <c r="E3" s="134">
        <f>'[1]P Y G'!$F$33</f>
        <v>14866436.71567473</v>
      </c>
      <c r="F3" s="134">
        <f>'[1]P Y G'!$E$33</f>
        <v>8573293.9085275643</v>
      </c>
      <c r="G3" s="135">
        <f>'[1]P Y G'!$D$33</f>
        <v>-5608859.9112254893</v>
      </c>
      <c r="I3" s="136"/>
      <c r="J3" s="136"/>
    </row>
    <row r="4" spans="2:10">
      <c r="B4" s="103" t="s">
        <v>216</v>
      </c>
      <c r="C4" s="102">
        <f>'[1]P Y G'!$H$6</f>
        <v>247082100</v>
      </c>
      <c r="D4" s="102">
        <f>'[1]P Y G'!$G$6</f>
        <v>208512300</v>
      </c>
      <c r="E4" s="102">
        <f>'[1]P Y G'!$F$6</f>
        <v>173318300</v>
      </c>
      <c r="F4" s="102">
        <f>'[1]P Y G'!$E$6</f>
        <v>146505700</v>
      </c>
      <c r="G4" s="101">
        <f>'[1]P Y G'!$D$6</f>
        <v>121871000</v>
      </c>
    </row>
    <row r="5" spans="2:10">
      <c r="B5" s="103" t="s">
        <v>217</v>
      </c>
      <c r="C5" s="113">
        <f>'Flujo de Caja y BG'!G79</f>
        <v>86038824.410728753</v>
      </c>
      <c r="D5" s="113">
        <f>'Flujo de Caja y BG'!F79</f>
        <v>51746895.294695556</v>
      </c>
      <c r="E5" s="104">
        <f>'Flujo de Caja y BG'!E79</f>
        <v>26830870.712976806</v>
      </c>
      <c r="F5" s="104">
        <f>'Flujo de Caja y BG'!D79</f>
        <v>11964433.997302074</v>
      </c>
      <c r="G5" s="128">
        <f>'Flujo de Caja y BG'!C79</f>
        <v>3391140.0887745107</v>
      </c>
    </row>
    <row r="6" spans="2:10">
      <c r="B6" s="103" t="s">
        <v>218</v>
      </c>
      <c r="C6" s="113">
        <v>1796801513</v>
      </c>
      <c r="D6" s="113">
        <v>1012141510</v>
      </c>
      <c r="E6" s="113">
        <v>722288066</v>
      </c>
      <c r="F6" s="113">
        <v>490788473</v>
      </c>
      <c r="G6" s="114">
        <v>336624594</v>
      </c>
    </row>
    <row r="7" spans="2:10">
      <c r="B7" s="137" t="s">
        <v>219</v>
      </c>
      <c r="C7" s="138">
        <f>'Flujo de Caja y BG'!G54</f>
        <v>2910000</v>
      </c>
      <c r="D7" s="139">
        <f>'Flujo de Caja y BG'!F54</f>
        <v>3746400</v>
      </c>
      <c r="E7" s="140">
        <f>'Flujo de Caja y BG'!E54</f>
        <v>4582800</v>
      </c>
      <c r="F7" s="140">
        <f>'Flujo de Caja y BG'!D54</f>
        <v>5419200</v>
      </c>
      <c r="G7" s="141">
        <f>'Flujo de Caja y BG'!C54</f>
        <v>6255600</v>
      </c>
    </row>
    <row r="8" spans="2:10" ht="15.75" thickBot="1">
      <c r="B8" s="124" t="s">
        <v>220</v>
      </c>
      <c r="C8" s="131">
        <f>'Flujo de Caja y BG'!G62</f>
        <v>108723479.04996899</v>
      </c>
      <c r="D8" s="131">
        <f>'Flujo de Caja y BG'!F62</f>
        <v>68877767.103601813</v>
      </c>
      <c r="E8" s="131">
        <f>'Flujo de Caja y BG'!E62</f>
        <v>38226045.513234526</v>
      </c>
      <c r="F8" s="131">
        <f>'Flujo de Caja y BG'!D62</f>
        <v>32440039.274807185</v>
      </c>
      <c r="G8" s="142">
        <f>'Flujo de Caja y BG'!C81</f>
        <v>30417969.637403592</v>
      </c>
    </row>
    <row r="9" spans="2:10">
      <c r="I9" s="1"/>
    </row>
    <row r="10" spans="2:10">
      <c r="C10" s="97"/>
      <c r="D10" s="97"/>
      <c r="E10" s="97"/>
      <c r="F10" s="97"/>
      <c r="G10" s="97"/>
    </row>
    <row r="11" spans="2:10" ht="15.75" thickBot="1"/>
    <row r="12" spans="2:10" ht="15.75" customHeight="1" thickBot="1">
      <c r="B12" s="458" t="s">
        <v>221</v>
      </c>
      <c r="C12" s="459"/>
      <c r="D12" s="459"/>
      <c r="E12" s="459"/>
      <c r="F12" s="459"/>
      <c r="G12" s="460"/>
    </row>
    <row r="13" spans="2:10" ht="15.75" thickBot="1">
      <c r="B13" s="143"/>
      <c r="C13" s="107" t="s">
        <v>9</v>
      </c>
      <c r="D13" s="107" t="s">
        <v>8</v>
      </c>
      <c r="E13" s="107" t="s">
        <v>7</v>
      </c>
      <c r="F13" s="107" t="s">
        <v>5</v>
      </c>
      <c r="G13" s="107" t="s">
        <v>0</v>
      </c>
    </row>
    <row r="14" spans="2:10">
      <c r="B14" s="143"/>
      <c r="C14" s="144"/>
      <c r="D14" s="144"/>
      <c r="E14" s="144"/>
      <c r="F14" s="144"/>
      <c r="G14" s="132"/>
    </row>
    <row r="15" spans="2:10">
      <c r="B15" s="145" t="s">
        <v>109</v>
      </c>
      <c r="C15" s="146">
        <f>C3</f>
        <v>34291929.116033196</v>
      </c>
      <c r="D15" s="146">
        <f>D3</f>
        <v>24916024.58171875</v>
      </c>
      <c r="E15" s="146">
        <f>E3</f>
        <v>14866436.71567473</v>
      </c>
      <c r="F15" s="146">
        <f>F3</f>
        <v>8573293.9085275643</v>
      </c>
      <c r="G15" s="147">
        <f>G3</f>
        <v>-5608859.9112254893</v>
      </c>
      <c r="J15" s="1"/>
    </row>
    <row r="16" spans="2:10">
      <c r="B16" s="148" t="s">
        <v>217</v>
      </c>
      <c r="C16" s="149">
        <f>C5</f>
        <v>86038824.410728753</v>
      </c>
      <c r="D16" s="149">
        <f>D5</f>
        <v>51746895.294695556</v>
      </c>
      <c r="E16" s="146">
        <f>E5</f>
        <v>26830870.712976806</v>
      </c>
      <c r="F16" s="149">
        <f>F5</f>
        <v>11964433.997302074</v>
      </c>
      <c r="G16" s="146">
        <f>G5</f>
        <v>3391140.0887745107</v>
      </c>
    </row>
    <row r="17" spans="2:7">
      <c r="B17" s="150"/>
      <c r="C17" s="103"/>
      <c r="D17" s="103"/>
      <c r="E17" s="103"/>
      <c r="F17" s="103"/>
      <c r="G17" s="103"/>
    </row>
    <row r="18" spans="2:7">
      <c r="B18" s="150"/>
      <c r="C18" s="151">
        <f>C15/C16</f>
        <v>0.39856343169371694</v>
      </c>
      <c r="D18" s="151">
        <f>D15/D16</f>
        <v>0.48149796117860677</v>
      </c>
      <c r="E18" s="151">
        <f>E15/E16</f>
        <v>0.55407954794715431</v>
      </c>
      <c r="F18" s="151">
        <f>F15/F16</f>
        <v>0.7165649382545638</v>
      </c>
      <c r="G18" s="151">
        <f>G15/G16</f>
        <v>-1.653974700069798</v>
      </c>
    </row>
    <row r="19" spans="2:7" ht="15.75" thickBot="1">
      <c r="B19" s="152"/>
      <c r="C19" s="153">
        <f>C18</f>
        <v>0.39856343169371694</v>
      </c>
      <c r="D19" s="153">
        <f>D18</f>
        <v>0.48149796117860677</v>
      </c>
      <c r="E19" s="153">
        <f>E18</f>
        <v>0.55407954794715431</v>
      </c>
      <c r="F19" s="153">
        <f>F18</f>
        <v>0.7165649382545638</v>
      </c>
      <c r="G19" s="153">
        <f>G18</f>
        <v>-1.653974700069798</v>
      </c>
    </row>
    <row r="20" spans="2:7">
      <c r="B20" s="154"/>
      <c r="C20" s="155"/>
      <c r="D20" s="155"/>
      <c r="E20" s="155"/>
      <c r="F20" s="155"/>
      <c r="G20" s="155"/>
    </row>
    <row r="21" spans="2:7">
      <c r="B21" s="154"/>
      <c r="C21" s="155"/>
      <c r="D21" s="155"/>
      <c r="E21" s="155"/>
      <c r="F21" s="155"/>
      <c r="G21" s="155"/>
    </row>
    <row r="22" spans="2:7">
      <c r="B22" s="154"/>
      <c r="C22" s="155"/>
      <c r="D22" s="155"/>
      <c r="E22" s="155"/>
      <c r="F22" s="155"/>
      <c r="G22" s="155"/>
    </row>
    <row r="23" spans="2:7">
      <c r="B23" s="154"/>
      <c r="C23" s="155"/>
      <c r="D23" s="155"/>
      <c r="E23" s="155"/>
      <c r="F23" s="155"/>
      <c r="G23" s="155"/>
    </row>
    <row r="24" spans="2:7">
      <c r="B24" s="154"/>
      <c r="C24" s="155"/>
      <c r="D24" s="155"/>
      <c r="E24" s="155"/>
      <c r="F24" s="155"/>
      <c r="G24" s="155"/>
    </row>
    <row r="25" spans="2:7">
      <c r="B25" s="154"/>
      <c r="C25" s="155"/>
      <c r="D25" s="155"/>
      <c r="E25" s="155"/>
      <c r="F25" s="155"/>
      <c r="G25" s="155"/>
    </row>
    <row r="26" spans="2:7">
      <c r="B26" s="154"/>
      <c r="C26" s="155"/>
      <c r="D26" s="155"/>
      <c r="E26" s="155"/>
      <c r="F26" s="155"/>
      <c r="G26" s="155"/>
    </row>
    <row r="30" spans="2:7" ht="24.75" customHeight="1"/>
    <row r="31" spans="2:7" ht="30.75" customHeight="1">
      <c r="B31" s="461" t="s">
        <v>222</v>
      </c>
      <c r="C31" s="461"/>
      <c r="D31" s="461"/>
      <c r="E31" s="461"/>
      <c r="F31" s="461"/>
      <c r="G31" s="461"/>
    </row>
    <row r="32" spans="2:7" ht="10.5" customHeight="1">
      <c r="B32" s="156"/>
      <c r="C32" s="157"/>
      <c r="D32" s="157"/>
      <c r="E32" s="157"/>
      <c r="F32" s="157"/>
      <c r="G32" s="157"/>
    </row>
    <row r="33" spans="2:7" ht="7.5" customHeight="1">
      <c r="B33" s="156"/>
      <c r="C33" s="157"/>
      <c r="D33" s="157"/>
      <c r="E33" s="157"/>
      <c r="F33" s="157"/>
      <c r="G33" s="157"/>
    </row>
    <row r="34" spans="2:7" ht="15.75" thickBot="1">
      <c r="D34" s="1"/>
    </row>
    <row r="35" spans="2:7" ht="15.75" thickBot="1">
      <c r="B35" s="158" t="s">
        <v>223</v>
      </c>
      <c r="C35" s="107" t="s">
        <v>9</v>
      </c>
      <c r="D35" s="107" t="s">
        <v>8</v>
      </c>
      <c r="E35" s="107" t="s">
        <v>7</v>
      </c>
      <c r="F35" s="107" t="s">
        <v>5</v>
      </c>
      <c r="G35" s="107" t="s">
        <v>0</v>
      </c>
    </row>
    <row r="36" spans="2:7">
      <c r="B36" s="159" t="s">
        <v>224</v>
      </c>
      <c r="C36" s="134">
        <f t="shared" ref="C36:G37" si="0">C3</f>
        <v>34291929.116033196</v>
      </c>
      <c r="D36" s="147">
        <f t="shared" si="0"/>
        <v>24916024.58171875</v>
      </c>
      <c r="E36" s="134">
        <f t="shared" si="0"/>
        <v>14866436.71567473</v>
      </c>
      <c r="F36" s="147">
        <f t="shared" si="0"/>
        <v>8573293.9085275643</v>
      </c>
      <c r="G36" s="134">
        <f t="shared" si="0"/>
        <v>-5608859.9112254893</v>
      </c>
    </row>
    <row r="37" spans="2:7" ht="15.75" thickBot="1">
      <c r="B37" s="160" t="s">
        <v>225</v>
      </c>
      <c r="C37" s="102">
        <f t="shared" si="0"/>
        <v>247082100</v>
      </c>
      <c r="D37" s="102">
        <f t="shared" si="0"/>
        <v>208512300</v>
      </c>
      <c r="E37" s="102">
        <f t="shared" si="0"/>
        <v>173318300</v>
      </c>
      <c r="F37" s="102">
        <f t="shared" si="0"/>
        <v>146505700</v>
      </c>
      <c r="G37" s="102">
        <f t="shared" si="0"/>
        <v>121871000</v>
      </c>
    </row>
    <row r="38" spans="2:7">
      <c r="B38" s="2"/>
      <c r="C38" s="102"/>
      <c r="D38" s="102"/>
      <c r="E38" s="102"/>
      <c r="F38" s="102"/>
      <c r="G38" s="102"/>
    </row>
    <row r="39" spans="2:7" ht="15.75" thickBot="1">
      <c r="B39" s="2"/>
      <c r="C39" s="153">
        <f>C36/C37</f>
        <v>0.13878758969602895</v>
      </c>
      <c r="D39" s="153">
        <f>D36/D37</f>
        <v>0.11949426763657947</v>
      </c>
      <c r="E39" s="153">
        <f>E36/E37</f>
        <v>8.5775343490414629E-2</v>
      </c>
      <c r="F39" s="153">
        <f>F36/F37</f>
        <v>5.8518500703573749E-2</v>
      </c>
      <c r="G39" s="153">
        <f>G36/G37</f>
        <v>-4.6022925152214136E-2</v>
      </c>
    </row>
    <row r="40" spans="2:7" ht="7.5" customHeight="1">
      <c r="B40" s="2"/>
      <c r="C40" s="161"/>
      <c r="D40" s="123"/>
      <c r="E40" s="161"/>
      <c r="F40" s="123"/>
      <c r="G40" s="161"/>
    </row>
    <row r="41" spans="2:7" ht="15.75" thickBot="1">
      <c r="C41" s="1"/>
    </row>
    <row r="42" spans="2:7" ht="15.75" thickBot="1">
      <c r="B42" s="158" t="s">
        <v>226</v>
      </c>
      <c r="C42" s="107" t="s">
        <v>9</v>
      </c>
      <c r="D42" s="107" t="s">
        <v>8</v>
      </c>
      <c r="E42" s="107" t="s">
        <v>7</v>
      </c>
      <c r="F42" s="107" t="s">
        <v>5</v>
      </c>
      <c r="G42" s="107" t="s">
        <v>0</v>
      </c>
    </row>
    <row r="43" spans="2:7">
      <c r="B43" s="159" t="s">
        <v>225</v>
      </c>
      <c r="C43" s="102">
        <f>C4</f>
        <v>247082100</v>
      </c>
      <c r="D43" s="102">
        <f>D4</f>
        <v>208512300</v>
      </c>
      <c r="E43" s="102">
        <f>E4</f>
        <v>173318300</v>
      </c>
      <c r="F43" s="102">
        <f>F4</f>
        <v>146505700</v>
      </c>
      <c r="G43" s="102">
        <f>G4</f>
        <v>121871000</v>
      </c>
    </row>
    <row r="44" spans="2:7" ht="15.75" thickBot="1">
      <c r="B44" s="160" t="s">
        <v>227</v>
      </c>
      <c r="C44" s="113">
        <f>C8</f>
        <v>108723479.04996899</v>
      </c>
      <c r="D44" s="113">
        <f>D8</f>
        <v>68877767.103601813</v>
      </c>
      <c r="E44" s="113">
        <f>E8</f>
        <v>38226045.513234526</v>
      </c>
      <c r="F44" s="113">
        <f>F8</f>
        <v>32440039.274807185</v>
      </c>
      <c r="G44" s="113">
        <f>G8</f>
        <v>30417969.637403592</v>
      </c>
    </row>
    <row r="45" spans="2:7">
      <c r="B45" s="2"/>
      <c r="C45" s="113"/>
      <c r="D45" s="113"/>
      <c r="E45" s="113"/>
      <c r="F45" s="113"/>
      <c r="G45" s="113"/>
    </row>
    <row r="46" spans="2:7" ht="15.75" thickBot="1">
      <c r="B46" s="2"/>
      <c r="C46" s="162">
        <f>C43/C44</f>
        <v>2.2725735246794465</v>
      </c>
      <c r="D46" s="162">
        <f t="shared" ref="D46:F46" si="1">D43/D44</f>
        <v>3.0272801916817116</v>
      </c>
      <c r="E46" s="162">
        <f t="shared" si="1"/>
        <v>4.5340368765059456</v>
      </c>
      <c r="F46" s="162">
        <f t="shared" si="1"/>
        <v>4.516199834374917</v>
      </c>
      <c r="G46" s="162">
        <f>G43/G44</f>
        <v>4.0065461782215985</v>
      </c>
    </row>
    <row r="47" spans="2:7" ht="7.5" customHeight="1">
      <c r="B47" s="2"/>
      <c r="C47" s="97"/>
      <c r="D47" s="97"/>
      <c r="E47" s="97"/>
      <c r="F47" s="97"/>
      <c r="G47" s="97"/>
    </row>
    <row r="48" spans="2:7" ht="15.75" thickBot="1"/>
    <row r="49" spans="2:7" ht="15.75" thickBot="1">
      <c r="B49" s="158" t="s">
        <v>228</v>
      </c>
      <c r="C49" s="107" t="s">
        <v>9</v>
      </c>
      <c r="D49" s="107" t="s">
        <v>8</v>
      </c>
      <c r="E49" s="107" t="s">
        <v>7</v>
      </c>
      <c r="F49" s="107" t="s">
        <v>5</v>
      </c>
      <c r="G49" s="107" t="s">
        <v>0</v>
      </c>
    </row>
    <row r="50" spans="2:7">
      <c r="B50" s="145" t="s">
        <v>229</v>
      </c>
      <c r="C50" s="113">
        <f>C8</f>
        <v>108723479.04996899</v>
      </c>
      <c r="D50" s="113">
        <f>D8</f>
        <v>68877767.103601813</v>
      </c>
      <c r="E50" s="113">
        <f>E8</f>
        <v>38226045.513234526</v>
      </c>
      <c r="F50" s="113">
        <f>F8</f>
        <v>32440039.274807185</v>
      </c>
      <c r="G50" s="113">
        <f>G8</f>
        <v>30417969.637403592</v>
      </c>
    </row>
    <row r="51" spans="2:7" ht="15.75" thickBot="1">
      <c r="B51" s="160" t="s">
        <v>230</v>
      </c>
      <c r="C51" s="113">
        <f>C5</f>
        <v>86038824.410728753</v>
      </c>
      <c r="D51" s="113">
        <f>D5</f>
        <v>51746895.294695556</v>
      </c>
      <c r="E51" s="104">
        <f>E5</f>
        <v>26830870.712976806</v>
      </c>
      <c r="F51" s="104">
        <f>F5</f>
        <v>11964433.997302074</v>
      </c>
      <c r="G51" s="104">
        <f>G5</f>
        <v>3391140.0887745107</v>
      </c>
    </row>
    <row r="52" spans="2:7">
      <c r="C52" s="103"/>
      <c r="D52" s="103"/>
      <c r="E52" s="103"/>
      <c r="F52" s="103"/>
      <c r="G52" s="103"/>
    </row>
    <row r="53" spans="2:7" ht="15.75" thickBot="1">
      <c r="C53" s="162">
        <f>C50/C51</f>
        <v>1.2636560273179596</v>
      </c>
      <c r="D53" s="162">
        <f t="shared" ref="D53:G53" si="2">D50/D51</f>
        <v>1.3310512004893615</v>
      </c>
      <c r="E53" s="162">
        <f t="shared" si="2"/>
        <v>1.4247038764473052</v>
      </c>
      <c r="F53" s="162">
        <f t="shared" si="2"/>
        <v>2.7113726635227597</v>
      </c>
      <c r="G53" s="162">
        <f t="shared" si="2"/>
        <v>8.9698357605733801</v>
      </c>
    </row>
  </sheetData>
  <sheetProtection password="B3AF" sheet="1" objects="1" scenarios="1"/>
  <mergeCells count="2">
    <mergeCell ref="B12:G12"/>
    <mergeCell ref="B31:G3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G9"/>
  <sheetViews>
    <sheetView workbookViewId="0">
      <selection activeCell="G12" sqref="G12"/>
    </sheetView>
  </sheetViews>
  <sheetFormatPr baseColWidth="10" defaultColWidth="11.42578125" defaultRowHeight="15"/>
  <cols>
    <col min="1" max="1" width="20.140625" bestFit="1" customWidth="1"/>
    <col min="2" max="2" width="14.85546875" bestFit="1" customWidth="1"/>
    <col min="3" max="4" width="14.140625" bestFit="1" customWidth="1"/>
  </cols>
  <sheetData>
    <row r="1" spans="1:7" ht="16.5" customHeight="1">
      <c r="A1" s="462" t="s">
        <v>235</v>
      </c>
      <c r="B1" s="463"/>
      <c r="C1" s="463"/>
      <c r="D1" s="463"/>
      <c r="E1" s="463"/>
      <c r="F1" s="463"/>
      <c r="G1" s="463"/>
    </row>
    <row r="2" spans="1:7" ht="15.75" customHeight="1">
      <c r="A2" s="462"/>
      <c r="B2" s="463"/>
      <c r="C2" s="463"/>
      <c r="D2" s="463"/>
      <c r="E2" s="463"/>
      <c r="F2" s="463"/>
      <c r="G2" s="463"/>
    </row>
    <row r="3" spans="1:7">
      <c r="A3" s="164" t="s">
        <v>236</v>
      </c>
      <c r="B3" s="172" t="s">
        <v>9</v>
      </c>
      <c r="C3" s="172" t="s">
        <v>8</v>
      </c>
      <c r="D3" s="172" t="s">
        <v>7</v>
      </c>
      <c r="E3" s="172" t="s">
        <v>5</v>
      </c>
      <c r="F3" s="172" t="s">
        <v>0</v>
      </c>
      <c r="G3" s="172" t="s">
        <v>91</v>
      </c>
    </row>
    <row r="4" spans="1:7">
      <c r="A4" s="165" t="s">
        <v>237</v>
      </c>
      <c r="B4" s="166">
        <f>'Flujo de Caja y BG'!G48</f>
        <v>105813479.04996899</v>
      </c>
      <c r="C4" s="166">
        <f>'Flujo de Caja y BG'!F48</f>
        <v>64388367.103601813</v>
      </c>
      <c r="D4" s="166">
        <f>'Flujo de Caja y BG'!E48</f>
        <v>32157245.513234526</v>
      </c>
      <c r="E4" s="166">
        <f>'Flujo de Caja y BG'!D48</f>
        <v>24791839.274807185</v>
      </c>
      <c r="F4" s="166">
        <f>'Flujo de Caja y BG'!C48</f>
        <v>21190369.637403607</v>
      </c>
      <c r="G4" s="166">
        <f>'Flujo de Caja y BG'!B48</f>
        <v>31193000</v>
      </c>
    </row>
    <row r="5" spans="1:7">
      <c r="A5" s="165" t="s">
        <v>238</v>
      </c>
      <c r="B5" s="166">
        <f>'Flujo de Caja y BG'!G73</f>
        <v>22684654.639240231</v>
      </c>
      <c r="C5" s="166">
        <f>'Flujo de Caja y BG'!F73</f>
        <v>17130871.80890625</v>
      </c>
      <c r="D5" s="166">
        <f>'Flujo de Caja y BG'!E73</f>
        <v>11395174.800257703</v>
      </c>
      <c r="E5" s="166">
        <f>'Flujo de Caja y BG'!D68</f>
        <v>20475605.2775051</v>
      </c>
      <c r="F5" s="166">
        <f>'Flujo de Caja y BG'!C73</f>
        <v>27026829.548629083</v>
      </c>
      <c r="G5" s="166">
        <f>'Flujo de Caja y BG'!B73</f>
        <v>32999999.999999993</v>
      </c>
    </row>
    <row r="6" spans="1:7">
      <c r="A6" s="165" t="s">
        <v>239</v>
      </c>
      <c r="B6" s="166">
        <v>0</v>
      </c>
      <c r="C6" s="166">
        <v>0</v>
      </c>
      <c r="D6" s="167">
        <v>0</v>
      </c>
      <c r="E6" s="167">
        <v>0</v>
      </c>
      <c r="F6" s="167">
        <v>0</v>
      </c>
      <c r="G6" s="167">
        <v>0</v>
      </c>
    </row>
    <row r="7" spans="1:7" ht="30.75" customHeight="1">
      <c r="A7" s="168" t="s">
        <v>240</v>
      </c>
      <c r="B7" s="169">
        <f t="shared" ref="B7:G7" si="0">B4-B5</f>
        <v>83128824.410728753</v>
      </c>
      <c r="C7" s="169">
        <f t="shared" si="0"/>
        <v>47257495.294695564</v>
      </c>
      <c r="D7" s="169">
        <f t="shared" si="0"/>
        <v>20762070.712976821</v>
      </c>
      <c r="E7" s="169">
        <f t="shared" si="0"/>
        <v>4316233.9973020852</v>
      </c>
      <c r="F7" s="169">
        <f t="shared" si="0"/>
        <v>-5836459.9112254754</v>
      </c>
      <c r="G7" s="169">
        <f t="shared" si="0"/>
        <v>-1806999.9999999925</v>
      </c>
    </row>
    <row r="8" spans="1:7" ht="30.75" customHeight="1">
      <c r="A8" s="168" t="s">
        <v>241</v>
      </c>
      <c r="B8" s="170">
        <f>B4/B5</f>
        <v>4.6645400043662715</v>
      </c>
      <c r="C8" s="170">
        <f>C4/C5</f>
        <v>3.7586158966017504</v>
      </c>
      <c r="D8" s="170">
        <f>D4/D5</f>
        <v>2.8220054608119995</v>
      </c>
      <c r="E8" s="170">
        <f t="shared" ref="E8:G8" si="1">E4/E5</f>
        <v>1.2107988476435412</v>
      </c>
      <c r="F8" s="170">
        <f t="shared" si="1"/>
        <v>0.78404940539829149</v>
      </c>
      <c r="G8" s="170">
        <f t="shared" si="1"/>
        <v>0.94524242424242444</v>
      </c>
    </row>
    <row r="9" spans="1:7" ht="30" customHeight="1">
      <c r="A9" s="168" t="s">
        <v>242</v>
      </c>
      <c r="B9" s="171">
        <f>(B4-B6)/B5</f>
        <v>4.6645400043662715</v>
      </c>
      <c r="C9" s="171">
        <f>(C4-C6)/C5</f>
        <v>3.7586158966017504</v>
      </c>
      <c r="D9" s="171">
        <f>(D4-D6)/D5</f>
        <v>2.8220054608119995</v>
      </c>
      <c r="E9" s="171">
        <f t="shared" ref="E9:G9" si="2">(E4-E6)/E5</f>
        <v>1.2107988476435412</v>
      </c>
      <c r="F9" s="171">
        <f t="shared" si="2"/>
        <v>0.78404940539829149</v>
      </c>
      <c r="G9" s="171">
        <f t="shared" si="2"/>
        <v>0.94524242424242444</v>
      </c>
    </row>
  </sheetData>
  <sheetProtection password="B3AF" sheet="1" objects="1" scenarios="1"/>
  <mergeCells count="1">
    <mergeCell ref="A1:G2"/>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A2:AC53"/>
  <sheetViews>
    <sheetView showGridLines="0" workbookViewId="0">
      <selection activeCell="H27" sqref="H27"/>
    </sheetView>
  </sheetViews>
  <sheetFormatPr baseColWidth="10" defaultColWidth="11.42578125" defaultRowHeight="15"/>
  <cols>
    <col min="3" max="3" width="20.42578125" bestFit="1" customWidth="1"/>
    <col min="4" max="4" width="13" bestFit="1" customWidth="1"/>
    <col min="5" max="5" width="16.7109375" bestFit="1" customWidth="1"/>
    <col min="6" max="6" width="1" customWidth="1"/>
    <col min="7" max="7" width="4.5703125" bestFit="1" customWidth="1"/>
    <col min="9" max="9" width="4.5703125" bestFit="1" customWidth="1"/>
    <col min="10" max="10" width="12.42578125" bestFit="1" customWidth="1"/>
    <col min="11" max="11" width="15.5703125" bestFit="1" customWidth="1"/>
    <col min="12" max="12" width="1.42578125" customWidth="1"/>
    <col min="13" max="13" width="4.5703125" bestFit="1" customWidth="1"/>
    <col min="15" max="15" width="3.5703125" bestFit="1" customWidth="1"/>
    <col min="16" max="16" width="12.42578125" bestFit="1" customWidth="1"/>
    <col min="17" max="17" width="15.5703125" bestFit="1" customWidth="1"/>
    <col min="18" max="18" width="1.85546875" customWidth="1"/>
    <col min="19" max="19" width="4.5703125" bestFit="1" customWidth="1"/>
    <col min="20" max="20" width="20.28515625" bestFit="1" customWidth="1"/>
    <col min="21" max="21" width="3.5703125" bestFit="1" customWidth="1"/>
    <col min="22" max="22" width="12.42578125" bestFit="1" customWidth="1"/>
    <col min="23" max="23" width="15.5703125" bestFit="1" customWidth="1"/>
    <col min="24" max="24" width="2.7109375" customWidth="1"/>
    <col min="25" max="25" width="4.5703125" bestFit="1" customWidth="1"/>
    <col min="26" max="26" width="16.7109375" bestFit="1" customWidth="1"/>
    <col min="27" max="27" width="3.5703125" bestFit="1" customWidth="1"/>
    <col min="28" max="28" width="12.42578125" bestFit="1" customWidth="1"/>
    <col min="29" max="29" width="15.5703125" bestFit="1" customWidth="1"/>
  </cols>
  <sheetData>
    <row r="2" spans="1:29">
      <c r="A2" s="301" t="s">
        <v>161</v>
      </c>
      <c r="B2" s="300"/>
      <c r="C2" s="300"/>
    </row>
    <row r="3" spans="1:29" ht="15.75" thickBot="1"/>
    <row r="4" spans="1:29" ht="15" customHeight="1">
      <c r="C4" s="422" t="s">
        <v>184</v>
      </c>
      <c r="D4" s="424" t="s">
        <v>0</v>
      </c>
      <c r="E4" s="425"/>
      <c r="F4" s="63"/>
      <c r="G4" s="126"/>
      <c r="H4" s="426" t="s">
        <v>184</v>
      </c>
      <c r="I4" s="424" t="s">
        <v>5</v>
      </c>
      <c r="J4" s="424"/>
      <c r="K4" s="425"/>
      <c r="L4" s="63"/>
      <c r="M4" s="126"/>
      <c r="N4" s="426" t="s">
        <v>184</v>
      </c>
      <c r="O4" s="424" t="s">
        <v>7</v>
      </c>
      <c r="P4" s="424"/>
      <c r="Q4" s="425"/>
      <c r="S4" s="379"/>
      <c r="T4" s="426" t="s">
        <v>184</v>
      </c>
      <c r="U4" s="424" t="s">
        <v>8</v>
      </c>
      <c r="V4" s="424"/>
      <c r="W4" s="425"/>
      <c r="Y4" s="379"/>
      <c r="Z4" s="426" t="s">
        <v>184</v>
      </c>
      <c r="AA4" s="424" t="s">
        <v>9</v>
      </c>
      <c r="AB4" s="424"/>
      <c r="AC4" s="425"/>
    </row>
    <row r="5" spans="1:29">
      <c r="C5" s="423"/>
      <c r="D5" s="80" t="s">
        <v>2</v>
      </c>
      <c r="E5" s="81" t="s">
        <v>3</v>
      </c>
      <c r="F5" s="63"/>
      <c r="G5" s="79" t="s">
        <v>6</v>
      </c>
      <c r="H5" s="427"/>
      <c r="I5" s="80" t="s">
        <v>6</v>
      </c>
      <c r="J5" s="80" t="s">
        <v>2</v>
      </c>
      <c r="K5" s="81" t="s">
        <v>3</v>
      </c>
      <c r="L5" s="63"/>
      <c r="M5" s="79" t="s">
        <v>6</v>
      </c>
      <c r="N5" s="427"/>
      <c r="O5" s="80" t="s">
        <v>6</v>
      </c>
      <c r="P5" s="80" t="s">
        <v>2</v>
      </c>
      <c r="Q5" s="81" t="s">
        <v>3</v>
      </c>
      <c r="R5" s="60"/>
      <c r="S5" s="383" t="s">
        <v>6</v>
      </c>
      <c r="T5" s="427"/>
      <c r="U5" s="80" t="s">
        <v>6</v>
      </c>
      <c r="V5" s="80" t="s">
        <v>2</v>
      </c>
      <c r="W5" s="384" t="s">
        <v>3</v>
      </c>
      <c r="X5" s="60"/>
      <c r="Y5" s="383" t="s">
        <v>6</v>
      </c>
      <c r="Z5" s="427"/>
      <c r="AA5" s="80" t="s">
        <v>6</v>
      </c>
      <c r="AB5" s="80" t="s">
        <v>2</v>
      </c>
      <c r="AC5" s="384" t="s">
        <v>3</v>
      </c>
    </row>
    <row r="6" spans="1:29">
      <c r="A6" s="14" t="s">
        <v>140</v>
      </c>
      <c r="C6" s="127"/>
      <c r="D6" s="125"/>
      <c r="E6" s="77"/>
      <c r="F6" s="63"/>
      <c r="G6" s="127"/>
      <c r="H6" s="125"/>
      <c r="I6" s="125"/>
      <c r="J6" s="125"/>
      <c r="K6" s="77"/>
      <c r="L6" s="63"/>
      <c r="M6" s="127"/>
      <c r="N6" s="125"/>
      <c r="O6" s="125"/>
      <c r="P6" s="125"/>
      <c r="Q6" s="77"/>
      <c r="S6" s="380"/>
      <c r="T6" s="378"/>
      <c r="U6" s="378"/>
      <c r="V6" s="378"/>
      <c r="W6" s="77"/>
      <c r="Y6" s="380"/>
      <c r="Z6" s="378"/>
      <c r="AA6" s="378"/>
      <c r="AB6" s="378"/>
      <c r="AC6" s="77"/>
    </row>
    <row r="7" spans="1:29">
      <c r="A7" t="s">
        <v>125</v>
      </c>
      <c r="B7" s="15"/>
      <c r="C7" s="350">
        <f>+Sup.Generales!C7</f>
        <v>9</v>
      </c>
      <c r="D7" s="203">
        <f>+Sup.Generales!B7</f>
        <v>422000</v>
      </c>
      <c r="E7" s="205">
        <f>D7*C7*12</f>
        <v>45576000</v>
      </c>
      <c r="F7" s="63"/>
      <c r="G7" s="354">
        <f>+Sup.Generales!$D$12</f>
        <v>0.1</v>
      </c>
      <c r="H7" s="355">
        <f>ROUNDUP(+C7*(1+G7),0)</f>
        <v>10</v>
      </c>
      <c r="I7" s="356">
        <f>+Sup.Generales!$D$15</f>
        <v>0.05</v>
      </c>
      <c r="J7" s="203">
        <f>+ROUNDUP(D7*(1+I7),-2)</f>
        <v>443100</v>
      </c>
      <c r="K7" s="205">
        <f>J7*H7*12</f>
        <v>53172000</v>
      </c>
      <c r="L7" s="63"/>
      <c r="M7" s="354">
        <f>+G7</f>
        <v>0.1</v>
      </c>
      <c r="N7" s="355">
        <f>ROUNDUP(+H7*(1+M7),0)</f>
        <v>11</v>
      </c>
      <c r="O7" s="356">
        <f>+I7</f>
        <v>0.05</v>
      </c>
      <c r="P7" s="203">
        <f>+ROUNDUP(J7*(1+O7),-2)</f>
        <v>465300</v>
      </c>
      <c r="Q7" s="205">
        <f>P7*N7*12</f>
        <v>61419600</v>
      </c>
      <c r="S7" s="354">
        <f>+M7</f>
        <v>0.1</v>
      </c>
      <c r="T7" s="355">
        <f>ROUNDUP(+N7*(1+S7),0)</f>
        <v>13</v>
      </c>
      <c r="U7" s="356">
        <f>+O7</f>
        <v>0.05</v>
      </c>
      <c r="V7" s="203">
        <f>+ROUNDUP(P7*(1+U7),-2)</f>
        <v>488600</v>
      </c>
      <c r="W7" s="205">
        <f>V7*T7*12</f>
        <v>76221600</v>
      </c>
      <c r="Y7" s="354">
        <f>+S7</f>
        <v>0.1</v>
      </c>
      <c r="Z7" s="355">
        <f>ROUNDUP(+T7*(1+Y7),0)</f>
        <v>15</v>
      </c>
      <c r="AA7" s="356">
        <f>+U7</f>
        <v>0.05</v>
      </c>
      <c r="AB7" s="203">
        <f>+ROUNDUP(V7*(1+AA7),-2)</f>
        <v>513100</v>
      </c>
      <c r="AC7" s="205">
        <f>AB7*Z7*12</f>
        <v>92358000</v>
      </c>
    </row>
    <row r="8" spans="1:29">
      <c r="A8" t="s">
        <v>126</v>
      </c>
      <c r="B8" s="15"/>
      <c r="C8" s="350">
        <f>+Sup.Generales!C8</f>
        <v>7</v>
      </c>
      <c r="D8" s="203">
        <f>+Sup.Generales!B8</f>
        <v>452000</v>
      </c>
      <c r="E8" s="205">
        <f t="shared" ref="E8:E9" si="0">D8*C8*12</f>
        <v>37968000</v>
      </c>
      <c r="F8" s="63"/>
      <c r="G8" s="354">
        <f>+Sup.Generales!$D$12</f>
        <v>0.1</v>
      </c>
      <c r="H8" s="355">
        <f t="shared" ref="H8:H9" si="1">ROUNDUP(+C8*(1+G8),0)</f>
        <v>8</v>
      </c>
      <c r="I8" s="356">
        <f>+Sup.Generales!$D$15</f>
        <v>0.05</v>
      </c>
      <c r="J8" s="203">
        <f t="shared" ref="J8:J9" si="2">+ROUNDUP(D8*(1+I8),-2)</f>
        <v>474600</v>
      </c>
      <c r="K8" s="205">
        <f t="shared" ref="K8:K9" si="3">J8*H8*12</f>
        <v>45561600</v>
      </c>
      <c r="L8" s="63"/>
      <c r="M8" s="354">
        <f t="shared" ref="M8:M9" si="4">+G8</f>
        <v>0.1</v>
      </c>
      <c r="N8" s="355">
        <f t="shared" ref="N8:N9" si="5">ROUNDUP(+H8*(1+M8),0)</f>
        <v>9</v>
      </c>
      <c r="O8" s="356">
        <f>+I8</f>
        <v>0.05</v>
      </c>
      <c r="P8" s="203">
        <f t="shared" ref="P8:P9" si="6">+ROUNDUP(J8*(1+O8),-2)</f>
        <v>498400</v>
      </c>
      <c r="Q8" s="205">
        <f t="shared" ref="Q8:Q9" si="7">P8*N8*12</f>
        <v>53827200</v>
      </c>
      <c r="S8" s="354">
        <f t="shared" ref="S8:S9" si="8">+M8</f>
        <v>0.1</v>
      </c>
      <c r="T8" s="355">
        <f t="shared" ref="T8:T9" si="9">ROUNDUP(+N8*(1+S8),0)</f>
        <v>10</v>
      </c>
      <c r="U8" s="356">
        <f>+O8</f>
        <v>0.05</v>
      </c>
      <c r="V8" s="203">
        <f t="shared" ref="V8:V9" si="10">+ROUNDUP(P8*(1+U8),-2)</f>
        <v>523400</v>
      </c>
      <c r="W8" s="205">
        <f t="shared" ref="W8:W9" si="11">V8*T8*12</f>
        <v>62808000</v>
      </c>
      <c r="Y8" s="354">
        <f t="shared" ref="Y8:Y9" si="12">+S8</f>
        <v>0.1</v>
      </c>
      <c r="Z8" s="355">
        <f t="shared" ref="Z8:Z9" si="13">ROUNDUP(+T8*(1+Y8),0)</f>
        <v>11</v>
      </c>
      <c r="AA8" s="356">
        <f>+U8</f>
        <v>0.05</v>
      </c>
      <c r="AB8" s="203">
        <f t="shared" ref="AB8:AB9" si="14">+ROUNDUP(V8*(1+AA8),-2)</f>
        <v>549600</v>
      </c>
      <c r="AC8" s="205">
        <f t="shared" ref="AC8:AC9" si="15">AB8*Z8*12</f>
        <v>72547200</v>
      </c>
    </row>
    <row r="9" spans="1:29">
      <c r="A9" t="s">
        <v>127</v>
      </c>
      <c r="B9" s="15"/>
      <c r="C9" s="350">
        <f>+Sup.Generales!C9</f>
        <v>5</v>
      </c>
      <c r="D9" s="203">
        <f>+Sup.Generales!B9</f>
        <v>509000</v>
      </c>
      <c r="E9" s="205">
        <f t="shared" si="0"/>
        <v>30540000</v>
      </c>
      <c r="F9" s="63"/>
      <c r="G9" s="354">
        <f>+Sup.Generales!$D$12</f>
        <v>0.1</v>
      </c>
      <c r="H9" s="355">
        <f t="shared" si="1"/>
        <v>6</v>
      </c>
      <c r="I9" s="356">
        <f>+Sup.Generales!$D$15</f>
        <v>0.05</v>
      </c>
      <c r="J9" s="203">
        <f t="shared" si="2"/>
        <v>534500</v>
      </c>
      <c r="K9" s="205">
        <f t="shared" si="3"/>
        <v>38484000</v>
      </c>
      <c r="L9" s="63"/>
      <c r="M9" s="354">
        <f t="shared" si="4"/>
        <v>0.1</v>
      </c>
      <c r="N9" s="355">
        <f t="shared" si="5"/>
        <v>7</v>
      </c>
      <c r="O9" s="356">
        <f>+I9</f>
        <v>0.05</v>
      </c>
      <c r="P9" s="203">
        <f t="shared" si="6"/>
        <v>561300</v>
      </c>
      <c r="Q9" s="205">
        <f t="shared" si="7"/>
        <v>47149200</v>
      </c>
      <c r="S9" s="354">
        <f t="shared" si="8"/>
        <v>0.1</v>
      </c>
      <c r="T9" s="355">
        <f t="shared" si="9"/>
        <v>8</v>
      </c>
      <c r="U9" s="356">
        <f>+O9</f>
        <v>0.05</v>
      </c>
      <c r="V9" s="203">
        <f t="shared" si="10"/>
        <v>589400</v>
      </c>
      <c r="W9" s="205">
        <f t="shared" si="11"/>
        <v>56582400</v>
      </c>
      <c r="Y9" s="354">
        <f t="shared" si="12"/>
        <v>0.1</v>
      </c>
      <c r="Z9" s="355">
        <f t="shared" si="13"/>
        <v>9</v>
      </c>
      <c r="AA9" s="356">
        <f>+U9</f>
        <v>0.05</v>
      </c>
      <c r="AB9" s="203">
        <f t="shared" si="14"/>
        <v>618900</v>
      </c>
      <c r="AC9" s="205">
        <f t="shared" si="15"/>
        <v>66841200</v>
      </c>
    </row>
    <row r="10" spans="1:29">
      <c r="B10" s="50"/>
      <c r="C10" s="351"/>
      <c r="D10" s="203"/>
      <c r="E10" s="205"/>
      <c r="F10" s="63"/>
      <c r="G10" s="127"/>
      <c r="H10" s="204"/>
      <c r="I10" s="125"/>
      <c r="J10" s="203"/>
      <c r="K10" s="205"/>
      <c r="L10" s="63"/>
      <c r="M10" s="127"/>
      <c r="N10" s="204"/>
      <c r="O10" s="125"/>
      <c r="P10" s="203"/>
      <c r="Q10" s="205"/>
      <c r="S10" s="380"/>
      <c r="T10" s="204"/>
      <c r="U10" s="378"/>
      <c r="V10" s="203"/>
      <c r="W10" s="205"/>
      <c r="Y10" s="380"/>
      <c r="Z10" s="204"/>
      <c r="AA10" s="378"/>
      <c r="AB10" s="203"/>
      <c r="AC10" s="205"/>
    </row>
    <row r="11" spans="1:29" ht="15.75" thickBot="1">
      <c r="C11" s="129"/>
      <c r="D11" s="352" t="s">
        <v>4</v>
      </c>
      <c r="E11" s="353">
        <f>SUM(E7:E10)</f>
        <v>114084000</v>
      </c>
      <c r="F11" s="63"/>
      <c r="G11" s="129"/>
      <c r="H11" s="130"/>
      <c r="I11" s="130"/>
      <c r="J11" s="352" t="s">
        <v>4</v>
      </c>
      <c r="K11" s="353">
        <f>SUM(K7:K10)</f>
        <v>137217600</v>
      </c>
      <c r="L11" s="63"/>
      <c r="M11" s="129"/>
      <c r="N11" s="130"/>
      <c r="O11" s="130"/>
      <c r="P11" s="352" t="s">
        <v>4</v>
      </c>
      <c r="Q11" s="353">
        <f>SUM(Q7:Q10)</f>
        <v>162396000</v>
      </c>
      <c r="S11" s="381"/>
      <c r="T11" s="382"/>
      <c r="U11" s="382"/>
      <c r="V11" s="352" t="s">
        <v>4</v>
      </c>
      <c r="W11" s="353">
        <f>SUM(W7:W10)</f>
        <v>195612000</v>
      </c>
      <c r="Y11" s="381"/>
      <c r="Z11" s="382"/>
      <c r="AA11" s="382"/>
      <c r="AB11" s="352" t="s">
        <v>4</v>
      </c>
      <c r="AC11" s="353">
        <f>SUM(AC7:AC10)</f>
        <v>231746400</v>
      </c>
    </row>
    <row r="12" spans="1:29">
      <c r="C12" s="63"/>
      <c r="D12" s="63"/>
      <c r="E12" s="63"/>
      <c r="F12" s="63"/>
      <c r="G12" s="63"/>
      <c r="H12" s="63"/>
      <c r="I12" s="63"/>
      <c r="J12" s="63"/>
      <c r="K12" s="63"/>
      <c r="L12" s="63"/>
      <c r="M12" s="63"/>
      <c r="N12" s="63"/>
      <c r="O12" s="63"/>
      <c r="P12" s="63"/>
      <c r="Q12" s="63"/>
    </row>
    <row r="13" spans="1:29">
      <c r="C13" s="63"/>
      <c r="D13" s="63"/>
      <c r="E13" s="63"/>
      <c r="F13" s="63"/>
      <c r="G13" s="63"/>
      <c r="H13" s="63"/>
      <c r="I13" s="63"/>
      <c r="J13" s="63"/>
      <c r="K13" s="63"/>
      <c r="L13" s="63"/>
      <c r="M13" s="63"/>
      <c r="N13" s="63"/>
      <c r="O13" s="63"/>
      <c r="P13" s="63"/>
      <c r="Q13" s="63"/>
    </row>
    <row r="14" spans="1:29">
      <c r="A14" s="301" t="s">
        <v>141</v>
      </c>
      <c r="B14" s="300"/>
      <c r="C14" s="357"/>
      <c r="D14" s="63"/>
      <c r="E14" s="63"/>
      <c r="F14" s="63"/>
      <c r="G14" s="63"/>
      <c r="H14" s="63"/>
      <c r="I14" s="63"/>
      <c r="J14" s="63"/>
      <c r="K14" s="63"/>
      <c r="L14" s="63"/>
      <c r="M14" s="63"/>
      <c r="N14" s="63"/>
      <c r="O14" s="63"/>
      <c r="P14" s="63"/>
      <c r="Q14" s="63"/>
    </row>
    <row r="15" spans="1:29" ht="15.75" thickBot="1">
      <c r="C15" s="63"/>
      <c r="D15" s="63"/>
      <c r="E15" s="63"/>
      <c r="F15" s="63"/>
      <c r="G15" s="63"/>
      <c r="H15" s="63"/>
      <c r="I15" s="63"/>
      <c r="J15" s="63"/>
      <c r="K15" s="63"/>
      <c r="L15" s="63"/>
      <c r="M15" s="63"/>
      <c r="N15" s="63"/>
      <c r="O15" s="63"/>
      <c r="P15" s="63"/>
      <c r="Q15" s="63"/>
    </row>
    <row r="16" spans="1:29" ht="15.75" thickBot="1">
      <c r="C16" s="419" t="s">
        <v>0</v>
      </c>
      <c r="D16" s="420"/>
      <c r="E16" s="421"/>
      <c r="F16" s="63"/>
      <c r="G16" s="419" t="s">
        <v>5</v>
      </c>
      <c r="H16" s="420"/>
      <c r="I16" s="420"/>
      <c r="J16" s="420"/>
      <c r="K16" s="421"/>
      <c r="L16" s="63"/>
      <c r="M16" s="419" t="s">
        <v>7</v>
      </c>
      <c r="N16" s="420"/>
      <c r="O16" s="420"/>
      <c r="P16" s="420"/>
      <c r="Q16" s="421"/>
      <c r="S16" s="419" t="s">
        <v>8</v>
      </c>
      <c r="T16" s="420"/>
      <c r="U16" s="420"/>
      <c r="V16" s="420"/>
      <c r="W16" s="421"/>
      <c r="Y16" s="419" t="s">
        <v>9</v>
      </c>
      <c r="Z16" s="420"/>
      <c r="AA16" s="420"/>
      <c r="AB16" s="420"/>
      <c r="AC16" s="421"/>
    </row>
    <row r="17" spans="1:29">
      <c r="C17" s="79" t="s">
        <v>1</v>
      </c>
      <c r="D17" s="80" t="s">
        <v>2</v>
      </c>
      <c r="E17" s="81" t="s">
        <v>3</v>
      </c>
      <c r="F17" s="63"/>
      <c r="G17" s="79" t="s">
        <v>6</v>
      </c>
      <c r="H17" s="80" t="s">
        <v>1</v>
      </c>
      <c r="I17" s="80" t="s">
        <v>6</v>
      </c>
      <c r="J17" s="80" t="s">
        <v>2</v>
      </c>
      <c r="K17" s="81" t="s">
        <v>3</v>
      </c>
      <c r="L17" s="63"/>
      <c r="M17" s="79" t="s">
        <v>6</v>
      </c>
      <c r="N17" s="80" t="s">
        <v>1</v>
      </c>
      <c r="O17" s="80" t="s">
        <v>6</v>
      </c>
      <c r="P17" s="80" t="s">
        <v>2</v>
      </c>
      <c r="Q17" s="81" t="s">
        <v>3</v>
      </c>
      <c r="R17" s="13"/>
      <c r="S17" s="383" t="s">
        <v>6</v>
      </c>
      <c r="T17" s="80" t="s">
        <v>1</v>
      </c>
      <c r="U17" s="80" t="s">
        <v>6</v>
      </c>
      <c r="V17" s="80" t="s">
        <v>2</v>
      </c>
      <c r="W17" s="384" t="s">
        <v>3</v>
      </c>
      <c r="X17" s="13"/>
      <c r="Y17" s="383" t="s">
        <v>6</v>
      </c>
      <c r="Z17" s="80" t="s">
        <v>1</v>
      </c>
      <c r="AA17" s="80" t="s">
        <v>6</v>
      </c>
      <c r="AB17" s="80" t="s">
        <v>2</v>
      </c>
      <c r="AC17" s="384" t="s">
        <v>3</v>
      </c>
    </row>
    <row r="18" spans="1:29">
      <c r="A18" s="14" t="s">
        <v>140</v>
      </c>
      <c r="C18" s="127"/>
      <c r="D18" s="125"/>
      <c r="E18" s="77"/>
      <c r="F18" s="63"/>
      <c r="G18" s="127"/>
      <c r="H18" s="125"/>
      <c r="I18" s="125"/>
      <c r="J18" s="125"/>
      <c r="K18" s="77"/>
      <c r="L18" s="63"/>
      <c r="M18" s="127"/>
      <c r="N18" s="125"/>
      <c r="O18" s="125"/>
      <c r="P18" s="125"/>
      <c r="Q18" s="77"/>
      <c r="S18" s="6"/>
      <c r="T18" s="1"/>
      <c r="U18" s="1"/>
      <c r="V18" s="1"/>
      <c r="W18" s="23"/>
      <c r="Y18" s="6"/>
      <c r="Z18" s="1"/>
      <c r="AA18" s="1"/>
      <c r="AB18" s="1"/>
      <c r="AC18" s="23"/>
    </row>
    <row r="19" spans="1:29">
      <c r="A19" t="s">
        <v>125</v>
      </c>
      <c r="C19" s="350">
        <f>+Sup.Generales!E7</f>
        <v>15</v>
      </c>
      <c r="D19" s="203">
        <f>+Sup.Generales!F7</f>
        <v>235000</v>
      </c>
      <c r="E19" s="205">
        <f>+D19*C19</f>
        <v>3525000</v>
      </c>
      <c r="F19" s="63"/>
      <c r="G19" s="354">
        <f>+Sup.Generales!$D$11</f>
        <v>0.1</v>
      </c>
      <c r="H19" s="355">
        <f>ROUNDUP(+C19*(1+G19),0)</f>
        <v>17</v>
      </c>
      <c r="I19" s="356">
        <f>+Sup.Generales!$D$14</f>
        <v>0.05</v>
      </c>
      <c r="J19" s="203">
        <f>+ROUNDUP(D19*(1+I19),-2)</f>
        <v>246800</v>
      </c>
      <c r="K19" s="205">
        <f>+J19*H19</f>
        <v>4195600</v>
      </c>
      <c r="L19" s="63"/>
      <c r="M19" s="354">
        <f>+G19</f>
        <v>0.1</v>
      </c>
      <c r="N19" s="355">
        <f>ROUNDUP(+H19*(1+M19),0)</f>
        <v>19</v>
      </c>
      <c r="O19" s="356">
        <f>+I19</f>
        <v>0.05</v>
      </c>
      <c r="P19" s="203">
        <f>+ROUNDUP(J19*(1+O19),-2)</f>
        <v>259200</v>
      </c>
      <c r="Q19" s="205">
        <f>+P19*N19</f>
        <v>4924800</v>
      </c>
      <c r="S19" s="385">
        <f>+M19</f>
        <v>0.1</v>
      </c>
      <c r="T19" s="27">
        <f>ROUNDUP(+N19*(1+S19),0)</f>
        <v>21</v>
      </c>
      <c r="U19" s="7">
        <f>+O19</f>
        <v>0.05</v>
      </c>
      <c r="V19" s="27">
        <f>+ROUNDUP(P19*(1+U19),-2)</f>
        <v>272200</v>
      </c>
      <c r="W19" s="28">
        <f>+V19*T19</f>
        <v>5716200</v>
      </c>
      <c r="Y19" s="385">
        <f>+S19</f>
        <v>0.1</v>
      </c>
      <c r="Z19" s="75">
        <f>ROUNDUP(+T19*(1+Y19),0)</f>
        <v>24</v>
      </c>
      <c r="AA19" s="7">
        <f>+U19</f>
        <v>0.05</v>
      </c>
      <c r="AB19" s="27">
        <f>+ROUNDUP(V19*(1+AA19),-2)</f>
        <v>285900</v>
      </c>
      <c r="AC19" s="28">
        <f>+AB19*Z19</f>
        <v>6861600</v>
      </c>
    </row>
    <row r="20" spans="1:29">
      <c r="A20" t="s">
        <v>126</v>
      </c>
      <c r="C20" s="350">
        <f>+Sup.Generales!E8</f>
        <v>13</v>
      </c>
      <c r="D20" s="203">
        <f>+Sup.Generales!F8</f>
        <v>206000</v>
      </c>
      <c r="E20" s="205">
        <f>+D20*C20</f>
        <v>2678000</v>
      </c>
      <c r="F20" s="63"/>
      <c r="G20" s="354">
        <f>+Sup.Generales!$D$11</f>
        <v>0.1</v>
      </c>
      <c r="H20" s="355">
        <f>ROUNDUP(+C20*(1+G20),0)</f>
        <v>15</v>
      </c>
      <c r="I20" s="356">
        <f>+Sup.Generales!$D$14</f>
        <v>0.05</v>
      </c>
      <c r="J20" s="203">
        <f t="shared" ref="J20:J21" si="16">+ROUNDUP(D20*(1+I20),-2)</f>
        <v>216300</v>
      </c>
      <c r="K20" s="205">
        <f>+J20*H20</f>
        <v>3244500</v>
      </c>
      <c r="L20" s="63"/>
      <c r="M20" s="354">
        <f>+G20</f>
        <v>0.1</v>
      </c>
      <c r="N20" s="355">
        <f t="shared" ref="N20:N21" si="17">ROUNDUP(+H20*(1+M20),0)</f>
        <v>17</v>
      </c>
      <c r="O20" s="356">
        <f t="shared" ref="O20:O21" si="18">+I20</f>
        <v>0.05</v>
      </c>
      <c r="P20" s="203">
        <f t="shared" ref="P20:P21" si="19">+ROUNDUP(J20*(1+O20),-2)</f>
        <v>227200</v>
      </c>
      <c r="Q20" s="205">
        <f>+P20*N20</f>
        <v>3862400</v>
      </c>
      <c r="S20" s="385">
        <f>+M20</f>
        <v>0.1</v>
      </c>
      <c r="T20" s="27">
        <f t="shared" ref="T20:T21" si="20">ROUNDUP(+N20*(1+S20),0)</f>
        <v>19</v>
      </c>
      <c r="U20" s="7">
        <f t="shared" ref="U20:U21" si="21">+O20</f>
        <v>0.05</v>
      </c>
      <c r="V20" s="27">
        <f t="shared" ref="V20:V21" si="22">+ROUNDUP(P20*(1+U20),-2)</f>
        <v>238600</v>
      </c>
      <c r="W20" s="28">
        <f>+V20*T20</f>
        <v>4533400</v>
      </c>
      <c r="Y20" s="385">
        <f>+S20</f>
        <v>0.1</v>
      </c>
      <c r="Z20" s="75">
        <f t="shared" ref="Z20:Z21" si="23">ROUNDUP(+T20*(1+Y20),0)</f>
        <v>21</v>
      </c>
      <c r="AA20" s="7">
        <f t="shared" ref="AA20:AA21" si="24">+U20</f>
        <v>0.05</v>
      </c>
      <c r="AB20" s="27">
        <f t="shared" ref="AB20:AB21" si="25">+ROUNDUP(V20*(1+AA20),-2)</f>
        <v>250600</v>
      </c>
      <c r="AC20" s="28">
        <f>+AB20*Z20</f>
        <v>5262600</v>
      </c>
    </row>
    <row r="21" spans="1:29">
      <c r="A21" t="s">
        <v>127</v>
      </c>
      <c r="C21" s="350">
        <f>+Sup.Generales!E9</f>
        <v>9</v>
      </c>
      <c r="D21" s="203">
        <f>+Sup.Generales!F9</f>
        <v>176000</v>
      </c>
      <c r="E21" s="205">
        <f t="shared" ref="E21" si="26">+D21*C21</f>
        <v>1584000</v>
      </c>
      <c r="F21" s="63"/>
      <c r="G21" s="354">
        <f>+Sup.Generales!$D$11</f>
        <v>0.1</v>
      </c>
      <c r="H21" s="355">
        <f t="shared" ref="H21" si="27">ROUNDUP(+C21*(1+G21),0)</f>
        <v>10</v>
      </c>
      <c r="I21" s="356">
        <f>+Sup.Generales!$D$14</f>
        <v>0.05</v>
      </c>
      <c r="J21" s="203">
        <f t="shared" si="16"/>
        <v>184800</v>
      </c>
      <c r="K21" s="205">
        <f>+J21*H21</f>
        <v>1848000</v>
      </c>
      <c r="L21" s="63"/>
      <c r="M21" s="354">
        <f>+G21</f>
        <v>0.1</v>
      </c>
      <c r="N21" s="355">
        <f t="shared" si="17"/>
        <v>11</v>
      </c>
      <c r="O21" s="356">
        <f t="shared" si="18"/>
        <v>0.05</v>
      </c>
      <c r="P21" s="203">
        <f t="shared" si="19"/>
        <v>194100</v>
      </c>
      <c r="Q21" s="205">
        <f>+P21*N21</f>
        <v>2135100</v>
      </c>
      <c r="S21" s="385">
        <f>+M21</f>
        <v>0.1</v>
      </c>
      <c r="T21" s="27">
        <f t="shared" si="20"/>
        <v>13</v>
      </c>
      <c r="U21" s="7">
        <f t="shared" si="21"/>
        <v>0.05</v>
      </c>
      <c r="V21" s="27">
        <f t="shared" si="22"/>
        <v>203900</v>
      </c>
      <c r="W21" s="28">
        <f>+V21*T21</f>
        <v>2650700</v>
      </c>
      <c r="Y21" s="385">
        <f>+S21</f>
        <v>0.1</v>
      </c>
      <c r="Z21" s="75">
        <f t="shared" si="23"/>
        <v>15</v>
      </c>
      <c r="AA21" s="7">
        <f t="shared" si="24"/>
        <v>0.05</v>
      </c>
      <c r="AB21" s="27">
        <f t="shared" si="25"/>
        <v>214100</v>
      </c>
      <c r="AC21" s="28">
        <f>+AB21*Z21</f>
        <v>3211500</v>
      </c>
    </row>
    <row r="22" spans="1:29">
      <c r="C22" s="127"/>
      <c r="D22" s="203"/>
      <c r="E22" s="205"/>
      <c r="F22" s="63"/>
      <c r="G22" s="127"/>
      <c r="H22" s="355"/>
      <c r="I22" s="125"/>
      <c r="J22" s="203"/>
      <c r="K22" s="205"/>
      <c r="L22" s="63"/>
      <c r="M22" s="127"/>
      <c r="N22" s="355"/>
      <c r="O22" s="356"/>
      <c r="P22" s="203"/>
      <c r="Q22" s="205"/>
      <c r="S22" s="6"/>
      <c r="T22" s="75"/>
      <c r="U22" s="1"/>
      <c r="V22" s="27"/>
      <c r="W22" s="28"/>
      <c r="Y22" s="6"/>
      <c r="Z22" s="75"/>
      <c r="AA22" s="1"/>
      <c r="AB22" s="27"/>
      <c r="AC22" s="28"/>
    </row>
    <row r="23" spans="1:29" ht="15.75" thickBot="1">
      <c r="C23" s="129"/>
      <c r="D23" s="352" t="s">
        <v>4</v>
      </c>
      <c r="E23" s="353">
        <f>SUM(E19:E22)</f>
        <v>7787000</v>
      </c>
      <c r="F23" s="63"/>
      <c r="G23" s="129"/>
      <c r="H23" s="130"/>
      <c r="I23" s="130"/>
      <c r="J23" s="352" t="s">
        <v>4</v>
      </c>
      <c r="K23" s="353">
        <f>SUM(K19:K22)</f>
        <v>9288100</v>
      </c>
      <c r="L23" s="63"/>
      <c r="M23" s="129"/>
      <c r="N23" s="130"/>
      <c r="O23" s="130"/>
      <c r="P23" s="352" t="s">
        <v>4</v>
      </c>
      <c r="Q23" s="353">
        <f>SUM(Q19:Q22)</f>
        <v>10922300</v>
      </c>
      <c r="S23" s="8"/>
      <c r="T23" s="9"/>
      <c r="U23" s="9"/>
      <c r="V23" s="386" t="s">
        <v>4</v>
      </c>
      <c r="W23" s="387">
        <f>SUM(W19:W22)</f>
        <v>12900300</v>
      </c>
      <c r="Y23" s="8"/>
      <c r="Z23" s="9"/>
      <c r="AA23" s="9"/>
      <c r="AB23" s="386" t="s">
        <v>4</v>
      </c>
      <c r="AC23" s="387">
        <f>SUM(AC19:AC22)</f>
        <v>15335700</v>
      </c>
    </row>
    <row r="25" spans="1:29">
      <c r="E25" s="20"/>
    </row>
    <row r="36" spans="1:8">
      <c r="E36" s="20"/>
    </row>
    <row r="39" spans="1:8">
      <c r="H39" s="16"/>
    </row>
    <row r="40" spans="1:8">
      <c r="H40" s="15"/>
    </row>
    <row r="41" spans="1:8">
      <c r="A41" s="14"/>
      <c r="C41" s="16"/>
      <c r="H41" s="15"/>
    </row>
    <row r="42" spans="1:8">
      <c r="C42" s="58"/>
    </row>
    <row r="43" spans="1:8">
      <c r="A43" s="17"/>
      <c r="C43" s="58"/>
      <c r="E43" s="50"/>
    </row>
    <row r="44" spans="1:8">
      <c r="C44" s="58"/>
    </row>
    <row r="45" spans="1:8">
      <c r="C45" s="58"/>
    </row>
    <row r="46" spans="1:8">
      <c r="C46" s="58"/>
    </row>
    <row r="47" spans="1:8">
      <c r="C47" s="16"/>
    </row>
    <row r="48" spans="1:8">
      <c r="C48" s="16"/>
    </row>
    <row r="49" spans="3:5">
      <c r="C49" s="57"/>
    </row>
    <row r="51" spans="3:5">
      <c r="D51" s="19"/>
      <c r="E51" s="20"/>
    </row>
    <row r="52" spans="3:5">
      <c r="D52" s="19"/>
      <c r="E52" s="20"/>
    </row>
    <row r="53" spans="3:5">
      <c r="D53" s="19"/>
      <c r="E53" s="20"/>
    </row>
  </sheetData>
  <sheetProtection password="B3AF" sheet="1" objects="1" scenarios="1"/>
  <mergeCells count="15">
    <mergeCell ref="O4:Q4"/>
    <mergeCell ref="T4:T5"/>
    <mergeCell ref="U4:W4"/>
    <mergeCell ref="Z4:Z5"/>
    <mergeCell ref="AA4:AC4"/>
    <mergeCell ref="C4:C5"/>
    <mergeCell ref="D4:E4"/>
    <mergeCell ref="I4:K4"/>
    <mergeCell ref="H4:H5"/>
    <mergeCell ref="N4:N5"/>
    <mergeCell ref="C16:E16"/>
    <mergeCell ref="G16:K16"/>
    <mergeCell ref="M16:Q16"/>
    <mergeCell ref="S16:W16"/>
    <mergeCell ref="Y16:AC16"/>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L136"/>
  <sheetViews>
    <sheetView workbookViewId="0">
      <selection activeCell="K8" sqref="K8"/>
    </sheetView>
  </sheetViews>
  <sheetFormatPr baseColWidth="10" defaultColWidth="11.42578125" defaultRowHeight="15"/>
  <cols>
    <col min="1" max="1" width="4.140625" bestFit="1" customWidth="1"/>
    <col min="2" max="2" width="21" bestFit="1" customWidth="1"/>
    <col min="3" max="3" width="21" customWidth="1"/>
    <col min="4" max="7" width="16.7109375" bestFit="1" customWidth="1"/>
    <col min="8" max="8" width="15.7109375" bestFit="1" customWidth="1"/>
    <col min="11" max="11" width="14.5703125" bestFit="1" customWidth="1"/>
    <col min="12" max="12" width="13" bestFit="1" customWidth="1"/>
  </cols>
  <sheetData>
    <row r="1" spans="1:12" ht="15.75" thickBot="1"/>
    <row r="2" spans="1:12" ht="15.75" thickBot="1">
      <c r="A2" s="431" t="s">
        <v>10</v>
      </c>
      <c r="B2" s="432"/>
      <c r="C2" s="432"/>
      <c r="D2" s="432"/>
      <c r="E2" s="432"/>
      <c r="F2" s="432"/>
      <c r="G2" s="432"/>
      <c r="H2" s="433"/>
      <c r="L2" s="15"/>
    </row>
    <row r="3" spans="1:12">
      <c r="A3" s="21"/>
      <c r="B3" s="22"/>
      <c r="C3" s="22"/>
      <c r="D3" s="22"/>
      <c r="E3" s="1"/>
      <c r="F3" s="1"/>
      <c r="G3" s="1"/>
      <c r="H3" s="23"/>
      <c r="L3" s="15"/>
    </row>
    <row r="4" spans="1:12">
      <c r="A4" s="428" t="s">
        <v>0</v>
      </c>
      <c r="B4" s="429"/>
      <c r="C4" s="429"/>
      <c r="D4" s="429"/>
      <c r="E4" s="429"/>
      <c r="F4" s="429"/>
      <c r="G4" s="429"/>
      <c r="H4" s="430"/>
      <c r="L4" s="18"/>
    </row>
    <row r="5" spans="1:12">
      <c r="A5" s="69" t="s">
        <v>12</v>
      </c>
      <c r="B5" s="61" t="s">
        <v>11</v>
      </c>
      <c r="C5" s="61" t="s">
        <v>21</v>
      </c>
      <c r="D5" s="61" t="s">
        <v>13</v>
      </c>
      <c r="E5" s="61" t="s">
        <v>17</v>
      </c>
      <c r="F5" s="61" t="s">
        <v>14</v>
      </c>
      <c r="G5" s="61" t="s">
        <v>15</v>
      </c>
      <c r="H5" s="70" t="s">
        <v>16</v>
      </c>
    </row>
    <row r="6" spans="1:12">
      <c r="A6" s="65">
        <f>Sup.Generales!C19</f>
        <v>1</v>
      </c>
      <c r="B6" s="10" t="s">
        <v>171</v>
      </c>
      <c r="C6" s="55">
        <f>+Sup.Generales!C24</f>
        <v>650000</v>
      </c>
      <c r="D6" s="55">
        <f>+C6*12*A6</f>
        <v>7800000</v>
      </c>
      <c r="E6" s="10"/>
      <c r="F6" s="55">
        <f>ROUNDDOWN(D6*$C$39,-3)</f>
        <v>3354000</v>
      </c>
      <c r="G6" s="55">
        <f>D6*$C$40</f>
        <v>650000</v>
      </c>
      <c r="H6" s="68">
        <f>SUM(D6:G6)</f>
        <v>11804000</v>
      </c>
      <c r="I6" s="19"/>
    </row>
    <row r="7" spans="1:12">
      <c r="A7" s="65">
        <f>Sup.Generales!C20</f>
        <v>1</v>
      </c>
      <c r="B7" s="10" t="s">
        <v>128</v>
      </c>
      <c r="C7" s="55">
        <f>+Sup.Generales!C25</f>
        <v>566700</v>
      </c>
      <c r="D7" s="55">
        <f t="shared" ref="D7:D8" si="0">+C7*12*A7</f>
        <v>6800400</v>
      </c>
      <c r="E7" s="55">
        <f>67800*12</f>
        <v>813600</v>
      </c>
      <c r="F7" s="55">
        <f t="shared" ref="F7:F8" si="1">ROUNDDOWN(D7*$C$39,-3)</f>
        <v>2924000</v>
      </c>
      <c r="G7" s="55">
        <f>D7*$C$40</f>
        <v>566700</v>
      </c>
      <c r="H7" s="68">
        <f>SUM(D7:G7)</f>
        <v>11104700</v>
      </c>
      <c r="I7" s="19"/>
    </row>
    <row r="8" spans="1:12">
      <c r="A8" s="65">
        <f>Sup.Generales!C21</f>
        <v>2</v>
      </c>
      <c r="B8" s="10" t="s">
        <v>129</v>
      </c>
      <c r="C8" s="55">
        <f>+Sup.Generales!C26</f>
        <v>1000000</v>
      </c>
      <c r="D8" s="55">
        <f t="shared" si="0"/>
        <v>24000000</v>
      </c>
      <c r="E8" s="55"/>
      <c r="F8" s="55">
        <f t="shared" si="1"/>
        <v>10320000</v>
      </c>
      <c r="G8" s="55">
        <f>D8*$C$40</f>
        <v>2000000</v>
      </c>
      <c r="H8" s="68">
        <f t="shared" ref="H8" si="2">SUM(D8:G8)</f>
        <v>36320000</v>
      </c>
    </row>
    <row r="9" spans="1:12">
      <c r="A9" s="6"/>
      <c r="B9" s="25" t="s">
        <v>16</v>
      </c>
      <c r="C9" s="29">
        <f>SUM(C6:C8)</f>
        <v>2216700</v>
      </c>
      <c r="D9" s="29">
        <f>SUM(D6:D8)</f>
        <v>38600400</v>
      </c>
      <c r="E9" s="29">
        <f>SUM(E7:E8)</f>
        <v>813600</v>
      </c>
      <c r="F9" s="29">
        <f>SUM(F6:F8)</f>
        <v>16598000</v>
      </c>
      <c r="G9" s="29">
        <f>SUM(G6:G8)</f>
        <v>3216700</v>
      </c>
      <c r="H9" s="30">
        <f>SUM(H6:H8)</f>
        <v>59228700</v>
      </c>
    </row>
    <row r="10" spans="1:12">
      <c r="A10" s="6"/>
      <c r="B10" s="25"/>
      <c r="C10" s="25"/>
      <c r="D10" s="27"/>
      <c r="E10" s="27"/>
      <c r="F10" s="27"/>
      <c r="G10" s="27"/>
      <c r="H10" s="28"/>
    </row>
    <row r="11" spans="1:12">
      <c r="A11" s="428" t="s">
        <v>5</v>
      </c>
      <c r="B11" s="429"/>
      <c r="C11" s="429"/>
      <c r="D11" s="429"/>
      <c r="E11" s="429"/>
      <c r="F11" s="429"/>
      <c r="G11" s="429"/>
      <c r="H11" s="430"/>
    </row>
    <row r="12" spans="1:12">
      <c r="A12" s="24" t="s">
        <v>12</v>
      </c>
      <c r="B12" s="25" t="s">
        <v>11</v>
      </c>
      <c r="C12" s="25" t="s">
        <v>21</v>
      </c>
      <c r="D12" s="25" t="s">
        <v>13</v>
      </c>
      <c r="E12" s="25" t="s">
        <v>17</v>
      </c>
      <c r="F12" s="25" t="s">
        <v>14</v>
      </c>
      <c r="G12" s="25" t="s">
        <v>15</v>
      </c>
      <c r="H12" s="26" t="s">
        <v>16</v>
      </c>
    </row>
    <row r="13" spans="1:12">
      <c r="A13" s="6">
        <f>Sup.Generales!D19</f>
        <v>1</v>
      </c>
      <c r="B13" s="1" t="str">
        <f>B6</f>
        <v>Auxiliar de Enfermeria</v>
      </c>
      <c r="C13" s="27">
        <f>ROUNDUP(+C6*($C$41+1),-2)</f>
        <v>674400</v>
      </c>
      <c r="D13" s="27">
        <f>+C13*12*A13</f>
        <v>8092800</v>
      </c>
      <c r="E13" s="27">
        <f>ROUNDUP(+E6*($C$41+1),-2)</f>
        <v>0</v>
      </c>
      <c r="F13" s="55">
        <f>ROUNDDOWN(D13*$C$39,-2)</f>
        <v>3479900</v>
      </c>
      <c r="G13" s="27">
        <f>D13*$C$40</f>
        <v>674400</v>
      </c>
      <c r="H13" s="28">
        <f>SUM(D13:G13)</f>
        <v>12247100</v>
      </c>
    </row>
    <row r="14" spans="1:12">
      <c r="A14" s="6">
        <f>Sup.Generales!D20</f>
        <v>1</v>
      </c>
      <c r="B14" s="1" t="str">
        <f>B7</f>
        <v>Asistentes</v>
      </c>
      <c r="C14" s="27">
        <f>ROUNDUP(+C7*($C$41+1),-2)</f>
        <v>588000</v>
      </c>
      <c r="D14" s="27">
        <f t="shared" ref="D14:D15" si="3">+C14*12*A14</f>
        <v>7056000</v>
      </c>
      <c r="E14" s="27">
        <f>ROUNDUP(+E7*($C$41+1),-2)</f>
        <v>844200</v>
      </c>
      <c r="F14" s="55">
        <f t="shared" ref="F14:F15" si="4">ROUNDDOWN(D14*$C$39,-2)</f>
        <v>3034000</v>
      </c>
      <c r="G14" s="27">
        <f>D14*$C$40</f>
        <v>588000</v>
      </c>
      <c r="H14" s="28">
        <f t="shared" ref="H14:H15" si="5">SUM(D14:G14)</f>
        <v>11522200</v>
      </c>
    </row>
    <row r="15" spans="1:12">
      <c r="A15" s="6">
        <f>Sup.Generales!D21</f>
        <v>2</v>
      </c>
      <c r="B15" s="1" t="str">
        <f t="shared" ref="B15" si="6">B8</f>
        <v>Administrador</v>
      </c>
      <c r="C15" s="27">
        <f>ROUNDUP(+C8*($C$41+1),-2)</f>
        <v>1037500</v>
      </c>
      <c r="D15" s="27">
        <f t="shared" si="3"/>
        <v>24900000</v>
      </c>
      <c r="E15" s="27">
        <f>ROUNDUP(+E8*($C$41+1),-2)</f>
        <v>0</v>
      </c>
      <c r="F15" s="55">
        <f t="shared" si="4"/>
        <v>10707000</v>
      </c>
      <c r="G15" s="27">
        <f>D15*$C$40</f>
        <v>2075000</v>
      </c>
      <c r="H15" s="28">
        <f t="shared" si="5"/>
        <v>37682000</v>
      </c>
    </row>
    <row r="16" spans="1:12">
      <c r="A16" s="6"/>
      <c r="B16" s="25" t="s">
        <v>16</v>
      </c>
      <c r="C16" s="31">
        <f t="shared" ref="C16:H16" si="7">SUM(C13:C15)</f>
        <v>2299900</v>
      </c>
      <c r="D16" s="31">
        <f t="shared" si="7"/>
        <v>40048800</v>
      </c>
      <c r="E16" s="31">
        <f t="shared" si="7"/>
        <v>844200</v>
      </c>
      <c r="F16" s="31">
        <f t="shared" si="7"/>
        <v>17220900</v>
      </c>
      <c r="G16" s="31">
        <f t="shared" si="7"/>
        <v>3337400</v>
      </c>
      <c r="H16" s="34">
        <f t="shared" si="7"/>
        <v>61451300</v>
      </c>
    </row>
    <row r="17" spans="1:8">
      <c r="A17" s="6"/>
      <c r="B17" s="1"/>
      <c r="C17" s="1"/>
      <c r="D17" s="1"/>
      <c r="E17" s="1"/>
      <c r="F17" s="1"/>
      <c r="G17" s="1"/>
      <c r="H17" s="23"/>
    </row>
    <row r="18" spans="1:8">
      <c r="A18" s="428" t="s">
        <v>7</v>
      </c>
      <c r="B18" s="429"/>
      <c r="C18" s="429"/>
      <c r="D18" s="429"/>
      <c r="E18" s="429"/>
      <c r="F18" s="429"/>
      <c r="G18" s="429"/>
      <c r="H18" s="430"/>
    </row>
    <row r="19" spans="1:8">
      <c r="A19" s="24" t="s">
        <v>12</v>
      </c>
      <c r="B19" s="25" t="s">
        <v>11</v>
      </c>
      <c r="C19" s="25" t="s">
        <v>21</v>
      </c>
      <c r="D19" s="25" t="s">
        <v>13</v>
      </c>
      <c r="E19" s="25" t="s">
        <v>17</v>
      </c>
      <c r="F19" s="25" t="s">
        <v>14</v>
      </c>
      <c r="G19" s="25" t="s">
        <v>15</v>
      </c>
      <c r="H19" s="26" t="s">
        <v>16</v>
      </c>
    </row>
    <row r="20" spans="1:8">
      <c r="A20" s="6">
        <f>Sup.Generales!E19</f>
        <v>1</v>
      </c>
      <c r="B20" s="1" t="str">
        <f>B13</f>
        <v>Auxiliar de Enfermeria</v>
      </c>
      <c r="C20" s="27">
        <f>ROUNDUP(+C13*($C$41+1),-2)</f>
        <v>699700</v>
      </c>
      <c r="D20" s="27">
        <f>+C20*12*A20</f>
        <v>8396400</v>
      </c>
      <c r="E20" s="27">
        <f>ROUNDUP(+E13*($C$41+1),-2)</f>
        <v>0</v>
      </c>
      <c r="F20" s="55">
        <f>ROUNDDOWN(D20*$C$39,-2)</f>
        <v>3610400</v>
      </c>
      <c r="G20" s="27">
        <f>D20*$C$40</f>
        <v>699700</v>
      </c>
      <c r="H20" s="28">
        <f>SUM(D20:G20)</f>
        <v>12706500</v>
      </c>
    </row>
    <row r="21" spans="1:8">
      <c r="A21" s="6">
        <f>Sup.Generales!E20</f>
        <v>2</v>
      </c>
      <c r="B21" s="1" t="str">
        <f>B14</f>
        <v>Asistentes</v>
      </c>
      <c r="C21" s="27">
        <f>ROUNDUP(+C14*($C$41+1),-2)</f>
        <v>610100</v>
      </c>
      <c r="D21" s="27">
        <f t="shared" ref="D21:D22" si="8">+C21*12*A21</f>
        <v>14642400</v>
      </c>
      <c r="E21" s="27">
        <f>ROUNDUP(+E14*($C$41+1),-2)</f>
        <v>875900</v>
      </c>
      <c r="F21" s="55">
        <f t="shared" ref="F21:F22" si="9">ROUNDDOWN(D21*$C$39,-2)</f>
        <v>6296200</v>
      </c>
      <c r="G21" s="27">
        <f>D21*$C$40</f>
        <v>1220200</v>
      </c>
      <c r="H21" s="28">
        <f t="shared" ref="H21:H22" si="10">SUM(D21:G21)</f>
        <v>23034700</v>
      </c>
    </row>
    <row r="22" spans="1:8">
      <c r="A22" s="6">
        <f>Sup.Generales!E21</f>
        <v>2</v>
      </c>
      <c r="B22" s="1" t="str">
        <f t="shared" ref="B22" si="11">B15</f>
        <v>Administrador</v>
      </c>
      <c r="C22" s="27">
        <f>ROUNDUP(+C15*($C$41+1),-2)</f>
        <v>1076500</v>
      </c>
      <c r="D22" s="27">
        <f t="shared" si="8"/>
        <v>25836000</v>
      </c>
      <c r="E22" s="27">
        <f>ROUNDUP(+E15*($C$41+1),-2)</f>
        <v>0</v>
      </c>
      <c r="F22" s="55">
        <f t="shared" si="9"/>
        <v>11109400</v>
      </c>
      <c r="G22" s="27">
        <f>D22*$C$40</f>
        <v>2153000</v>
      </c>
      <c r="H22" s="28">
        <f t="shared" si="10"/>
        <v>39098400</v>
      </c>
    </row>
    <row r="23" spans="1:8">
      <c r="A23" s="6"/>
      <c r="B23" s="25" t="s">
        <v>16</v>
      </c>
      <c r="C23" s="31">
        <f t="shared" ref="C23:H23" si="12">SUM(C20:C22)</f>
        <v>2386300</v>
      </c>
      <c r="D23" s="31">
        <f t="shared" si="12"/>
        <v>48874800</v>
      </c>
      <c r="E23" s="31">
        <f t="shared" si="12"/>
        <v>875900</v>
      </c>
      <c r="F23" s="31">
        <f t="shared" si="12"/>
        <v>21016000</v>
      </c>
      <c r="G23" s="31">
        <f t="shared" si="12"/>
        <v>4072900</v>
      </c>
      <c r="H23" s="34">
        <f t="shared" si="12"/>
        <v>74839600</v>
      </c>
    </row>
    <row r="24" spans="1:8">
      <c r="A24" s="6"/>
      <c r="B24" s="1"/>
      <c r="C24" s="1"/>
      <c r="D24" s="1"/>
      <c r="E24" s="1"/>
      <c r="F24" s="1"/>
      <c r="G24" s="1"/>
      <c r="H24" s="23"/>
    </row>
    <row r="25" spans="1:8">
      <c r="A25" s="428" t="s">
        <v>8</v>
      </c>
      <c r="B25" s="429"/>
      <c r="C25" s="429"/>
      <c r="D25" s="429"/>
      <c r="E25" s="429"/>
      <c r="F25" s="429"/>
      <c r="G25" s="429"/>
      <c r="H25" s="430"/>
    </row>
    <row r="26" spans="1:8">
      <c r="A26" s="24" t="s">
        <v>12</v>
      </c>
      <c r="B26" s="25" t="s">
        <v>11</v>
      </c>
      <c r="C26" s="25" t="s">
        <v>21</v>
      </c>
      <c r="D26" s="25" t="s">
        <v>13</v>
      </c>
      <c r="E26" s="25" t="s">
        <v>17</v>
      </c>
      <c r="F26" s="25" t="s">
        <v>14</v>
      </c>
      <c r="G26" s="25" t="s">
        <v>15</v>
      </c>
      <c r="H26" s="26" t="s">
        <v>16</v>
      </c>
    </row>
    <row r="27" spans="1:8">
      <c r="A27" s="6">
        <f>Sup.Generales!F19</f>
        <v>1</v>
      </c>
      <c r="B27" s="1" t="str">
        <f>B20</f>
        <v>Auxiliar de Enfermeria</v>
      </c>
      <c r="C27" s="27">
        <f>ROUNDUP(+C20*($C$41+1),-2)</f>
        <v>726000</v>
      </c>
      <c r="D27" s="27">
        <f>+C27*12*A27</f>
        <v>8712000</v>
      </c>
      <c r="E27" s="27">
        <f>ROUNDUP(+E20*($C$41+1),-2)</f>
        <v>0</v>
      </c>
      <c r="F27" s="55">
        <f>ROUNDDOWN(D27*$C$39,-2)</f>
        <v>3746100</v>
      </c>
      <c r="G27" s="27">
        <f>D27*$C$40</f>
        <v>726000</v>
      </c>
      <c r="H27" s="28">
        <f>SUM(D27:G27)</f>
        <v>13184100</v>
      </c>
    </row>
    <row r="28" spans="1:8">
      <c r="A28" s="6">
        <f>Sup.Generales!F20</f>
        <v>3</v>
      </c>
      <c r="B28" s="1" t="str">
        <f>B21</f>
        <v>Asistentes</v>
      </c>
      <c r="C28" s="27">
        <f>ROUNDUP(+C21*($C$41+1),-2)</f>
        <v>633000</v>
      </c>
      <c r="D28" s="27">
        <f t="shared" ref="D28:D29" si="13">+C28*12*A28</f>
        <v>22788000</v>
      </c>
      <c r="E28" s="27">
        <f>ROUNDUP(+E21*($C$41+1),-2)</f>
        <v>908800</v>
      </c>
      <c r="F28" s="55">
        <f t="shared" ref="F28:F29" si="14">ROUNDDOWN(D28*$C$39,-2)</f>
        <v>9798800</v>
      </c>
      <c r="G28" s="27">
        <f>D28*$C$40</f>
        <v>1899000</v>
      </c>
      <c r="H28" s="28">
        <f t="shared" ref="H28:H29" si="15">SUM(D28:G28)</f>
        <v>35394600</v>
      </c>
    </row>
    <row r="29" spans="1:8">
      <c r="A29" s="6">
        <f>Sup.Generales!F21</f>
        <v>2</v>
      </c>
      <c r="B29" s="1" t="str">
        <f>B22</f>
        <v>Administrador</v>
      </c>
      <c r="C29" s="27">
        <f>ROUNDUP(+C22*($C$41+1),-2)</f>
        <v>1116900</v>
      </c>
      <c r="D29" s="27">
        <f t="shared" si="13"/>
        <v>26805600</v>
      </c>
      <c r="E29" s="27">
        <f>ROUNDUP(+E22*($C$41+1),-2)</f>
        <v>0</v>
      </c>
      <c r="F29" s="55">
        <f t="shared" si="14"/>
        <v>11526400</v>
      </c>
      <c r="G29" s="27">
        <f>D29*$C$40</f>
        <v>2233800</v>
      </c>
      <c r="H29" s="28">
        <f t="shared" si="15"/>
        <v>40565800</v>
      </c>
    </row>
    <row r="30" spans="1:8">
      <c r="A30" s="6"/>
      <c r="B30" s="25" t="s">
        <v>16</v>
      </c>
      <c r="C30" s="31">
        <f t="shared" ref="C30:H30" si="16">SUM(C27:C29)</f>
        <v>2475900</v>
      </c>
      <c r="D30" s="31">
        <f t="shared" si="16"/>
        <v>58305600</v>
      </c>
      <c r="E30" s="31">
        <f t="shared" si="16"/>
        <v>908800</v>
      </c>
      <c r="F30" s="31">
        <f t="shared" si="16"/>
        <v>25071300</v>
      </c>
      <c r="G30" s="31">
        <f t="shared" si="16"/>
        <v>4858800</v>
      </c>
      <c r="H30" s="34">
        <f t="shared" si="16"/>
        <v>89144500</v>
      </c>
    </row>
    <row r="31" spans="1:8">
      <c r="A31" s="6"/>
      <c r="B31" s="1"/>
      <c r="C31" s="1"/>
      <c r="D31" s="1"/>
      <c r="E31" s="1"/>
      <c r="F31" s="1"/>
      <c r="G31" s="1"/>
      <c r="H31" s="23"/>
    </row>
    <row r="32" spans="1:8">
      <c r="A32" s="428" t="s">
        <v>9</v>
      </c>
      <c r="B32" s="429"/>
      <c r="C32" s="429"/>
      <c r="D32" s="429"/>
      <c r="E32" s="429"/>
      <c r="F32" s="429"/>
      <c r="G32" s="429"/>
      <c r="H32" s="430"/>
    </row>
    <row r="33" spans="1:8">
      <c r="A33" s="24" t="s">
        <v>12</v>
      </c>
      <c r="B33" s="25" t="s">
        <v>11</v>
      </c>
      <c r="C33" s="25" t="s">
        <v>21</v>
      </c>
      <c r="D33" s="25" t="s">
        <v>13</v>
      </c>
      <c r="E33" s="25" t="s">
        <v>17</v>
      </c>
      <c r="F33" s="25" t="s">
        <v>14</v>
      </c>
      <c r="G33" s="25" t="s">
        <v>15</v>
      </c>
      <c r="H33" s="26" t="s">
        <v>16</v>
      </c>
    </row>
    <row r="34" spans="1:8">
      <c r="A34" s="6">
        <f>Sup.Generales!G19</f>
        <v>2</v>
      </c>
      <c r="B34" s="1" t="str">
        <f>B27</f>
        <v>Auxiliar de Enfermeria</v>
      </c>
      <c r="C34" s="27">
        <f>ROUNDUP(+C27*($C$41+1),-2)</f>
        <v>753300</v>
      </c>
      <c r="D34" s="27">
        <f>+C34*12*A34</f>
        <v>18079200</v>
      </c>
      <c r="E34" s="27">
        <f>ROUNDUP(+E27*($C$41+1),-2)</f>
        <v>0</v>
      </c>
      <c r="F34" s="55">
        <f>ROUNDDOWN(D34*$C$39,-2)</f>
        <v>7774000</v>
      </c>
      <c r="G34" s="27">
        <f>D34*$C$40</f>
        <v>1506600</v>
      </c>
      <c r="H34" s="28">
        <f>SUM(D34:G34)</f>
        <v>27359800</v>
      </c>
    </row>
    <row r="35" spans="1:8">
      <c r="A35" s="6">
        <f>Sup.Generales!G20</f>
        <v>3</v>
      </c>
      <c r="B35" s="1" t="str">
        <f>B28</f>
        <v>Asistentes</v>
      </c>
      <c r="C35" s="27">
        <f>ROUNDUP(+C28*($C$41+1),-2)</f>
        <v>656800</v>
      </c>
      <c r="D35" s="27">
        <f t="shared" ref="D35:D36" si="17">+C35*12*A35</f>
        <v>23644800</v>
      </c>
      <c r="E35" s="27">
        <f>ROUNDUP(+E28*($C$41+1),-2)</f>
        <v>942900</v>
      </c>
      <c r="F35" s="55">
        <f t="shared" ref="F35:F36" si="18">ROUNDDOWN(D35*$C$39,-2)</f>
        <v>10167200</v>
      </c>
      <c r="G35" s="27">
        <f>D35*$C$40</f>
        <v>1970400</v>
      </c>
      <c r="H35" s="28">
        <f t="shared" ref="H35:H36" si="19">SUM(D35:G35)</f>
        <v>36725300</v>
      </c>
    </row>
    <row r="36" spans="1:8">
      <c r="A36" s="6">
        <f>Sup.Generales!G21</f>
        <v>2</v>
      </c>
      <c r="B36" s="1" t="str">
        <f t="shared" ref="B36" si="20">B29</f>
        <v>Administrador</v>
      </c>
      <c r="C36" s="27">
        <f>ROUNDUP(+C29*($C$41+1),-2)</f>
        <v>1158800</v>
      </c>
      <c r="D36" s="27">
        <f t="shared" si="17"/>
        <v>27811200</v>
      </c>
      <c r="E36" s="27">
        <f>ROUNDUP(+E29*($C$41+1),-2)</f>
        <v>0</v>
      </c>
      <c r="F36" s="55">
        <f t="shared" si="18"/>
        <v>11958800</v>
      </c>
      <c r="G36" s="27">
        <f t="shared" ref="G36" si="21">D36*$C$40</f>
        <v>2317600</v>
      </c>
      <c r="H36" s="28">
        <f t="shared" si="19"/>
        <v>42087600</v>
      </c>
    </row>
    <row r="37" spans="1:8">
      <c r="A37" s="6"/>
      <c r="B37" s="25" t="s">
        <v>16</v>
      </c>
      <c r="C37" s="31">
        <f t="shared" ref="C37:H37" si="22">SUM(C34:C36)</f>
        <v>2568900</v>
      </c>
      <c r="D37" s="31">
        <f t="shared" si="22"/>
        <v>69535200</v>
      </c>
      <c r="E37" s="31">
        <f t="shared" si="22"/>
        <v>942900</v>
      </c>
      <c r="F37" s="31">
        <f t="shared" si="22"/>
        <v>29900000</v>
      </c>
      <c r="G37" s="31">
        <f t="shared" si="22"/>
        <v>5794600</v>
      </c>
      <c r="H37" s="34">
        <f t="shared" si="22"/>
        <v>106172700</v>
      </c>
    </row>
    <row r="38" spans="1:8">
      <c r="A38" s="6"/>
      <c r="B38" s="1"/>
      <c r="C38" s="1"/>
      <c r="D38" s="1"/>
      <c r="E38" s="1"/>
      <c r="F38" s="1"/>
      <c r="G38" s="1"/>
      <c r="H38" s="23"/>
    </row>
    <row r="39" spans="1:8">
      <c r="A39" s="24" t="s">
        <v>18</v>
      </c>
      <c r="B39" s="7"/>
      <c r="C39" s="7">
        <f>Sup.Generales!C28</f>
        <v>0.43</v>
      </c>
      <c r="D39" s="1"/>
      <c r="E39" s="1"/>
      <c r="F39" s="1"/>
      <c r="G39" s="1"/>
      <c r="H39" s="23"/>
    </row>
    <row r="40" spans="1:8">
      <c r="A40" s="24" t="s">
        <v>19</v>
      </c>
      <c r="B40" s="32"/>
      <c r="C40" s="32">
        <f>Sup.Generales!C29</f>
        <v>8.3333333333333329E-2</v>
      </c>
      <c r="D40" s="1"/>
      <c r="E40" s="1"/>
      <c r="F40" s="1"/>
      <c r="G40" s="1"/>
      <c r="H40" s="23"/>
    </row>
    <row r="41" spans="1:8">
      <c r="A41" s="24" t="s">
        <v>20</v>
      </c>
      <c r="B41" s="1"/>
      <c r="C41" s="32">
        <f>Sup.Generales!C30</f>
        <v>3.7499999999999999E-2</v>
      </c>
      <c r="D41" s="1"/>
      <c r="E41" s="1"/>
      <c r="F41" s="1"/>
      <c r="G41" s="1"/>
      <c r="H41" s="23"/>
    </row>
    <row r="42" spans="1:8" ht="15.75" thickBot="1">
      <c r="A42" s="8"/>
      <c r="B42" s="9"/>
      <c r="C42" s="9"/>
      <c r="D42" s="9"/>
      <c r="E42" s="9"/>
      <c r="F42" s="9"/>
      <c r="G42" s="9"/>
      <c r="H42" s="33"/>
    </row>
    <row r="43" spans="1:8" ht="15.75" thickBot="1"/>
    <row r="44" spans="1:8" ht="15.75" thickBot="1">
      <c r="A44" s="431" t="s">
        <v>157</v>
      </c>
      <c r="B44" s="432"/>
      <c r="C44" s="432"/>
      <c r="D44" s="432"/>
      <c r="E44" s="432"/>
      <c r="F44" s="432"/>
      <c r="G44" s="432"/>
      <c r="H44" s="433"/>
    </row>
    <row r="45" spans="1:8">
      <c r="A45" s="201"/>
      <c r="B45" s="202"/>
      <c r="C45" s="358" t="s">
        <v>0</v>
      </c>
      <c r="D45" s="358" t="s">
        <v>5</v>
      </c>
      <c r="E45" s="358" t="s">
        <v>7</v>
      </c>
      <c r="F45" s="358" t="s">
        <v>8</v>
      </c>
      <c r="G45" s="358" t="s">
        <v>9</v>
      </c>
      <c r="H45" s="359"/>
    </row>
    <row r="46" spans="1:8">
      <c r="A46" s="69" t="s">
        <v>162</v>
      </c>
      <c r="B46" s="1"/>
      <c r="C46" s="1"/>
      <c r="D46" s="1"/>
      <c r="E46" s="1"/>
      <c r="F46" s="1"/>
      <c r="G46" s="1"/>
      <c r="H46" s="23"/>
    </row>
    <row r="47" spans="1:8">
      <c r="A47" s="6" t="s">
        <v>125</v>
      </c>
      <c r="B47" s="1"/>
      <c r="C47" s="125">
        <f>+Pre.Ventas!C7</f>
        <v>9</v>
      </c>
      <c r="D47" s="355">
        <f>+Pre.Ventas!H7</f>
        <v>10</v>
      </c>
      <c r="E47" s="355">
        <f>+Pre.Ventas!N7</f>
        <v>11</v>
      </c>
      <c r="F47" s="355">
        <f>+Pre.Ventas!T7</f>
        <v>13</v>
      </c>
      <c r="G47" s="355">
        <f>+Pre.Ventas!Z7</f>
        <v>15</v>
      </c>
      <c r="H47" s="23"/>
    </row>
    <row r="48" spans="1:8">
      <c r="A48" s="191" t="s">
        <v>126</v>
      </c>
      <c r="B48" s="1"/>
      <c r="C48" s="125">
        <f>+Pre.Ventas!C8</f>
        <v>7</v>
      </c>
      <c r="D48" s="355">
        <f>+Pre.Ventas!H8</f>
        <v>8</v>
      </c>
      <c r="E48" s="355">
        <f>+Pre.Ventas!N8</f>
        <v>9</v>
      </c>
      <c r="F48" s="355">
        <f>+Pre.Ventas!T8</f>
        <v>10</v>
      </c>
      <c r="G48" s="355">
        <f>+Pre.Ventas!Z8</f>
        <v>11</v>
      </c>
      <c r="H48" s="23"/>
    </row>
    <row r="49" spans="1:8" ht="15.75" thickBot="1">
      <c r="A49" s="192" t="s">
        <v>127</v>
      </c>
      <c r="B49" s="9"/>
      <c r="C49" s="130">
        <f>+Pre.Ventas!C9</f>
        <v>5</v>
      </c>
      <c r="D49" s="360">
        <f>+Pre.Ventas!H9</f>
        <v>6</v>
      </c>
      <c r="E49" s="360">
        <f>+Pre.Ventas!N9</f>
        <v>7</v>
      </c>
      <c r="F49" s="360">
        <f>+Pre.Ventas!T9</f>
        <v>8</v>
      </c>
      <c r="G49" s="360">
        <f>+Pre.Ventas!Z9</f>
        <v>9</v>
      </c>
      <c r="H49" s="33"/>
    </row>
    <row r="50" spans="1:8" ht="15.75" thickBot="1"/>
    <row r="51" spans="1:8" ht="15.75" thickBot="1">
      <c r="A51" s="431" t="s">
        <v>163</v>
      </c>
      <c r="B51" s="432"/>
      <c r="C51" s="432"/>
      <c r="D51" s="432"/>
      <c r="E51" s="432"/>
      <c r="F51" s="432"/>
      <c r="G51" s="432"/>
      <c r="H51" s="433"/>
    </row>
    <row r="52" spans="1:8">
      <c r="A52" s="177"/>
      <c r="B52" s="202"/>
      <c r="C52" s="358" t="s">
        <v>125</v>
      </c>
      <c r="D52" s="358" t="s">
        <v>126</v>
      </c>
      <c r="E52" s="358" t="s">
        <v>127</v>
      </c>
      <c r="F52" s="202"/>
      <c r="G52" s="202"/>
      <c r="H52" s="359"/>
    </row>
    <row r="53" spans="1:8">
      <c r="A53" s="6" t="s">
        <v>137</v>
      </c>
      <c r="B53" s="1"/>
      <c r="C53" s="125">
        <f>+Sup.Generales!C40</f>
        <v>0</v>
      </c>
      <c r="D53" s="125">
        <f>+Sup.Generales!D40</f>
        <v>0</v>
      </c>
      <c r="E53" s="125">
        <f>+Sup.Generales!E40</f>
        <v>1</v>
      </c>
      <c r="F53" s="1"/>
      <c r="G53" s="1"/>
      <c r="H53" s="23"/>
    </row>
    <row r="54" spans="1:8">
      <c r="A54" s="6" t="s">
        <v>164</v>
      </c>
      <c r="B54" s="1"/>
      <c r="C54" s="125">
        <f>+Sup.Generales!C41</f>
        <v>0</v>
      </c>
      <c r="D54" s="125">
        <f>+Sup.Generales!D41</f>
        <v>1</v>
      </c>
      <c r="E54" s="125">
        <f>+Sup.Generales!E41</f>
        <v>1</v>
      </c>
      <c r="F54" s="1"/>
      <c r="G54" s="1"/>
      <c r="H54" s="23"/>
    </row>
    <row r="55" spans="1:8">
      <c r="A55" s="6" t="s">
        <v>139</v>
      </c>
      <c r="B55" s="1"/>
      <c r="C55" s="125">
        <f>+Sup.Generales!C42</f>
        <v>1</v>
      </c>
      <c r="D55" s="125">
        <f>+Sup.Generales!D42</f>
        <v>1</v>
      </c>
      <c r="E55" s="125">
        <f>+Sup.Generales!E42</f>
        <v>1</v>
      </c>
      <c r="F55" s="1"/>
      <c r="G55" s="125"/>
      <c r="H55" s="77"/>
    </row>
    <row r="56" spans="1:8" ht="15.75" thickBot="1">
      <c r="A56" s="8" t="s">
        <v>169</v>
      </c>
      <c r="B56" s="9"/>
      <c r="C56" s="130">
        <f>+Sup.Generales!C43</f>
        <v>1</v>
      </c>
      <c r="D56" s="130">
        <f>+Sup.Generales!D43</f>
        <v>1</v>
      </c>
      <c r="E56" s="130">
        <f>+Sup.Generales!E43</f>
        <v>1</v>
      </c>
      <c r="F56" s="9" t="s">
        <v>179</v>
      </c>
      <c r="G56" s="130"/>
      <c r="H56" s="33"/>
    </row>
    <row r="57" spans="1:8" ht="15.75" thickBot="1"/>
    <row r="58" spans="1:8" ht="15.75" thickBot="1">
      <c r="A58" s="431" t="s">
        <v>165</v>
      </c>
      <c r="B58" s="432"/>
      <c r="C58" s="432"/>
      <c r="D58" s="432"/>
      <c r="E58" s="432"/>
      <c r="F58" s="432"/>
      <c r="G58" s="432"/>
      <c r="H58" s="433"/>
    </row>
    <row r="59" spans="1:8">
      <c r="A59" s="177"/>
      <c r="B59" s="178"/>
      <c r="C59" s="179" t="s">
        <v>178</v>
      </c>
      <c r="D59" s="358" t="s">
        <v>0</v>
      </c>
      <c r="E59" s="358" t="s">
        <v>5</v>
      </c>
      <c r="F59" s="358" t="s">
        <v>7</v>
      </c>
      <c r="G59" s="358" t="s">
        <v>8</v>
      </c>
      <c r="H59" s="361" t="s">
        <v>9</v>
      </c>
    </row>
    <row r="60" spans="1:8">
      <c r="A60" s="6" t="s">
        <v>137</v>
      </c>
      <c r="B60" s="1"/>
      <c r="C60" s="125">
        <f>+Sup.Generales!C47</f>
        <v>72000</v>
      </c>
      <c r="D60" s="125">
        <f>+C60*12</f>
        <v>864000</v>
      </c>
      <c r="E60" s="355">
        <f t="shared" ref="E60:H63" si="23">ROUNDDOWN(D60*(1+$D$65),-2)</f>
        <v>896400</v>
      </c>
      <c r="F60" s="355">
        <f t="shared" si="23"/>
        <v>930000</v>
      </c>
      <c r="G60" s="355">
        <f t="shared" si="23"/>
        <v>964800</v>
      </c>
      <c r="H60" s="362">
        <f t="shared" si="23"/>
        <v>1000900</v>
      </c>
    </row>
    <row r="61" spans="1:8">
      <c r="A61" s="6" t="s">
        <v>138</v>
      </c>
      <c r="B61" s="1"/>
      <c r="C61" s="125">
        <f>+Sup.Generales!C48</f>
        <v>40000</v>
      </c>
      <c r="D61" s="125">
        <f t="shared" ref="D61:D63" si="24">+C61*12</f>
        <v>480000</v>
      </c>
      <c r="E61" s="355">
        <f t="shared" si="23"/>
        <v>498000</v>
      </c>
      <c r="F61" s="355">
        <f t="shared" si="23"/>
        <v>516600</v>
      </c>
      <c r="G61" s="355">
        <f t="shared" si="23"/>
        <v>535900</v>
      </c>
      <c r="H61" s="362">
        <f t="shared" si="23"/>
        <v>555900</v>
      </c>
    </row>
    <row r="62" spans="1:8">
      <c r="A62" s="6" t="s">
        <v>139</v>
      </c>
      <c r="B62" s="1"/>
      <c r="C62" s="125">
        <f>+Sup.Generales!C49</f>
        <v>15000</v>
      </c>
      <c r="D62" s="125">
        <f t="shared" si="24"/>
        <v>180000</v>
      </c>
      <c r="E62" s="355">
        <f t="shared" si="23"/>
        <v>186700</v>
      </c>
      <c r="F62" s="355">
        <f t="shared" si="23"/>
        <v>193700</v>
      </c>
      <c r="G62" s="355">
        <f t="shared" si="23"/>
        <v>200900</v>
      </c>
      <c r="H62" s="362">
        <f t="shared" si="23"/>
        <v>208400</v>
      </c>
    </row>
    <row r="63" spans="1:8" ht="15.75" thickBot="1">
      <c r="A63" s="8" t="s">
        <v>170</v>
      </c>
      <c r="B63" s="9"/>
      <c r="C63" s="130">
        <f>+Sup.Generales!C50</f>
        <v>38000</v>
      </c>
      <c r="D63" s="130">
        <f t="shared" si="24"/>
        <v>456000</v>
      </c>
      <c r="E63" s="360">
        <f t="shared" si="23"/>
        <v>473100</v>
      </c>
      <c r="F63" s="360">
        <f t="shared" si="23"/>
        <v>490800</v>
      </c>
      <c r="G63" s="360">
        <f t="shared" si="23"/>
        <v>509200</v>
      </c>
      <c r="H63" s="363">
        <f t="shared" si="23"/>
        <v>528200</v>
      </c>
    </row>
    <row r="64" spans="1:8" ht="15.75" thickBot="1"/>
    <row r="65" spans="1:12" ht="15.75" thickBot="1">
      <c r="A65" s="367" t="s">
        <v>166</v>
      </c>
      <c r="B65" s="368"/>
      <c r="C65" s="368"/>
      <c r="D65" s="369">
        <f>+Sup.Generales!C52</f>
        <v>3.7499999999999999E-2</v>
      </c>
      <c r="E65" s="368"/>
      <c r="F65" s="368"/>
      <c r="G65" s="368"/>
      <c r="H65" s="370"/>
    </row>
    <row r="66" spans="1:12" ht="15.75" thickBot="1"/>
    <row r="67" spans="1:12" ht="15.75" thickBot="1">
      <c r="A67" s="431" t="s">
        <v>167</v>
      </c>
      <c r="B67" s="432"/>
      <c r="C67" s="432"/>
      <c r="D67" s="432"/>
      <c r="E67" s="432"/>
      <c r="F67" s="432"/>
      <c r="G67" s="432"/>
      <c r="H67" s="433"/>
    </row>
    <row r="68" spans="1:12">
      <c r="A68" s="6"/>
      <c r="B68" s="178"/>
      <c r="C68" s="358" t="s">
        <v>0</v>
      </c>
      <c r="D68" s="358" t="s">
        <v>5</v>
      </c>
      <c r="E68" s="358" t="s">
        <v>7</v>
      </c>
      <c r="F68" s="358" t="s">
        <v>8</v>
      </c>
      <c r="G68" s="358" t="s">
        <v>9</v>
      </c>
      <c r="H68" s="196"/>
    </row>
    <row r="69" spans="1:12">
      <c r="A69" s="6" t="s">
        <v>125</v>
      </c>
      <c r="B69" s="1"/>
      <c r="C69" s="364">
        <f>(IF($C$53=1,D$60,0)*C47)+(IF($C$54=1,D$61,0)*C47)+(IF($C$55=1,D$62,0)*C47)+(IF($C$56=1,D$63,0)*C47)</f>
        <v>5724000</v>
      </c>
      <c r="D69" s="364">
        <f t="shared" ref="D69:G69" si="25">(IF($C$53=1,E$60,0)*D47)+(IF($C$54=1,E$61,0)*D47)+(IF($C$55=1,E$62,0)*D47)+(IF($C$56=1,E$63,0)*D47)</f>
        <v>6598000</v>
      </c>
      <c r="E69" s="364">
        <f t="shared" si="25"/>
        <v>7529500</v>
      </c>
      <c r="F69" s="364">
        <f t="shared" si="25"/>
        <v>9231300</v>
      </c>
      <c r="G69" s="364">
        <f t="shared" si="25"/>
        <v>11049000</v>
      </c>
      <c r="H69" s="23"/>
    </row>
    <row r="70" spans="1:12">
      <c r="A70" s="6" t="s">
        <v>126</v>
      </c>
      <c r="B70" s="1"/>
      <c r="C70" s="364">
        <f>(IF($D$53=1,D$60,0)*C48)+(IF($D$54=1,D$61,0)*C48)+(IF($D$55=1,D$62,0)*C48)+(IF($D$56=1,D$63,0)*C48)</f>
        <v>7812000</v>
      </c>
      <c r="D70" s="364">
        <f t="shared" ref="D70:G70" si="26">(IF($D$53=1,E$60,0)*D48)+(IF($D$54=1,E$61,0)*D48)+(IF($D$55=1,E$62,0)*D48)+(IF($D$56=1,E$63,0)*D48)</f>
        <v>9262400</v>
      </c>
      <c r="E70" s="364">
        <f t="shared" si="26"/>
        <v>10809900</v>
      </c>
      <c r="F70" s="364">
        <f t="shared" si="26"/>
        <v>12460000</v>
      </c>
      <c r="G70" s="364">
        <f t="shared" si="26"/>
        <v>14217500</v>
      </c>
      <c r="H70" s="23"/>
    </row>
    <row r="71" spans="1:12">
      <c r="A71" s="6" t="s">
        <v>127</v>
      </c>
      <c r="B71" s="1"/>
      <c r="C71" s="364">
        <f>(IF($E$53=1,D$60,0)*C49)+(IF($E$54=1,D$61,0)*C49)+(IF($E$55=1,D$62,0)*C49)+(IF($E$56=1,D63,0))</f>
        <v>8076000</v>
      </c>
      <c r="D71" s="364">
        <f>(IF($E$53=1,E$60,0)*D49)+(IF($E$54=1,E$61,0)*D49)+(IF($E$55=1,E$62,0)*D49)+(IF($E$56=1,E63,0))</f>
        <v>9959700</v>
      </c>
      <c r="E71" s="364">
        <f>(IF($E$53=1,F$60,0)*E49)+(IF($E$54=1,F$61,0)*E49)+(IF($E$55=1,F$62,0)*E49)+(IF($E$56=1,F63,0))</f>
        <v>11972900</v>
      </c>
      <c r="F71" s="364">
        <f>(IF($E$53=1,G$60,0)*F49)+(IF($E$54=1,G$61,0)*F49)+(IF($E$55=1,G$62,0)*F49)+(IF($E$56=1,G63,0))</f>
        <v>14122000</v>
      </c>
      <c r="G71" s="364">
        <f>(IF($E$53=1,H$60,0)*G49)+(IF($E$54=1,H$61,0)*G49)+(IF($E$55=1,H$62,0)*G49)+(IF($E$56=1,H63,0))</f>
        <v>16415000</v>
      </c>
      <c r="H71" s="23"/>
    </row>
    <row r="72" spans="1:12">
      <c r="A72" s="6"/>
      <c r="B72" s="1"/>
      <c r="C72" s="365"/>
      <c r="D72" s="365"/>
      <c r="E72" s="365"/>
      <c r="F72" s="365"/>
      <c r="G72" s="365"/>
      <c r="H72" s="23"/>
    </row>
    <row r="73" spans="1:12" ht="15.75" thickBot="1">
      <c r="A73" s="8" t="s">
        <v>16</v>
      </c>
      <c r="B73" s="9"/>
      <c r="C73" s="366">
        <f>SUM(C69:C72)</f>
        <v>21612000</v>
      </c>
      <c r="D73" s="366">
        <f t="shared" ref="D73:G73" si="27">SUM(D69:D72)</f>
        <v>25820100</v>
      </c>
      <c r="E73" s="366">
        <f t="shared" si="27"/>
        <v>30312300</v>
      </c>
      <c r="F73" s="366">
        <f t="shared" si="27"/>
        <v>35813300</v>
      </c>
      <c r="G73" s="366">
        <f t="shared" si="27"/>
        <v>41681500</v>
      </c>
      <c r="H73" s="33"/>
    </row>
    <row r="75" spans="1:12" ht="15.75" thickBot="1"/>
    <row r="76" spans="1:12" ht="15.75" thickBot="1">
      <c r="A76" s="431" t="s">
        <v>155</v>
      </c>
      <c r="B76" s="432"/>
      <c r="C76" s="432"/>
      <c r="D76" s="432"/>
      <c r="E76" s="432"/>
      <c r="F76" s="432"/>
      <c r="G76" s="432"/>
      <c r="H76" s="433"/>
    </row>
    <row r="77" spans="1:12">
      <c r="A77" s="65"/>
      <c r="B77" s="10"/>
      <c r="C77" s="10"/>
      <c r="D77" s="10"/>
      <c r="E77" s="10"/>
      <c r="F77" s="10"/>
      <c r="G77" s="10"/>
      <c r="H77" s="66"/>
    </row>
    <row r="78" spans="1:12">
      <c r="A78" s="177"/>
      <c r="B78" s="178"/>
      <c r="C78" s="358" t="s">
        <v>24</v>
      </c>
      <c r="D78" s="358" t="s">
        <v>0</v>
      </c>
      <c r="E78" s="358" t="s">
        <v>5</v>
      </c>
      <c r="F78" s="358" t="s">
        <v>7</v>
      </c>
      <c r="G78" s="358" t="s">
        <v>8</v>
      </c>
      <c r="H78" s="361" t="s">
        <v>9</v>
      </c>
      <c r="L78" s="16"/>
    </row>
    <row r="79" spans="1:12">
      <c r="A79" s="65"/>
      <c r="B79" s="10"/>
      <c r="C79" s="82"/>
      <c r="D79" s="82"/>
      <c r="E79" s="82"/>
      <c r="F79" s="82"/>
      <c r="G79" s="82"/>
      <c r="H79" s="83"/>
      <c r="L79" s="16"/>
    </row>
    <row r="80" spans="1:12">
      <c r="A80" s="65" t="s">
        <v>168</v>
      </c>
      <c r="B80" s="10"/>
      <c r="C80" s="82"/>
      <c r="D80" s="56">
        <f>+C73</f>
        <v>21612000</v>
      </c>
      <c r="E80" s="56">
        <f t="shared" ref="E80:H80" si="28">+D73</f>
        <v>25820100</v>
      </c>
      <c r="F80" s="56">
        <f t="shared" si="28"/>
        <v>30312300</v>
      </c>
      <c r="G80" s="56">
        <f t="shared" si="28"/>
        <v>35813300</v>
      </c>
      <c r="H80" s="67">
        <f t="shared" si="28"/>
        <v>41681500</v>
      </c>
      <c r="L80" s="16"/>
    </row>
    <row r="81" spans="1:12">
      <c r="A81" s="65" t="s">
        <v>144</v>
      </c>
      <c r="B81" s="10"/>
      <c r="C81" s="56">
        <f>D81/12</f>
        <v>4667666.666666667</v>
      </c>
      <c r="D81" s="56">
        <f>+H9-G9</f>
        <v>56012000</v>
      </c>
      <c r="E81" s="56">
        <f>+H16-G16</f>
        <v>58113900</v>
      </c>
      <c r="F81" s="56">
        <f>+H23-G23</f>
        <v>70766700</v>
      </c>
      <c r="G81" s="56">
        <f>+H30-G30</f>
        <v>84285700</v>
      </c>
      <c r="H81" s="67">
        <f>+H37-G37</f>
        <v>100378100</v>
      </c>
      <c r="L81" s="16"/>
    </row>
    <row r="82" spans="1:12">
      <c r="A82" s="65" t="s">
        <v>15</v>
      </c>
      <c r="B82" s="10"/>
      <c r="C82" s="56">
        <f>D82/12</f>
        <v>268058.33333333331</v>
      </c>
      <c r="D82" s="56">
        <f>+G9</f>
        <v>3216700</v>
      </c>
      <c r="E82" s="56">
        <f>+G16</f>
        <v>3337400</v>
      </c>
      <c r="F82" s="56">
        <f>+G23</f>
        <v>4072900</v>
      </c>
      <c r="G82" s="56">
        <f>+G30</f>
        <v>4858800</v>
      </c>
      <c r="H82" s="67">
        <f>+G37</f>
        <v>5794600</v>
      </c>
      <c r="L82" s="16"/>
    </row>
    <row r="83" spans="1:12">
      <c r="A83" s="65" t="s">
        <v>145</v>
      </c>
      <c r="B83" s="10"/>
      <c r="C83" s="55">
        <f>+Sup.Generales!C56</f>
        <v>380000</v>
      </c>
      <c r="D83" s="55">
        <f>+C83*12</f>
        <v>4560000</v>
      </c>
      <c r="E83" s="55">
        <f>+D83*(1+$C$96)</f>
        <v>4731000</v>
      </c>
      <c r="F83" s="55">
        <f>+E83*(1+$C$96)</f>
        <v>4908412.5</v>
      </c>
      <c r="G83" s="55">
        <f>+F83*(1+$C$96)</f>
        <v>5092477.96875</v>
      </c>
      <c r="H83" s="68">
        <f>+G83*(1+$C$96)</f>
        <v>5283445.892578125</v>
      </c>
      <c r="L83" s="16"/>
    </row>
    <row r="84" spans="1:12">
      <c r="A84" s="65" t="s">
        <v>23</v>
      </c>
      <c r="B84" s="10"/>
      <c r="C84" s="55"/>
      <c r="D84" s="55">
        <f>+((Sup.Generales!C71+Sup.Generales!C86)/10)+(Sup.Generales!C82/5)</f>
        <v>836400</v>
      </c>
      <c r="E84" s="55">
        <f>+D84</f>
        <v>836400</v>
      </c>
      <c r="F84" s="55">
        <f t="shared" ref="F84:H84" si="29">+E84</f>
        <v>836400</v>
      </c>
      <c r="G84" s="55">
        <f t="shared" si="29"/>
        <v>836400</v>
      </c>
      <c r="H84" s="68">
        <f t="shared" si="29"/>
        <v>836400</v>
      </c>
    </row>
    <row r="85" spans="1:12">
      <c r="A85" s="65" t="s">
        <v>142</v>
      </c>
      <c r="B85" s="10"/>
      <c r="C85" s="55">
        <f>+Sup.Generales!C57</f>
        <v>90000</v>
      </c>
      <c r="D85" s="55">
        <f>+C85*12</f>
        <v>1080000</v>
      </c>
      <c r="E85" s="55">
        <f t="shared" ref="E85:H88" si="30">+D85*(1+$C$96)</f>
        <v>1120500</v>
      </c>
      <c r="F85" s="55">
        <f t="shared" si="30"/>
        <v>1162518.75</v>
      </c>
      <c r="G85" s="55">
        <f t="shared" si="30"/>
        <v>1206113.203125</v>
      </c>
      <c r="H85" s="68">
        <f t="shared" si="30"/>
        <v>1251342.4482421875</v>
      </c>
      <c r="K85" s="16"/>
      <c r="L85" s="16"/>
    </row>
    <row r="86" spans="1:12">
      <c r="A86" s="65" t="s">
        <v>25</v>
      </c>
      <c r="B86" s="10"/>
      <c r="C86" s="55">
        <f>+Sup.Generales!C58</f>
        <v>30000</v>
      </c>
      <c r="D86" s="55">
        <f>+C86*12</f>
        <v>360000</v>
      </c>
      <c r="E86" s="55">
        <f t="shared" si="30"/>
        <v>373500.00000000006</v>
      </c>
      <c r="F86" s="55">
        <f t="shared" si="30"/>
        <v>387506.25000000012</v>
      </c>
      <c r="G86" s="55">
        <f t="shared" si="30"/>
        <v>402037.73437500017</v>
      </c>
      <c r="H86" s="68">
        <f t="shared" si="30"/>
        <v>417114.14941406273</v>
      </c>
      <c r="L86" s="16"/>
    </row>
    <row r="87" spans="1:12">
      <c r="A87" s="65" t="s">
        <v>143</v>
      </c>
      <c r="B87" s="10"/>
      <c r="C87" s="55">
        <f>+Sup.Generales!C59</f>
        <v>100000</v>
      </c>
      <c r="D87" s="55">
        <f>+C87*12</f>
        <v>1200000</v>
      </c>
      <c r="E87" s="55">
        <f t="shared" si="30"/>
        <v>1245000</v>
      </c>
      <c r="F87" s="55">
        <f t="shared" si="30"/>
        <v>1291687.5</v>
      </c>
      <c r="G87" s="55">
        <f t="shared" si="30"/>
        <v>1340125.78125</v>
      </c>
      <c r="H87" s="68">
        <f t="shared" si="30"/>
        <v>1390380.4980468752</v>
      </c>
    </row>
    <row r="88" spans="1:12">
      <c r="A88" s="65" t="s">
        <v>156</v>
      </c>
      <c r="B88" s="10"/>
      <c r="C88" s="55">
        <f>+Sup.Generales!C60</f>
        <v>252000</v>
      </c>
      <c r="D88" s="55">
        <f>+C88*12</f>
        <v>3024000</v>
      </c>
      <c r="E88" s="55">
        <f t="shared" si="30"/>
        <v>3137400.0000000005</v>
      </c>
      <c r="F88" s="55">
        <f t="shared" si="30"/>
        <v>3255052.5000000009</v>
      </c>
      <c r="G88" s="55">
        <f t="shared" si="30"/>
        <v>3377116.9687500014</v>
      </c>
      <c r="H88" s="68">
        <f t="shared" si="30"/>
        <v>3503758.8550781268</v>
      </c>
    </row>
    <row r="89" spans="1:12">
      <c r="A89" s="65" t="s">
        <v>27</v>
      </c>
      <c r="B89" s="10"/>
      <c r="C89" s="55"/>
      <c r="D89" s="55">
        <f>Sup.Generales!C88/5</f>
        <v>743000</v>
      </c>
      <c r="E89" s="55">
        <f>D89</f>
        <v>743000</v>
      </c>
      <c r="F89" s="55">
        <f t="shared" ref="F89:H89" si="31">+E89</f>
        <v>743000</v>
      </c>
      <c r="G89" s="55">
        <f t="shared" si="31"/>
        <v>743000</v>
      </c>
      <c r="H89" s="68">
        <f t="shared" si="31"/>
        <v>743000</v>
      </c>
      <c r="K89" s="16"/>
    </row>
    <row r="90" spans="1:12">
      <c r="A90" s="65" t="s">
        <v>130</v>
      </c>
      <c r="B90" s="10"/>
      <c r="C90" s="55">
        <f>+Sup.Generales!C61</f>
        <v>300000</v>
      </c>
      <c r="D90" s="55">
        <f>C90*12</f>
        <v>3600000</v>
      </c>
      <c r="E90" s="55">
        <f t="shared" ref="E90:H93" si="32">+D90*(1+$C$96)</f>
        <v>3735000.0000000005</v>
      </c>
      <c r="F90" s="55">
        <f t="shared" si="32"/>
        <v>3875062.5000000009</v>
      </c>
      <c r="G90" s="55">
        <f t="shared" si="32"/>
        <v>4020377.3437500014</v>
      </c>
      <c r="H90" s="68">
        <f t="shared" si="32"/>
        <v>4171141.4941406269</v>
      </c>
      <c r="J90" s="64"/>
      <c r="K90" s="16"/>
    </row>
    <row r="91" spans="1:12">
      <c r="A91" s="65" t="s">
        <v>33</v>
      </c>
      <c r="B91" s="10"/>
      <c r="C91" s="55">
        <f>+Sup.Generales!C62</f>
        <v>70000</v>
      </c>
      <c r="D91" s="55">
        <f>C91*12</f>
        <v>840000</v>
      </c>
      <c r="E91" s="55">
        <f t="shared" si="32"/>
        <v>871500.00000000012</v>
      </c>
      <c r="F91" s="55">
        <f t="shared" si="32"/>
        <v>904181.25000000023</v>
      </c>
      <c r="G91" s="55">
        <f t="shared" si="32"/>
        <v>938088.04687500035</v>
      </c>
      <c r="H91" s="68">
        <f t="shared" si="32"/>
        <v>973266.34863281297</v>
      </c>
      <c r="K91" s="16"/>
    </row>
    <row r="92" spans="1:12">
      <c r="A92" s="65" t="s">
        <v>131</v>
      </c>
      <c r="B92" s="10"/>
      <c r="C92" s="55">
        <f>+Sup.Generales!C63</f>
        <v>1000000</v>
      </c>
      <c r="D92" s="55">
        <f>+C92*12</f>
        <v>12000000</v>
      </c>
      <c r="E92" s="55">
        <f t="shared" si="32"/>
        <v>12450000.000000002</v>
      </c>
      <c r="F92" s="55">
        <f t="shared" si="32"/>
        <v>12916875.000000004</v>
      </c>
      <c r="G92" s="55">
        <f t="shared" si="32"/>
        <v>13401257.812500006</v>
      </c>
      <c r="H92" s="68">
        <f t="shared" si="32"/>
        <v>13903804.980468757</v>
      </c>
      <c r="K92" s="16"/>
    </row>
    <row r="93" spans="1:12">
      <c r="A93" s="65" t="s">
        <v>22</v>
      </c>
      <c r="B93" s="10"/>
      <c r="C93" s="55">
        <f>+Sup.Generales!C64</f>
        <v>1120000</v>
      </c>
      <c r="D93" s="55">
        <f>C93*12</f>
        <v>13440000</v>
      </c>
      <c r="E93" s="55">
        <f t="shared" si="32"/>
        <v>13944000.000000002</v>
      </c>
      <c r="F93" s="55">
        <f t="shared" si="32"/>
        <v>14466900.000000004</v>
      </c>
      <c r="G93" s="55">
        <f t="shared" si="32"/>
        <v>15009408.750000006</v>
      </c>
      <c r="H93" s="68">
        <f t="shared" si="32"/>
        <v>15572261.578125007</v>
      </c>
    </row>
    <row r="94" spans="1:12">
      <c r="A94" s="69" t="s">
        <v>16</v>
      </c>
      <c r="B94" s="10"/>
      <c r="C94" s="10"/>
      <c r="D94" s="71">
        <f>SUM(D80:D93)</f>
        <v>122524100</v>
      </c>
      <c r="E94" s="71">
        <f t="shared" ref="E94:H94" si="33">SUM(E80:E93)</f>
        <v>130458700</v>
      </c>
      <c r="F94" s="71">
        <f t="shared" si="33"/>
        <v>149899496.25</v>
      </c>
      <c r="G94" s="71">
        <f t="shared" si="33"/>
        <v>171324203.609375</v>
      </c>
      <c r="H94" s="72">
        <f t="shared" si="33"/>
        <v>195900116.24472657</v>
      </c>
      <c r="K94" s="16"/>
    </row>
    <row r="95" spans="1:12" ht="15.75" thickBot="1">
      <c r="A95" s="6"/>
      <c r="B95" s="1"/>
      <c r="C95" s="1"/>
      <c r="D95" s="1"/>
      <c r="E95" s="1"/>
      <c r="F95" s="1"/>
      <c r="G95" s="1"/>
      <c r="H95" s="23"/>
      <c r="K95" s="16"/>
    </row>
    <row r="96" spans="1:12" ht="15.75" thickBot="1">
      <c r="A96" s="367" t="s">
        <v>26</v>
      </c>
      <c r="B96" s="368"/>
      <c r="C96" s="369">
        <f>Sup.Generales!C66</f>
        <v>3.7499999999999999E-2</v>
      </c>
      <c r="D96" s="368"/>
      <c r="E96" s="368"/>
      <c r="F96" s="368"/>
      <c r="G96" s="368"/>
      <c r="H96" s="370"/>
      <c r="K96" s="16"/>
    </row>
    <row r="97" spans="4:11">
      <c r="K97" s="20"/>
    </row>
    <row r="98" spans="4:11">
      <c r="K98" s="20"/>
    </row>
    <row r="101" spans="4:11">
      <c r="D101" s="12"/>
      <c r="E101" s="12"/>
    </row>
    <row r="102" spans="4:11">
      <c r="D102" s="20"/>
      <c r="F102" s="16"/>
      <c r="G102" s="16"/>
      <c r="H102" s="16"/>
    </row>
    <row r="103" spans="4:11">
      <c r="F103" s="16"/>
      <c r="G103" s="16"/>
      <c r="H103" s="16"/>
    </row>
    <row r="104" spans="4:11">
      <c r="F104" s="16"/>
      <c r="G104" s="16"/>
      <c r="H104" s="16"/>
    </row>
    <row r="105" spans="4:11">
      <c r="F105" s="16"/>
      <c r="G105" s="16"/>
      <c r="H105" s="16"/>
    </row>
    <row r="106" spans="4:11">
      <c r="F106" s="16"/>
      <c r="G106" s="16"/>
      <c r="H106" s="16"/>
    </row>
    <row r="107" spans="4:11">
      <c r="F107" s="16"/>
      <c r="G107" s="16"/>
      <c r="H107" s="16"/>
    </row>
    <row r="108" spans="4:11">
      <c r="F108" s="16"/>
      <c r="G108" s="16"/>
      <c r="H108" s="16"/>
    </row>
    <row r="109" spans="4:11">
      <c r="F109" s="16"/>
      <c r="G109" s="16"/>
      <c r="H109" s="16"/>
    </row>
    <row r="110" spans="4:11">
      <c r="F110" s="16"/>
      <c r="G110" s="16"/>
      <c r="H110" s="16"/>
    </row>
    <row r="111" spans="4:11">
      <c r="G111" s="16"/>
      <c r="H111" s="16"/>
    </row>
    <row r="112" spans="4:11">
      <c r="F112" s="16"/>
      <c r="G112" s="16"/>
      <c r="H112" s="16"/>
    </row>
    <row r="113" spans="6:8">
      <c r="G113" s="16"/>
      <c r="H113" s="16"/>
    </row>
    <row r="114" spans="6:8">
      <c r="G114" s="16"/>
      <c r="H114" s="16"/>
    </row>
    <row r="115" spans="6:8">
      <c r="F115" s="16"/>
      <c r="G115" s="16"/>
      <c r="H115" s="16"/>
    </row>
    <row r="116" spans="6:8">
      <c r="F116" s="16"/>
      <c r="G116" s="16"/>
      <c r="H116" s="16"/>
    </row>
    <row r="117" spans="6:8">
      <c r="F117" s="16"/>
      <c r="G117" s="16"/>
      <c r="H117" s="16"/>
    </row>
    <row r="118" spans="6:8">
      <c r="F118" s="16"/>
      <c r="G118" s="16"/>
      <c r="H118" s="16"/>
    </row>
    <row r="119" spans="6:8">
      <c r="F119" s="16"/>
      <c r="G119" s="16"/>
      <c r="H119" s="16"/>
    </row>
    <row r="120" spans="6:8">
      <c r="F120" s="16"/>
      <c r="G120" s="16"/>
      <c r="H120" s="16"/>
    </row>
    <row r="121" spans="6:8">
      <c r="F121" s="16"/>
      <c r="G121" s="16"/>
      <c r="H121" s="16"/>
    </row>
    <row r="122" spans="6:8">
      <c r="F122" s="16"/>
      <c r="G122" s="16"/>
      <c r="H122" s="16"/>
    </row>
    <row r="123" spans="6:8">
      <c r="F123" s="16"/>
      <c r="G123" s="16"/>
      <c r="H123" s="16"/>
    </row>
    <row r="124" spans="6:8">
      <c r="F124" s="16"/>
      <c r="G124" s="16"/>
      <c r="H124" s="16"/>
    </row>
    <row r="125" spans="6:8">
      <c r="F125" s="16"/>
      <c r="G125" s="16"/>
      <c r="H125" s="16"/>
    </row>
    <row r="126" spans="6:8">
      <c r="F126" s="16"/>
      <c r="G126" s="16"/>
      <c r="H126" s="16"/>
    </row>
    <row r="127" spans="6:8">
      <c r="F127" s="16"/>
      <c r="G127" s="16"/>
      <c r="H127" s="16"/>
    </row>
    <row r="128" spans="6:8">
      <c r="F128" s="16"/>
      <c r="G128" s="16"/>
      <c r="H128" s="16"/>
    </row>
    <row r="129" spans="6:8">
      <c r="F129" s="16"/>
      <c r="G129" s="16"/>
      <c r="H129" s="16"/>
    </row>
    <row r="130" spans="6:8">
      <c r="F130" s="16"/>
      <c r="G130" s="16"/>
      <c r="H130" s="16"/>
    </row>
    <row r="131" spans="6:8">
      <c r="F131" s="16"/>
      <c r="G131" s="16"/>
      <c r="H131" s="16"/>
    </row>
    <row r="132" spans="6:8">
      <c r="F132" s="16"/>
      <c r="G132" s="16"/>
      <c r="H132" s="16"/>
    </row>
    <row r="133" spans="6:8">
      <c r="F133" s="16"/>
      <c r="G133" s="16"/>
      <c r="H133" s="16"/>
    </row>
    <row r="134" spans="6:8">
      <c r="F134" s="16"/>
      <c r="G134" s="16"/>
      <c r="H134" s="16"/>
    </row>
    <row r="135" spans="6:8">
      <c r="G135" s="16"/>
      <c r="H135" s="16"/>
    </row>
    <row r="136" spans="6:8">
      <c r="G136" s="16"/>
      <c r="H136" s="16"/>
    </row>
  </sheetData>
  <sheetProtection password="B3AF" sheet="1" objects="1" scenarios="1"/>
  <mergeCells count="11">
    <mergeCell ref="A32:H32"/>
    <mergeCell ref="A2:H2"/>
    <mergeCell ref="A76:H76"/>
    <mergeCell ref="A4:H4"/>
    <mergeCell ref="A11:H11"/>
    <mergeCell ref="A18:H18"/>
    <mergeCell ref="A25:H25"/>
    <mergeCell ref="A44:H44"/>
    <mergeCell ref="A51:H51"/>
    <mergeCell ref="A58:H58"/>
    <mergeCell ref="A67:H67"/>
  </mergeCells>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dimension ref="A2:H37"/>
  <sheetViews>
    <sheetView zoomScale="90" zoomScaleNormal="90" workbookViewId="0">
      <selection activeCell="J7" sqref="J7"/>
    </sheetView>
  </sheetViews>
  <sheetFormatPr baseColWidth="10" defaultColWidth="11.42578125" defaultRowHeight="15"/>
  <cols>
    <col min="4" max="4" width="16.7109375" bestFit="1" customWidth="1"/>
    <col min="5" max="5" width="15.7109375" bestFit="1" customWidth="1"/>
    <col min="6" max="8" width="16.7109375" bestFit="1" customWidth="1"/>
  </cols>
  <sheetData>
    <row r="2" spans="1:8">
      <c r="A2" s="434" t="s">
        <v>121</v>
      </c>
      <c r="B2" s="435"/>
      <c r="C2" s="436"/>
      <c r="D2" s="309" t="s">
        <v>0</v>
      </c>
      <c r="E2" s="309" t="s">
        <v>5</v>
      </c>
      <c r="F2" s="309" t="s">
        <v>7</v>
      </c>
      <c r="G2" s="309" t="s">
        <v>8</v>
      </c>
      <c r="H2" s="310" t="s">
        <v>9</v>
      </c>
    </row>
    <row r="3" spans="1:8">
      <c r="A3" s="216"/>
      <c r="B3" s="1"/>
      <c r="C3" s="217"/>
      <c r="D3" s="212"/>
      <c r="E3" s="212"/>
      <c r="F3" s="212"/>
      <c r="G3" s="212"/>
      <c r="H3" s="217"/>
    </row>
    <row r="4" spans="1:8">
      <c r="A4" s="331" t="s">
        <v>49</v>
      </c>
      <c r="B4" s="1"/>
      <c r="C4" s="217"/>
      <c r="D4" s="209">
        <f>+Pre.Ventas!E23+Pre.Ventas!E11</f>
        <v>121871000</v>
      </c>
      <c r="E4" s="209">
        <f>+Pre.Ventas!K11+Pre.Ventas!K23</f>
        <v>146505700</v>
      </c>
      <c r="F4" s="209">
        <f>+Pre.Ventas!Q23+Pre.Ventas!Q11</f>
        <v>173318300</v>
      </c>
      <c r="G4" s="209">
        <f>+Pre.Ventas!W11+Pre.Ventas!W23</f>
        <v>208512300</v>
      </c>
      <c r="H4" s="236">
        <f>+Pre.Ventas!AC23+Pre.Ventas!AC11</f>
        <v>247082100</v>
      </c>
    </row>
    <row r="5" spans="1:8">
      <c r="A5" s="216" t="s">
        <v>50</v>
      </c>
      <c r="B5" s="1"/>
      <c r="C5" s="217"/>
      <c r="D5" s="209"/>
      <c r="E5" s="209"/>
      <c r="F5" s="209"/>
      <c r="G5" s="209"/>
      <c r="H5" s="236"/>
    </row>
    <row r="6" spans="1:8">
      <c r="A6" s="331" t="s">
        <v>51</v>
      </c>
      <c r="B6" s="25"/>
      <c r="C6" s="335"/>
      <c r="D6" s="322">
        <f>D4-D5</f>
        <v>121871000</v>
      </c>
      <c r="E6" s="322">
        <f t="shared" ref="E6:H6" si="0">E4-E5</f>
        <v>146505700</v>
      </c>
      <c r="F6" s="322">
        <f t="shared" si="0"/>
        <v>173318300</v>
      </c>
      <c r="G6" s="322">
        <f t="shared" si="0"/>
        <v>208512300</v>
      </c>
      <c r="H6" s="323">
        <f t="shared" si="0"/>
        <v>247082100</v>
      </c>
    </row>
    <row r="7" spans="1:8">
      <c r="A7" s="216"/>
      <c r="B7" s="1"/>
      <c r="C7" s="217"/>
      <c r="D7" s="209"/>
      <c r="E7" s="209"/>
      <c r="F7" s="209"/>
      <c r="G7" s="209"/>
      <c r="H7" s="236"/>
    </row>
    <row r="8" spans="1:8">
      <c r="A8" s="332" t="str">
        <f>'Presupuesto Gastos'!A80</f>
        <v>Servicios en cada plan</v>
      </c>
      <c r="B8" s="1"/>
      <c r="C8" s="217"/>
      <c r="D8" s="209">
        <f>+'Presupuesto Gastos'!D80</f>
        <v>21612000</v>
      </c>
      <c r="E8" s="209">
        <f>+'Presupuesto Gastos'!E80</f>
        <v>25820100</v>
      </c>
      <c r="F8" s="209">
        <f>+'Presupuesto Gastos'!F80</f>
        <v>30312300</v>
      </c>
      <c r="G8" s="209">
        <f>+'Presupuesto Gastos'!G80</f>
        <v>35813300</v>
      </c>
      <c r="H8" s="236">
        <f>+'Presupuesto Gastos'!H80</f>
        <v>41681500</v>
      </c>
    </row>
    <row r="9" spans="1:8">
      <c r="A9" s="332" t="str">
        <f>'Presupuesto Gastos'!A81</f>
        <v>Nomina + Prestaciones</v>
      </c>
      <c r="B9" s="1"/>
      <c r="C9" s="217"/>
      <c r="D9" s="209">
        <f>+'Presupuesto Gastos'!D81</f>
        <v>56012000</v>
      </c>
      <c r="E9" s="209">
        <f>+'Presupuesto Gastos'!E81</f>
        <v>58113900</v>
      </c>
      <c r="F9" s="209">
        <f>+'Presupuesto Gastos'!F81</f>
        <v>70766700</v>
      </c>
      <c r="G9" s="209">
        <f>+'Presupuesto Gastos'!G81</f>
        <v>84285700</v>
      </c>
      <c r="H9" s="236">
        <f>+'Presupuesto Gastos'!H81</f>
        <v>100378100</v>
      </c>
    </row>
    <row r="10" spans="1:8">
      <c r="A10" s="332" t="str">
        <f>'Presupuesto Gastos'!A82</f>
        <v>Cesantias</v>
      </c>
      <c r="B10" s="1"/>
      <c r="C10" s="217"/>
      <c r="D10" s="209">
        <f>+'Presupuesto Gastos'!D82</f>
        <v>3216700</v>
      </c>
      <c r="E10" s="209">
        <f>+'Presupuesto Gastos'!E82</f>
        <v>3337400</v>
      </c>
      <c r="F10" s="209">
        <f>+'Presupuesto Gastos'!F82</f>
        <v>4072900</v>
      </c>
      <c r="G10" s="209">
        <f>+'Presupuesto Gastos'!G82</f>
        <v>4858800</v>
      </c>
      <c r="H10" s="236">
        <f>+'Presupuesto Gastos'!H82</f>
        <v>5794600</v>
      </c>
    </row>
    <row r="11" spans="1:8">
      <c r="A11" s="332" t="str">
        <f>'Presupuesto Gastos'!A83</f>
        <v>Contador (Prestacion de Servicios)</v>
      </c>
      <c r="B11" s="1"/>
      <c r="C11" s="217"/>
      <c r="D11" s="209">
        <f>+'Presupuesto Gastos'!D83</f>
        <v>4560000</v>
      </c>
      <c r="E11" s="209">
        <f>+'Presupuesto Gastos'!E83</f>
        <v>4731000</v>
      </c>
      <c r="F11" s="209">
        <f>+'Presupuesto Gastos'!F83</f>
        <v>4908412.5</v>
      </c>
      <c r="G11" s="209">
        <f>+'Presupuesto Gastos'!G83</f>
        <v>5092477.96875</v>
      </c>
      <c r="H11" s="236">
        <f>+'Presupuesto Gastos'!H83</f>
        <v>5283445.892578125</v>
      </c>
    </row>
    <row r="12" spans="1:8">
      <c r="A12" s="332" t="str">
        <f>'Presupuesto Gastos'!A84</f>
        <v>Depreciacion</v>
      </c>
      <c r="B12" s="1"/>
      <c r="C12" s="217"/>
      <c r="D12" s="209">
        <f>+'Presupuesto Gastos'!D84</f>
        <v>836400</v>
      </c>
      <c r="E12" s="209">
        <f>+'Presupuesto Gastos'!E84</f>
        <v>836400</v>
      </c>
      <c r="F12" s="209">
        <f>+'Presupuesto Gastos'!F84</f>
        <v>836400</v>
      </c>
      <c r="G12" s="209">
        <f>+'Presupuesto Gastos'!G84</f>
        <v>836400</v>
      </c>
      <c r="H12" s="236">
        <f>+'Presupuesto Gastos'!H84</f>
        <v>836400</v>
      </c>
    </row>
    <row r="13" spans="1:8">
      <c r="A13" s="332" t="str">
        <f>'Presupuesto Gastos'!A85</f>
        <v>Telefono + Internet + TV</v>
      </c>
      <c r="B13" s="1"/>
      <c r="C13" s="217"/>
      <c r="D13" s="209">
        <f>+'Presupuesto Gastos'!D85</f>
        <v>1080000</v>
      </c>
      <c r="E13" s="209">
        <f>+'Presupuesto Gastos'!E85</f>
        <v>1120500</v>
      </c>
      <c r="F13" s="209">
        <f>+'Presupuesto Gastos'!F85</f>
        <v>1162518.75</v>
      </c>
      <c r="G13" s="209">
        <f>+'Presupuesto Gastos'!G85</f>
        <v>1206113.203125</v>
      </c>
      <c r="H13" s="236">
        <f>+'Presupuesto Gastos'!H85</f>
        <v>1251342.4482421875</v>
      </c>
    </row>
    <row r="14" spans="1:8">
      <c r="A14" s="332" t="str">
        <f>'Presupuesto Gastos'!A86</f>
        <v>Papeleria</v>
      </c>
      <c r="B14" s="1"/>
      <c r="C14" s="217"/>
      <c r="D14" s="209">
        <f>+'Presupuesto Gastos'!D86</f>
        <v>360000</v>
      </c>
      <c r="E14" s="209">
        <f>+'Presupuesto Gastos'!E86</f>
        <v>373500.00000000006</v>
      </c>
      <c r="F14" s="209">
        <f>+'Presupuesto Gastos'!F86</f>
        <v>387506.25000000012</v>
      </c>
      <c r="G14" s="209">
        <f>+'Presupuesto Gastos'!G86</f>
        <v>402037.73437500017</v>
      </c>
      <c r="H14" s="236">
        <f>+'Presupuesto Gastos'!H86</f>
        <v>417114.14941406273</v>
      </c>
    </row>
    <row r="15" spans="1:8">
      <c r="A15" s="332" t="str">
        <f>'Presupuesto Gastos'!A87</f>
        <v>Aseo + Utileria</v>
      </c>
      <c r="B15" s="1"/>
      <c r="C15" s="217"/>
      <c r="D15" s="209">
        <f>+'Presupuesto Gastos'!D87</f>
        <v>1200000</v>
      </c>
      <c r="E15" s="209">
        <f>+'Presupuesto Gastos'!E87</f>
        <v>1245000</v>
      </c>
      <c r="F15" s="209">
        <f>+'Presupuesto Gastos'!F87</f>
        <v>1291687.5</v>
      </c>
      <c r="G15" s="209">
        <f>+'Presupuesto Gastos'!G87</f>
        <v>1340125.78125</v>
      </c>
      <c r="H15" s="236">
        <f>+'Presupuesto Gastos'!H87</f>
        <v>1390380.4980468752</v>
      </c>
    </row>
    <row r="16" spans="1:8">
      <c r="A16" s="332" t="str">
        <f>'Presupuesto Gastos'!A88</f>
        <v>Servicios Publicos (Luz + Agua + Gas)</v>
      </c>
      <c r="B16" s="1"/>
      <c r="C16" s="217"/>
      <c r="D16" s="209">
        <f>+'Presupuesto Gastos'!D88</f>
        <v>3024000</v>
      </c>
      <c r="E16" s="209">
        <f>+'Presupuesto Gastos'!E88</f>
        <v>3137400.0000000005</v>
      </c>
      <c r="F16" s="209">
        <f>+'Presupuesto Gastos'!F88</f>
        <v>3255052.5000000009</v>
      </c>
      <c r="G16" s="209">
        <f>+'Presupuesto Gastos'!G88</f>
        <v>3377116.9687500014</v>
      </c>
      <c r="H16" s="236">
        <f>+'Presupuesto Gastos'!H88</f>
        <v>3503758.8550781268</v>
      </c>
    </row>
    <row r="17" spans="1:8">
      <c r="A17" s="332" t="str">
        <f>'Presupuesto Gastos'!A89</f>
        <v>Amortizacion Diferidos</v>
      </c>
      <c r="B17" s="1"/>
      <c r="C17" s="217"/>
      <c r="D17" s="209">
        <f>+'Presupuesto Gastos'!D89</f>
        <v>743000</v>
      </c>
      <c r="E17" s="209">
        <f>+'Presupuesto Gastos'!E89</f>
        <v>743000</v>
      </c>
      <c r="F17" s="209">
        <f>+'Presupuesto Gastos'!F89</f>
        <v>743000</v>
      </c>
      <c r="G17" s="209">
        <f>+'Presupuesto Gastos'!G89</f>
        <v>743000</v>
      </c>
      <c r="H17" s="236">
        <f>+'Presupuesto Gastos'!H89</f>
        <v>743000</v>
      </c>
    </row>
    <row r="18" spans="1:8">
      <c r="A18" s="332" t="str">
        <f>'Presupuesto Gastos'!A90</f>
        <v>Publicidad</v>
      </c>
      <c r="B18" s="1"/>
      <c r="C18" s="217"/>
      <c r="D18" s="209">
        <f>+'Presupuesto Gastos'!D90</f>
        <v>3600000</v>
      </c>
      <c r="E18" s="209">
        <f>+'Presupuesto Gastos'!E90</f>
        <v>3735000.0000000005</v>
      </c>
      <c r="F18" s="209">
        <f>+'Presupuesto Gastos'!F90</f>
        <v>3875062.5000000009</v>
      </c>
      <c r="G18" s="209">
        <f>+'Presupuesto Gastos'!G90</f>
        <v>4020377.3437500014</v>
      </c>
      <c r="H18" s="236">
        <f>+'Presupuesto Gastos'!H90</f>
        <v>4171141.4941406269</v>
      </c>
    </row>
    <row r="19" spans="1:8">
      <c r="A19" s="332" t="str">
        <f>'Presupuesto Gastos'!A91</f>
        <v>Hosting</v>
      </c>
      <c r="B19" s="1"/>
      <c r="C19" s="217"/>
      <c r="D19" s="209">
        <f>+'Presupuesto Gastos'!D91</f>
        <v>840000</v>
      </c>
      <c r="E19" s="209">
        <f>+'Presupuesto Gastos'!E91</f>
        <v>871500.00000000012</v>
      </c>
      <c r="F19" s="209">
        <f>+'Presupuesto Gastos'!F91</f>
        <v>904181.25000000023</v>
      </c>
      <c r="G19" s="209">
        <f>+'Presupuesto Gastos'!G91</f>
        <v>938088.04687500035</v>
      </c>
      <c r="H19" s="236">
        <f>+'Presupuesto Gastos'!H91</f>
        <v>973266.34863281297</v>
      </c>
    </row>
    <row r="20" spans="1:8">
      <c r="A20" s="332" t="str">
        <f>'Presupuesto Gastos'!A92</f>
        <v>Transporte</v>
      </c>
      <c r="B20" s="1"/>
      <c r="C20" s="217"/>
      <c r="D20" s="209">
        <f>+'Presupuesto Gastos'!D92</f>
        <v>12000000</v>
      </c>
      <c r="E20" s="209">
        <f>+'Presupuesto Gastos'!E92</f>
        <v>12450000.000000002</v>
      </c>
      <c r="F20" s="209">
        <f>+'Presupuesto Gastos'!F92</f>
        <v>12916875.000000004</v>
      </c>
      <c r="G20" s="209">
        <f>+'Presupuesto Gastos'!G92</f>
        <v>13401257.812500006</v>
      </c>
      <c r="H20" s="236">
        <f>+'Presupuesto Gastos'!H92</f>
        <v>13903804.980468757</v>
      </c>
    </row>
    <row r="21" spans="1:8">
      <c r="A21" s="332" t="str">
        <f>'Presupuesto Gastos'!A93</f>
        <v>Arriendo</v>
      </c>
      <c r="B21" s="1"/>
      <c r="C21" s="217"/>
      <c r="D21" s="209">
        <f>+'Presupuesto Gastos'!D93</f>
        <v>13440000</v>
      </c>
      <c r="E21" s="209">
        <f>+'Presupuesto Gastos'!E93</f>
        <v>13944000.000000002</v>
      </c>
      <c r="F21" s="209">
        <f>+'Presupuesto Gastos'!F93</f>
        <v>14466900.000000004</v>
      </c>
      <c r="G21" s="209">
        <f>+'Presupuesto Gastos'!G93</f>
        <v>15009408.750000006</v>
      </c>
      <c r="H21" s="236">
        <f>+'Presupuesto Gastos'!H93</f>
        <v>15572261.578125007</v>
      </c>
    </row>
    <row r="22" spans="1:8">
      <c r="A22" s="332"/>
      <c r="B22" s="1"/>
      <c r="C22" s="217"/>
      <c r="D22" s="209"/>
      <c r="E22" s="209"/>
      <c r="F22" s="209"/>
      <c r="G22" s="209"/>
      <c r="H22" s="236"/>
    </row>
    <row r="23" spans="1:8">
      <c r="A23" s="331" t="s">
        <v>52</v>
      </c>
      <c r="B23" s="1"/>
      <c r="C23" s="217"/>
      <c r="D23" s="209">
        <f>SUM(D8:D21)</f>
        <v>122524100</v>
      </c>
      <c r="E23" s="209">
        <f t="shared" ref="E23:H23" si="1">SUM(E8:E21)</f>
        <v>130458700</v>
      </c>
      <c r="F23" s="209">
        <f t="shared" si="1"/>
        <v>149899496.25</v>
      </c>
      <c r="G23" s="209">
        <f t="shared" si="1"/>
        <v>171324203.609375</v>
      </c>
      <c r="H23" s="236">
        <f t="shared" si="1"/>
        <v>195900116.24472657</v>
      </c>
    </row>
    <row r="24" spans="1:8">
      <c r="A24" s="216"/>
      <c r="B24" s="1"/>
      <c r="C24" s="217"/>
      <c r="D24" s="209"/>
      <c r="E24" s="209"/>
      <c r="F24" s="209"/>
      <c r="G24" s="209"/>
      <c r="H24" s="236"/>
    </row>
    <row r="25" spans="1:8">
      <c r="A25" s="331" t="s">
        <v>53</v>
      </c>
      <c r="B25" s="25"/>
      <c r="C25" s="335"/>
      <c r="D25" s="322">
        <f>+D6-D23</f>
        <v>-653100</v>
      </c>
      <c r="E25" s="322">
        <f t="shared" ref="E25:H25" si="2">+E6-E23</f>
        <v>16047000</v>
      </c>
      <c r="F25" s="322">
        <f t="shared" si="2"/>
        <v>23418803.75</v>
      </c>
      <c r="G25" s="322">
        <f t="shared" si="2"/>
        <v>37188096.390625</v>
      </c>
      <c r="H25" s="323">
        <f t="shared" si="2"/>
        <v>51181983.755273432</v>
      </c>
    </row>
    <row r="26" spans="1:8">
      <c r="A26" s="216"/>
      <c r="B26" s="1"/>
      <c r="C26" s="217"/>
      <c r="D26" s="209"/>
      <c r="E26" s="209"/>
      <c r="F26" s="209"/>
      <c r="G26" s="209"/>
      <c r="H26" s="236"/>
    </row>
    <row r="27" spans="1:8">
      <c r="A27" s="216" t="s">
        <v>54</v>
      </c>
      <c r="B27" s="1"/>
      <c r="C27" s="217"/>
      <c r="D27" s="209">
        <v>0</v>
      </c>
      <c r="E27" s="209">
        <v>0</v>
      </c>
      <c r="F27" s="209">
        <v>0</v>
      </c>
      <c r="G27" s="209">
        <v>0</v>
      </c>
      <c r="H27" s="236">
        <v>0</v>
      </c>
    </row>
    <row r="28" spans="1:8">
      <c r="A28" s="216" t="s">
        <v>55</v>
      </c>
      <c r="B28" s="1"/>
      <c r="C28" s="217"/>
      <c r="D28" s="209">
        <f>Financiamiento!H10</f>
        <v>4955759.9112254893</v>
      </c>
      <c r="E28" s="209">
        <f>Financiamiento!I10</f>
        <v>3251038.9424961731</v>
      </c>
      <c r="F28" s="209">
        <f>Financiamiento!J10</f>
        <v>1230092.2340675662</v>
      </c>
      <c r="G28" s="209">
        <f>Financiamiento!K10</f>
        <v>0</v>
      </c>
      <c r="H28" s="236">
        <f>Financiamiento!L10</f>
        <v>0</v>
      </c>
    </row>
    <row r="29" spans="1:8">
      <c r="A29" s="331" t="s">
        <v>56</v>
      </c>
      <c r="B29" s="25"/>
      <c r="C29" s="335"/>
      <c r="D29" s="322">
        <f>D25+D27-D28</f>
        <v>-5608859.9112254893</v>
      </c>
      <c r="E29" s="322">
        <f>E25+E27-E28</f>
        <v>12795961.057503827</v>
      </c>
      <c r="F29" s="322">
        <f t="shared" ref="F29:H29" si="3">F25+F27-F28</f>
        <v>22188711.515932433</v>
      </c>
      <c r="G29" s="322">
        <f t="shared" si="3"/>
        <v>37188096.390625</v>
      </c>
      <c r="H29" s="323">
        <f t="shared" si="3"/>
        <v>51181983.755273432</v>
      </c>
    </row>
    <row r="30" spans="1:8">
      <c r="A30" s="216"/>
      <c r="B30" s="1"/>
      <c r="C30" s="217"/>
      <c r="D30" s="209"/>
      <c r="E30" s="209"/>
      <c r="F30" s="209"/>
      <c r="G30" s="209"/>
      <c r="H30" s="236"/>
    </row>
    <row r="31" spans="1:8">
      <c r="A31" s="216" t="s">
        <v>57</v>
      </c>
      <c r="B31" s="1"/>
      <c r="C31" s="217"/>
      <c r="D31" s="320">
        <f>+IF(D29&gt;0,D29*33%,0)</f>
        <v>0</v>
      </c>
      <c r="E31" s="320">
        <f t="shared" ref="E31:H31" si="4">+IF(E29&gt;0,E29*33%,0)</f>
        <v>4222667.1489762627</v>
      </c>
      <c r="F31" s="320">
        <f t="shared" si="4"/>
        <v>7322274.8002577033</v>
      </c>
      <c r="G31" s="320">
        <f t="shared" si="4"/>
        <v>12272071.80890625</v>
      </c>
      <c r="H31" s="318">
        <f t="shared" si="4"/>
        <v>16890054.639240231</v>
      </c>
    </row>
    <row r="32" spans="1:8">
      <c r="A32" s="216"/>
      <c r="B32" s="1"/>
      <c r="C32" s="217"/>
      <c r="D32" s="209"/>
      <c r="E32" s="209"/>
      <c r="F32" s="209"/>
      <c r="G32" s="209"/>
      <c r="H32" s="236"/>
    </row>
    <row r="33" spans="1:8">
      <c r="A33" s="224" t="s">
        <v>58</v>
      </c>
      <c r="B33" s="333"/>
      <c r="C33" s="336"/>
      <c r="D33" s="337">
        <f>D29-D31</f>
        <v>-5608859.9112254893</v>
      </c>
      <c r="E33" s="337">
        <f>E29-E31</f>
        <v>8573293.9085275643</v>
      </c>
      <c r="F33" s="337">
        <f>F29-F31</f>
        <v>14866436.71567473</v>
      </c>
      <c r="G33" s="337">
        <f>G29-G31</f>
        <v>24916024.58171875</v>
      </c>
      <c r="H33" s="334">
        <f t="shared" ref="H33" si="5">H29-H31</f>
        <v>34291929.116033196</v>
      </c>
    </row>
    <row r="35" spans="1:8">
      <c r="D35" t="s">
        <v>180</v>
      </c>
      <c r="E35" s="19"/>
      <c r="F35" s="19"/>
      <c r="G35" s="19"/>
      <c r="H35" s="19"/>
    </row>
    <row r="37" spans="1:8">
      <c r="E37" s="20"/>
      <c r="F37" s="20"/>
      <c r="G37" s="20"/>
      <c r="H37" s="20"/>
    </row>
  </sheetData>
  <sheetProtection password="B3AF" sheet="1" objects="1" scenarios="1"/>
  <mergeCells count="1">
    <mergeCell ref="A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O74"/>
  <sheetViews>
    <sheetView workbookViewId="0">
      <selection activeCell="G24" sqref="G24"/>
    </sheetView>
  </sheetViews>
  <sheetFormatPr baseColWidth="10" defaultColWidth="11.42578125" defaultRowHeight="15"/>
  <cols>
    <col min="1" max="1" width="10.28515625" customWidth="1"/>
    <col min="2" max="2" width="13" bestFit="1" customWidth="1"/>
    <col min="3" max="3" width="16.7109375" bestFit="1" customWidth="1"/>
    <col min="4" max="4" width="15" bestFit="1" customWidth="1"/>
    <col min="5" max="5" width="15.5703125" bestFit="1" customWidth="1"/>
    <col min="8" max="11" width="13" bestFit="1" customWidth="1"/>
    <col min="12" max="12" width="11.7109375" customWidth="1"/>
  </cols>
  <sheetData>
    <row r="2" spans="1:15" ht="15.75" thickBot="1"/>
    <row r="3" spans="1:15">
      <c r="A3" s="440" t="s">
        <v>34</v>
      </c>
      <c r="B3" s="441"/>
      <c r="C3" s="442"/>
    </row>
    <row r="4" spans="1:15">
      <c r="A4" s="6" t="s">
        <v>35</v>
      </c>
      <c r="B4" s="1"/>
      <c r="C4" s="28">
        <f>+Sup.Generales!C99</f>
        <v>33000000</v>
      </c>
    </row>
    <row r="5" spans="1:15" ht="15.75" thickBot="1">
      <c r="A5" s="8" t="s">
        <v>36</v>
      </c>
      <c r="B5" s="9"/>
      <c r="C5" s="39">
        <f>+Sup.Generales!C100</f>
        <v>9000000</v>
      </c>
      <c r="D5" s="20"/>
    </row>
    <row r="6" spans="1:15" ht="15.75" thickBot="1"/>
    <row r="7" spans="1:15" ht="15.75" thickBot="1">
      <c r="A7" s="437" t="s">
        <v>35</v>
      </c>
      <c r="B7" s="438"/>
      <c r="C7" s="438"/>
      <c r="D7" s="439"/>
      <c r="G7" s="437" t="s">
        <v>47</v>
      </c>
      <c r="H7" s="438"/>
      <c r="I7" s="438"/>
      <c r="J7" s="438"/>
      <c r="K7" s="438"/>
      <c r="L7" s="439"/>
    </row>
    <row r="8" spans="1:15">
      <c r="A8" s="6" t="s">
        <v>46</v>
      </c>
      <c r="B8" s="1"/>
      <c r="C8" s="1"/>
      <c r="D8" s="47">
        <f>+C4</f>
        <v>33000000</v>
      </c>
      <c r="G8" s="6"/>
      <c r="H8" s="35" t="s">
        <v>0</v>
      </c>
      <c r="I8" s="35" t="s">
        <v>5</v>
      </c>
      <c r="J8" s="35" t="s">
        <v>7</v>
      </c>
      <c r="K8" s="35" t="s">
        <v>8</v>
      </c>
      <c r="L8" s="36" t="s">
        <v>9</v>
      </c>
      <c r="M8" s="40"/>
      <c r="N8" s="40"/>
      <c r="O8" s="41"/>
    </row>
    <row r="9" spans="1:15">
      <c r="A9" s="6" t="s">
        <v>45</v>
      </c>
      <c r="B9" s="1"/>
      <c r="C9" s="1"/>
      <c r="D9" s="48" t="s">
        <v>37</v>
      </c>
      <c r="G9" s="6" t="s">
        <v>39</v>
      </c>
      <c r="H9" s="42">
        <f>SUM(B15:B26)</f>
        <v>14145630.362596409</v>
      </c>
      <c r="I9" s="42">
        <f>SUM(B27:B38)</f>
        <v>14145630.362596409</v>
      </c>
      <c r="J9" s="42">
        <f>SUM(B39:B50)</f>
        <v>14145630.362596409</v>
      </c>
      <c r="K9" s="42">
        <f>SUM(B51:B62)</f>
        <v>0</v>
      </c>
      <c r="L9" s="43">
        <f>SUM(B63:B74)</f>
        <v>0</v>
      </c>
    </row>
    <row r="10" spans="1:15">
      <c r="A10" s="6" t="s">
        <v>44</v>
      </c>
      <c r="B10" s="1"/>
      <c r="C10" s="1"/>
      <c r="D10" s="59">
        <f>Sup.Generales!C104</f>
        <v>0.1855</v>
      </c>
      <c r="G10" s="6" t="s">
        <v>48</v>
      </c>
      <c r="H10" s="42">
        <f>SUM(C15:C26)</f>
        <v>4955759.9112254893</v>
      </c>
      <c r="I10" s="42">
        <f>SUM(C27:C38)</f>
        <v>3251038.9424961731</v>
      </c>
      <c r="J10" s="42">
        <f>SUM(C39:C50)</f>
        <v>1230092.2340675662</v>
      </c>
      <c r="K10" s="42">
        <f>SUM(C51:C62)</f>
        <v>0</v>
      </c>
      <c r="L10" s="43">
        <f>SUM(C63:C74)</f>
        <v>0</v>
      </c>
    </row>
    <row r="11" spans="1:15" ht="15.75" thickBot="1">
      <c r="A11" s="8" t="s">
        <v>43</v>
      </c>
      <c r="B11" s="9"/>
      <c r="C11" s="9"/>
      <c r="D11" s="49">
        <f>((1+D10)^(1/12))-1</f>
        <v>1.4281404140121134E-2</v>
      </c>
      <c r="G11" s="6" t="s">
        <v>41</v>
      </c>
      <c r="H11" s="42">
        <f>SUM(D15:D26)</f>
        <v>9189870.4513709154</v>
      </c>
      <c r="I11" s="42">
        <f>SUM(D27:D38)</f>
        <v>10894591.420100233</v>
      </c>
      <c r="J11" s="42">
        <f>SUM(D39:D50)</f>
        <v>12915538.128528839</v>
      </c>
      <c r="K11" s="42">
        <f>SUM(D51:D62)</f>
        <v>0</v>
      </c>
      <c r="L11" s="43">
        <f>SUM(D63:D74)</f>
        <v>0</v>
      </c>
    </row>
    <row r="12" spans="1:15" ht="15.75" thickBot="1">
      <c r="G12" s="8" t="s">
        <v>42</v>
      </c>
      <c r="H12" s="44">
        <f>+E26</f>
        <v>23810129.548629079</v>
      </c>
      <c r="I12" s="44">
        <f>+E38</f>
        <v>12915538.128528848</v>
      </c>
      <c r="J12" s="44">
        <f>+E50</f>
        <v>7.6834112405776978E-9</v>
      </c>
      <c r="K12" s="44">
        <f>+E62</f>
        <v>0</v>
      </c>
      <c r="L12" s="45">
        <f>+E74</f>
        <v>0</v>
      </c>
    </row>
    <row r="13" spans="1:15" ht="15.75" thickBot="1">
      <c r="A13" s="388" t="s">
        <v>40</v>
      </c>
      <c r="B13" s="389" t="s">
        <v>39</v>
      </c>
      <c r="C13" s="389" t="s">
        <v>38</v>
      </c>
      <c r="D13" s="389" t="s">
        <v>41</v>
      </c>
      <c r="E13" s="390" t="s">
        <v>42</v>
      </c>
      <c r="I13" s="20"/>
    </row>
    <row r="14" spans="1:15">
      <c r="A14" s="6">
        <v>0</v>
      </c>
      <c r="B14" s="27"/>
      <c r="C14" s="27"/>
      <c r="D14" s="27"/>
      <c r="E14" s="28">
        <f>+D8</f>
        <v>33000000</v>
      </c>
    </row>
    <row r="15" spans="1:15">
      <c r="A15" s="6">
        <v>1</v>
      </c>
      <c r="B15" s="27">
        <f>+PMT(D11,A50,-E14)</f>
        <v>1178802.5302163672</v>
      </c>
      <c r="C15" s="27">
        <f>+E14*$D$11</f>
        <v>471286.33662399743</v>
      </c>
      <c r="D15" s="27">
        <f>+B15-C15</f>
        <v>707516.19359236979</v>
      </c>
      <c r="E15" s="28">
        <f>+E14-D15</f>
        <v>32292483.80640763</v>
      </c>
    </row>
    <row r="16" spans="1:15">
      <c r="A16" s="6">
        <v>2</v>
      </c>
      <c r="B16" s="27">
        <f>+B15</f>
        <v>1178802.5302163672</v>
      </c>
      <c r="C16" s="27">
        <f t="shared" ref="C16:C50" si="0">+E15*$D$11</f>
        <v>461182.01192762464</v>
      </c>
      <c r="D16" s="27">
        <f>+B16-C16</f>
        <v>717620.51828874252</v>
      </c>
      <c r="E16" s="28">
        <f>+E15-D16</f>
        <v>31574863.288118888</v>
      </c>
    </row>
    <row r="17" spans="1:5">
      <c r="A17" s="6">
        <v>3</v>
      </c>
      <c r="B17" s="27">
        <f t="shared" ref="B17:B50" si="1">+B16</f>
        <v>1178802.5302163672</v>
      </c>
      <c r="C17" s="27">
        <f t="shared" si="0"/>
        <v>450933.38328669989</v>
      </c>
      <c r="D17" s="27">
        <f t="shared" ref="D17:D50" si="2">+B17-C17</f>
        <v>727869.14692966733</v>
      </c>
      <c r="E17" s="28">
        <f t="shared" ref="E17:E50" si="3">+E16-D17</f>
        <v>30846994.141189221</v>
      </c>
    </row>
    <row r="18" spans="1:5">
      <c r="A18" s="6">
        <v>4</v>
      </c>
      <c r="B18" s="27">
        <f t="shared" si="1"/>
        <v>1178802.5302163672</v>
      </c>
      <c r="C18" s="27">
        <f t="shared" si="0"/>
        <v>440538.38983827212</v>
      </c>
      <c r="D18" s="27">
        <f t="shared" si="2"/>
        <v>738264.14037809509</v>
      </c>
      <c r="E18" s="28">
        <f t="shared" si="3"/>
        <v>30108730.000811126</v>
      </c>
    </row>
    <row r="19" spans="1:5">
      <c r="A19" s="6">
        <v>5</v>
      </c>
      <c r="B19" s="27">
        <f t="shared" si="1"/>
        <v>1178802.5302163672</v>
      </c>
      <c r="C19" s="27">
        <f t="shared" si="0"/>
        <v>429994.94128737343</v>
      </c>
      <c r="D19" s="27">
        <f t="shared" si="2"/>
        <v>748807.58892899379</v>
      </c>
      <c r="E19" s="28">
        <f t="shared" si="3"/>
        <v>29359922.411882132</v>
      </c>
    </row>
    <row r="20" spans="1:5">
      <c r="A20" s="6">
        <v>6</v>
      </c>
      <c r="B20" s="27">
        <f t="shared" si="1"/>
        <v>1178802.5302163672</v>
      </c>
      <c r="C20" s="27">
        <f t="shared" si="0"/>
        <v>419300.91748668876</v>
      </c>
      <c r="D20" s="27">
        <f t="shared" si="2"/>
        <v>759501.6127296784</v>
      </c>
      <c r="E20" s="28">
        <f t="shared" si="3"/>
        <v>28600420.799152452</v>
      </c>
    </row>
    <row r="21" spans="1:5">
      <c r="A21" s="6">
        <v>7</v>
      </c>
      <c r="B21" s="27">
        <f t="shared" si="1"/>
        <v>1178802.5302163672</v>
      </c>
      <c r="C21" s="27">
        <f t="shared" si="0"/>
        <v>408454.16801022243</v>
      </c>
      <c r="D21" s="27">
        <f t="shared" si="2"/>
        <v>770348.36220614472</v>
      </c>
      <c r="E21" s="28">
        <f t="shared" si="3"/>
        <v>27830072.436946306</v>
      </c>
    </row>
    <row r="22" spans="1:5">
      <c r="A22" s="6">
        <v>8</v>
      </c>
      <c r="B22" s="27">
        <f t="shared" si="1"/>
        <v>1178802.5302163672</v>
      </c>
      <c r="C22" s="27">
        <f t="shared" si="0"/>
        <v>397452.51172087603</v>
      </c>
      <c r="D22" s="27">
        <f t="shared" si="2"/>
        <v>781350.01849549124</v>
      </c>
      <c r="E22" s="28">
        <f t="shared" si="3"/>
        <v>27048722.418450814</v>
      </c>
    </row>
    <row r="23" spans="1:5">
      <c r="A23" s="6">
        <v>9</v>
      </c>
      <c r="B23" s="27">
        <f t="shared" si="1"/>
        <v>1178802.5302163672</v>
      </c>
      <c r="C23" s="27">
        <f t="shared" si="0"/>
        <v>386293.73633185081</v>
      </c>
      <c r="D23" s="27">
        <f t="shared" si="2"/>
        <v>792508.79388451646</v>
      </c>
      <c r="E23" s="28">
        <f t="shared" si="3"/>
        <v>26256213.624566298</v>
      </c>
    </row>
    <row r="24" spans="1:5">
      <c r="A24" s="6">
        <v>10</v>
      </c>
      <c r="B24" s="27">
        <f t="shared" si="1"/>
        <v>1178802.5302163672</v>
      </c>
      <c r="C24" s="27">
        <f t="shared" si="0"/>
        <v>374975.59796178609</v>
      </c>
      <c r="D24" s="27">
        <f t="shared" si="2"/>
        <v>803826.93225458113</v>
      </c>
      <c r="E24" s="28">
        <f t="shared" si="3"/>
        <v>25452386.692311715</v>
      </c>
    </row>
    <row r="25" spans="1:5">
      <c r="A25" s="6">
        <v>11</v>
      </c>
      <c r="B25" s="27">
        <f t="shared" si="1"/>
        <v>1178802.5302163672</v>
      </c>
      <c r="C25" s="27">
        <f t="shared" si="0"/>
        <v>363495.82068354462</v>
      </c>
      <c r="D25" s="27">
        <f t="shared" si="2"/>
        <v>815306.7095328226</v>
      </c>
      <c r="E25" s="28">
        <f t="shared" si="3"/>
        <v>24637079.982778892</v>
      </c>
    </row>
    <row r="26" spans="1:5">
      <c r="A26" s="6">
        <v>12</v>
      </c>
      <c r="B26" s="27">
        <f t="shared" si="1"/>
        <v>1178802.5302163672</v>
      </c>
      <c r="C26" s="27">
        <f t="shared" si="0"/>
        <v>351852.09606655402</v>
      </c>
      <c r="D26" s="27">
        <f t="shared" si="2"/>
        <v>826950.43414981314</v>
      </c>
      <c r="E26" s="28">
        <f t="shared" si="3"/>
        <v>23810129.548629079</v>
      </c>
    </row>
    <row r="27" spans="1:5">
      <c r="A27" s="6">
        <v>13</v>
      </c>
      <c r="B27" s="27">
        <f t="shared" si="1"/>
        <v>1178802.5302163672</v>
      </c>
      <c r="C27" s="27">
        <f t="shared" si="0"/>
        <v>340042.08271261188</v>
      </c>
      <c r="D27" s="27">
        <f t="shared" si="2"/>
        <v>838760.44750375533</v>
      </c>
      <c r="E27" s="28">
        <f t="shared" si="3"/>
        <v>22971369.101125322</v>
      </c>
    </row>
    <row r="28" spans="1:5">
      <c r="A28" s="6">
        <v>14</v>
      </c>
      <c r="B28" s="27">
        <f t="shared" si="1"/>
        <v>1178802.5302163672</v>
      </c>
      <c r="C28" s="27">
        <f t="shared" si="0"/>
        <v>328063.40578506188</v>
      </c>
      <c r="D28" s="27">
        <f t="shared" si="2"/>
        <v>850739.12443130533</v>
      </c>
      <c r="E28" s="28">
        <f t="shared" si="3"/>
        <v>22120629.976694018</v>
      </c>
    </row>
    <row r="29" spans="1:5">
      <c r="A29" s="6">
        <v>15</v>
      </c>
      <c r="B29" s="27">
        <f t="shared" si="1"/>
        <v>1178802.5302163672</v>
      </c>
      <c r="C29" s="27">
        <f t="shared" si="0"/>
        <v>315913.65653124562</v>
      </c>
      <c r="D29" s="27">
        <f t="shared" si="2"/>
        <v>862888.87368512154</v>
      </c>
      <c r="E29" s="28">
        <f t="shared" si="3"/>
        <v>21257741.103008896</v>
      </c>
    </row>
    <row r="30" spans="1:5">
      <c r="A30" s="6">
        <v>16</v>
      </c>
      <c r="B30" s="27">
        <f t="shared" si="1"/>
        <v>1178802.5302163672</v>
      </c>
      <c r="C30" s="27">
        <f t="shared" si="0"/>
        <v>303590.39179813449</v>
      </c>
      <c r="D30" s="27">
        <f t="shared" si="2"/>
        <v>875212.13841823279</v>
      </c>
      <c r="E30" s="28">
        <f t="shared" si="3"/>
        <v>20382528.964590665</v>
      </c>
    </row>
    <row r="31" spans="1:5">
      <c r="A31" s="6">
        <v>17</v>
      </c>
      <c r="B31" s="27">
        <f t="shared" si="1"/>
        <v>1178802.5302163672</v>
      </c>
      <c r="C31" s="27">
        <f t="shared" si="0"/>
        <v>291091.13354104408</v>
      </c>
      <c r="D31" s="27">
        <f t="shared" si="2"/>
        <v>887711.39667532314</v>
      </c>
      <c r="E31" s="28">
        <f t="shared" si="3"/>
        <v>19494817.567915343</v>
      </c>
    </row>
    <row r="32" spans="1:5">
      <c r="A32" s="6">
        <v>18</v>
      </c>
      <c r="B32" s="27">
        <f t="shared" si="1"/>
        <v>1178802.5302163672</v>
      </c>
      <c r="C32" s="27">
        <f t="shared" si="0"/>
        <v>278413.36832533241</v>
      </c>
      <c r="D32" s="27">
        <f t="shared" si="2"/>
        <v>900389.1618910348</v>
      </c>
      <c r="E32" s="28">
        <f t="shared" si="3"/>
        <v>18594428.406024307</v>
      </c>
    </row>
    <row r="33" spans="1:5">
      <c r="A33" s="6">
        <v>19</v>
      </c>
      <c r="B33" s="27">
        <f t="shared" si="1"/>
        <v>1178802.5302163672</v>
      </c>
      <c r="C33" s="27">
        <f t="shared" si="0"/>
        <v>265554.54682098154</v>
      </c>
      <c r="D33" s="27">
        <f t="shared" si="2"/>
        <v>913247.98339538567</v>
      </c>
      <c r="E33" s="28">
        <f t="shared" si="3"/>
        <v>17681180.422628921</v>
      </c>
    </row>
    <row r="34" spans="1:5">
      <c r="A34" s="6">
        <v>20</v>
      </c>
      <c r="B34" s="27">
        <f t="shared" si="1"/>
        <v>1178802.5302163672</v>
      </c>
      <c r="C34" s="27">
        <f t="shared" si="0"/>
        <v>252512.08328996142</v>
      </c>
      <c r="D34" s="27">
        <f t="shared" si="2"/>
        <v>926290.44692640577</v>
      </c>
      <c r="E34" s="28">
        <f t="shared" si="3"/>
        <v>16754889.975702515</v>
      </c>
    </row>
    <row r="35" spans="1:5">
      <c r="A35" s="6">
        <v>21</v>
      </c>
      <c r="B35" s="27">
        <f t="shared" si="1"/>
        <v>1178802.5302163672</v>
      </c>
      <c r="C35" s="27">
        <f t="shared" si="0"/>
        <v>239283.35506627199</v>
      </c>
      <c r="D35" s="27">
        <f t="shared" si="2"/>
        <v>939519.17515009525</v>
      </c>
      <c r="E35" s="28">
        <f t="shared" si="3"/>
        <v>15815370.80055242</v>
      </c>
    </row>
    <row r="36" spans="1:5">
      <c r="A36" s="6">
        <v>22</v>
      </c>
      <c r="B36" s="27">
        <f t="shared" si="1"/>
        <v>1178802.5302163672</v>
      </c>
      <c r="C36" s="27">
        <f t="shared" si="0"/>
        <v>225865.70202856025</v>
      </c>
      <c r="D36" s="27">
        <f t="shared" si="2"/>
        <v>952936.828187807</v>
      </c>
      <c r="E36" s="28">
        <f t="shared" si="3"/>
        <v>14862433.972364614</v>
      </c>
    </row>
    <row r="37" spans="1:5">
      <c r="A37" s="6">
        <v>23</v>
      </c>
      <c r="B37" s="27">
        <f t="shared" si="1"/>
        <v>1178802.5302163672</v>
      </c>
      <c r="C37" s="27">
        <f t="shared" si="0"/>
        <v>212256.42606520499</v>
      </c>
      <c r="D37" s="27">
        <f t="shared" si="2"/>
        <v>966546.1041511622</v>
      </c>
      <c r="E37" s="28">
        <f t="shared" si="3"/>
        <v>13895887.868213452</v>
      </c>
    </row>
    <row r="38" spans="1:5">
      <c r="A38" s="6">
        <v>24</v>
      </c>
      <c r="B38" s="27">
        <f t="shared" si="1"/>
        <v>1178802.5302163672</v>
      </c>
      <c r="C38" s="27">
        <f t="shared" si="0"/>
        <v>198452.79053176264</v>
      </c>
      <c r="D38" s="27">
        <f t="shared" si="2"/>
        <v>980349.73968460457</v>
      </c>
      <c r="E38" s="28">
        <f t="shared" si="3"/>
        <v>12915538.128528848</v>
      </c>
    </row>
    <row r="39" spans="1:5">
      <c r="A39" s="6">
        <v>25</v>
      </c>
      <c r="B39" s="27">
        <f t="shared" si="1"/>
        <v>1178802.5302163672</v>
      </c>
      <c r="C39" s="27">
        <f t="shared" si="0"/>
        <v>184452.01970066427</v>
      </c>
      <c r="D39" s="27">
        <f t="shared" si="2"/>
        <v>994350.51051570289</v>
      </c>
      <c r="E39" s="28">
        <f t="shared" si="3"/>
        <v>11921187.618013145</v>
      </c>
    </row>
    <row r="40" spans="1:5">
      <c r="A40" s="6">
        <v>26</v>
      </c>
      <c r="B40" s="27">
        <f t="shared" si="1"/>
        <v>1178802.5302163672</v>
      </c>
      <c r="C40" s="27">
        <f t="shared" si="0"/>
        <v>170251.29820305374</v>
      </c>
      <c r="D40" s="27">
        <f t="shared" si="2"/>
        <v>1008551.2320133134</v>
      </c>
      <c r="E40" s="28">
        <f t="shared" si="3"/>
        <v>10912636.385999832</v>
      </c>
    </row>
    <row r="41" spans="1:5">
      <c r="A41" s="6">
        <v>27</v>
      </c>
      <c r="B41" s="27">
        <f t="shared" si="1"/>
        <v>1178802.5302163672</v>
      </c>
      <c r="C41" s="27">
        <f t="shared" si="0"/>
        <v>155847.77046265453</v>
      </c>
      <c r="D41" s="27">
        <f t="shared" si="2"/>
        <v>1022954.7597537127</v>
      </c>
      <c r="E41" s="28">
        <f t="shared" si="3"/>
        <v>9889681.6262461189</v>
      </c>
    </row>
    <row r="42" spans="1:5">
      <c r="A42" s="6">
        <v>28</v>
      </c>
      <c r="B42" s="27">
        <f t="shared" si="1"/>
        <v>1178802.5302163672</v>
      </c>
      <c r="C42" s="27">
        <f t="shared" si="0"/>
        <v>141238.54012155122</v>
      </c>
      <c r="D42" s="27">
        <f t="shared" si="2"/>
        <v>1037563.990094816</v>
      </c>
      <c r="E42" s="28">
        <f t="shared" si="3"/>
        <v>8852117.6361513026</v>
      </c>
    </row>
    <row r="43" spans="1:5">
      <c r="A43" s="6">
        <v>29</v>
      </c>
      <c r="B43" s="27">
        <f t="shared" si="1"/>
        <v>1178802.5302163672</v>
      </c>
      <c r="C43" s="27">
        <f t="shared" si="0"/>
        <v>126420.66945777052</v>
      </c>
      <c r="D43" s="27">
        <f t="shared" si="2"/>
        <v>1052381.8607585968</v>
      </c>
      <c r="E43" s="28">
        <f t="shared" si="3"/>
        <v>7799735.7753927056</v>
      </c>
    </row>
    <row r="44" spans="1:5">
      <c r="A44" s="6">
        <v>30</v>
      </c>
      <c r="B44" s="27">
        <f t="shared" si="1"/>
        <v>1178802.5302163672</v>
      </c>
      <c r="C44" s="27">
        <f t="shared" si="0"/>
        <v>111391.17879454431</v>
      </c>
      <c r="D44" s="27">
        <f t="shared" si="2"/>
        <v>1067411.3514218228</v>
      </c>
      <c r="E44" s="28">
        <f t="shared" si="3"/>
        <v>6732324.4239708828</v>
      </c>
    </row>
    <row r="45" spans="1:5">
      <c r="A45" s="6">
        <v>31</v>
      </c>
      <c r="B45" s="27">
        <f t="shared" si="1"/>
        <v>1178802.5302163672</v>
      </c>
      <c r="C45" s="27">
        <f t="shared" si="0"/>
        <v>96147.0459011364</v>
      </c>
      <c r="D45" s="27">
        <f t="shared" si="2"/>
        <v>1082655.4843152307</v>
      </c>
      <c r="E45" s="28">
        <f t="shared" si="3"/>
        <v>5649668.9396556523</v>
      </c>
    </row>
    <row r="46" spans="1:5">
      <c r="A46" s="6">
        <v>32</v>
      </c>
      <c r="B46" s="27">
        <f t="shared" si="1"/>
        <v>1178802.5302163672</v>
      </c>
      <c r="C46" s="27">
        <f t="shared" si="0"/>
        <v>80685.205385112014</v>
      </c>
      <c r="D46" s="27">
        <f t="shared" si="2"/>
        <v>1098117.3248312552</v>
      </c>
      <c r="E46" s="28">
        <f t="shared" si="3"/>
        <v>4551551.6148243975</v>
      </c>
    </row>
    <row r="47" spans="1:5">
      <c r="A47" s="6">
        <v>33</v>
      </c>
      <c r="B47" s="27">
        <f t="shared" si="1"/>
        <v>1178802.5302163672</v>
      </c>
      <c r="C47" s="27">
        <f t="shared" si="0"/>
        <v>65002.548075928185</v>
      </c>
      <c r="D47" s="27">
        <f t="shared" si="2"/>
        <v>1113799.9821404391</v>
      </c>
      <c r="E47" s="28">
        <f t="shared" si="3"/>
        <v>3437751.6326839584</v>
      </c>
    </row>
    <row r="48" spans="1:5">
      <c r="A48" s="6">
        <v>34</v>
      </c>
      <c r="B48" s="27">
        <f t="shared" si="1"/>
        <v>1178802.5302163672</v>
      </c>
      <c r="C48" s="27">
        <f t="shared" si="0"/>
        <v>49095.920399720875</v>
      </c>
      <c r="D48" s="27">
        <f t="shared" si="2"/>
        <v>1129706.6098166464</v>
      </c>
      <c r="E48" s="28">
        <f t="shared" si="3"/>
        <v>2308045.0228673117</v>
      </c>
    </row>
    <row r="49" spans="1:5">
      <c r="A49" s="6">
        <v>35</v>
      </c>
      <c r="B49" s="27">
        <f t="shared" si="1"/>
        <v>1178802.5302163672</v>
      </c>
      <c r="C49" s="27">
        <f t="shared" si="0"/>
        <v>32962.123745163204</v>
      </c>
      <c r="D49" s="27">
        <f t="shared" si="2"/>
        <v>1145840.406471204</v>
      </c>
      <c r="E49" s="28">
        <f t="shared" si="3"/>
        <v>1162204.6163961077</v>
      </c>
    </row>
    <row r="50" spans="1:5" ht="15.75" thickBot="1">
      <c r="A50" s="8">
        <v>36</v>
      </c>
      <c r="B50" s="46">
        <f t="shared" si="1"/>
        <v>1178802.5302163672</v>
      </c>
      <c r="C50" s="46">
        <f t="shared" si="0"/>
        <v>16597.913820267269</v>
      </c>
      <c r="D50" s="46">
        <f t="shared" si="2"/>
        <v>1162204.6163961</v>
      </c>
      <c r="E50" s="39">
        <f t="shared" si="3"/>
        <v>7.6834112405776978E-9</v>
      </c>
    </row>
    <row r="51" spans="1:5">
      <c r="A51" s="1"/>
      <c r="B51" s="27"/>
      <c r="C51" s="27"/>
      <c r="D51" s="27"/>
      <c r="E51" s="27"/>
    </row>
    <row r="52" spans="1:5">
      <c r="A52" s="1"/>
      <c r="B52" s="27"/>
      <c r="C52" s="27"/>
      <c r="D52" s="27"/>
      <c r="E52" s="27"/>
    </row>
    <row r="53" spans="1:5">
      <c r="A53" s="1"/>
      <c r="B53" s="27"/>
      <c r="C53" s="27"/>
      <c r="D53" s="27"/>
      <c r="E53" s="27"/>
    </row>
    <row r="54" spans="1:5">
      <c r="A54" s="1"/>
      <c r="B54" s="27"/>
      <c r="C54" s="27"/>
      <c r="D54" s="27"/>
      <c r="E54" s="27"/>
    </row>
    <row r="55" spans="1:5">
      <c r="A55" s="1"/>
      <c r="B55" s="27"/>
      <c r="C55" s="27"/>
      <c r="D55" s="27"/>
      <c r="E55" s="27"/>
    </row>
    <row r="56" spans="1:5">
      <c r="A56" s="1"/>
      <c r="B56" s="27"/>
      <c r="C56" s="27"/>
      <c r="D56" s="27"/>
      <c r="E56" s="27"/>
    </row>
    <row r="57" spans="1:5">
      <c r="A57" s="1"/>
      <c r="B57" s="27"/>
      <c r="C57" s="27"/>
      <c r="D57" s="27"/>
      <c r="E57" s="27"/>
    </row>
    <row r="58" spans="1:5">
      <c r="A58" s="1"/>
      <c r="B58" s="27"/>
      <c r="C58" s="27"/>
      <c r="D58" s="27"/>
      <c r="E58" s="27"/>
    </row>
    <row r="59" spans="1:5">
      <c r="A59" s="1"/>
      <c r="B59" s="27"/>
      <c r="C59" s="27"/>
      <c r="D59" s="27"/>
      <c r="E59" s="27"/>
    </row>
    <row r="60" spans="1:5">
      <c r="A60" s="1"/>
      <c r="B60" s="27"/>
      <c r="C60" s="27"/>
      <c r="D60" s="27"/>
      <c r="E60" s="27"/>
    </row>
    <row r="61" spans="1:5">
      <c r="A61" s="1"/>
      <c r="B61" s="27"/>
      <c r="C61" s="27"/>
      <c r="D61" s="27"/>
      <c r="E61" s="27"/>
    </row>
    <row r="62" spans="1:5">
      <c r="A62" s="1"/>
      <c r="B62" s="27"/>
      <c r="C62" s="27"/>
      <c r="D62" s="27"/>
      <c r="E62" s="27"/>
    </row>
    <row r="63" spans="1:5">
      <c r="A63" s="1"/>
      <c r="B63" s="27"/>
      <c r="C63" s="27"/>
      <c r="D63" s="27"/>
      <c r="E63" s="27"/>
    </row>
    <row r="64" spans="1:5">
      <c r="A64" s="1"/>
      <c r="B64" s="27"/>
      <c r="C64" s="27"/>
      <c r="D64" s="27"/>
      <c r="E64" s="27"/>
    </row>
    <row r="65" spans="1:5">
      <c r="A65" s="1"/>
      <c r="B65" s="27"/>
      <c r="C65" s="27"/>
      <c r="D65" s="27"/>
      <c r="E65" s="27"/>
    </row>
    <row r="66" spans="1:5">
      <c r="A66" s="1"/>
      <c r="B66" s="27"/>
      <c r="C66" s="27"/>
      <c r="D66" s="27"/>
      <c r="E66" s="27"/>
    </row>
    <row r="67" spans="1:5">
      <c r="A67" s="1"/>
      <c r="B67" s="27"/>
      <c r="C67" s="27"/>
      <c r="D67" s="27"/>
      <c r="E67" s="27"/>
    </row>
    <row r="68" spans="1:5">
      <c r="A68" s="1"/>
      <c r="B68" s="27"/>
      <c r="C68" s="27"/>
      <c r="D68" s="27"/>
      <c r="E68" s="27"/>
    </row>
    <row r="69" spans="1:5">
      <c r="A69" s="1"/>
      <c r="B69" s="27"/>
      <c r="C69" s="27"/>
      <c r="D69" s="27"/>
      <c r="E69" s="27"/>
    </row>
    <row r="70" spans="1:5">
      <c r="A70" s="1"/>
      <c r="B70" s="27"/>
      <c r="C70" s="27"/>
      <c r="D70" s="27"/>
      <c r="E70" s="27"/>
    </row>
    <row r="71" spans="1:5">
      <c r="A71" s="1"/>
      <c r="B71" s="27"/>
      <c r="C71" s="27"/>
      <c r="D71" s="27"/>
      <c r="E71" s="27"/>
    </row>
    <row r="72" spans="1:5">
      <c r="A72" s="1"/>
      <c r="B72" s="27"/>
      <c r="C72" s="27"/>
      <c r="D72" s="27"/>
      <c r="E72" s="27"/>
    </row>
    <row r="73" spans="1:5">
      <c r="A73" s="1"/>
      <c r="B73" s="27"/>
      <c r="C73" s="27"/>
      <c r="D73" s="27"/>
      <c r="E73" s="27"/>
    </row>
    <row r="74" spans="1:5">
      <c r="A74" s="1"/>
      <c r="B74" s="27"/>
      <c r="C74" s="27"/>
      <c r="D74" s="27"/>
      <c r="E74" s="27"/>
    </row>
  </sheetData>
  <sheetProtection password="B3AF" sheet="1" objects="1" scenarios="1"/>
  <mergeCells count="3">
    <mergeCell ref="G7:L7"/>
    <mergeCell ref="A7:D7"/>
    <mergeCell ref="A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3:O86"/>
  <sheetViews>
    <sheetView zoomScale="80" zoomScaleNormal="80" workbookViewId="0">
      <selection activeCell="I29" sqref="I29"/>
    </sheetView>
  </sheetViews>
  <sheetFormatPr baseColWidth="10" defaultColWidth="11.42578125" defaultRowHeight="15"/>
  <cols>
    <col min="1" max="1" width="39" bestFit="1" customWidth="1"/>
    <col min="2" max="4" width="15.5703125" bestFit="1" customWidth="1"/>
    <col min="5" max="7" width="16.7109375" bestFit="1" customWidth="1"/>
    <col min="9" max="13" width="13" bestFit="1" customWidth="1"/>
  </cols>
  <sheetData>
    <row r="3" spans="1:7">
      <c r="B3" s="51"/>
    </row>
    <row r="4" spans="1:7">
      <c r="B4" s="51"/>
    </row>
    <row r="5" spans="1:7">
      <c r="A5" s="317" t="s">
        <v>122</v>
      </c>
      <c r="B5" s="311" t="s">
        <v>91</v>
      </c>
      <c r="C5" s="312" t="s">
        <v>0</v>
      </c>
      <c r="D5" s="312" t="s">
        <v>5</v>
      </c>
      <c r="E5" s="311" t="s">
        <v>7</v>
      </c>
      <c r="F5" s="313" t="s">
        <v>8</v>
      </c>
      <c r="G5" s="313" t="s">
        <v>9</v>
      </c>
    </row>
    <row r="6" spans="1:7">
      <c r="A6" s="314"/>
      <c r="B6" s="306"/>
      <c r="C6" s="222"/>
      <c r="D6" s="222"/>
      <c r="E6" s="308"/>
      <c r="F6" s="223"/>
      <c r="G6" s="223"/>
    </row>
    <row r="7" spans="1:7">
      <c r="A7" s="315" t="s">
        <v>59</v>
      </c>
      <c r="B7" s="211"/>
      <c r="C7" s="302"/>
      <c r="D7" s="302"/>
      <c r="E7" s="211"/>
      <c r="F7" s="303"/>
      <c r="G7" s="303"/>
    </row>
    <row r="8" spans="1:7">
      <c r="A8" s="314" t="s">
        <v>60</v>
      </c>
      <c r="B8" s="211"/>
      <c r="C8" s="302">
        <f>+'P Y G'!D6</f>
        <v>121871000</v>
      </c>
      <c r="D8" s="302">
        <f>'P Y G'!E6</f>
        <v>146505700</v>
      </c>
      <c r="E8" s="211">
        <f>'P Y G'!F6</f>
        <v>173318300</v>
      </c>
      <c r="F8" s="303">
        <f>'P Y G'!G6</f>
        <v>208512300</v>
      </c>
      <c r="G8" s="303">
        <f>'P Y G'!H6</f>
        <v>247082100</v>
      </c>
    </row>
    <row r="9" spans="1:7">
      <c r="A9" s="314" t="s">
        <v>62</v>
      </c>
      <c r="B9" s="211">
        <f>Financiamiento!C5</f>
        <v>9000000</v>
      </c>
      <c r="C9" s="302"/>
      <c r="D9" s="302"/>
      <c r="E9" s="211"/>
      <c r="F9" s="303"/>
      <c r="G9" s="303"/>
    </row>
    <row r="10" spans="1:7">
      <c r="A10" s="314" t="s">
        <v>92</v>
      </c>
      <c r="B10" s="211">
        <f>Financiamiento!C4</f>
        <v>33000000</v>
      </c>
      <c r="C10" s="302"/>
      <c r="D10" s="302"/>
      <c r="E10" s="211"/>
      <c r="F10" s="303"/>
      <c r="G10" s="303"/>
    </row>
    <row r="11" spans="1:7">
      <c r="A11" s="315" t="s">
        <v>63</v>
      </c>
      <c r="B11" s="307">
        <f t="shared" ref="B11:G11" si="0">SUM(B8:B10)</f>
        <v>42000000</v>
      </c>
      <c r="C11" s="304">
        <f t="shared" si="0"/>
        <v>121871000</v>
      </c>
      <c r="D11" s="304">
        <f t="shared" si="0"/>
        <v>146505700</v>
      </c>
      <c r="E11" s="307">
        <f t="shared" si="0"/>
        <v>173318300</v>
      </c>
      <c r="F11" s="305">
        <f t="shared" si="0"/>
        <v>208512300</v>
      </c>
      <c r="G11" s="305">
        <f t="shared" si="0"/>
        <v>247082100</v>
      </c>
    </row>
    <row r="12" spans="1:7">
      <c r="A12" s="314"/>
      <c r="B12" s="211"/>
      <c r="C12" s="302"/>
      <c r="D12" s="302"/>
      <c r="E12" s="211"/>
      <c r="F12" s="303"/>
      <c r="G12" s="303"/>
    </row>
    <row r="13" spans="1:7">
      <c r="A13" s="315" t="s">
        <v>64</v>
      </c>
      <c r="B13" s="211"/>
      <c r="C13" s="302"/>
      <c r="D13" s="302"/>
      <c r="E13" s="211"/>
      <c r="F13" s="303"/>
      <c r="G13" s="303"/>
    </row>
    <row r="14" spans="1:7">
      <c r="A14" s="314" t="str">
        <f>+'P Y G'!A8</f>
        <v>Servicios en cada plan</v>
      </c>
      <c r="B14" s="211"/>
      <c r="C14" s="302">
        <f>+'P Y G'!D8</f>
        <v>21612000</v>
      </c>
      <c r="D14" s="302">
        <f>+'P Y G'!E8</f>
        <v>25820100</v>
      </c>
      <c r="E14" s="211">
        <f>+'P Y G'!F8</f>
        <v>30312300</v>
      </c>
      <c r="F14" s="303">
        <f>+'P Y G'!G8</f>
        <v>35813300</v>
      </c>
      <c r="G14" s="303">
        <f>+'P Y G'!H8</f>
        <v>41681500</v>
      </c>
    </row>
    <row r="15" spans="1:7">
      <c r="A15" s="314" t="str">
        <f>'P Y G'!A9</f>
        <v>Nomina + Prestaciones</v>
      </c>
      <c r="B15" s="308"/>
      <c r="C15" s="302">
        <f>'P Y G'!D9</f>
        <v>56012000</v>
      </c>
      <c r="D15" s="302">
        <f>'P Y G'!E9</f>
        <v>58113900</v>
      </c>
      <c r="E15" s="211">
        <f>'P Y G'!F9</f>
        <v>70766700</v>
      </c>
      <c r="F15" s="303">
        <f>'P Y G'!G9</f>
        <v>84285700</v>
      </c>
      <c r="G15" s="303">
        <f>'P Y G'!H9</f>
        <v>100378100</v>
      </c>
    </row>
    <row r="16" spans="1:7">
      <c r="A16" s="314" t="str">
        <f>'P Y G'!A11</f>
        <v>Contador (Prestacion de Servicios)</v>
      </c>
      <c r="B16" s="211"/>
      <c r="C16" s="302">
        <f>'P Y G'!D11</f>
        <v>4560000</v>
      </c>
      <c r="D16" s="302">
        <f>'P Y G'!E11</f>
        <v>4731000</v>
      </c>
      <c r="E16" s="211">
        <f>'P Y G'!F11</f>
        <v>4908412.5</v>
      </c>
      <c r="F16" s="303">
        <f>'P Y G'!G11</f>
        <v>5092477.96875</v>
      </c>
      <c r="G16" s="303">
        <f>'P Y G'!H11</f>
        <v>5283445.892578125</v>
      </c>
    </row>
    <row r="17" spans="1:7">
      <c r="A17" s="314" t="str">
        <f>'P Y G'!A13</f>
        <v>Telefono + Internet + TV</v>
      </c>
      <c r="B17" s="211"/>
      <c r="C17" s="302">
        <f>'P Y G'!D13</f>
        <v>1080000</v>
      </c>
      <c r="D17" s="302">
        <f>'P Y G'!E13</f>
        <v>1120500</v>
      </c>
      <c r="E17" s="211">
        <f>'P Y G'!F13</f>
        <v>1162518.75</v>
      </c>
      <c r="F17" s="303">
        <f>'P Y G'!G13</f>
        <v>1206113.203125</v>
      </c>
      <c r="G17" s="303">
        <f>'P Y G'!H13</f>
        <v>1251342.4482421875</v>
      </c>
    </row>
    <row r="18" spans="1:7">
      <c r="A18" s="314" t="str">
        <f>'P Y G'!A14</f>
        <v>Papeleria</v>
      </c>
      <c r="B18" s="211"/>
      <c r="C18" s="302">
        <f>'P Y G'!D14</f>
        <v>360000</v>
      </c>
      <c r="D18" s="302">
        <f>'P Y G'!E14</f>
        <v>373500.00000000006</v>
      </c>
      <c r="E18" s="211">
        <f>'P Y G'!F14</f>
        <v>387506.25000000012</v>
      </c>
      <c r="F18" s="303">
        <f>'P Y G'!G14</f>
        <v>402037.73437500017</v>
      </c>
      <c r="G18" s="303">
        <f>'P Y G'!H14</f>
        <v>417114.14941406273</v>
      </c>
    </row>
    <row r="19" spans="1:7">
      <c r="A19" s="314" t="str">
        <f>'P Y G'!A15</f>
        <v>Aseo + Utileria</v>
      </c>
      <c r="B19" s="211"/>
      <c r="C19" s="302">
        <f>'P Y G'!D15</f>
        <v>1200000</v>
      </c>
      <c r="D19" s="302">
        <f>'P Y G'!E15</f>
        <v>1245000</v>
      </c>
      <c r="E19" s="211">
        <f>'P Y G'!F15</f>
        <v>1291687.5</v>
      </c>
      <c r="F19" s="303">
        <f>'P Y G'!G15</f>
        <v>1340125.78125</v>
      </c>
      <c r="G19" s="303">
        <f>'P Y G'!H15</f>
        <v>1390380.4980468752</v>
      </c>
    </row>
    <row r="20" spans="1:7">
      <c r="A20" s="314" t="str">
        <f>'P Y G'!A16</f>
        <v>Servicios Publicos (Luz + Agua + Gas)</v>
      </c>
      <c r="B20" s="211"/>
      <c r="C20" s="302">
        <f>'P Y G'!D16</f>
        <v>3024000</v>
      </c>
      <c r="D20" s="302">
        <f>'P Y G'!E16</f>
        <v>3137400.0000000005</v>
      </c>
      <c r="E20" s="211">
        <f>'P Y G'!F16</f>
        <v>3255052.5000000009</v>
      </c>
      <c r="F20" s="303">
        <f>'P Y G'!G16</f>
        <v>3377116.9687500014</v>
      </c>
      <c r="G20" s="303">
        <f>'P Y G'!H16</f>
        <v>3503758.8550781268</v>
      </c>
    </row>
    <row r="21" spans="1:7">
      <c r="A21" s="314" t="str">
        <f>'P Y G'!A18</f>
        <v>Publicidad</v>
      </c>
      <c r="B21" s="211"/>
      <c r="C21" s="302">
        <f>'P Y G'!D18</f>
        <v>3600000</v>
      </c>
      <c r="D21" s="302">
        <f>'P Y G'!E18</f>
        <v>3735000.0000000005</v>
      </c>
      <c r="E21" s="211">
        <f>'P Y G'!F18</f>
        <v>3875062.5000000009</v>
      </c>
      <c r="F21" s="303">
        <f>'P Y G'!G18</f>
        <v>4020377.3437500014</v>
      </c>
      <c r="G21" s="303">
        <f>'P Y G'!H18</f>
        <v>4171141.4941406269</v>
      </c>
    </row>
    <row r="22" spans="1:7">
      <c r="A22" s="314" t="str">
        <f>'P Y G'!A19</f>
        <v>Hosting</v>
      </c>
      <c r="B22" s="211"/>
      <c r="C22" s="302">
        <f>'P Y G'!D19</f>
        <v>840000</v>
      </c>
      <c r="D22" s="302">
        <f>'P Y G'!E19</f>
        <v>871500.00000000012</v>
      </c>
      <c r="E22" s="211">
        <f>'P Y G'!F19</f>
        <v>904181.25000000023</v>
      </c>
      <c r="F22" s="303">
        <f>'P Y G'!G19</f>
        <v>938088.04687500035</v>
      </c>
      <c r="G22" s="303">
        <f>'P Y G'!H19</f>
        <v>973266.34863281297</v>
      </c>
    </row>
    <row r="23" spans="1:7">
      <c r="A23" s="314" t="str">
        <f>'P Y G'!A20</f>
        <v>Transporte</v>
      </c>
      <c r="B23" s="211"/>
      <c r="C23" s="302">
        <f>'P Y G'!D20</f>
        <v>12000000</v>
      </c>
      <c r="D23" s="302">
        <f>'P Y G'!E20</f>
        <v>12450000.000000002</v>
      </c>
      <c r="E23" s="211">
        <f>'P Y G'!F20</f>
        <v>12916875.000000004</v>
      </c>
      <c r="F23" s="303">
        <f>'P Y G'!G20</f>
        <v>13401257.812500006</v>
      </c>
      <c r="G23" s="303">
        <f>'P Y G'!H20</f>
        <v>13903804.980468757</v>
      </c>
    </row>
    <row r="24" spans="1:7">
      <c r="A24" s="314" t="str">
        <f>'P Y G'!A21</f>
        <v>Arriendo</v>
      </c>
      <c r="B24" s="211"/>
      <c r="C24" s="302">
        <f>'P Y G'!D21</f>
        <v>13440000</v>
      </c>
      <c r="D24" s="302">
        <f>'P Y G'!E21</f>
        <v>13944000.000000002</v>
      </c>
      <c r="E24" s="211">
        <f>'P Y G'!F21</f>
        <v>14466900.000000004</v>
      </c>
      <c r="F24" s="303">
        <f>'P Y G'!G21</f>
        <v>15009408.750000006</v>
      </c>
      <c r="G24" s="303">
        <f>'P Y G'!H21</f>
        <v>15572261.578125007</v>
      </c>
    </row>
    <row r="25" spans="1:7">
      <c r="A25" s="314" t="s">
        <v>55</v>
      </c>
      <c r="B25" s="211"/>
      <c r="C25" s="302">
        <f>+Financiamiento!H10</f>
        <v>4955759.9112254893</v>
      </c>
      <c r="D25" s="302">
        <f>+Financiamiento!I10</f>
        <v>3251038.9424961731</v>
      </c>
      <c r="E25" s="211">
        <f>+Financiamiento!J10</f>
        <v>1230092.2340675662</v>
      </c>
      <c r="F25" s="303">
        <f>+Financiamiento!K10</f>
        <v>0</v>
      </c>
      <c r="G25" s="303">
        <f>+Financiamiento!L10</f>
        <v>0</v>
      </c>
    </row>
    <row r="26" spans="1:7">
      <c r="A26" s="314" t="s">
        <v>65</v>
      </c>
      <c r="B26" s="211"/>
      <c r="C26" s="302">
        <f>+B65</f>
        <v>9189870.4513709154</v>
      </c>
      <c r="D26" s="302">
        <f t="shared" ref="D26:G26" si="1">+C65</f>
        <v>10894591.420100233</v>
      </c>
      <c r="E26" s="211">
        <f t="shared" si="1"/>
        <v>12915538.128528839</v>
      </c>
      <c r="F26" s="303">
        <f t="shared" si="1"/>
        <v>0</v>
      </c>
      <c r="G26" s="303">
        <f t="shared" si="1"/>
        <v>0</v>
      </c>
    </row>
    <row r="27" spans="1:7">
      <c r="A27" s="314" t="s">
        <v>66</v>
      </c>
      <c r="B27" s="211"/>
      <c r="C27" s="302">
        <f>+B66</f>
        <v>0</v>
      </c>
      <c r="D27" s="302">
        <f t="shared" ref="D27:G27" si="2">+C66</f>
        <v>0</v>
      </c>
      <c r="E27" s="211">
        <f t="shared" si="2"/>
        <v>4222667.1489762627</v>
      </c>
      <c r="F27" s="303">
        <f t="shared" si="2"/>
        <v>7322274.8002577033</v>
      </c>
      <c r="G27" s="303">
        <f t="shared" si="2"/>
        <v>12272071.80890625</v>
      </c>
    </row>
    <row r="28" spans="1:7">
      <c r="A28" s="314" t="s">
        <v>96</v>
      </c>
      <c r="B28" s="211"/>
      <c r="C28" s="302">
        <f>+B67</f>
        <v>0</v>
      </c>
      <c r="D28" s="302">
        <f t="shared" ref="D28:G28" si="3">+C67</f>
        <v>3216700</v>
      </c>
      <c r="E28" s="211">
        <f t="shared" si="3"/>
        <v>3337400</v>
      </c>
      <c r="F28" s="303">
        <f t="shared" si="3"/>
        <v>4072900</v>
      </c>
      <c r="G28" s="303">
        <f t="shared" si="3"/>
        <v>4858800</v>
      </c>
    </row>
    <row r="29" spans="1:7">
      <c r="A29" s="314" t="s">
        <v>93</v>
      </c>
      <c r="B29" s="211">
        <f>+Sup.Generales!C71+Sup.Generales!C82+Sup.Generales!C86</f>
        <v>7092000</v>
      </c>
      <c r="C29" s="302"/>
      <c r="D29" s="302"/>
      <c r="E29" s="211"/>
      <c r="F29" s="303"/>
      <c r="G29" s="303"/>
    </row>
    <row r="30" spans="1:7">
      <c r="A30" s="314" t="s">
        <v>160</v>
      </c>
      <c r="B30" s="211">
        <f>+Sup.Generales!C89</f>
        <v>1600000</v>
      </c>
      <c r="C30" s="302"/>
      <c r="D30" s="302"/>
      <c r="E30" s="211"/>
      <c r="F30" s="303"/>
      <c r="G30" s="303"/>
    </row>
    <row r="31" spans="1:7">
      <c r="A31" s="314" t="s">
        <v>158</v>
      </c>
      <c r="B31" s="211">
        <f>+Sup.Generales!C90</f>
        <v>415000</v>
      </c>
      <c r="C31" s="302"/>
      <c r="D31" s="302"/>
      <c r="E31" s="211"/>
      <c r="F31" s="303"/>
      <c r="G31" s="303"/>
    </row>
    <row r="32" spans="1:7">
      <c r="A32" s="314" t="s">
        <v>159</v>
      </c>
      <c r="B32" s="211">
        <f>+Sup.Generales!C91</f>
        <v>1700000</v>
      </c>
      <c r="C32" s="302"/>
      <c r="D32" s="302"/>
      <c r="E32" s="211"/>
      <c r="F32" s="303"/>
      <c r="G32" s="303"/>
    </row>
    <row r="33" spans="1:7">
      <c r="A33" s="315" t="s">
        <v>67</v>
      </c>
      <c r="B33" s="307">
        <f>SUM(B14:B32)</f>
        <v>10807000</v>
      </c>
      <c r="C33" s="304">
        <f t="shared" ref="C33:G33" si="4">SUM(C14:C32)</f>
        <v>131873630.36259639</v>
      </c>
      <c r="D33" s="304">
        <f t="shared" si="4"/>
        <v>142904230.36259642</v>
      </c>
      <c r="E33" s="307">
        <f>SUM(E14:E32)</f>
        <v>165952893.76157266</v>
      </c>
      <c r="F33" s="305">
        <f t="shared" si="4"/>
        <v>176281178.40963271</v>
      </c>
      <c r="G33" s="305">
        <f t="shared" si="4"/>
        <v>205656988.05363283</v>
      </c>
    </row>
    <row r="34" spans="1:7">
      <c r="A34" s="314"/>
      <c r="B34" s="211"/>
      <c r="C34" s="302"/>
      <c r="D34" s="302"/>
      <c r="E34" s="211"/>
      <c r="F34" s="303"/>
      <c r="G34" s="303"/>
    </row>
    <row r="35" spans="1:7">
      <c r="A35" s="316" t="s">
        <v>68</v>
      </c>
      <c r="B35" s="211">
        <f t="shared" ref="B35:G35" si="5">B11-B33</f>
        <v>31193000</v>
      </c>
      <c r="C35" s="302">
        <f t="shared" si="5"/>
        <v>-10002630.362596393</v>
      </c>
      <c r="D35" s="302">
        <f>D11-D33</f>
        <v>3601469.6374035776</v>
      </c>
      <c r="E35" s="211">
        <f>E11-E33</f>
        <v>7365406.238427341</v>
      </c>
      <c r="F35" s="303">
        <f t="shared" si="5"/>
        <v>32231121.590367287</v>
      </c>
      <c r="G35" s="303">
        <f t="shared" si="5"/>
        <v>41425111.946367174</v>
      </c>
    </row>
    <row r="36" spans="1:7">
      <c r="A36" s="316" t="s">
        <v>69</v>
      </c>
      <c r="B36" s="211">
        <v>0</v>
      </c>
      <c r="C36" s="302">
        <f>+B37</f>
        <v>31193000</v>
      </c>
      <c r="D36" s="302">
        <f t="shared" ref="D36:G36" si="6">+C37</f>
        <v>21190369.637403607</v>
      </c>
      <c r="E36" s="211">
        <f t="shared" si="6"/>
        <v>24791839.274807185</v>
      </c>
      <c r="F36" s="303">
        <f t="shared" si="6"/>
        <v>32157245.513234526</v>
      </c>
      <c r="G36" s="303">
        <f t="shared" si="6"/>
        <v>64388367.103601813</v>
      </c>
    </row>
    <row r="37" spans="1:7">
      <c r="A37" s="338" t="s">
        <v>70</v>
      </c>
      <c r="B37" s="337">
        <f>B35+B36</f>
        <v>31193000</v>
      </c>
      <c r="C37" s="339">
        <f>C35+C36</f>
        <v>21190369.637403607</v>
      </c>
      <c r="D37" s="339">
        <f t="shared" ref="D37:G37" si="7">D35+D36</f>
        <v>24791839.274807185</v>
      </c>
      <c r="E37" s="337">
        <f t="shared" si="7"/>
        <v>32157245.513234526</v>
      </c>
      <c r="F37" s="334">
        <f t="shared" si="7"/>
        <v>64388367.103601813</v>
      </c>
      <c r="G37" s="334">
        <f t="shared" si="7"/>
        <v>105813479.04996899</v>
      </c>
    </row>
    <row r="38" spans="1:7">
      <c r="B38" s="16"/>
      <c r="C38" s="16"/>
      <c r="D38" s="16"/>
      <c r="E38" s="16"/>
      <c r="F38" s="16"/>
      <c r="G38" s="16"/>
    </row>
    <row r="39" spans="1:7">
      <c r="B39" s="16" t="s">
        <v>181</v>
      </c>
      <c r="C39" s="16"/>
      <c r="D39" s="16"/>
      <c r="E39" s="16"/>
      <c r="F39" s="16"/>
      <c r="G39" s="16"/>
    </row>
    <row r="40" spans="1:7">
      <c r="B40" s="16"/>
      <c r="C40" s="16"/>
      <c r="D40" s="16"/>
      <c r="E40" s="16"/>
      <c r="F40" s="16"/>
      <c r="G40" s="16"/>
    </row>
    <row r="41" spans="1:7">
      <c r="B41" s="16"/>
      <c r="C41" s="16"/>
      <c r="D41" s="16"/>
      <c r="E41" s="16"/>
      <c r="F41" s="16"/>
      <c r="G41" s="16"/>
    </row>
    <row r="42" spans="1:7">
      <c r="B42" s="16"/>
      <c r="C42" s="16"/>
      <c r="D42" s="16"/>
      <c r="E42" s="16"/>
      <c r="F42" s="16"/>
      <c r="G42" s="16"/>
    </row>
    <row r="43" spans="1:7">
      <c r="A43" s="317" t="s">
        <v>123</v>
      </c>
      <c r="B43" s="317" t="s">
        <v>91</v>
      </c>
      <c r="C43" s="317" t="s">
        <v>0</v>
      </c>
      <c r="D43" s="317" t="s">
        <v>5</v>
      </c>
      <c r="E43" s="317" t="s">
        <v>7</v>
      </c>
      <c r="F43" s="317" t="s">
        <v>8</v>
      </c>
      <c r="G43" s="319" t="s">
        <v>9</v>
      </c>
    </row>
    <row r="44" spans="1:7">
      <c r="A44" s="212"/>
      <c r="B44" s="209"/>
      <c r="C44" s="209"/>
      <c r="D44" s="209"/>
      <c r="E44" s="209"/>
      <c r="F44" s="209"/>
      <c r="G44" s="236"/>
    </row>
    <row r="45" spans="1:7">
      <c r="A45" s="321" t="s">
        <v>71</v>
      </c>
      <c r="B45" s="209"/>
      <c r="C45" s="209"/>
      <c r="D45" s="209"/>
      <c r="E45" s="209"/>
      <c r="F45" s="209"/>
      <c r="G45" s="236"/>
    </row>
    <row r="46" spans="1:7">
      <c r="A46" s="212" t="s">
        <v>72</v>
      </c>
      <c r="B46" s="209">
        <f>+B37</f>
        <v>31193000</v>
      </c>
      <c r="C46" s="209">
        <f t="shared" ref="C46:G46" si="8">+C37</f>
        <v>21190369.637403607</v>
      </c>
      <c r="D46" s="209">
        <f t="shared" si="8"/>
        <v>24791839.274807185</v>
      </c>
      <c r="E46" s="209">
        <f t="shared" si="8"/>
        <v>32157245.513234526</v>
      </c>
      <c r="F46" s="209">
        <f t="shared" si="8"/>
        <v>64388367.103601813</v>
      </c>
      <c r="G46" s="236">
        <f t="shared" si="8"/>
        <v>105813479.04996899</v>
      </c>
    </row>
    <row r="47" spans="1:7">
      <c r="A47" s="212" t="s">
        <v>73</v>
      </c>
      <c r="B47" s="209"/>
      <c r="C47" s="209"/>
      <c r="D47" s="209"/>
      <c r="E47" s="209"/>
      <c r="F47" s="209"/>
      <c r="G47" s="236"/>
    </row>
    <row r="48" spans="1:7">
      <c r="A48" s="321" t="s">
        <v>74</v>
      </c>
      <c r="B48" s="322">
        <f t="shared" ref="B48:G48" si="9">SUM(B46:B47)</f>
        <v>31193000</v>
      </c>
      <c r="C48" s="322">
        <f t="shared" si="9"/>
        <v>21190369.637403607</v>
      </c>
      <c r="D48" s="322">
        <f t="shared" si="9"/>
        <v>24791839.274807185</v>
      </c>
      <c r="E48" s="322">
        <f t="shared" si="9"/>
        <v>32157245.513234526</v>
      </c>
      <c r="F48" s="322">
        <f t="shared" si="9"/>
        <v>64388367.103601813</v>
      </c>
      <c r="G48" s="323">
        <f t="shared" si="9"/>
        <v>105813479.04996899</v>
      </c>
    </row>
    <row r="49" spans="1:13">
      <c r="A49" s="212"/>
      <c r="B49" s="209"/>
      <c r="C49" s="209"/>
      <c r="D49" s="209"/>
      <c r="E49" s="209"/>
      <c r="F49" s="209"/>
      <c r="G49" s="236"/>
    </row>
    <row r="50" spans="1:13">
      <c r="A50" s="212" t="str">
        <f>+Sup.Generales!A71</f>
        <v>Mueble y Enseres</v>
      </c>
      <c r="B50" s="209">
        <f>+Sup.Generales!C71</f>
        <v>5420000</v>
      </c>
      <c r="C50" s="209">
        <f>+B50</f>
        <v>5420000</v>
      </c>
      <c r="D50" s="209">
        <f t="shared" ref="D50:G50" si="10">+C50</f>
        <v>5420000</v>
      </c>
      <c r="E50" s="209">
        <f t="shared" si="10"/>
        <v>5420000</v>
      </c>
      <c r="F50" s="209">
        <f t="shared" si="10"/>
        <v>5420000</v>
      </c>
      <c r="G50" s="236">
        <f t="shared" si="10"/>
        <v>5420000</v>
      </c>
    </row>
    <row r="51" spans="1:13">
      <c r="A51" s="212" t="str">
        <f>+Sup.Generales!A82</f>
        <v>Equipo de Computo</v>
      </c>
      <c r="B51" s="209">
        <f>+Sup.Generales!C82</f>
        <v>1272000</v>
      </c>
      <c r="C51" s="209">
        <f t="shared" ref="C51:G52" si="11">+B51</f>
        <v>1272000</v>
      </c>
      <c r="D51" s="209">
        <f t="shared" si="11"/>
        <v>1272000</v>
      </c>
      <c r="E51" s="209">
        <f t="shared" si="11"/>
        <v>1272000</v>
      </c>
      <c r="F51" s="209">
        <f t="shared" si="11"/>
        <v>1272000</v>
      </c>
      <c r="G51" s="236">
        <f t="shared" si="11"/>
        <v>1272000</v>
      </c>
    </row>
    <row r="52" spans="1:13">
      <c r="A52" s="212" t="str">
        <f>+Sup.Generales!A86</f>
        <v>Equipo de Oficina</v>
      </c>
      <c r="B52" s="209">
        <f>+Sup.Generales!C86</f>
        <v>400000</v>
      </c>
      <c r="C52" s="209">
        <f t="shared" si="11"/>
        <v>400000</v>
      </c>
      <c r="D52" s="209">
        <f t="shared" si="11"/>
        <v>400000</v>
      </c>
      <c r="E52" s="209">
        <f t="shared" si="11"/>
        <v>400000</v>
      </c>
      <c r="F52" s="209">
        <f t="shared" si="11"/>
        <v>400000</v>
      </c>
      <c r="G52" s="236">
        <f t="shared" si="11"/>
        <v>400000</v>
      </c>
    </row>
    <row r="53" spans="1:13">
      <c r="A53" s="212" t="s">
        <v>75</v>
      </c>
      <c r="B53" s="209"/>
      <c r="C53" s="209">
        <f>+-'P Y G'!D12</f>
        <v>-836400</v>
      </c>
      <c r="D53" s="209">
        <f>C53-'P Y G'!E12</f>
        <v>-1672800</v>
      </c>
      <c r="E53" s="209">
        <f>D53-'P Y G'!F12</f>
        <v>-2509200</v>
      </c>
      <c r="F53" s="209">
        <f>E53-'P Y G'!G12</f>
        <v>-3345600</v>
      </c>
      <c r="G53" s="236">
        <f>F53-'P Y G'!H12</f>
        <v>-4182000</v>
      </c>
    </row>
    <row r="54" spans="1:13">
      <c r="A54" s="321" t="s">
        <v>76</v>
      </c>
      <c r="B54" s="322">
        <f t="shared" ref="B54:G54" si="12">SUM(B50:B53)</f>
        <v>7092000</v>
      </c>
      <c r="C54" s="322">
        <f t="shared" si="12"/>
        <v>6255600</v>
      </c>
      <c r="D54" s="322">
        <f t="shared" si="12"/>
        <v>5419200</v>
      </c>
      <c r="E54" s="322">
        <f t="shared" si="12"/>
        <v>4582800</v>
      </c>
      <c r="F54" s="322">
        <f t="shared" si="12"/>
        <v>3746400</v>
      </c>
      <c r="G54" s="323">
        <f t="shared" si="12"/>
        <v>2910000</v>
      </c>
    </row>
    <row r="55" spans="1:13">
      <c r="A55" s="212" t="s">
        <v>61</v>
      </c>
      <c r="B55" s="209"/>
      <c r="C55" s="209"/>
      <c r="D55" s="209"/>
      <c r="E55" s="209"/>
      <c r="F55" s="209"/>
      <c r="G55" s="236"/>
    </row>
    <row r="56" spans="1:13">
      <c r="A56" s="212" t="s">
        <v>158</v>
      </c>
      <c r="B56" s="209">
        <f>+Sup.Generales!C90</f>
        <v>415000</v>
      </c>
      <c r="C56" s="209">
        <f>B56</f>
        <v>415000</v>
      </c>
      <c r="D56" s="209">
        <f t="shared" ref="D56:G56" si="13">C56</f>
        <v>415000</v>
      </c>
      <c r="E56" s="209">
        <f t="shared" si="13"/>
        <v>415000</v>
      </c>
      <c r="F56" s="209">
        <f t="shared" si="13"/>
        <v>415000</v>
      </c>
      <c r="G56" s="236">
        <f t="shared" si="13"/>
        <v>415000</v>
      </c>
    </row>
    <row r="57" spans="1:13">
      <c r="A57" s="212" t="s">
        <v>159</v>
      </c>
      <c r="B57" s="209">
        <f>+Sup.Generales!C91</f>
        <v>1700000</v>
      </c>
      <c r="C57" s="209">
        <f t="shared" ref="C57:G58" si="14">B57</f>
        <v>1700000</v>
      </c>
      <c r="D57" s="209">
        <f t="shared" si="14"/>
        <v>1700000</v>
      </c>
      <c r="E57" s="209">
        <f t="shared" si="14"/>
        <v>1700000</v>
      </c>
      <c r="F57" s="209">
        <f t="shared" si="14"/>
        <v>1700000</v>
      </c>
      <c r="G57" s="236">
        <f t="shared" si="14"/>
        <v>1700000</v>
      </c>
    </row>
    <row r="58" spans="1:13">
      <c r="A58" s="212" t="s">
        <v>32</v>
      </c>
      <c r="B58" s="209">
        <f>+Sup.Generales!C89</f>
        <v>1600000</v>
      </c>
      <c r="C58" s="209">
        <f t="shared" si="14"/>
        <v>1600000</v>
      </c>
      <c r="D58" s="209">
        <f t="shared" si="14"/>
        <v>1600000</v>
      </c>
      <c r="E58" s="209">
        <f t="shared" si="14"/>
        <v>1600000</v>
      </c>
      <c r="F58" s="209">
        <f t="shared" si="14"/>
        <v>1600000</v>
      </c>
      <c r="G58" s="236">
        <f t="shared" si="14"/>
        <v>1600000</v>
      </c>
    </row>
    <row r="59" spans="1:13">
      <c r="A59" s="212" t="s">
        <v>27</v>
      </c>
      <c r="B59" s="209"/>
      <c r="C59" s="209">
        <f>-'P Y G'!D17</f>
        <v>-743000</v>
      </c>
      <c r="D59" s="209">
        <f>+C59-'P Y G'!E17</f>
        <v>-1486000</v>
      </c>
      <c r="E59" s="209">
        <f>+D59-'P Y G'!F17</f>
        <v>-2229000</v>
      </c>
      <c r="F59" s="209">
        <f>+E59-'P Y G'!G17</f>
        <v>-2972000</v>
      </c>
      <c r="G59" s="236">
        <f>+F59-'P Y G'!H17</f>
        <v>-3715000</v>
      </c>
    </row>
    <row r="60" spans="1:13">
      <c r="A60" s="321" t="s">
        <v>94</v>
      </c>
      <c r="B60" s="322">
        <f>SUM(B56:B59)</f>
        <v>3715000</v>
      </c>
      <c r="C60" s="322">
        <f t="shared" ref="C60:G60" si="15">SUM(C56:C59)</f>
        <v>2972000</v>
      </c>
      <c r="D60" s="322">
        <f t="shared" si="15"/>
        <v>2229000</v>
      </c>
      <c r="E60" s="322">
        <f t="shared" si="15"/>
        <v>1486000</v>
      </c>
      <c r="F60" s="322">
        <f t="shared" si="15"/>
        <v>743000</v>
      </c>
      <c r="G60" s="323">
        <f t="shared" si="15"/>
        <v>0</v>
      </c>
    </row>
    <row r="61" spans="1:13">
      <c r="A61" s="212"/>
      <c r="B61" s="209"/>
      <c r="C61" s="209"/>
      <c r="D61" s="209"/>
      <c r="E61" s="209"/>
      <c r="F61" s="209"/>
      <c r="G61" s="236"/>
    </row>
    <row r="62" spans="1:13">
      <c r="A62" s="325" t="s">
        <v>77</v>
      </c>
      <c r="B62" s="326">
        <f>+B60+B54+B48</f>
        <v>42000000</v>
      </c>
      <c r="C62" s="326">
        <f t="shared" ref="C62:G62" si="16">+C60+C54+C48</f>
        <v>30417969.637403607</v>
      </c>
      <c r="D62" s="326">
        <f t="shared" si="16"/>
        <v>32440039.274807185</v>
      </c>
      <c r="E62" s="326">
        <f t="shared" si="16"/>
        <v>38226045.513234526</v>
      </c>
      <c r="F62" s="326">
        <f t="shared" si="16"/>
        <v>68877767.103601813</v>
      </c>
      <c r="G62" s="327">
        <f t="shared" si="16"/>
        <v>108723479.04996899</v>
      </c>
    </row>
    <row r="63" spans="1:13">
      <c r="A63" s="212"/>
      <c r="B63" s="209"/>
      <c r="C63" s="209"/>
      <c r="D63" s="209"/>
      <c r="E63" s="209"/>
      <c r="F63" s="209"/>
      <c r="G63" s="236"/>
    </row>
    <row r="64" spans="1:13">
      <c r="A64" s="321" t="s">
        <v>78</v>
      </c>
      <c r="B64" s="209"/>
      <c r="C64" s="209"/>
      <c r="D64" s="209"/>
      <c r="E64" s="209"/>
      <c r="F64" s="209"/>
      <c r="G64" s="236"/>
      <c r="J64" s="20"/>
      <c r="K64" s="20"/>
      <c r="L64" s="20"/>
      <c r="M64" s="20"/>
    </row>
    <row r="65" spans="1:15">
      <c r="A65" s="212" t="s">
        <v>79</v>
      </c>
      <c r="B65" s="209">
        <f>+Financiamiento!H11</f>
        <v>9189870.4513709154</v>
      </c>
      <c r="C65" s="209">
        <f>+Financiamiento!I11</f>
        <v>10894591.420100233</v>
      </c>
      <c r="D65" s="209">
        <f>+Financiamiento!J11</f>
        <v>12915538.128528839</v>
      </c>
      <c r="E65" s="209">
        <f>+Financiamiento!K11</f>
        <v>0</v>
      </c>
      <c r="F65" s="209">
        <f>+Financiamiento!L11</f>
        <v>0</v>
      </c>
      <c r="G65" s="236"/>
      <c r="I65" s="20"/>
      <c r="J65" s="20"/>
      <c r="K65" s="20"/>
      <c r="L65" s="20"/>
      <c r="M65" s="20"/>
      <c r="N65" s="20">
        <f>+G65+G70</f>
        <v>0</v>
      </c>
      <c r="O65" s="20">
        <f>+H65+H70</f>
        <v>0</v>
      </c>
    </row>
    <row r="66" spans="1:15">
      <c r="A66" s="212" t="s">
        <v>80</v>
      </c>
      <c r="B66" s="209"/>
      <c r="C66" s="209">
        <f>+'P Y G'!D31</f>
        <v>0</v>
      </c>
      <c r="D66" s="209">
        <f>+'P Y G'!E31</f>
        <v>4222667.1489762627</v>
      </c>
      <c r="E66" s="209">
        <f>+'P Y G'!F31</f>
        <v>7322274.8002577033</v>
      </c>
      <c r="F66" s="209">
        <f>+'P Y G'!G31</f>
        <v>12272071.80890625</v>
      </c>
      <c r="G66" s="236">
        <f>+'P Y G'!H31</f>
        <v>16890054.639240231</v>
      </c>
    </row>
    <row r="67" spans="1:15">
      <c r="A67" s="212" t="s">
        <v>95</v>
      </c>
      <c r="B67" s="209"/>
      <c r="C67" s="209">
        <f>+'Presupuesto Gastos'!G9</f>
        <v>3216700</v>
      </c>
      <c r="D67" s="209">
        <f>+'Presupuesto Gastos'!G16</f>
        <v>3337400</v>
      </c>
      <c r="E67" s="209">
        <f>+'Presupuesto Gastos'!G23</f>
        <v>4072900</v>
      </c>
      <c r="F67" s="209">
        <f>+'Presupuesto Gastos'!G30</f>
        <v>4858800</v>
      </c>
      <c r="G67" s="236">
        <f>+'Presupuesto Gastos'!G37</f>
        <v>5794600</v>
      </c>
    </row>
    <row r="68" spans="1:15">
      <c r="A68" s="321" t="s">
        <v>81</v>
      </c>
      <c r="B68" s="322">
        <f t="shared" ref="B68:G68" si="17">SUM(B65:B67)</f>
        <v>9189870.4513709154</v>
      </c>
      <c r="C68" s="322">
        <f t="shared" si="17"/>
        <v>14111291.420100233</v>
      </c>
      <c r="D68" s="322">
        <f t="shared" si="17"/>
        <v>20475605.2775051</v>
      </c>
      <c r="E68" s="322">
        <f t="shared" si="17"/>
        <v>11395174.800257703</v>
      </c>
      <c r="F68" s="322">
        <f t="shared" si="17"/>
        <v>17130871.80890625</v>
      </c>
      <c r="G68" s="323">
        <f t="shared" si="17"/>
        <v>22684654.639240231</v>
      </c>
    </row>
    <row r="69" spans="1:15">
      <c r="A69" s="212"/>
      <c r="B69" s="209"/>
      <c r="C69" s="209"/>
      <c r="D69" s="209"/>
      <c r="E69" s="209"/>
      <c r="F69" s="209"/>
      <c r="G69" s="236"/>
    </row>
    <row r="70" spans="1:15">
      <c r="A70" s="212" t="s">
        <v>82</v>
      </c>
      <c r="B70" s="209">
        <f>+Financiamiento!H12</f>
        <v>23810129.548629079</v>
      </c>
      <c r="C70" s="209">
        <f>+Financiamiento!I12</f>
        <v>12915538.128528848</v>
      </c>
      <c r="D70" s="209">
        <f>+Financiamiento!J12</f>
        <v>7.6834112405776978E-9</v>
      </c>
      <c r="E70" s="209">
        <f>+Financiamiento!K12</f>
        <v>0</v>
      </c>
      <c r="F70" s="209"/>
      <c r="G70" s="236"/>
      <c r="J70" s="20"/>
      <c r="K70" s="20"/>
      <c r="L70" s="20"/>
    </row>
    <row r="71" spans="1:15">
      <c r="A71" s="321" t="s">
        <v>83</v>
      </c>
      <c r="B71" s="322">
        <f>SUM(B70)</f>
        <v>23810129.548629079</v>
      </c>
      <c r="C71" s="322">
        <f t="shared" ref="C71:G71" si="18">SUM(C70)</f>
        <v>12915538.128528848</v>
      </c>
      <c r="D71" s="322">
        <f t="shared" si="18"/>
        <v>7.6834112405776978E-9</v>
      </c>
      <c r="E71" s="322">
        <f t="shared" si="18"/>
        <v>0</v>
      </c>
      <c r="F71" s="322">
        <f t="shared" si="18"/>
        <v>0</v>
      </c>
      <c r="G71" s="323">
        <f t="shared" si="18"/>
        <v>0</v>
      </c>
    </row>
    <row r="72" spans="1:15">
      <c r="A72" s="212"/>
      <c r="B72" s="209"/>
      <c r="C72" s="209"/>
      <c r="D72" s="209"/>
      <c r="E72" s="209"/>
      <c r="F72" s="209"/>
      <c r="G72" s="236"/>
    </row>
    <row r="73" spans="1:15">
      <c r="A73" s="325" t="s">
        <v>84</v>
      </c>
      <c r="B73" s="326">
        <f>+B71+B68</f>
        <v>32999999.999999993</v>
      </c>
      <c r="C73" s="326">
        <f t="shared" ref="C73:G73" si="19">+C71+C68</f>
        <v>27026829.548629083</v>
      </c>
      <c r="D73" s="326">
        <f t="shared" si="19"/>
        <v>20475605.277505107</v>
      </c>
      <c r="E73" s="326">
        <f t="shared" si="19"/>
        <v>11395174.800257703</v>
      </c>
      <c r="F73" s="326">
        <f t="shared" si="19"/>
        <v>17130871.80890625</v>
      </c>
      <c r="G73" s="327">
        <f t="shared" si="19"/>
        <v>22684654.639240231</v>
      </c>
    </row>
    <row r="74" spans="1:15">
      <c r="A74" s="212"/>
      <c r="B74" s="209"/>
      <c r="C74" s="209"/>
      <c r="D74" s="209"/>
      <c r="E74" s="209"/>
      <c r="F74" s="209"/>
      <c r="G74" s="236"/>
    </row>
    <row r="75" spans="1:15">
      <c r="A75" s="212" t="s">
        <v>85</v>
      </c>
      <c r="B75" s="209">
        <f>+Financiamiento!C5</f>
        <v>9000000</v>
      </c>
      <c r="C75" s="209">
        <f>+B75</f>
        <v>9000000</v>
      </c>
      <c r="D75" s="209">
        <f t="shared" ref="D75:G75" si="20">+C75</f>
        <v>9000000</v>
      </c>
      <c r="E75" s="209">
        <f t="shared" si="20"/>
        <v>9000000</v>
      </c>
      <c r="F75" s="209">
        <f t="shared" si="20"/>
        <v>9000000</v>
      </c>
      <c r="G75" s="236">
        <f t="shared" si="20"/>
        <v>9000000</v>
      </c>
    </row>
    <row r="76" spans="1:15">
      <c r="A76" s="212" t="s">
        <v>86</v>
      </c>
      <c r="B76" s="209"/>
      <c r="C76" s="209"/>
      <c r="D76" s="320">
        <f>(C78+C77)*10%</f>
        <v>-560885.99112254893</v>
      </c>
      <c r="E76" s="320">
        <f>(D78+D77)*10%+D76</f>
        <v>-208353.99228008656</v>
      </c>
      <c r="F76" s="320">
        <f t="shared" ref="F76:G76" si="21">(E78+E77)*10%+E76</f>
        <v>1595568.4782456027</v>
      </c>
      <c r="G76" s="318">
        <f t="shared" si="21"/>
        <v>5710701.1598905986</v>
      </c>
    </row>
    <row r="77" spans="1:15">
      <c r="A77" s="212" t="s">
        <v>87</v>
      </c>
      <c r="B77" s="209"/>
      <c r="C77" s="209"/>
      <c r="D77" s="209">
        <f>+(C77+C78)*90%</f>
        <v>-5047973.9201029409</v>
      </c>
      <c r="E77" s="209">
        <f t="shared" ref="E77:G77" si="22">+(D77+D78)*90%</f>
        <v>3172787.989582161</v>
      </c>
      <c r="F77" s="209">
        <f t="shared" si="22"/>
        <v>16235302.234731201</v>
      </c>
      <c r="G77" s="236">
        <f t="shared" si="22"/>
        <v>37036194.134804964</v>
      </c>
    </row>
    <row r="78" spans="1:15">
      <c r="A78" s="212" t="s">
        <v>88</v>
      </c>
      <c r="B78" s="209"/>
      <c r="C78" s="209">
        <f>+'P Y G'!D33</f>
        <v>-5608859.9112254893</v>
      </c>
      <c r="D78" s="209">
        <f>+'P Y G'!E33</f>
        <v>8573293.9085275643</v>
      </c>
      <c r="E78" s="209">
        <f>+'P Y G'!F33</f>
        <v>14866436.71567473</v>
      </c>
      <c r="F78" s="209">
        <f>+'P Y G'!G33</f>
        <v>24916024.58171875</v>
      </c>
      <c r="G78" s="236">
        <f>+'P Y G'!H33</f>
        <v>34291929.116033196</v>
      </c>
    </row>
    <row r="79" spans="1:15">
      <c r="A79" s="325" t="s">
        <v>89</v>
      </c>
      <c r="B79" s="326">
        <f>SUM(B75:B78)</f>
        <v>9000000</v>
      </c>
      <c r="C79" s="326">
        <f t="shared" ref="C79:G79" si="23">SUM(C75:C78)</f>
        <v>3391140.0887745107</v>
      </c>
      <c r="D79" s="326">
        <f t="shared" si="23"/>
        <v>11964433.997302074</v>
      </c>
      <c r="E79" s="326">
        <f t="shared" si="23"/>
        <v>26830870.712976806</v>
      </c>
      <c r="F79" s="326">
        <f t="shared" si="23"/>
        <v>51746895.294695556</v>
      </c>
      <c r="G79" s="327">
        <f t="shared" si="23"/>
        <v>86038824.410728753</v>
      </c>
    </row>
    <row r="80" spans="1:15">
      <c r="A80" s="212"/>
      <c r="B80" s="209"/>
      <c r="C80" s="209"/>
      <c r="D80" s="209"/>
      <c r="E80" s="209"/>
      <c r="F80" s="209"/>
      <c r="G80" s="236"/>
    </row>
    <row r="81" spans="1:7">
      <c r="A81" s="328" t="s">
        <v>90</v>
      </c>
      <c r="B81" s="329">
        <f>+B79+B73</f>
        <v>41999999.999999993</v>
      </c>
      <c r="C81" s="329">
        <f t="shared" ref="C81:G81" si="24">+C79+C73</f>
        <v>30417969.637403592</v>
      </c>
      <c r="D81" s="329">
        <f t="shared" si="24"/>
        <v>32440039.274807181</v>
      </c>
      <c r="E81" s="329">
        <f t="shared" si="24"/>
        <v>38226045.513234511</v>
      </c>
      <c r="F81" s="329">
        <f t="shared" si="24"/>
        <v>68877767.103601813</v>
      </c>
      <c r="G81" s="330">
        <f t="shared" si="24"/>
        <v>108723479.04996899</v>
      </c>
    </row>
    <row r="83" spans="1:7">
      <c r="B83" s="20">
        <f t="shared" ref="B83:G83" si="25">+B81-B62</f>
        <v>0</v>
      </c>
      <c r="C83" s="20">
        <f t="shared" si="25"/>
        <v>0</v>
      </c>
      <c r="D83" s="20">
        <f t="shared" si="25"/>
        <v>0</v>
      </c>
      <c r="E83" s="20">
        <f t="shared" si="25"/>
        <v>0</v>
      </c>
      <c r="F83" s="20">
        <f t="shared" si="25"/>
        <v>0</v>
      </c>
      <c r="G83" s="20">
        <f t="shared" si="25"/>
        <v>0</v>
      </c>
    </row>
    <row r="85" spans="1:7">
      <c r="B85" t="s">
        <v>182</v>
      </c>
    </row>
    <row r="86" spans="1:7">
      <c r="B86" t="s">
        <v>183</v>
      </c>
    </row>
  </sheetData>
  <sheetProtection password="B3AF"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A7"/>
  <sheetViews>
    <sheetView workbookViewId="0"/>
  </sheetViews>
  <sheetFormatPr baseColWidth="10" defaultColWidth="11.42578125" defaultRowHeight="15"/>
  <sheetData>
    <row r="1" spans="1:1">
      <c r="A1" t="s">
        <v>120</v>
      </c>
    </row>
    <row r="2" spans="1:1">
      <c r="A2" t="s">
        <v>172</v>
      </c>
    </row>
    <row r="3" spans="1:1">
      <c r="A3" t="s">
        <v>173</v>
      </c>
    </row>
    <row r="4" spans="1:1">
      <c r="A4" t="s">
        <v>174</v>
      </c>
    </row>
    <row r="5" spans="1:1">
      <c r="A5" t="s">
        <v>175</v>
      </c>
    </row>
    <row r="6" spans="1:1">
      <c r="A6" t="s">
        <v>176</v>
      </c>
    </row>
    <row r="7" spans="1:1">
      <c r="A7"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I41"/>
  <sheetViews>
    <sheetView showGridLines="0" workbookViewId="0">
      <selection activeCell="F28" sqref="F28"/>
    </sheetView>
  </sheetViews>
  <sheetFormatPr baseColWidth="10" defaultColWidth="11.42578125" defaultRowHeight="15"/>
  <cols>
    <col min="1" max="1" width="20.140625" bestFit="1" customWidth="1"/>
    <col min="2" max="6" width="17.7109375" bestFit="1" customWidth="1"/>
    <col min="7" max="7" width="15.5703125" bestFit="1" customWidth="1"/>
  </cols>
  <sheetData>
    <row r="2" spans="1:8">
      <c r="A2" s="443" t="s">
        <v>249</v>
      </c>
      <c r="B2" s="443"/>
      <c r="C2" s="443"/>
      <c r="D2" s="443"/>
      <c r="E2" s="443"/>
      <c r="F2" s="443"/>
      <c r="G2" s="443"/>
    </row>
    <row r="3" spans="1:8">
      <c r="A3" s="464" t="s">
        <v>250</v>
      </c>
      <c r="B3" s="465"/>
      <c r="C3" s="466">
        <v>-4.6022925152214136E-2</v>
      </c>
      <c r="D3" s="466">
        <v>5.8518500703573749E-2</v>
      </c>
      <c r="E3" s="466">
        <v>8.5775343490414643E-2</v>
      </c>
      <c r="F3" s="466">
        <v>0.11949426763657947</v>
      </c>
      <c r="G3" s="466">
        <v>0.13878758969602895</v>
      </c>
    </row>
    <row r="4" spans="1:8">
      <c r="A4" s="341"/>
      <c r="B4" s="340" t="s">
        <v>91</v>
      </c>
      <c r="C4" s="340" t="s">
        <v>0</v>
      </c>
      <c r="D4" s="340" t="s">
        <v>5</v>
      </c>
      <c r="E4" s="340" t="s">
        <v>7</v>
      </c>
      <c r="F4" s="340" t="s">
        <v>8</v>
      </c>
      <c r="G4" s="340" t="s">
        <v>9</v>
      </c>
    </row>
    <row r="5" spans="1:8">
      <c r="A5" s="342" t="s">
        <v>108</v>
      </c>
      <c r="B5" s="209">
        <f>Financiamiento!C5</f>
        <v>9000000</v>
      </c>
      <c r="C5" s="212"/>
      <c r="D5" s="212"/>
      <c r="E5" s="212"/>
      <c r="F5" s="212"/>
      <c r="G5" s="212"/>
    </row>
    <row r="6" spans="1:8">
      <c r="A6" s="212"/>
      <c r="B6" s="212"/>
      <c r="C6" s="212"/>
      <c r="D6" s="212"/>
      <c r="E6" s="212"/>
      <c r="F6" s="212"/>
      <c r="G6" s="212"/>
    </row>
    <row r="7" spans="1:8">
      <c r="A7" s="321" t="s">
        <v>109</v>
      </c>
      <c r="B7" s="212"/>
      <c r="C7" s="209">
        <f>'P Y G'!D33</f>
        <v>-5608859.9112254893</v>
      </c>
      <c r="D7" s="209">
        <f>'P Y G'!E33</f>
        <v>8573293.9085275643</v>
      </c>
      <c r="E7" s="209">
        <f>'P Y G'!F33</f>
        <v>14866436.71567473</v>
      </c>
      <c r="F7" s="209">
        <f>'P Y G'!G33</f>
        <v>24916024.58171875</v>
      </c>
      <c r="G7" s="209">
        <f>'P Y G'!H33</f>
        <v>34291929.116033196</v>
      </c>
    </row>
    <row r="8" spans="1:8">
      <c r="A8" s="321" t="s">
        <v>110</v>
      </c>
      <c r="B8" s="212"/>
      <c r="C8" s="209">
        <f>+'P Y G'!D12</f>
        <v>836400</v>
      </c>
      <c r="D8" s="209">
        <f>+'P Y G'!E12</f>
        <v>836400</v>
      </c>
      <c r="E8" s="209">
        <f>+'P Y G'!F12</f>
        <v>836400</v>
      </c>
      <c r="F8" s="209">
        <f>+'P Y G'!G12</f>
        <v>836400</v>
      </c>
      <c r="G8" s="209">
        <f>+'P Y G'!H12</f>
        <v>836400</v>
      </c>
    </row>
    <row r="9" spans="1:8">
      <c r="A9" s="324" t="s">
        <v>111</v>
      </c>
      <c r="B9" s="213"/>
      <c r="C9" s="210">
        <f>+'P Y G'!D17</f>
        <v>743000</v>
      </c>
      <c r="D9" s="210">
        <f>+'P Y G'!E17</f>
        <v>743000</v>
      </c>
      <c r="E9" s="210">
        <f>+'P Y G'!F17</f>
        <v>743000</v>
      </c>
      <c r="F9" s="210">
        <f>+'P Y G'!G17</f>
        <v>743000</v>
      </c>
      <c r="G9" s="210">
        <f>+'P Y G'!H17</f>
        <v>743000</v>
      </c>
    </row>
    <row r="10" spans="1:8">
      <c r="A10" s="338" t="s">
        <v>112</v>
      </c>
      <c r="B10" s="337">
        <f>-B5</f>
        <v>-9000000</v>
      </c>
      <c r="C10" s="343">
        <f>SUM(C7:C9)</f>
        <v>-4029459.9112254893</v>
      </c>
      <c r="D10" s="343">
        <f t="shared" ref="D10:G10" si="0">SUM(D7:D9)</f>
        <v>10152693.908527564</v>
      </c>
      <c r="E10" s="343">
        <f t="shared" si="0"/>
        <v>16445836.71567473</v>
      </c>
      <c r="F10" s="343">
        <f t="shared" si="0"/>
        <v>26495424.58171875</v>
      </c>
      <c r="G10" s="343">
        <f t="shared" si="0"/>
        <v>35871329.116033196</v>
      </c>
    </row>
    <row r="11" spans="1:8" ht="15.75" thickBot="1"/>
    <row r="12" spans="1:8" ht="15.75">
      <c r="A12" s="397" t="s">
        <v>113</v>
      </c>
      <c r="B12" s="391">
        <v>0.18</v>
      </c>
      <c r="C12" s="392"/>
    </row>
    <row r="13" spans="1:8" ht="15.75">
      <c r="A13" s="398" t="s">
        <v>114</v>
      </c>
      <c r="B13" s="393">
        <f>NPV(B12,C10:G10)+B10</f>
        <v>34231887.899236836</v>
      </c>
      <c r="C13" s="394"/>
      <c r="G13" s="14"/>
    </row>
    <row r="14" spans="1:8" ht="16.5" thickBot="1">
      <c r="A14" s="399" t="s">
        <v>115</v>
      </c>
      <c r="B14" s="395">
        <f>IRR(B10:G10)</f>
        <v>0.75451867601478328</v>
      </c>
      <c r="C14" s="396"/>
      <c r="F14" s="173">
        <f>B14-B12</f>
        <v>0.57451867601478335</v>
      </c>
    </row>
    <row r="16" spans="1:8">
      <c r="G16" s="62"/>
      <c r="H16" s="62"/>
    </row>
    <row r="17" spans="1:9">
      <c r="A17" s="444" t="s">
        <v>116</v>
      </c>
      <c r="B17" s="445"/>
      <c r="C17" s="445"/>
      <c r="D17" s="445"/>
      <c r="E17" s="445"/>
      <c r="F17" s="446"/>
    </row>
    <row r="18" spans="1:9">
      <c r="A18" s="345"/>
      <c r="B18" s="340" t="s">
        <v>0</v>
      </c>
      <c r="C18" s="340" t="s">
        <v>5</v>
      </c>
      <c r="D18" s="340" t="s">
        <v>7</v>
      </c>
      <c r="E18" s="340" t="s">
        <v>8</v>
      </c>
      <c r="F18" s="340" t="s">
        <v>9</v>
      </c>
    </row>
    <row r="19" spans="1:9">
      <c r="A19" s="216"/>
      <c r="B19" s="344"/>
      <c r="C19" s="344"/>
      <c r="D19" s="344"/>
      <c r="E19" s="344"/>
      <c r="F19" s="344"/>
    </row>
    <row r="20" spans="1:9">
      <c r="A20" s="331" t="s">
        <v>117</v>
      </c>
      <c r="B20" s="209">
        <f>+'P Y G'!D23-'P Y G'!D8+'P Y G'!D28</f>
        <v>105867859.91122548</v>
      </c>
      <c r="C20" s="209">
        <f>+'P Y G'!E23-'P Y G'!E8+'P Y G'!E28</f>
        <v>107889638.94249618</v>
      </c>
      <c r="D20" s="209">
        <f>+'P Y G'!F23-'P Y G'!F8+'P Y G'!F28</f>
        <v>120817288.48406756</v>
      </c>
      <c r="E20" s="209">
        <f>+'P Y G'!G23-'P Y G'!G8+'P Y G'!G28</f>
        <v>135510903.609375</v>
      </c>
      <c r="F20" s="209">
        <f>+'P Y G'!H23-'P Y G'!H8+'P Y G'!H28</f>
        <v>154218616.24472657</v>
      </c>
    </row>
    <row r="21" spans="1:9">
      <c r="A21" s="331" t="s">
        <v>3</v>
      </c>
      <c r="B21" s="231">
        <f>+'P Y G'!D4</f>
        <v>121871000</v>
      </c>
      <c r="C21" s="231">
        <f>+'P Y G'!E4</f>
        <v>146505700</v>
      </c>
      <c r="D21" s="231">
        <f>+'P Y G'!F4</f>
        <v>173318300</v>
      </c>
      <c r="E21" s="231">
        <f>+'P Y G'!G4</f>
        <v>208512300</v>
      </c>
      <c r="F21" s="231">
        <f>+'P Y G'!H4</f>
        <v>247082100</v>
      </c>
    </row>
    <row r="22" spans="1:9">
      <c r="A22" s="331" t="s">
        <v>118</v>
      </c>
      <c r="B22" s="210">
        <f>+'P Y G'!D8</f>
        <v>21612000</v>
      </c>
      <c r="C22" s="210">
        <f>+'P Y G'!E8</f>
        <v>25820100</v>
      </c>
      <c r="D22" s="210">
        <f>+'P Y G'!F8</f>
        <v>30312300</v>
      </c>
      <c r="E22" s="210">
        <f>+'P Y G'!G8</f>
        <v>35813300</v>
      </c>
      <c r="F22" s="210">
        <f>+'P Y G'!H8</f>
        <v>41681500</v>
      </c>
    </row>
    <row r="23" spans="1:9">
      <c r="A23" s="238" t="s">
        <v>119</v>
      </c>
      <c r="B23" s="346">
        <f>B20/(1-(B22/B21))</f>
        <v>128688915.26188134</v>
      </c>
      <c r="C23" s="347">
        <f>C20/(1-(C22/C21))</f>
        <v>130972105.00687459</v>
      </c>
      <c r="D23" s="348">
        <f>D20/(1-(D22/D21))</f>
        <v>146426353.09475243</v>
      </c>
      <c r="E23" s="348">
        <f>E20/(1-(E22/E21))</f>
        <v>163612355.52417257</v>
      </c>
      <c r="F23" s="349">
        <f>F20/(1-(F22/F21))</f>
        <v>185513866.85745394</v>
      </c>
    </row>
    <row r="24" spans="1:9">
      <c r="B24" s="16"/>
      <c r="C24" s="16"/>
      <c r="D24" s="16"/>
      <c r="E24" s="16"/>
      <c r="F24" s="16"/>
    </row>
    <row r="25" spans="1:9">
      <c r="B25" s="16"/>
      <c r="C25" s="16"/>
      <c r="D25" s="16"/>
      <c r="E25" s="16"/>
      <c r="F25" s="16"/>
    </row>
    <row r="26" spans="1:9">
      <c r="B26" s="16"/>
      <c r="C26" s="16"/>
      <c r="D26" s="16"/>
      <c r="E26" s="16"/>
      <c r="F26" s="16"/>
      <c r="I26" s="1"/>
    </row>
    <row r="27" spans="1:9">
      <c r="B27" s="16"/>
      <c r="C27" s="16"/>
      <c r="D27" s="16"/>
      <c r="E27" s="16"/>
      <c r="F27" s="16"/>
    </row>
    <row r="29" spans="1:9">
      <c r="A29" s="14"/>
    </row>
    <row r="31" spans="1:9">
      <c r="A31" s="14"/>
      <c r="B31" s="53"/>
      <c r="C31" s="53"/>
      <c r="D31" s="53"/>
      <c r="E31" s="53"/>
      <c r="F31" s="53"/>
    </row>
    <row r="33" spans="1:1">
      <c r="A33" s="14"/>
    </row>
    <row r="34" spans="1:1">
      <c r="A34" s="17"/>
    </row>
    <row r="35" spans="1:1">
      <c r="A35" s="17"/>
    </row>
    <row r="36" spans="1:1">
      <c r="A36" s="17"/>
    </row>
    <row r="37" spans="1:1">
      <c r="A37" s="14"/>
    </row>
    <row r="38" spans="1:1">
      <c r="A38" s="14"/>
    </row>
    <row r="39" spans="1:1">
      <c r="A39" s="17"/>
    </row>
    <row r="40" spans="1:1">
      <c r="A40" s="17"/>
    </row>
    <row r="41" spans="1:1">
      <c r="A41" s="17"/>
    </row>
  </sheetData>
  <sheetProtection password="B3AF" sheet="1" objects="1" scenarios="1"/>
  <mergeCells count="2">
    <mergeCell ref="A2:G2"/>
    <mergeCell ref="A17:F17"/>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dimension ref="A1:I22"/>
  <sheetViews>
    <sheetView workbookViewId="0">
      <selection activeCell="E21" sqref="E21"/>
    </sheetView>
  </sheetViews>
  <sheetFormatPr baseColWidth="10" defaultColWidth="11.42578125" defaultRowHeight="15"/>
  <cols>
    <col min="1" max="1" width="18.5703125" bestFit="1" customWidth="1"/>
    <col min="2" max="2" width="21.42578125" bestFit="1" customWidth="1"/>
    <col min="3" max="4" width="16.28515625" bestFit="1" customWidth="1"/>
    <col min="5" max="6" width="15.28515625" bestFit="1" customWidth="1"/>
    <col min="8" max="8" width="12.5703125" bestFit="1" customWidth="1"/>
  </cols>
  <sheetData>
    <row r="1" spans="1:9" ht="15.75" thickBot="1"/>
    <row r="2" spans="1:9" ht="29.25" customHeight="1">
      <c r="B2" s="447" t="s">
        <v>200</v>
      </c>
      <c r="C2" s="448"/>
      <c r="D2" s="448"/>
      <c r="E2" s="448"/>
      <c r="F2" s="449"/>
    </row>
    <row r="3" spans="1:9">
      <c r="B3" s="371" t="s">
        <v>9</v>
      </c>
      <c r="C3" s="88" t="s">
        <v>8</v>
      </c>
      <c r="D3" s="88" t="s">
        <v>7</v>
      </c>
      <c r="E3" s="88" t="s">
        <v>5</v>
      </c>
      <c r="F3" s="372" t="s">
        <v>0</v>
      </c>
    </row>
    <row r="4" spans="1:9">
      <c r="A4" s="84" t="s">
        <v>201</v>
      </c>
      <c r="B4" s="373">
        <f>'P Y G'!H25</f>
        <v>51181983.755273432</v>
      </c>
      <c r="C4" s="91">
        <f>'P Y G'!G25</f>
        <v>37188096.390625</v>
      </c>
      <c r="D4" s="91">
        <f>'P Y G'!F25</f>
        <v>23418803.75</v>
      </c>
      <c r="E4" s="91">
        <f>'P Y G'!E25</f>
        <v>16047000</v>
      </c>
      <c r="F4" s="374">
        <f>'P Y G'!D25</f>
        <v>-653100</v>
      </c>
      <c r="H4" s="97"/>
    </row>
    <row r="5" spans="1:9" ht="15.75" thickBot="1">
      <c r="A5" s="84" t="s">
        <v>198</v>
      </c>
      <c r="B5" s="375">
        <f>'P Y G'!H6</f>
        <v>247082100</v>
      </c>
      <c r="C5" s="92">
        <f>'P Y G'!G6</f>
        <v>208512300</v>
      </c>
      <c r="D5" s="92">
        <f>'P Y G'!F6</f>
        <v>173318300</v>
      </c>
      <c r="E5" s="92">
        <f>'P Y G'!E6</f>
        <v>146505700</v>
      </c>
      <c r="F5" s="92">
        <f>'P Y G'!D6</f>
        <v>121871000</v>
      </c>
    </row>
    <row r="6" spans="1:9" ht="16.5" thickTop="1" thickBot="1">
      <c r="B6" s="85">
        <f t="shared" ref="B6:D6" si="0">B4/B5</f>
        <v>0.20714565626272979</v>
      </c>
      <c r="C6" s="86">
        <f>C4/C5</f>
        <v>0.1783496531889246</v>
      </c>
      <c r="D6" s="86">
        <f t="shared" si="0"/>
        <v>0.13512020225215687</v>
      </c>
      <c r="E6" s="86">
        <f>E4/E5</f>
        <v>0.10953157453942065</v>
      </c>
      <c r="F6" s="87">
        <f>F4/F5</f>
        <v>-5.3589451140960524E-3</v>
      </c>
      <c r="I6" s="93"/>
    </row>
    <row r="7" spans="1:9">
      <c r="C7" s="94"/>
    </row>
    <row r="8" spans="1:9">
      <c r="B8" s="450" t="s">
        <v>202</v>
      </c>
      <c r="C8" s="163" t="s">
        <v>231</v>
      </c>
      <c r="D8" s="163" t="s">
        <v>232</v>
      </c>
      <c r="E8" s="163" t="s">
        <v>233</v>
      </c>
      <c r="F8" s="163" t="s">
        <v>234</v>
      </c>
    </row>
    <row r="9" spans="1:9">
      <c r="B9" s="450"/>
      <c r="C9" s="95">
        <f>B4-C4</f>
        <v>13993887.364648432</v>
      </c>
      <c r="D9" s="95">
        <f>C4-D4</f>
        <v>13769292.640625</v>
      </c>
      <c r="E9" s="95">
        <f t="shared" ref="E9" si="1">D4-E4</f>
        <v>7371803.75</v>
      </c>
      <c r="F9" s="95">
        <f>E4-F4</f>
        <v>16700100</v>
      </c>
    </row>
    <row r="10" spans="1:9">
      <c r="B10" s="96" t="s">
        <v>199</v>
      </c>
      <c r="C10" s="90">
        <f>B6-C6</f>
        <v>2.8796003073805199E-2</v>
      </c>
      <c r="D10" s="90">
        <f>C6-D6</f>
        <v>4.3229450936767722E-2</v>
      </c>
      <c r="E10" s="90">
        <f>D6-E6</f>
        <v>2.558862771273622E-2</v>
      </c>
      <c r="F10" s="90">
        <f>E6-F6</f>
        <v>0.11489051965351671</v>
      </c>
    </row>
    <row r="11" spans="1:9" ht="15.75" thickBot="1">
      <c r="C11" s="94"/>
    </row>
    <row r="12" spans="1:9" ht="29.25" customHeight="1">
      <c r="B12" s="451" t="s">
        <v>203</v>
      </c>
      <c r="C12" s="452"/>
      <c r="D12" s="452"/>
      <c r="E12" s="452"/>
      <c r="F12" s="453"/>
    </row>
    <row r="13" spans="1:9">
      <c r="B13" s="371" t="s">
        <v>9</v>
      </c>
      <c r="C13" s="88" t="s">
        <v>8</v>
      </c>
      <c r="D13" s="88" t="s">
        <v>7</v>
      </c>
      <c r="E13" s="88" t="s">
        <v>5</v>
      </c>
      <c r="F13" s="372" t="s">
        <v>0</v>
      </c>
    </row>
    <row r="14" spans="1:9">
      <c r="A14" s="84" t="s">
        <v>204</v>
      </c>
      <c r="B14" s="376">
        <f>'P Y G'!H33</f>
        <v>34291929.116033196</v>
      </c>
      <c r="C14" s="89">
        <f>'P Y G'!G33</f>
        <v>24916024.58171875</v>
      </c>
      <c r="D14" s="89">
        <f>'P Y G'!F33</f>
        <v>14866436.71567473</v>
      </c>
      <c r="E14" s="89">
        <f>'P Y G'!E33</f>
        <v>8573293.9085275643</v>
      </c>
      <c r="F14" s="377">
        <f>'P Y G'!D33</f>
        <v>-5608859.9112254893</v>
      </c>
    </row>
    <row r="15" spans="1:9" ht="15.75" thickBot="1">
      <c r="A15" s="84" t="s">
        <v>198</v>
      </c>
      <c r="B15" s="375">
        <f>'P Y G'!H6</f>
        <v>247082100</v>
      </c>
      <c r="C15" s="92">
        <f>'P Y G'!G6</f>
        <v>208512300</v>
      </c>
      <c r="D15" s="92">
        <f>'P Y G'!F6</f>
        <v>173318300</v>
      </c>
      <c r="E15" s="92">
        <f>'P Y G'!E6</f>
        <v>146505700</v>
      </c>
      <c r="F15" s="92">
        <f>'P Y G'!D6</f>
        <v>121871000</v>
      </c>
    </row>
    <row r="16" spans="1:9" ht="16.5" thickTop="1" thickBot="1">
      <c r="B16" s="85">
        <f>B14/B15</f>
        <v>0.13878758969602895</v>
      </c>
      <c r="C16" s="86">
        <f t="shared" ref="C16:F16" si="2">C14/C15</f>
        <v>0.11949426763657947</v>
      </c>
      <c r="D16" s="86">
        <f>D14/D15</f>
        <v>8.5775343490414629E-2</v>
      </c>
      <c r="E16" s="86">
        <f>E14/E15</f>
        <v>5.8518500703573749E-2</v>
      </c>
      <c r="F16" s="87">
        <f t="shared" si="2"/>
        <v>-4.6022925152214136E-2</v>
      </c>
    </row>
    <row r="18" spans="2:8">
      <c r="B18" s="454" t="s">
        <v>205</v>
      </c>
      <c r="C18" s="163" t="s">
        <v>231</v>
      </c>
      <c r="D18" s="163" t="s">
        <v>232</v>
      </c>
      <c r="E18" s="163" t="s">
        <v>233</v>
      </c>
      <c r="F18" s="163" t="s">
        <v>234</v>
      </c>
      <c r="H18" s="97"/>
    </row>
    <row r="19" spans="2:8">
      <c r="B19" s="454"/>
      <c r="C19" s="95">
        <f>B14-C14</f>
        <v>9375904.5343144462</v>
      </c>
      <c r="D19" s="95">
        <f>C14-D14</f>
        <v>10049587.86604402</v>
      </c>
      <c r="E19" s="95">
        <f>D14-E14</f>
        <v>6293142.8071471658</v>
      </c>
      <c r="F19" s="95">
        <f>E14-F14</f>
        <v>14182153.819753055</v>
      </c>
      <c r="H19" s="97"/>
    </row>
    <row r="20" spans="2:8">
      <c r="B20" s="98" t="s">
        <v>199</v>
      </c>
      <c r="C20" s="90">
        <f>B16-C16</f>
        <v>1.9293322059449475E-2</v>
      </c>
      <c r="D20" s="90">
        <f>C16-D16</f>
        <v>3.3718924146164841E-2</v>
      </c>
      <c r="E20" s="90">
        <f>D16-E16</f>
        <v>2.7256842786840881E-2</v>
      </c>
      <c r="F20" s="90">
        <f>E16-F16</f>
        <v>0.10454142585578788</v>
      </c>
    </row>
    <row r="21" spans="2:8">
      <c r="C21" s="63"/>
      <c r="D21" s="63"/>
      <c r="E21" s="63"/>
      <c r="F21" s="63"/>
    </row>
    <row r="22" spans="2:8">
      <c r="B22" t="s">
        <v>61</v>
      </c>
    </row>
  </sheetData>
  <sheetProtection password="B3AF" sheet="1" objects="1" scenarios="1"/>
  <mergeCells count="4">
    <mergeCell ref="B2:F2"/>
    <mergeCell ref="B8:B9"/>
    <mergeCell ref="B12:F12"/>
    <mergeCell ref="B18:B19"/>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Sup.Generales</vt:lpstr>
      <vt:lpstr>Pre.Ventas</vt:lpstr>
      <vt:lpstr>Presupuesto Gastos</vt:lpstr>
      <vt:lpstr>P Y G</vt:lpstr>
      <vt:lpstr>Financiamiento</vt:lpstr>
      <vt:lpstr>Flujo de Caja y BG</vt:lpstr>
      <vt:lpstr>Evaluacion Financiera y PE</vt:lpstr>
      <vt:lpstr>Evolucion del mg.en la opera</vt:lpstr>
      <vt:lpstr>Grafiks Ev.Mg en la Opera</vt:lpstr>
      <vt:lpstr>Indicadores de KW</vt:lpstr>
      <vt:lpstr>Composici. de FCL del accionist</vt:lpstr>
      <vt:lpstr>Liquidez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ebernal</dc:creator>
  <cp:lastModifiedBy>EAN</cp:lastModifiedBy>
  <cp:lastPrinted>2012-06-13T19:50:18Z</cp:lastPrinted>
  <dcterms:created xsi:type="dcterms:W3CDTF">2012-05-04T14:14:24Z</dcterms:created>
  <dcterms:modified xsi:type="dcterms:W3CDTF">2013-01-16T20:28:20Z</dcterms:modified>
</cp:coreProperties>
</file>