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02"/>
  <workbookPr codeName="ThisWorkbook" defaultThemeVersion="124226"/>
  <mc:AlternateContent xmlns:mc="http://schemas.openxmlformats.org/markup-compatibility/2006">
    <mc:Choice Requires="x15">
      <x15ac:absPath xmlns:x15ac="http://schemas.microsoft.com/office/spreadsheetml/2010/11/ac" url="/Users/macpro/Desktop/"/>
    </mc:Choice>
  </mc:AlternateContent>
  <xr:revisionPtr revIDLastSave="0" documentId="13_ncr:1_{109E00C0-C031-354D-B11D-ED1DA876DA67}" xr6:coauthVersionLast="47" xr6:coauthVersionMax="47" xr10:uidLastSave="{00000000-0000-0000-0000-000000000000}"/>
  <bookViews>
    <workbookView xWindow="0" yWindow="500" windowWidth="28800" windowHeight="15840" tabRatio="703"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4" l="1"/>
  <c r="C30" i="4"/>
  <c r="C22" i="4"/>
  <c r="H55" i="6"/>
  <c r="H54" i="6"/>
  <c r="B40" i="6"/>
  <c r="B41" i="6"/>
  <c r="B42" i="6"/>
  <c r="B43" i="6"/>
  <c r="B44" i="6"/>
  <c r="B45" i="6"/>
  <c r="B46" i="6"/>
  <c r="B47" i="6"/>
  <c r="B48" i="6"/>
  <c r="C40" i="6"/>
  <c r="C41" i="6"/>
  <c r="C42" i="6"/>
  <c r="C43" i="6"/>
  <c r="C44" i="6"/>
  <c r="C45" i="6"/>
  <c r="C46" i="6"/>
  <c r="C47" i="6"/>
  <c r="C48" i="6"/>
  <c r="C39" i="6"/>
  <c r="F11" i="5"/>
  <c r="G11" i="5"/>
  <c r="E11" i="5"/>
  <c r="D11" i="5"/>
  <c r="C11" i="5"/>
  <c r="J16" i="6"/>
  <c r="J17" i="6"/>
  <c r="J18" i="6"/>
  <c r="J19" i="6"/>
  <c r="J20" i="6"/>
  <c r="J21" i="6"/>
  <c r="J22" i="6"/>
  <c r="J23" i="6"/>
  <c r="J24" i="6"/>
  <c r="J15" i="6"/>
  <c r="H16" i="6"/>
  <c r="H17" i="6"/>
  <c r="H18" i="6"/>
  <c r="H19" i="6"/>
  <c r="H20" i="6"/>
  <c r="H21" i="6"/>
  <c r="H22" i="6"/>
  <c r="H23" i="6"/>
  <c r="H24" i="6"/>
  <c r="H15" i="6"/>
  <c r="D33" i="6"/>
  <c r="G16" i="6"/>
  <c r="G17" i="6"/>
  <c r="G18" i="6"/>
  <c r="G19" i="6"/>
  <c r="G20" i="6"/>
  <c r="G21" i="6"/>
  <c r="G22" i="6"/>
  <c r="G23" i="6"/>
  <c r="G24" i="6"/>
  <c r="G25" i="6"/>
  <c r="C16" i="6"/>
  <c r="C17" i="6"/>
  <c r="C18" i="6"/>
  <c r="C19" i="6"/>
  <c r="C20" i="6"/>
  <c r="C21" i="6"/>
  <c r="C22" i="6"/>
  <c r="C23" i="6"/>
  <c r="C24" i="6"/>
  <c r="C15" i="6"/>
  <c r="B16" i="6"/>
  <c r="B17" i="6"/>
  <c r="B18" i="6"/>
  <c r="B19" i="6"/>
  <c r="B20" i="6"/>
  <c r="B21" i="6"/>
  <c r="B22" i="6"/>
  <c r="B23" i="6"/>
  <c r="B24" i="6"/>
  <c r="B15" i="6"/>
  <c r="B14" i="6"/>
  <c r="C23" i="4"/>
  <c r="C9" i="5"/>
  <c r="B49" i="5"/>
  <c r="B45" i="5"/>
  <c r="B23" i="5"/>
  <c r="C23" i="5"/>
  <c r="G6" i="4"/>
  <c r="G7" i="4"/>
  <c r="G8" i="4"/>
  <c r="G9" i="4"/>
  <c r="G10" i="4"/>
  <c r="G11" i="4"/>
  <c r="G5" i="4"/>
  <c r="B34" i="5"/>
  <c r="C34" i="5"/>
  <c r="B30" i="5"/>
  <c r="G12" i="4"/>
  <c r="C12" i="5"/>
  <c r="D23" i="5"/>
  <c r="B36" i="5"/>
  <c r="D34" i="5"/>
  <c r="E23" i="5"/>
  <c r="F23" i="5"/>
  <c r="E34" i="5"/>
  <c r="G23" i="5"/>
  <c r="F34" i="5"/>
  <c r="G34" i="5"/>
  <c r="D10" i="3"/>
  <c r="D9" i="3"/>
  <c r="F17" i="4"/>
  <c r="F31" i="4"/>
  <c r="C10" i="5"/>
  <c r="D10" i="5"/>
  <c r="E10" i="5" s="1"/>
  <c r="F10" i="5" s="1"/>
  <c r="G10" i="5" s="1"/>
  <c r="C12" i="4"/>
  <c r="D11" i="3"/>
  <c r="C33" i="6"/>
  <c r="C4" i="3"/>
  <c r="B24" i="5"/>
  <c r="C25" i="5"/>
  <c r="C49" i="5"/>
  <c r="D12" i="5"/>
  <c r="D9" i="5"/>
  <c r="E9" i="5" s="1"/>
  <c r="F9" i="5" s="1"/>
  <c r="G9" i="5" s="1"/>
  <c r="R16" i="1"/>
  <c r="S16" i="1"/>
  <c r="V16" i="1"/>
  <c r="W16" i="1"/>
  <c r="G2" i="1"/>
  <c r="L2" i="1" s="1"/>
  <c r="L16" i="1" s="1"/>
  <c r="B31" i="1"/>
  <c r="C5" i="5" s="1"/>
  <c r="C20" i="5" s="1"/>
  <c r="D7" i="6" s="1"/>
  <c r="P18" i="1"/>
  <c r="Q18" i="1" s="1"/>
  <c r="P19" i="1"/>
  <c r="Q19" i="1" s="1"/>
  <c r="P20" i="1"/>
  <c r="Q20" i="1" s="1"/>
  <c r="R20" i="1" s="1"/>
  <c r="P21" i="1"/>
  <c r="Q21" i="1"/>
  <c r="R21" i="1"/>
  <c r="S21" i="1" s="1"/>
  <c r="P22" i="1"/>
  <c r="Q22" i="1" s="1"/>
  <c r="P23" i="1"/>
  <c r="P24" i="1"/>
  <c r="P25" i="1"/>
  <c r="Q25" i="1"/>
  <c r="R25" i="1" s="1"/>
  <c r="P26" i="1"/>
  <c r="Q26" i="1"/>
  <c r="R26" i="1"/>
  <c r="S26" i="1" s="1"/>
  <c r="P17" i="1"/>
  <c r="Q17" i="1" s="1"/>
  <c r="P16" i="1"/>
  <c r="Q16" i="1"/>
  <c r="T16" i="1"/>
  <c r="U16" i="1"/>
  <c r="P4" i="1"/>
  <c r="Q4" i="1" s="1"/>
  <c r="P5" i="1"/>
  <c r="Q5" i="1" s="1"/>
  <c r="P6" i="1"/>
  <c r="Q6" i="1" s="1"/>
  <c r="P7" i="1"/>
  <c r="Q7" i="1"/>
  <c r="R7" i="1" s="1"/>
  <c r="P8" i="1"/>
  <c r="Q8" i="1"/>
  <c r="R8" i="1" s="1"/>
  <c r="P9" i="1"/>
  <c r="Q9" i="1"/>
  <c r="R9" i="1" s="1"/>
  <c r="P10" i="1"/>
  <c r="Q10" i="1"/>
  <c r="R10" i="1" s="1"/>
  <c r="P11" i="1"/>
  <c r="Q11" i="1"/>
  <c r="R11" i="1" s="1"/>
  <c r="P12" i="1"/>
  <c r="Q12" i="1"/>
  <c r="R12" i="1" s="1"/>
  <c r="P3" i="1"/>
  <c r="Q3" i="1" s="1"/>
  <c r="L4" i="1"/>
  <c r="L5" i="1"/>
  <c r="M5" i="1"/>
  <c r="N5" i="1"/>
  <c r="O5" i="1"/>
  <c r="L6" i="1"/>
  <c r="M6" i="1"/>
  <c r="N6" i="1"/>
  <c r="O6" i="1"/>
  <c r="L7" i="1"/>
  <c r="M7" i="1"/>
  <c r="N7" i="1"/>
  <c r="O7" i="1"/>
  <c r="L8" i="1"/>
  <c r="L9" i="1"/>
  <c r="L10" i="1"/>
  <c r="M10" i="1"/>
  <c r="N10" i="1"/>
  <c r="O10" i="1"/>
  <c r="L11" i="1"/>
  <c r="M11" i="1"/>
  <c r="N11" i="1"/>
  <c r="O11" i="1"/>
  <c r="L12" i="1"/>
  <c r="M12" i="1"/>
  <c r="N12" i="1"/>
  <c r="O12" i="1"/>
  <c r="L3" i="1"/>
  <c r="M3" i="1"/>
  <c r="N3" i="1"/>
  <c r="O3" i="1"/>
  <c r="D27" i="1"/>
  <c r="E4" i="1"/>
  <c r="E5" i="1"/>
  <c r="E6" i="1"/>
  <c r="E7" i="1"/>
  <c r="E8" i="1"/>
  <c r="E9" i="1"/>
  <c r="E10" i="1"/>
  <c r="E11" i="1"/>
  <c r="E12" i="1"/>
  <c r="E3" i="1"/>
  <c r="B18" i="1"/>
  <c r="B19" i="1"/>
  <c r="B20" i="1"/>
  <c r="B21" i="1"/>
  <c r="B22" i="1"/>
  <c r="B23" i="1"/>
  <c r="B24" i="1"/>
  <c r="B25" i="1"/>
  <c r="B26" i="1"/>
  <c r="B17" i="1"/>
  <c r="C18" i="1"/>
  <c r="E18" i="1"/>
  <c r="C19" i="1"/>
  <c r="E19" i="1"/>
  <c r="C20" i="1"/>
  <c r="E20" i="1"/>
  <c r="C21" i="1"/>
  <c r="L21" i="1"/>
  <c r="M21" i="1"/>
  <c r="N21" i="1"/>
  <c r="O21" i="1"/>
  <c r="C22" i="1"/>
  <c r="E22" i="1"/>
  <c r="C23" i="1"/>
  <c r="E23" i="1"/>
  <c r="C24" i="1"/>
  <c r="E24" i="1"/>
  <c r="C25" i="1"/>
  <c r="E25" i="1"/>
  <c r="C26" i="1"/>
  <c r="E26" i="1"/>
  <c r="C17" i="1"/>
  <c r="E17" i="1"/>
  <c r="A17" i="1"/>
  <c r="A4" i="1"/>
  <c r="A18" i="1"/>
  <c r="E9" i="3"/>
  <c r="C34" i="6"/>
  <c r="C35" i="6"/>
  <c r="F33" i="6"/>
  <c r="B26" i="5"/>
  <c r="B48" i="5"/>
  <c r="B50" i="5"/>
  <c r="C24" i="5"/>
  <c r="E12" i="5"/>
  <c r="F12" i="5"/>
  <c r="D25" i="5"/>
  <c r="D49" i="5"/>
  <c r="C31" i="1"/>
  <c r="E10" i="3" s="1"/>
  <c r="V21" i="1"/>
  <c r="L19" i="1"/>
  <c r="M19" i="1"/>
  <c r="L17" i="1"/>
  <c r="M17" i="1"/>
  <c r="N17" i="1"/>
  <c r="O17" i="1"/>
  <c r="L18" i="1"/>
  <c r="M18" i="1"/>
  <c r="N18" i="1"/>
  <c r="O18" i="1"/>
  <c r="L23" i="1"/>
  <c r="M23" i="1"/>
  <c r="N23" i="1"/>
  <c r="O23" i="1"/>
  <c r="Q23" i="1"/>
  <c r="R23" i="1" s="1"/>
  <c r="L22" i="1"/>
  <c r="M22" i="1"/>
  <c r="N22" i="1"/>
  <c r="O22" i="1"/>
  <c r="A5" i="1"/>
  <c r="A6" i="1"/>
  <c r="A7" i="1"/>
  <c r="A8" i="1"/>
  <c r="A9" i="1"/>
  <c r="A10" i="1"/>
  <c r="A11" i="1"/>
  <c r="A12" i="1"/>
  <c r="A26" i="1"/>
  <c r="E21" i="1"/>
  <c r="L25" i="1"/>
  <c r="M25" i="1"/>
  <c r="U21" i="1"/>
  <c r="L26" i="1"/>
  <c r="M26" i="1"/>
  <c r="L24" i="1"/>
  <c r="M24" i="1"/>
  <c r="N24" i="1"/>
  <c r="O24" i="1"/>
  <c r="L20" i="1"/>
  <c r="M20" i="1"/>
  <c r="Q24" i="1"/>
  <c r="R24" i="1" s="1"/>
  <c r="T21" i="1"/>
  <c r="T9" i="1"/>
  <c r="U10" i="1"/>
  <c r="T10" i="1"/>
  <c r="T6" i="1"/>
  <c r="U7" i="1"/>
  <c r="T5" i="1"/>
  <c r="U12" i="1"/>
  <c r="T12" i="1"/>
  <c r="T8" i="1"/>
  <c r="T4" i="1"/>
  <c r="T11" i="1"/>
  <c r="M9" i="1"/>
  <c r="M8" i="1"/>
  <c r="T7" i="1"/>
  <c r="M4" i="1"/>
  <c r="G12" i="5"/>
  <c r="F25" i="5"/>
  <c r="A21" i="1"/>
  <c r="U26" i="1"/>
  <c r="N26" i="1"/>
  <c r="N25" i="1"/>
  <c r="N9" i="1"/>
  <c r="U8" i="1"/>
  <c r="N8" i="1"/>
  <c r="N20" i="1"/>
  <c r="N19" i="1"/>
  <c r="N4" i="1"/>
  <c r="D24" i="5"/>
  <c r="C26" i="5"/>
  <c r="C48" i="5"/>
  <c r="C50" i="5"/>
  <c r="E25" i="5"/>
  <c r="E49" i="5"/>
  <c r="A24" i="1"/>
  <c r="A19" i="1"/>
  <c r="U23" i="1"/>
  <c r="A25" i="1"/>
  <c r="A22" i="1"/>
  <c r="T23" i="1"/>
  <c r="A23" i="1"/>
  <c r="A20" i="1"/>
  <c r="T26" i="1"/>
  <c r="T24" i="1"/>
  <c r="G25" i="5"/>
  <c r="O26" i="1"/>
  <c r="O25" i="1"/>
  <c r="O9" i="1"/>
  <c r="O8" i="1"/>
  <c r="O20" i="1"/>
  <c r="O19" i="1"/>
  <c r="O4" i="1"/>
  <c r="E24" i="5"/>
  <c r="F24" i="5"/>
  <c r="D26" i="5"/>
  <c r="D48" i="5"/>
  <c r="D50" i="5"/>
  <c r="F49" i="5"/>
  <c r="G24" i="5"/>
  <c r="G26" i="5"/>
  <c r="F26" i="5"/>
  <c r="E26" i="5"/>
  <c r="E48" i="5"/>
  <c r="E50" i="5"/>
  <c r="G49" i="5"/>
  <c r="G48" i="5"/>
  <c r="G50" i="5"/>
  <c r="F48" i="5"/>
  <c r="F50" i="5"/>
  <c r="E13" i="1" l="1"/>
  <c r="W26" i="1"/>
  <c r="T25" i="1"/>
  <c r="W21" i="1"/>
  <c r="H2" i="1"/>
  <c r="B28" i="4"/>
  <c r="D31" i="1"/>
  <c r="C43" i="5"/>
  <c r="D5" i="5"/>
  <c r="D20" i="5" s="1"/>
  <c r="Z3" i="1"/>
  <c r="AA3" i="1" s="1"/>
  <c r="AB3" i="1" s="1"/>
  <c r="AC3" i="1" s="1"/>
  <c r="S25" i="1"/>
  <c r="W25" i="1" s="1"/>
  <c r="V25" i="1"/>
  <c r="U22" i="1"/>
  <c r="R22" i="1"/>
  <c r="V23" i="1"/>
  <c r="S23" i="1"/>
  <c r="W23" i="1" s="1"/>
  <c r="V24" i="1"/>
  <c r="S24" i="1"/>
  <c r="W24" i="1" s="1"/>
  <c r="V26" i="1"/>
  <c r="T22" i="1"/>
  <c r="T20" i="1"/>
  <c r="U25" i="1"/>
  <c r="U24" i="1"/>
  <c r="U11" i="1"/>
  <c r="U9" i="1"/>
  <c r="V11" i="1"/>
  <c r="S11" i="1"/>
  <c r="W11" i="1" s="1"/>
  <c r="V9" i="1"/>
  <c r="S9" i="1"/>
  <c r="W9" i="1" s="1"/>
  <c r="S7" i="1"/>
  <c r="W7" i="1" s="1"/>
  <c r="V7" i="1"/>
  <c r="S12" i="1"/>
  <c r="W12" i="1" s="1"/>
  <c r="V12" i="1"/>
  <c r="S10" i="1"/>
  <c r="W10" i="1" s="1"/>
  <c r="V10" i="1"/>
  <c r="S8" i="1"/>
  <c r="W8" i="1" s="1"/>
  <c r="V8" i="1"/>
  <c r="R4" i="1"/>
  <c r="U4" i="1"/>
  <c r="U3" i="1"/>
  <c r="R3" i="1"/>
  <c r="R6" i="1"/>
  <c r="U6" i="1"/>
  <c r="F3" i="1"/>
  <c r="F10" i="1"/>
  <c r="D22" i="6" s="1"/>
  <c r="E22" i="6" s="1"/>
  <c r="F12" i="1"/>
  <c r="D24" i="6" s="1"/>
  <c r="E24" i="6" s="1"/>
  <c r="F6" i="1"/>
  <c r="D18" i="6" s="1"/>
  <c r="F11" i="1"/>
  <c r="D23" i="6" s="1"/>
  <c r="E23" i="6" s="1"/>
  <c r="F4" i="1"/>
  <c r="D16" i="6" s="1"/>
  <c r="E16" i="6" s="1"/>
  <c r="F7" i="1"/>
  <c r="D19" i="6" s="1"/>
  <c r="E19" i="6" s="1"/>
  <c r="F9" i="1"/>
  <c r="D21" i="6" s="1"/>
  <c r="E21" i="6" s="1"/>
  <c r="F8" i="1"/>
  <c r="D20" i="6" s="1"/>
  <c r="E20" i="6" s="1"/>
  <c r="F5" i="1"/>
  <c r="D17" i="6" s="1"/>
  <c r="E17" i="6" s="1"/>
  <c r="B32" i="1"/>
  <c r="C6" i="5" s="1"/>
  <c r="U5" i="1"/>
  <c r="R5" i="1"/>
  <c r="T3" i="1"/>
  <c r="T13" i="1" s="1"/>
  <c r="C32" i="1" s="1"/>
  <c r="D6" i="5" s="1"/>
  <c r="E18" i="6"/>
  <c r="U17" i="1"/>
  <c r="R17" i="1"/>
  <c r="R18" i="1"/>
  <c r="V18" i="1" s="1"/>
  <c r="U18" i="1"/>
  <c r="T17" i="1"/>
  <c r="T18" i="1"/>
  <c r="E27" i="1"/>
  <c r="F25" i="1" s="1"/>
  <c r="T19" i="1"/>
  <c r="R19" i="1"/>
  <c r="U19" i="1"/>
  <c r="S20" i="1"/>
  <c r="W20" i="1" s="1"/>
  <c r="V20" i="1"/>
  <c r="U20" i="1"/>
  <c r="E11" i="3" l="1"/>
  <c r="E5" i="5"/>
  <c r="E20" i="5" s="1"/>
  <c r="E31" i="1"/>
  <c r="D43" i="5"/>
  <c r="E7" i="6"/>
  <c r="B29" i="4"/>
  <c r="I2" i="1"/>
  <c r="M2" i="1"/>
  <c r="S18" i="1"/>
  <c r="W18" i="1" s="1"/>
  <c r="V22" i="1"/>
  <c r="S22" i="1"/>
  <c r="W22" i="1" s="1"/>
  <c r="T27" i="1"/>
  <c r="C33" i="1" s="1"/>
  <c r="C34" i="1" s="1"/>
  <c r="B33" i="1"/>
  <c r="F20" i="1"/>
  <c r="F18" i="1"/>
  <c r="F17" i="1"/>
  <c r="F26" i="1"/>
  <c r="F23" i="1"/>
  <c r="V3" i="1"/>
  <c r="S3" i="1"/>
  <c r="W3" i="1" s="1"/>
  <c r="V5" i="1"/>
  <c r="S5" i="1"/>
  <c r="W5" i="1" s="1"/>
  <c r="F13" i="1"/>
  <c r="D15" i="6"/>
  <c r="E15" i="6" s="1"/>
  <c r="E27" i="6" s="1"/>
  <c r="E28" i="6" s="1"/>
  <c r="F24" i="6" s="1"/>
  <c r="D48" i="6" s="1"/>
  <c r="E48" i="6" s="1"/>
  <c r="U13" i="1"/>
  <c r="D32" i="1" s="1"/>
  <c r="E6" i="5" s="1"/>
  <c r="S6" i="1"/>
  <c r="W6" i="1" s="1"/>
  <c r="V6" i="1"/>
  <c r="V4" i="1"/>
  <c r="S4" i="1"/>
  <c r="W4" i="1" s="1"/>
  <c r="F22" i="1"/>
  <c r="F19" i="1"/>
  <c r="F21" i="1"/>
  <c r="F24" i="1"/>
  <c r="U27" i="1"/>
  <c r="D33" i="1" s="1"/>
  <c r="E7" i="5" s="1"/>
  <c r="S17" i="1"/>
  <c r="W17" i="1" s="1"/>
  <c r="V17" i="1"/>
  <c r="V19" i="1"/>
  <c r="S19" i="1"/>
  <c r="W19" i="1" s="1"/>
  <c r="D8" i="3"/>
  <c r="D12" i="3" s="1"/>
  <c r="D14" i="3" s="1"/>
  <c r="C7" i="5"/>
  <c r="C8" i="5" s="1"/>
  <c r="C13" i="5" s="1"/>
  <c r="B34" i="1"/>
  <c r="J2" i="1" l="1"/>
  <c r="B31" i="4" s="1"/>
  <c r="B30" i="4"/>
  <c r="F31" i="1"/>
  <c r="E12" i="3"/>
  <c r="F5" i="5"/>
  <c r="F20" i="5" s="1"/>
  <c r="N2" i="1"/>
  <c r="M16" i="1"/>
  <c r="F7" i="6"/>
  <c r="E43" i="5"/>
  <c r="V27" i="1"/>
  <c r="E33" i="1" s="1"/>
  <c r="W27" i="1"/>
  <c r="F33" i="1" s="1"/>
  <c r="D7" i="5"/>
  <c r="D8" i="5" s="1"/>
  <c r="D13" i="5" s="1"/>
  <c r="D55" i="5" s="1"/>
  <c r="D56" i="5" s="1"/>
  <c r="D57" i="5" s="1"/>
  <c r="F27" i="1"/>
  <c r="D34" i="1"/>
  <c r="W13" i="1"/>
  <c r="F32" i="1" s="1"/>
  <c r="G6" i="5" s="1"/>
  <c r="E8" i="5"/>
  <c r="E13" i="5" s="1"/>
  <c r="E55" i="5" s="1"/>
  <c r="V13" i="1"/>
  <c r="E32" i="1" s="1"/>
  <c r="F6" i="5" s="1"/>
  <c r="F20" i="6"/>
  <c r="D44" i="6" s="1"/>
  <c r="E44" i="6" s="1"/>
  <c r="F17" i="6"/>
  <c r="D41" i="6" s="1"/>
  <c r="E41" i="6" s="1"/>
  <c r="F22" i="6"/>
  <c r="D46" i="6" s="1"/>
  <c r="E46" i="6" s="1"/>
  <c r="F23" i="6"/>
  <c r="D47" i="6" s="1"/>
  <c r="E47" i="6" s="1"/>
  <c r="F19" i="6"/>
  <c r="D43" i="6" s="1"/>
  <c r="E43" i="6" s="1"/>
  <c r="F21" i="6"/>
  <c r="D45" i="6" s="1"/>
  <c r="E45" i="6" s="1"/>
  <c r="F18" i="6"/>
  <c r="D42" i="6" s="1"/>
  <c r="E42" i="6" s="1"/>
  <c r="F16" i="6"/>
  <c r="D40" i="6" s="1"/>
  <c r="E40" i="6" s="1"/>
  <c r="F15" i="6"/>
  <c r="F7" i="5"/>
  <c r="C55" i="5"/>
  <c r="D16" i="3"/>
  <c r="J8" i="3" s="1"/>
  <c r="C8" i="6"/>
  <c r="F34" i="1" l="1"/>
  <c r="G5" i="5"/>
  <c r="G20" i="5" s="1"/>
  <c r="E13" i="3"/>
  <c r="O2" i="1"/>
  <c r="O16" i="1" s="1"/>
  <c r="N16" i="1"/>
  <c r="G7" i="6"/>
  <c r="F43" i="5"/>
  <c r="G7" i="5"/>
  <c r="G8" i="5" s="1"/>
  <c r="G13" i="5" s="1"/>
  <c r="G55" i="5" s="1"/>
  <c r="F25" i="6"/>
  <c r="B34" i="6" s="1"/>
  <c r="B35" i="6" s="1"/>
  <c r="E34" i="6"/>
  <c r="F34" i="6" s="1"/>
  <c r="D34" i="6"/>
  <c r="D39" i="6"/>
  <c r="E39" i="6" s="1"/>
  <c r="E49" i="6" s="1"/>
  <c r="E29" i="6" s="1"/>
  <c r="E34" i="1"/>
  <c r="F8" i="5"/>
  <c r="F13" i="5" s="1"/>
  <c r="F55" i="5" s="1"/>
  <c r="E56" i="5"/>
  <c r="E57" i="5" s="1"/>
  <c r="C9" i="6"/>
  <c r="B31" i="5"/>
  <c r="B32" i="5" s="1"/>
  <c r="I9" i="3"/>
  <c r="F9" i="3"/>
  <c r="C56" i="5"/>
  <c r="C57" i="5" s="1"/>
  <c r="G43" i="5" l="1"/>
  <c r="H7" i="6"/>
  <c r="I23" i="6"/>
  <c r="I17" i="6"/>
  <c r="I15" i="6"/>
  <c r="I16" i="6"/>
  <c r="I22" i="6"/>
  <c r="I18" i="6"/>
  <c r="I21" i="6"/>
  <c r="I24" i="6"/>
  <c r="I19" i="6"/>
  <c r="I20" i="6"/>
  <c r="G9" i="3"/>
  <c r="C14" i="5" s="1"/>
  <c r="C15" i="5" s="1"/>
  <c r="F56" i="5"/>
  <c r="F57" i="5" s="1"/>
  <c r="B38" i="5"/>
  <c r="B22" i="5" s="1"/>
  <c r="G56" i="5"/>
  <c r="G57" i="5" s="1"/>
  <c r="D35" i="6" l="1"/>
  <c r="E35" i="6"/>
  <c r="F35" i="6" s="1"/>
  <c r="B44" i="5"/>
  <c r="B46" i="5" s="1"/>
  <c r="B52" i="5" s="1"/>
  <c r="B27" i="5"/>
  <c r="C16" i="5"/>
  <c r="C29" i="5" s="1"/>
  <c r="H9" i="3"/>
  <c r="J9" i="3" s="1"/>
  <c r="C30" i="5" l="1"/>
  <c r="C45" i="5"/>
  <c r="I10" i="3"/>
  <c r="F10" i="3"/>
  <c r="C31" i="5"/>
  <c r="B39" i="5"/>
  <c r="H53" i="6"/>
  <c r="H52" i="6"/>
  <c r="C17" i="5"/>
  <c r="C35" i="5" s="1"/>
  <c r="C36" i="5" s="1"/>
  <c r="G10" i="3" l="1"/>
  <c r="D14" i="5" s="1"/>
  <c r="D15" i="5" s="1"/>
  <c r="C32" i="5"/>
  <c r="C38" i="5" s="1"/>
  <c r="C22" i="5" s="1"/>
  <c r="D16" i="5" l="1"/>
  <c r="D29" i="5" s="1"/>
  <c r="C27" i="5"/>
  <c r="C39" i="5" s="1"/>
  <c r="C44" i="5"/>
  <c r="C46" i="5" s="1"/>
  <c r="C52" i="5" s="1"/>
  <c r="C58" i="5" s="1"/>
  <c r="C59" i="5" s="1"/>
  <c r="D8" i="6" s="1"/>
  <c r="H10" i="3"/>
  <c r="J10" i="3" s="1"/>
  <c r="D17" i="5" l="1"/>
  <c r="D35" i="5" s="1"/>
  <c r="D36" i="5" s="1"/>
  <c r="D9" i="6"/>
  <c r="I11" i="3"/>
  <c r="D31" i="5"/>
  <c r="F11" i="3"/>
  <c r="D45" i="5"/>
  <c r="D30" i="5"/>
  <c r="D32" i="5" l="1"/>
  <c r="D38" i="5"/>
  <c r="D22" i="5" s="1"/>
  <c r="D44" i="5" s="1"/>
  <c r="D46" i="5" s="1"/>
  <c r="D52" i="5" s="1"/>
  <c r="D58" i="5" s="1"/>
  <c r="D59" i="5" s="1"/>
  <c r="E8" i="6" s="1"/>
  <c r="G11" i="3"/>
  <c r="E14" i="5" s="1"/>
  <c r="E15" i="5" s="1"/>
  <c r="D27" i="5" l="1"/>
  <c r="D39" i="5" s="1"/>
  <c r="E16" i="5"/>
  <c r="E29" i="5" s="1"/>
  <c r="E9" i="6"/>
  <c r="H11" i="3"/>
  <c r="J11" i="3" s="1"/>
  <c r="E30" i="5" l="1"/>
  <c r="E45" i="5"/>
  <c r="I12" i="3"/>
  <c r="F12" i="3"/>
  <c r="E31" i="5"/>
  <c r="E17" i="5"/>
  <c r="E35" i="5" s="1"/>
  <c r="E36" i="5" s="1"/>
  <c r="G12" i="3" l="1"/>
  <c r="E32" i="5"/>
  <c r="E38" i="5" s="1"/>
  <c r="E22" i="5" s="1"/>
  <c r="E44" i="5" l="1"/>
  <c r="E46" i="5" s="1"/>
  <c r="E52" i="5" s="1"/>
  <c r="E58" i="5" s="1"/>
  <c r="E59" i="5" s="1"/>
  <c r="F8" i="6" s="1"/>
  <c r="E27" i="5"/>
  <c r="E39" i="5" s="1"/>
  <c r="F14" i="5"/>
  <c r="F15" i="5" s="1"/>
  <c r="H12" i="3"/>
  <c r="J12" i="3" s="1"/>
  <c r="F16" i="5" l="1"/>
  <c r="F29" i="5" s="1"/>
  <c r="F13" i="3"/>
  <c r="I13" i="3"/>
  <c r="F31" i="5"/>
  <c r="F9" i="6"/>
  <c r="G13" i="3" l="1"/>
  <c r="G14" i="5" s="1"/>
  <c r="G15" i="5" s="1"/>
  <c r="F30" i="5"/>
  <c r="F32" i="5" s="1"/>
  <c r="F45" i="5"/>
  <c r="F17" i="5"/>
  <c r="F35" i="5" s="1"/>
  <c r="F36" i="5" s="1"/>
  <c r="F38" i="5" l="1"/>
  <c r="F22" i="5" s="1"/>
  <c r="F44" i="5" s="1"/>
  <c r="F46" i="5" s="1"/>
  <c r="F52" i="5" s="1"/>
  <c r="F58" i="5" s="1"/>
  <c r="F59" i="5" s="1"/>
  <c r="G8" i="6" s="1"/>
  <c r="G16" i="5"/>
  <c r="G29" i="5" s="1"/>
  <c r="H13" i="3"/>
  <c r="J13" i="3" s="1"/>
  <c r="G31" i="5" s="1"/>
  <c r="F27" i="5" l="1"/>
  <c r="F39" i="5" s="1"/>
  <c r="G45" i="5"/>
  <c r="G30" i="5"/>
  <c r="G32" i="5" s="1"/>
  <c r="G17" i="5"/>
  <c r="G35" i="5" s="1"/>
  <c r="G36" i="5" s="1"/>
  <c r="G9" i="6"/>
  <c r="G38" i="5" l="1"/>
  <c r="G22" i="5" s="1"/>
  <c r="G44" i="5" s="1"/>
  <c r="G46" i="5" s="1"/>
  <c r="G52" i="5" s="1"/>
  <c r="G58" i="5" s="1"/>
  <c r="G59" i="5" s="1"/>
  <c r="H8" i="6" s="1"/>
  <c r="G27" i="5" l="1"/>
  <c r="G39" i="5" s="1"/>
  <c r="H9" i="6"/>
  <c r="H11" i="6" s="1"/>
  <c r="D10" i="6"/>
  <c r="D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rgb="FF000000"/>
            <rFont val="Tahoma"/>
            <family val="2"/>
          </rPr>
          <t>DARIO MAURICIO REYES GIRALDO:</t>
        </r>
        <r>
          <rPr>
            <sz val="9"/>
            <color rgb="FF000000"/>
            <rFont val="Tahoma"/>
            <family val="2"/>
          </rPr>
          <t xml:space="preserve">
</t>
        </r>
        <r>
          <rPr>
            <sz val="9"/>
            <color rgb="FF000000"/>
            <rFont val="Tahoma"/>
            <family val="2"/>
          </rPr>
          <t>Defina el año base o de inicio de la operación del negocio.</t>
        </r>
      </text>
    </comment>
    <comment ref="B3" authorId="0" shapeId="0" xr:uid="{00000000-0006-0000-0100-000002000000}">
      <text>
        <r>
          <rPr>
            <b/>
            <sz val="9"/>
            <color rgb="FF000000"/>
            <rFont val="Tahoma"/>
            <family val="2"/>
          </rPr>
          <t>DARIO MAURICIO REYES GIRALDO:</t>
        </r>
        <r>
          <rPr>
            <sz val="9"/>
            <color rgb="FF000000"/>
            <rFont val="Tahoma"/>
            <family val="2"/>
          </rPr>
          <t xml:space="preserve">
</t>
        </r>
        <r>
          <rPr>
            <sz val="9"/>
            <color rgb="FF000000"/>
            <rFont val="Tahoma"/>
            <family val="2"/>
          </rPr>
          <t>Digita el nombre de cada línea de producto o servicio a vender</t>
        </r>
      </text>
    </comment>
    <comment ref="C3" authorId="0" shapeId="0" xr:uid="{00000000-0006-0000-0100-000003000000}">
      <text>
        <r>
          <rPr>
            <b/>
            <sz val="9"/>
            <color rgb="FF000000"/>
            <rFont val="Tahoma"/>
            <family val="2"/>
          </rPr>
          <t>DARIO MAURICIO REYES GIRALDO:</t>
        </r>
        <r>
          <rPr>
            <sz val="9"/>
            <color rgb="FF000000"/>
            <rFont val="Tahoma"/>
            <family val="2"/>
          </rPr>
          <t xml:space="preserve">
</t>
        </r>
        <r>
          <rPr>
            <sz val="9"/>
            <color rgb="FF000000"/>
            <rFont val="Tahoma"/>
            <family val="2"/>
          </rPr>
          <t>Digita las cantidades a vender en el primer año de cada pdto/servicio.</t>
        </r>
      </text>
    </comment>
    <comment ref="D3" authorId="0" shapeId="0" xr:uid="{00000000-0006-0000-0100-000004000000}">
      <text>
        <r>
          <rPr>
            <b/>
            <sz val="9"/>
            <color rgb="FF000000"/>
            <rFont val="Tahoma"/>
            <family val="2"/>
          </rPr>
          <t>DARIO MAURICIO REYES GIRALDO:</t>
        </r>
        <r>
          <rPr>
            <sz val="9"/>
            <color rgb="FF000000"/>
            <rFont val="Tahoma"/>
            <family val="2"/>
          </rPr>
          <t xml:space="preserve">
</t>
        </r>
        <r>
          <rPr>
            <sz val="9"/>
            <color rgb="FF000000"/>
            <rFont val="Tahoma"/>
            <family val="2"/>
          </rPr>
          <t>Digita el precio UNITARIO, sin IVA, de cada pdto/servicio.</t>
        </r>
      </text>
    </comment>
    <comment ref="G3" authorId="0" shapeId="0" xr:uid="{00000000-0006-0000-0100-000005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3" authorId="0" shapeId="0" xr:uid="{00000000-0006-0000-0100-000006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3" authorId="0" shapeId="0" xr:uid="{00000000-0006-0000-0100-000007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3" authorId="0" shapeId="0" xr:uid="{00000000-0006-0000-0100-000008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Y4" authorId="0" shapeId="0" xr:uid="{00000000-0006-0000-0100-000009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Y5" authorId="0" shapeId="0" xr:uid="{00000000-0006-0000-0100-00000A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AB7" authorId="0" shapeId="0" xr:uid="{00000000-0006-0000-0100-00000B000000}">
      <text>
        <r>
          <rPr>
            <b/>
            <sz val="9"/>
            <color rgb="FF000000"/>
            <rFont val="Tahoma"/>
            <family val="2"/>
          </rPr>
          <t>DARIO MAURICIO REYES GIRALDO:</t>
        </r>
        <r>
          <rPr>
            <sz val="9"/>
            <color rgb="FF000000"/>
            <rFont val="Tahoma"/>
            <family val="2"/>
          </rPr>
          <t xml:space="preserve">
</t>
        </r>
        <r>
          <rPr>
            <sz val="9"/>
            <color rgb="FF000000"/>
            <rFont val="Tahoma"/>
            <family val="2"/>
          </rPr>
          <t>incluya la tasa de impuesto de Renta vigente.</t>
        </r>
      </text>
    </comment>
    <comment ref="D17" authorId="0" shapeId="0" xr:uid="{00000000-0006-0000-0100-00000C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20" authorId="0" shapeId="0" xr:uid="{00000000-0006-0000-0200-000004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Incluya el valor anual del presupuesto para el desarrollo de las estrategias de:
</t>
        </r>
        <r>
          <rPr>
            <sz val="9"/>
            <color rgb="FF000000"/>
            <rFont val="Tahoma"/>
            <family val="2"/>
          </rPr>
          <t xml:space="preserve">1. Producto (diseño, empaque, imagen)
</t>
        </r>
        <r>
          <rPr>
            <sz val="9"/>
            <color rgb="FF000000"/>
            <rFont val="Tahoma"/>
            <family val="2"/>
          </rPr>
          <t xml:space="preserve">2. Promoción.
</t>
        </r>
        <r>
          <rPr>
            <sz val="9"/>
            <color rgb="FF000000"/>
            <rFont val="Tahoma"/>
            <family val="2"/>
          </rPr>
          <t xml:space="preserve">3. Comunicación.
</t>
        </r>
        <r>
          <rPr>
            <sz val="9"/>
            <color rgb="FF000000"/>
            <rFont val="Tahoma"/>
            <family val="2"/>
          </rPr>
          <t xml:space="preserve">4. Servicio.
</t>
        </r>
        <r>
          <rPr>
            <sz val="9"/>
            <color rgb="FF000000"/>
            <rFont val="Tahoma"/>
            <family val="2"/>
          </rPr>
          <t>5. Precio (si hay presupuestos asociados para este proceso).</t>
        </r>
      </text>
    </comment>
    <comment ref="E25" authorId="0" shapeId="0" xr:uid="{00000000-0006-0000-0200-000007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rgb="FF000000"/>
            <rFont val="Tahoma"/>
            <family val="2"/>
          </rPr>
          <t>DARIO MAURICIO REYES GIRALDO:</t>
        </r>
        <r>
          <rPr>
            <sz val="9"/>
            <color rgb="FF000000"/>
            <rFont val="Tahoma"/>
            <family val="2"/>
          </rPr>
          <t xml:space="preserve">
</t>
        </r>
        <r>
          <rPr>
            <sz val="9"/>
            <color rgb="FF000000"/>
            <rFont val="Tahoma"/>
            <family val="2"/>
          </rPr>
          <t>Digite la tasa de interés anual a la que un banco les podría prestar esete dinero.</t>
        </r>
      </text>
    </comment>
    <comment ref="J4" authorId="0" shapeId="0" xr:uid="{00000000-0006-0000-0300-000002000000}">
      <text>
        <r>
          <rPr>
            <b/>
            <sz val="9"/>
            <color rgb="FF000000"/>
            <rFont val="Tahoma"/>
            <family val="2"/>
          </rPr>
          <t>DARIO MAURICIO REYES GIRALDO:</t>
        </r>
        <r>
          <rPr>
            <sz val="9"/>
            <color rgb="FF000000"/>
            <rFont val="Tahoma"/>
            <family val="2"/>
          </rPr>
          <t xml:space="preserve">
</t>
        </r>
        <r>
          <rPr>
            <sz val="9"/>
            <color rgb="FF000000"/>
            <rFont val="Tahoma"/>
            <family val="2"/>
          </rPr>
          <t>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rgb="FF000000"/>
            <rFont val="Tahoma"/>
            <family val="2"/>
          </rPr>
          <t>DARIO MAURICIO REYES GIRALDO:</t>
        </r>
        <r>
          <rPr>
            <sz val="9"/>
            <color rgb="FF000000"/>
            <rFont val="Tahoma"/>
            <family val="2"/>
          </rPr>
          <t xml:space="preserve">
</t>
        </r>
        <r>
          <rPr>
            <sz val="9"/>
            <color rgb="FF000000"/>
            <rFont val="Tahoma"/>
            <family val="2"/>
          </rPr>
          <t>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Esta es la tasa mínima que usted como emprendedor espera obtener al invertir en este plan de negocio.
</t>
        </r>
        <r>
          <rPr>
            <sz val="9"/>
            <color rgb="FF000000"/>
            <rFont val="Tahoma"/>
            <family val="2"/>
          </rPr>
          <t xml:space="preserve">
</t>
        </r>
        <r>
          <rPr>
            <sz val="9"/>
            <color rgb="FF000000"/>
            <rFont val="Tahoma"/>
            <family val="2"/>
          </rPr>
          <t xml:space="preserve">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<sst xmlns="http://schemas.openxmlformats.org/spreadsheetml/2006/main" count="173" uniqueCount="164">
  <si>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</si>
  <si>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</si>
  <si>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</si>
  <si>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</si>
  <si>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</si>
  <si>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</si>
  <si>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</si>
  <si>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</si>
  <si>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</si>
  <si>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</si>
  <si>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</si>
  <si>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</si>
  <si>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</si>
  <si>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</si>
  <si>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</si>
  <si>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</si>
  <si>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</si>
  <si>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</si>
  <si>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Crédito AgroSostenible Itaú 2025</t>
  </si>
  <si>
    <t>AÑO</t>
  </si>
  <si>
    <t>Crédito AgroSostenible Itaú 2026</t>
  </si>
  <si>
    <t>INFLACIÓN</t>
  </si>
  <si>
    <t>Crédito AgroSostenible Itaú 2027</t>
  </si>
  <si>
    <t>IPP</t>
  </si>
  <si>
    <t>Crédito AgroSostenible Itaú 2028</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</si>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</sst>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2">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b/>
      <sz val="9"/>
      <color rgb="FF000000"/>
      <name val="Tahoma"/>
      <family val="2"/>
    </font>
    <font>
      <sz val="9"/>
      <color rgb="FF000000"/>
      <name val="Tahoma"/>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163">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70" fontId="28" fillId="4" borderId="0" xfId="2" applyNumberFormat="1" applyFont="1" applyFill="1" applyProtection="1">
      <protection locked="0"/>
    </xf>
    <xf numFmtId="168"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8" fontId="49" fillId="0" borderId="0" xfId="1" applyNumberFormat="1" applyFont="1" applyProtection="1">
      <protection hidden="1"/>
    </xf>
    <xf numFmtId="168" fontId="49" fillId="0" borderId="0" xfId="0" applyNumberFormat="1" applyFont="1" applyProtection="1">
      <protection hidden="1"/>
    </xf>
    <xf numFmtId="0" fontId="11" fillId="0" borderId="4" xfId="0" applyFont="1" applyBorder="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95.614343926165276</c:v>
                </c:pt>
                <c:pt idx="2">
                  <c:v>191.22868785233055</c:v>
                </c:pt>
              </c:numCache>
            </c:numRef>
          </c:cat>
          <c:val>
            <c:numRef>
              <c:f>'5'!$C$33:$C$35</c:f>
              <c:numCache>
                <c:formatCode>_("$"\ * #,##0.00_);_("$"\ * \(#,##0.00\);_("$"\ * "-"??_);_(@_)</c:formatCode>
                <c:ptCount val="3"/>
                <c:pt idx="0">
                  <c:v>880000000</c:v>
                </c:pt>
                <c:pt idx="1">
                  <c:v>880000000</c:v>
                </c:pt>
                <c:pt idx="2">
                  <c:v>880000000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95.614343926165276</c:v>
                </c:pt>
                <c:pt idx="2">
                  <c:v>191.22868785233055</c:v>
                </c:pt>
              </c:numCache>
            </c:numRef>
          </c:cat>
          <c:val>
            <c:numRef>
              <c:f>'5'!$D$33:$D$35</c:f>
              <c:numCache>
                <c:formatCode>_("$"\ * #,##0.00_);_("$"\ * \(#,##0.00\);_("$"\ * "-"??_);_(@_)</c:formatCode>
                <c:ptCount val="3"/>
                <c:pt idx="0" formatCode="General">
                  <c:v>0</c:v>
                </c:pt>
                <c:pt idx="1">
                  <c:v>1051045565.9886405</c:v>
                </c:pt>
                <c:pt idx="2">
                  <c:v>2102091131.9772816</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95.614343926165276</c:v>
                </c:pt>
                <c:pt idx="2">
                  <c:v>191.22868785233055</c:v>
                </c:pt>
              </c:numCache>
            </c:numRef>
          </c:cat>
          <c:val>
            <c:numRef>
              <c:f>'5'!$F$33:$F$35</c:f>
              <c:numCache>
                <c:formatCode>_("$"\ * #,##0.00_);_("$"\ * \(#,##0.00\);_("$"\ * "-"??_);_(@_)</c:formatCode>
                <c:ptCount val="3"/>
                <c:pt idx="0">
                  <c:v>880000000</c:v>
                </c:pt>
                <c:pt idx="1">
                  <c:v>1051045565.9886408</c:v>
                </c:pt>
                <c:pt idx="2">
                  <c:v>1222091131.9772816</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tabSelected="1" view="pageBreakPreview" zoomScaleNormal="100" zoomScaleSheetLayoutView="100" workbookViewId="0"/>
  </sheetViews>
  <sheetFormatPr defaultColWidth="11.42578125" defaultRowHeight="15"/>
  <sheetData>
    <row r="23" spans="7:8" ht="20.100000000000001">
      <c r="G23" s="139" t="s">
        <v>0</v>
      </c>
      <c r="H23" s="139"/>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2" zoomScale="80" zoomScaleNormal="80" workbookViewId="0">
      <selection activeCell="Y27" sqref="Y27"/>
    </sheetView>
  </sheetViews>
  <sheetFormatPr defaultColWidth="11.42578125" defaultRowHeight="15"/>
  <cols>
    <col min="1" max="1" width="22.42578125" style="8" customWidth="1"/>
    <col min="2" max="2" width="34.42578125" style="8" bestFit="1" customWidth="1"/>
    <col min="3" max="6" width="26" style="8" bestFit="1" customWidth="1"/>
    <col min="7" max="7" width="14.42578125" style="8" bestFit="1" customWidth="1"/>
    <col min="8" max="10" width="9.42578125" style="8" bestFit="1" customWidth="1"/>
    <col min="11" max="11" width="4.28515625" style="8" customWidth="1"/>
    <col min="12" max="15" width="11.42578125" style="8" hidden="1" customWidth="1"/>
    <col min="16" max="19" width="12" style="8" hidden="1" customWidth="1"/>
    <col min="20" max="24" width="15.42578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1" t="s">
        <v>1</v>
      </c>
      <c r="B1" s="141"/>
      <c r="C1" s="141"/>
      <c r="D1" s="141"/>
      <c r="E1" s="141"/>
      <c r="G1" s="142" t="s">
        <v>2</v>
      </c>
      <c r="H1" s="142"/>
      <c r="I1" s="142"/>
      <c r="J1" s="142"/>
      <c r="P1" s="8" t="s">
        <v>3</v>
      </c>
      <c r="Y1" s="15" t="s">
        <v>4</v>
      </c>
      <c r="Z1" s="47">
        <v>2025</v>
      </c>
      <c r="AA1" s="16"/>
    </row>
    <row r="2" spans="1:29" ht="32.25" customHeight="1" thickBot="1">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4" thickBot="1">
      <c r="A3" s="21">
        <v>1</v>
      </c>
      <c r="B3" s="13" t="s">
        <v>18</v>
      </c>
      <c r="C3" s="53">
        <v>50</v>
      </c>
      <c r="D3" s="14">
        <v>11930000</v>
      </c>
      <c r="E3" s="22">
        <f>C3*D3</f>
        <v>596500000</v>
      </c>
      <c r="F3" s="23">
        <f>IF($E$13=0,0,E3/$E$13)</f>
        <v>0.20544878418406007</v>
      </c>
      <c r="G3" s="113">
        <v>0.2</v>
      </c>
      <c r="H3" s="113">
        <v>0.16700000000000001</v>
      </c>
      <c r="I3" s="113">
        <v>0.214</v>
      </c>
      <c r="J3" s="113"/>
      <c r="K3" s="24"/>
      <c r="L3" s="8">
        <f t="shared" ref="L3:L12" si="1">C3*(1+G3)</f>
        <v>60</v>
      </c>
      <c r="M3" s="8">
        <f>L3*(1+H3)</f>
        <v>70.02</v>
      </c>
      <c r="N3" s="8">
        <f t="shared" ref="N3:O3" si="2">M3*(1+I3)</f>
        <v>85.004279999999994</v>
      </c>
      <c r="O3" s="8">
        <f t="shared" si="2"/>
        <v>85.004279999999994</v>
      </c>
      <c r="P3" s="25">
        <f>D3*(1+'1'!$Z$4)</f>
        <v>12431060</v>
      </c>
      <c r="Q3" s="25">
        <f>P3*(1+'1'!$AA$4)</f>
        <v>12990457.699999999</v>
      </c>
      <c r="R3" s="25">
        <f>Q3*(1+'1'!$AB$4)</f>
        <v>13613999.669600001</v>
      </c>
      <c r="S3" s="25">
        <f>R3*(1+'1'!$AC$4)</f>
        <v>13613999.669600001</v>
      </c>
      <c r="T3" s="26">
        <f>L3*P3</f>
        <v>745863600</v>
      </c>
      <c r="U3" s="26">
        <f>M3*Q3</f>
        <v>909591848.15399992</v>
      </c>
      <c r="V3" s="26">
        <f>N3*R3</f>
        <v>1157248239.8345859</v>
      </c>
      <c r="W3" s="26">
        <f>O3*S3</f>
        <v>1157248239.8345859</v>
      </c>
      <c r="X3" s="26"/>
      <c r="Y3" s="27" t="s">
        <v>19</v>
      </c>
      <c r="Z3" s="28">
        <f>G2</f>
        <v>2026</v>
      </c>
      <c r="AA3" s="28">
        <f>Z3+1</f>
        <v>2027</v>
      </c>
      <c r="AB3" s="28">
        <f t="shared" ref="AB3:AC3" si="3">AA3+1</f>
        <v>2028</v>
      </c>
      <c r="AC3" s="29">
        <f t="shared" si="3"/>
        <v>2029</v>
      </c>
    </row>
    <row r="4" spans="1:29" ht="23.1">
      <c r="A4" s="21">
        <f>A3+1</f>
        <v>2</v>
      </c>
      <c r="B4" s="13" t="s">
        <v>20</v>
      </c>
      <c r="C4" s="53">
        <v>60</v>
      </c>
      <c r="D4" s="14">
        <v>11370000</v>
      </c>
      <c r="E4" s="22">
        <f t="shared" ref="E4:E12" si="4">C4*D4</f>
        <v>682200000</v>
      </c>
      <c r="F4" s="23">
        <f t="shared" ref="F4:F12" si="5">IF($E$13=0,0,E4/$E$13)</f>
        <v>0.23496590204587725</v>
      </c>
      <c r="G4" s="113">
        <v>0</v>
      </c>
      <c r="H4" s="113">
        <v>0.2</v>
      </c>
      <c r="I4" s="113">
        <v>0.15</v>
      </c>
      <c r="J4" s="113"/>
      <c r="K4" s="24"/>
      <c r="L4" s="8">
        <f t="shared" si="1"/>
        <v>60</v>
      </c>
      <c r="M4" s="8">
        <f t="shared" ref="M4:M12" si="6">L4*(1+H4)</f>
        <v>72</v>
      </c>
      <c r="N4" s="8">
        <f t="shared" ref="N4:N12" si="7">M4*(1+I4)</f>
        <v>82.8</v>
      </c>
      <c r="O4" s="8">
        <f t="shared" ref="O4:O12" si="8">N4*(1+J4)</f>
        <v>82.8</v>
      </c>
      <c r="P4" s="25">
        <f>D4*(1+'1'!$Z$4)</f>
        <v>11847540</v>
      </c>
      <c r="Q4" s="25">
        <f>P4*(1+'1'!$AA$4)</f>
        <v>12380679.299999999</v>
      </c>
      <c r="R4" s="25">
        <f>Q4*(1+'1'!$AB$4)</f>
        <v>12974951.906399999</v>
      </c>
      <c r="S4" s="25">
        <f>R4*(1+'1'!$AC$4)</f>
        <v>12974951.906399999</v>
      </c>
      <c r="T4" s="26">
        <f t="shared" ref="T4:T12" si="9">L4*P4</f>
        <v>710852400</v>
      </c>
      <c r="U4" s="26">
        <f t="shared" ref="U4:U12" si="10">M4*Q4</f>
        <v>891408909.5999999</v>
      </c>
      <c r="V4" s="26">
        <f t="shared" ref="V4:V12" si="11">N4*R4</f>
        <v>1074326017.8499198</v>
      </c>
      <c r="W4" s="26">
        <f t="shared" ref="W4:W12" si="12">O4*S4</f>
        <v>1074326017.8499198</v>
      </c>
      <c r="X4" s="26"/>
      <c r="Y4" s="115" t="s">
        <v>21</v>
      </c>
      <c r="Z4" s="48">
        <v>4.2000000000000003E-2</v>
      </c>
      <c r="AA4" s="48">
        <v>4.4999999999999998E-2</v>
      </c>
      <c r="AB4" s="48">
        <v>4.8000000000000001E-2</v>
      </c>
      <c r="AC4" s="49"/>
    </row>
    <row r="5" spans="1:29" ht="24" thickBot="1">
      <c r="A5" s="21">
        <f t="shared" ref="A5:A12" si="13">A4+1</f>
        <v>3</v>
      </c>
      <c r="B5" s="13" t="s">
        <v>22</v>
      </c>
      <c r="C5" s="53">
        <v>70</v>
      </c>
      <c r="D5" s="14">
        <v>10800000</v>
      </c>
      <c r="E5" s="22">
        <f t="shared" si="4"/>
        <v>756000000</v>
      </c>
      <c r="F5" s="23">
        <f t="shared" si="5"/>
        <v>0.26038437693738375</v>
      </c>
      <c r="G5" s="113">
        <v>0</v>
      </c>
      <c r="H5" s="113">
        <v>0.2</v>
      </c>
      <c r="I5" s="113">
        <v>0.15</v>
      </c>
      <c r="J5" s="113"/>
      <c r="K5" s="24"/>
      <c r="L5" s="8">
        <f t="shared" si="1"/>
        <v>70</v>
      </c>
      <c r="M5" s="8">
        <f t="shared" si="6"/>
        <v>84</v>
      </c>
      <c r="N5" s="8">
        <f t="shared" si="7"/>
        <v>96.6</v>
      </c>
      <c r="O5" s="8">
        <f t="shared" si="8"/>
        <v>96.6</v>
      </c>
      <c r="P5" s="25">
        <f>D5*(1+'1'!$Z$4)</f>
        <v>11253600</v>
      </c>
      <c r="Q5" s="25">
        <f>P5*(1+'1'!$AA$4)</f>
        <v>11760012</v>
      </c>
      <c r="R5" s="25">
        <f>Q5*(1+'1'!$AB$4)</f>
        <v>12324492.576000001</v>
      </c>
      <c r="S5" s="25">
        <f>R5*(1+'1'!$AC$4)</f>
        <v>12324492.576000001</v>
      </c>
      <c r="T5" s="26">
        <f t="shared" si="9"/>
        <v>787752000</v>
      </c>
      <c r="U5" s="26">
        <f t="shared" si="10"/>
        <v>987841008</v>
      </c>
      <c r="V5" s="26">
        <f t="shared" si="11"/>
        <v>1190545982.8415999</v>
      </c>
      <c r="W5" s="26">
        <f t="shared" si="12"/>
        <v>1190545982.8415999</v>
      </c>
      <c r="X5" s="26"/>
      <c r="Y5" s="116" t="s">
        <v>23</v>
      </c>
      <c r="Z5" s="50">
        <v>0.05</v>
      </c>
      <c r="AA5" s="50">
        <v>5.2999999999999999E-2</v>
      </c>
      <c r="AB5" s="50">
        <v>5.5E-2</v>
      </c>
      <c r="AC5" s="51"/>
    </row>
    <row r="6" spans="1:29" ht="15.95" thickBot="1">
      <c r="A6" s="21">
        <f t="shared" si="13"/>
        <v>4</v>
      </c>
      <c r="B6" s="13" t="s">
        <v>24</v>
      </c>
      <c r="C6" s="53">
        <v>85</v>
      </c>
      <c r="D6" s="14">
        <v>10220000</v>
      </c>
      <c r="E6" s="22">
        <f t="shared" si="4"/>
        <v>868700000</v>
      </c>
      <c r="F6" s="23">
        <f t="shared" si="5"/>
        <v>0.29920093683267895</v>
      </c>
      <c r="G6" s="113">
        <v>0</v>
      </c>
      <c r="H6" s="113">
        <v>0.2</v>
      </c>
      <c r="I6" s="113">
        <v>0.15</v>
      </c>
      <c r="J6" s="113"/>
      <c r="K6" s="24"/>
      <c r="L6" s="8">
        <f t="shared" si="1"/>
        <v>85</v>
      </c>
      <c r="M6" s="8">
        <f t="shared" si="6"/>
        <v>102</v>
      </c>
      <c r="N6" s="8">
        <f t="shared" si="7"/>
        <v>117.3</v>
      </c>
      <c r="O6" s="8">
        <f t="shared" si="8"/>
        <v>117.3</v>
      </c>
      <c r="P6" s="25">
        <f>D6*(1+'1'!$Z$4)</f>
        <v>10649240</v>
      </c>
      <c r="Q6" s="25">
        <f>P6*(1+'1'!$AA$4)</f>
        <v>11128455.799999999</v>
      </c>
      <c r="R6" s="25">
        <f>Q6*(1+'1'!$AB$4)</f>
        <v>11662621.678399999</v>
      </c>
      <c r="S6" s="25">
        <f>R6*(1+'1'!$AC$4)</f>
        <v>11662621.678399999</v>
      </c>
      <c r="T6" s="26">
        <f t="shared" si="9"/>
        <v>905185400</v>
      </c>
      <c r="U6" s="26">
        <f t="shared" si="10"/>
        <v>1135102491.5999999</v>
      </c>
      <c r="V6" s="26">
        <f t="shared" si="11"/>
        <v>1368025522.8763199</v>
      </c>
      <c r="W6" s="26">
        <f t="shared" si="12"/>
        <v>1368025522.8763199</v>
      </c>
      <c r="X6" s="26"/>
    </row>
    <row r="7" spans="1:29" ht="24" thickBot="1">
      <c r="A7" s="21">
        <f t="shared" si="13"/>
        <v>5</v>
      </c>
      <c r="B7" s="13"/>
      <c r="C7" s="53">
        <v>0</v>
      </c>
      <c r="D7" s="14">
        <v>0</v>
      </c>
      <c r="E7" s="22">
        <f t="shared" si="4"/>
        <v>0</v>
      </c>
      <c r="F7" s="23">
        <f t="shared" si="5"/>
        <v>0</v>
      </c>
      <c r="G7" s="46">
        <v>0</v>
      </c>
      <c r="H7" s="46">
        <v>0</v>
      </c>
      <c r="I7" s="46">
        <v>0</v>
      </c>
      <c r="J7" s="46">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25</v>
      </c>
      <c r="Z7" s="31"/>
      <c r="AA7" s="31"/>
      <c r="AB7" s="52">
        <v>0.35</v>
      </c>
      <c r="AC7" s="32"/>
    </row>
    <row r="8" spans="1:29">
      <c r="A8" s="21">
        <f t="shared" si="13"/>
        <v>6</v>
      </c>
      <c r="B8" s="13"/>
      <c r="C8" s="53">
        <v>0</v>
      </c>
      <c r="D8" s="14">
        <v>0</v>
      </c>
      <c r="E8" s="22">
        <f t="shared" si="4"/>
        <v>0</v>
      </c>
      <c r="F8" s="23">
        <f t="shared" si="5"/>
        <v>0</v>
      </c>
      <c r="G8" s="46">
        <v>0</v>
      </c>
      <c r="H8" s="46">
        <v>0</v>
      </c>
      <c r="I8" s="46">
        <v>0</v>
      </c>
      <c r="J8" s="46">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3">
        <v>0</v>
      </c>
      <c r="D9" s="14">
        <v>0</v>
      </c>
      <c r="E9" s="22">
        <f t="shared" si="4"/>
        <v>0</v>
      </c>
      <c r="F9" s="23">
        <f t="shared" si="5"/>
        <v>0</v>
      </c>
      <c r="G9" s="46">
        <v>0</v>
      </c>
      <c r="H9" s="46">
        <v>0</v>
      </c>
      <c r="I9" s="46">
        <v>0</v>
      </c>
      <c r="J9" s="46">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3">
        <v>0</v>
      </c>
      <c r="D10" s="14">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3">
        <v>0</v>
      </c>
      <c r="D11" s="14">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3">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26</v>
      </c>
      <c r="E13" s="33">
        <f>SUM(E3:E12)</f>
        <v>2903400000</v>
      </c>
      <c r="F13" s="34">
        <f>SUM(F3:F12)</f>
        <v>1</v>
      </c>
      <c r="T13" s="35">
        <f>SUM(T3:T12)</f>
        <v>3149653400</v>
      </c>
      <c r="U13" s="35">
        <f>SUM(U3:U12)</f>
        <v>3923944257.3539996</v>
      </c>
      <c r="V13" s="35">
        <f>SUM(V3:V12)</f>
        <v>4790145763.4024258</v>
      </c>
      <c r="W13" s="35">
        <f>SUM(W3:W12)</f>
        <v>4790145763.4024258</v>
      </c>
      <c r="X13" s="26"/>
    </row>
    <row r="15" spans="1:29" ht="23.25" customHeight="1">
      <c r="A15" s="141" t="s">
        <v>27</v>
      </c>
      <c r="B15" s="141"/>
      <c r="C15" s="141"/>
      <c r="D15" s="141"/>
      <c r="E15" s="141"/>
      <c r="G15" s="36"/>
    </row>
    <row r="16" spans="1:29" ht="25.5" customHeight="1">
      <c r="B16" s="17" t="s">
        <v>28</v>
      </c>
      <c r="C16" s="37" t="s">
        <v>6</v>
      </c>
      <c r="D16" s="111" t="s">
        <v>29</v>
      </c>
      <c r="E16" s="18" t="s">
        <v>30</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2" t="str">
        <f>B3</f>
        <v>Crédito AgroSostenible Itaú 2025</v>
      </c>
      <c r="C17" s="39">
        <f>C3</f>
        <v>50</v>
      </c>
      <c r="D17" s="14">
        <v>1664000</v>
      </c>
      <c r="E17" s="22">
        <f>C17*D17</f>
        <v>83200000</v>
      </c>
      <c r="F17" s="23">
        <f>IF($E$27=0,0,E17/$E$27)</f>
        <v>0.17501546346813565</v>
      </c>
      <c r="L17" s="8">
        <f t="shared" ref="L17:L26" si="15">C17*(1+G3)</f>
        <v>60</v>
      </c>
      <c r="M17" s="8">
        <f>L17*(1+H3)</f>
        <v>70.02</v>
      </c>
      <c r="N17" s="8">
        <f t="shared" ref="N17:O17" si="16">M17*(1+I3)</f>
        <v>85.004279999999994</v>
      </c>
      <c r="O17" s="8">
        <f t="shared" si="16"/>
        <v>85.004279999999994</v>
      </c>
      <c r="P17" s="40">
        <f>D17*(1+'1'!$Z$5)</f>
        <v>1747200</v>
      </c>
      <c r="Q17" s="25">
        <f>P17*(1+'1'!$AA$5)</f>
        <v>1839801.5999999999</v>
      </c>
      <c r="R17" s="25">
        <f>Q17*(1+'1'!$AB$5)</f>
        <v>1940990.6879999998</v>
      </c>
      <c r="S17" s="25">
        <f>R17*(1+'1'!$AC$5)</f>
        <v>1940990.6879999998</v>
      </c>
      <c r="T17" s="40">
        <f t="shared" ref="T17:U19" si="17">L17*P17</f>
        <v>104832000</v>
      </c>
      <c r="U17" s="26">
        <f t="shared" si="17"/>
        <v>128822908.03199999</v>
      </c>
      <c r="V17" s="26">
        <f t="shared" ref="V17:W17" si="18">N17*R17</f>
        <v>164992515.92014462</v>
      </c>
      <c r="W17" s="26">
        <f t="shared" si="18"/>
        <v>164992515.92014462</v>
      </c>
      <c r="X17" s="26"/>
    </row>
    <row r="18" spans="1:24">
      <c r="A18" s="21">
        <f t="shared" ref="A18:B25" si="19">A4</f>
        <v>2</v>
      </c>
      <c r="B18" s="41" t="str">
        <f t="shared" si="19"/>
        <v>Crédito AgroSostenible Itaú 2026</v>
      </c>
      <c r="C18" s="39">
        <f t="shared" ref="C18:C26" si="20">C4</f>
        <v>60</v>
      </c>
      <c r="D18" s="14">
        <v>1733888</v>
      </c>
      <c r="E18" s="22">
        <f t="shared" ref="E18:E26" si="21">C18*D18</f>
        <v>104033280</v>
      </c>
      <c r="F18" s="23">
        <f t="shared" ref="F18:F26" si="22">IF($E$27=0,0,E18/$E$27)</f>
        <v>0.21883933552055684</v>
      </c>
      <c r="L18" s="8">
        <f t="shared" si="15"/>
        <v>60</v>
      </c>
      <c r="M18" s="8">
        <f t="shared" ref="M18:M26" si="23">L18*(1+H4)</f>
        <v>72</v>
      </c>
      <c r="N18" s="8">
        <f t="shared" ref="N18:N26" si="24">M18*(1+I4)</f>
        <v>82.8</v>
      </c>
      <c r="O18" s="8">
        <f t="shared" ref="O18:O26" si="25">N18*(1+J4)</f>
        <v>82.8</v>
      </c>
      <c r="P18" s="40">
        <f>D18*(1+'1'!$Z$5)</f>
        <v>1820582.4000000001</v>
      </c>
      <c r="Q18" s="25">
        <f>P18*(1+'1'!$AA$5)</f>
        <v>1917073.2672000001</v>
      </c>
      <c r="R18" s="25">
        <f>Q18*(1+'1'!$AB$5)</f>
        <v>2022512.2968959999</v>
      </c>
      <c r="S18" s="25">
        <f>R18*(1+'1'!$AC$5)</f>
        <v>2022512.2968959999</v>
      </c>
      <c r="T18" s="40">
        <f t="shared" si="17"/>
        <v>109234944.00000001</v>
      </c>
      <c r="U18" s="26">
        <f t="shared" si="17"/>
        <v>138029275.23840001</v>
      </c>
      <c r="V18" s="26">
        <f t="shared" ref="V18:V26" si="26">N18*R18</f>
        <v>167464018.18298879</v>
      </c>
      <c r="W18" s="26">
        <f t="shared" ref="W18:W26" si="27">O18*S18</f>
        <v>167464018.18298879</v>
      </c>
      <c r="X18" s="26"/>
    </row>
    <row r="19" spans="1:24">
      <c r="A19" s="21">
        <f t="shared" si="19"/>
        <v>3</v>
      </c>
      <c r="B19" s="41" t="str">
        <f t="shared" si="19"/>
        <v>Crédito AgroSostenible Itaú 2027</v>
      </c>
      <c r="C19" s="39">
        <f t="shared" si="20"/>
        <v>70</v>
      </c>
      <c r="D19" s="14">
        <v>1811913</v>
      </c>
      <c r="E19" s="22">
        <f t="shared" si="21"/>
        <v>126833910</v>
      </c>
      <c r="F19" s="23">
        <f t="shared" si="22"/>
        <v>0.26680162911208904</v>
      </c>
      <c r="L19" s="8">
        <f t="shared" si="15"/>
        <v>70</v>
      </c>
      <c r="M19" s="8">
        <f t="shared" si="23"/>
        <v>84</v>
      </c>
      <c r="N19" s="8">
        <f t="shared" si="24"/>
        <v>96.6</v>
      </c>
      <c r="O19" s="8">
        <f t="shared" si="25"/>
        <v>96.6</v>
      </c>
      <c r="P19" s="40">
        <f>D19*(1+'1'!$Z$5)</f>
        <v>1902508.6500000001</v>
      </c>
      <c r="Q19" s="25">
        <f>P19*(1+'1'!$AA$5)</f>
        <v>2003341.6084499999</v>
      </c>
      <c r="R19" s="25">
        <f>Q19*(1+'1'!$AB$5)</f>
        <v>2113525.3969147499</v>
      </c>
      <c r="S19" s="25">
        <f>R19*(1+'1'!$AC$5)</f>
        <v>2113525.3969147499</v>
      </c>
      <c r="T19" s="40">
        <f t="shared" si="17"/>
        <v>133175605.50000001</v>
      </c>
      <c r="U19" s="26">
        <f t="shared" si="17"/>
        <v>168280695.10979998</v>
      </c>
      <c r="V19" s="26">
        <f t="shared" si="26"/>
        <v>204166553.34196481</v>
      </c>
      <c r="W19" s="26">
        <f t="shared" si="27"/>
        <v>204166553.34196481</v>
      </c>
      <c r="X19" s="26"/>
    </row>
    <row r="20" spans="1:24">
      <c r="A20" s="21">
        <f t="shared" si="19"/>
        <v>4</v>
      </c>
      <c r="B20" s="41" t="str">
        <f t="shared" si="19"/>
        <v>Crédito AgroSostenible Itaú 2028</v>
      </c>
      <c r="C20" s="39">
        <f t="shared" si="20"/>
        <v>85</v>
      </c>
      <c r="D20" s="14">
        <v>1897875</v>
      </c>
      <c r="E20" s="22">
        <f t="shared" si="21"/>
        <v>161319375</v>
      </c>
      <c r="F20" s="23">
        <f t="shared" si="22"/>
        <v>0.33934357189921849</v>
      </c>
      <c r="L20" s="8">
        <f t="shared" si="15"/>
        <v>85</v>
      </c>
      <c r="M20" s="8">
        <f t="shared" si="23"/>
        <v>102</v>
      </c>
      <c r="N20" s="8">
        <f t="shared" si="24"/>
        <v>117.3</v>
      </c>
      <c r="O20" s="8">
        <f t="shared" si="25"/>
        <v>117.3</v>
      </c>
      <c r="P20" s="40">
        <f>D20*(1+'1'!$Z$5)</f>
        <v>1992768.75</v>
      </c>
      <c r="Q20" s="25">
        <f>P20*(1+'1'!$AA$5)</f>
        <v>2098385.4937499999</v>
      </c>
      <c r="R20" s="25">
        <f>Q20*(1+'1'!$AB$5)</f>
        <v>2213796.6959062498</v>
      </c>
      <c r="S20" s="25">
        <f>R20*(1+'1'!$AC$5)</f>
        <v>2213796.6959062498</v>
      </c>
      <c r="T20" s="40">
        <f t="shared" ref="T20:T26" si="28">L20*P20</f>
        <v>169385343.75</v>
      </c>
      <c r="U20" s="26">
        <f t="shared" ref="U20:U26" si="29">M20*Q20</f>
        <v>214035320.36249998</v>
      </c>
      <c r="V20" s="26">
        <f t="shared" si="26"/>
        <v>259678352.4298031</v>
      </c>
      <c r="W20" s="26">
        <f t="shared" si="27"/>
        <v>259678352.4298031</v>
      </c>
      <c r="X20" s="26"/>
    </row>
    <row r="21" spans="1:24">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475386565</v>
      </c>
      <c r="F27" s="34">
        <f>SUM(F17:F26)</f>
        <v>1</v>
      </c>
      <c r="T27" s="35">
        <f>SUM(T17:T26)</f>
        <v>516627893.25</v>
      </c>
      <c r="U27" s="35">
        <f>SUM(U17:U26)</f>
        <v>649168198.74269998</v>
      </c>
      <c r="V27" s="35">
        <f t="shared" ref="V27:W27" si="31">SUM(V17:V26)</f>
        <v>796301439.87490141</v>
      </c>
      <c r="W27" s="35">
        <f t="shared" si="31"/>
        <v>796301439.87490141</v>
      </c>
      <c r="X27" s="26"/>
    </row>
    <row r="30" spans="1:24">
      <c r="A30" s="140" t="s">
        <v>31</v>
      </c>
      <c r="B30" s="140"/>
      <c r="C30" s="140"/>
      <c r="D30" s="140"/>
      <c r="E30" s="140"/>
      <c r="F30" s="140"/>
    </row>
    <row r="31" spans="1:24" ht="24.95">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ht="15.95">
      <c r="A32" s="135" t="s">
        <v>32</v>
      </c>
      <c r="B32" s="136">
        <f>'1'!E13</f>
        <v>2903400000</v>
      </c>
      <c r="C32" s="137">
        <f>'1'!T13</f>
        <v>3149653400</v>
      </c>
      <c r="D32" s="137">
        <f>'1'!U13</f>
        <v>3923944257.3539996</v>
      </c>
      <c r="E32" s="137">
        <f>'1'!V13</f>
        <v>4790145763.4024258</v>
      </c>
      <c r="F32" s="137">
        <f>'1'!W13</f>
        <v>4790145763.4024258</v>
      </c>
    </row>
    <row r="33" spans="1:6" ht="15.95">
      <c r="A33" s="135" t="s">
        <v>33</v>
      </c>
      <c r="B33" s="136">
        <f>'1'!E27</f>
        <v>475386565</v>
      </c>
      <c r="C33" s="136">
        <f>'1'!T27</f>
        <v>516627893.25</v>
      </c>
      <c r="D33" s="136">
        <f>'1'!U27</f>
        <v>649168198.74269998</v>
      </c>
      <c r="E33" s="136">
        <f>'1'!V27</f>
        <v>796301439.87490141</v>
      </c>
      <c r="F33" s="136">
        <f>'1'!W27</f>
        <v>796301439.87490141</v>
      </c>
    </row>
    <row r="34" spans="1:6" ht="21" thickBot="1">
      <c r="A34" s="45" t="s">
        <v>34</v>
      </c>
      <c r="B34" s="114">
        <f>B32-B33</f>
        <v>2428013435</v>
      </c>
      <c r="C34" s="114">
        <f t="shared" ref="C34:D34" si="32">C32-C33</f>
        <v>2633025506.75</v>
      </c>
      <c r="D34" s="114">
        <f t="shared" si="32"/>
        <v>3274776058.6112995</v>
      </c>
      <c r="E34" s="114">
        <f t="shared" ref="E34" si="33">E32-E33</f>
        <v>3993844323.5275245</v>
      </c>
      <c r="F34" s="114">
        <f t="shared" ref="F34" si="34">F32-F33</f>
        <v>3993844323.5275245</v>
      </c>
    </row>
    <row r="35" spans="1:6" ht="15.9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zoomScale="120" zoomScaleNormal="120" workbookViewId="0">
      <pane ySplit="14" topLeftCell="A20" activePane="bottomLeft" state="frozenSplit"/>
      <selection pane="bottomLeft" activeCell="E9" sqref="E9"/>
      <selection activeCell="B40" sqref="B40"/>
    </sheetView>
  </sheetViews>
  <sheetFormatPr defaultColWidth="11.42578125" defaultRowHeight="15"/>
  <cols>
    <col min="1" max="1" width="5.42578125" style="8" customWidth="1"/>
    <col min="2" max="2" width="29.42578125" style="8" bestFit="1" customWidth="1"/>
    <col min="3" max="3" width="20.28515625" style="8" customWidth="1"/>
    <col min="4" max="4" width="11.42578125" style="8"/>
    <col min="5" max="5" width="23.28515625" style="8" customWidth="1"/>
    <col min="6" max="6" width="20" style="8" bestFit="1" customWidth="1"/>
    <col min="7" max="7" width="15.42578125" style="8" bestFit="1" customWidth="1"/>
    <col min="8" max="16384" width="11.42578125" style="8"/>
  </cols>
  <sheetData>
    <row r="1" spans="2:13">
      <c r="B1" s="143" t="s">
        <v>35</v>
      </c>
      <c r="C1" s="143"/>
      <c r="D1" s="143"/>
      <c r="E1" s="143"/>
      <c r="F1" s="143"/>
      <c r="G1" s="143"/>
      <c r="H1" s="143"/>
    </row>
    <row r="2" spans="2:13" ht="22.5" customHeight="1">
      <c r="B2" s="143"/>
      <c r="C2" s="143"/>
      <c r="D2" s="143"/>
      <c r="E2" s="143"/>
      <c r="F2" s="143"/>
      <c r="G2" s="143"/>
      <c r="H2" s="143"/>
    </row>
    <row r="3" spans="2:13" ht="22.5" customHeight="1">
      <c r="C3" s="21" t="s">
        <v>36</v>
      </c>
      <c r="F3" s="71" t="s">
        <v>37</v>
      </c>
      <c r="G3" s="129"/>
      <c r="H3" s="129"/>
      <c r="I3" s="129"/>
      <c r="J3" s="129"/>
      <c r="K3" s="129"/>
      <c r="L3" s="129"/>
      <c r="M3" s="129"/>
    </row>
    <row r="4" spans="2:13" ht="22.5" customHeight="1">
      <c r="B4" s="45" t="s">
        <v>38</v>
      </c>
      <c r="C4" s="14">
        <v>0</v>
      </c>
      <c r="F4" s="71"/>
      <c r="G4" s="71"/>
      <c r="H4" s="71"/>
      <c r="I4" s="129"/>
      <c r="J4" s="129"/>
      <c r="K4" s="129"/>
      <c r="L4" s="129"/>
      <c r="M4" s="129"/>
    </row>
    <row r="5" spans="2:13">
      <c r="B5" s="45" t="s">
        <v>39</v>
      </c>
      <c r="C5" s="14">
        <v>50000000</v>
      </c>
      <c r="F5" s="71">
        <v>10</v>
      </c>
      <c r="G5" s="72">
        <f t="shared" ref="G5:G11" si="0">C5/F5</f>
        <v>5000000</v>
      </c>
      <c r="H5" s="71"/>
      <c r="I5" s="129"/>
      <c r="J5" s="129"/>
      <c r="K5" s="129"/>
      <c r="L5" s="129"/>
      <c r="M5" s="129"/>
    </row>
    <row r="6" spans="2:13">
      <c r="B6" s="45" t="s">
        <v>40</v>
      </c>
      <c r="C6" s="14"/>
      <c r="F6" s="71">
        <v>5</v>
      </c>
      <c r="G6" s="72">
        <f t="shared" si="0"/>
        <v>0</v>
      </c>
      <c r="H6" s="71"/>
      <c r="I6" s="129"/>
      <c r="J6" s="129"/>
      <c r="K6" s="129"/>
      <c r="L6" s="129"/>
      <c r="M6" s="129"/>
    </row>
    <row r="7" spans="2:13">
      <c r="B7" s="45" t="s">
        <v>41</v>
      </c>
      <c r="C7" s="14"/>
      <c r="F7" s="71">
        <v>5</v>
      </c>
      <c r="G7" s="72">
        <f t="shared" si="0"/>
        <v>0</v>
      </c>
      <c r="H7" s="71"/>
      <c r="I7" s="129"/>
      <c r="J7" s="129"/>
      <c r="K7" s="129"/>
      <c r="L7" s="129"/>
      <c r="M7" s="129"/>
    </row>
    <row r="8" spans="2:13">
      <c r="B8" s="45" t="s">
        <v>42</v>
      </c>
      <c r="C8" s="14"/>
      <c r="F8" s="71">
        <v>5</v>
      </c>
      <c r="G8" s="72">
        <f t="shared" si="0"/>
        <v>0</v>
      </c>
      <c r="H8" s="71"/>
      <c r="I8" s="129"/>
      <c r="J8" s="129"/>
      <c r="K8" s="129"/>
      <c r="L8" s="129"/>
      <c r="M8" s="129"/>
    </row>
    <row r="9" spans="2:13">
      <c r="B9" s="45" t="s">
        <v>43</v>
      </c>
      <c r="C9" s="14">
        <v>0</v>
      </c>
      <c r="F9" s="71">
        <v>5</v>
      </c>
      <c r="G9" s="72">
        <f t="shared" si="0"/>
        <v>0</v>
      </c>
      <c r="H9" s="71"/>
      <c r="I9" s="129"/>
      <c r="J9" s="129"/>
      <c r="K9" s="129"/>
      <c r="L9" s="129"/>
      <c r="M9" s="129"/>
    </row>
    <row r="10" spans="2:13">
      <c r="B10" s="45" t="s">
        <v>44</v>
      </c>
      <c r="C10" s="14">
        <v>150000000</v>
      </c>
      <c r="F10" s="71">
        <v>5</v>
      </c>
      <c r="G10" s="72">
        <f t="shared" si="0"/>
        <v>30000000</v>
      </c>
      <c r="H10" s="71"/>
      <c r="I10" s="129"/>
      <c r="J10" s="129"/>
      <c r="K10" s="129"/>
      <c r="L10" s="129"/>
      <c r="M10" s="129"/>
    </row>
    <row r="11" spans="2:13">
      <c r="B11" s="45" t="s">
        <v>45</v>
      </c>
      <c r="C11" s="14">
        <v>210000000</v>
      </c>
      <c r="F11" s="71">
        <v>5</v>
      </c>
      <c r="G11" s="72">
        <f t="shared" si="0"/>
        <v>42000000</v>
      </c>
      <c r="H11" s="71"/>
      <c r="I11" s="129"/>
      <c r="J11" s="129"/>
      <c r="K11" s="129"/>
      <c r="L11" s="129"/>
      <c r="M11" s="129"/>
    </row>
    <row r="12" spans="2:13" ht="17.100000000000001" thickBot="1">
      <c r="B12" s="73" t="s">
        <v>46</v>
      </c>
      <c r="C12" s="74">
        <f>SUM(C4:C11)</f>
        <v>410000000</v>
      </c>
      <c r="F12" s="71"/>
      <c r="G12" s="72">
        <f>SUM(G5:G11)</f>
        <v>77000000</v>
      </c>
      <c r="H12" s="71"/>
      <c r="I12" s="129"/>
      <c r="J12" s="129"/>
      <c r="K12" s="129"/>
      <c r="L12" s="129"/>
      <c r="M12" s="129"/>
    </row>
    <row r="13" spans="2:13">
      <c r="B13" s="144" t="s">
        <v>47</v>
      </c>
      <c r="C13" s="145"/>
      <c r="D13" s="145"/>
      <c r="E13" s="145"/>
      <c r="F13" s="145"/>
      <c r="G13" s="145"/>
      <c r="H13" s="146"/>
    </row>
    <row r="14" spans="2:13" ht="15.95" thickBot="1">
      <c r="B14" s="147"/>
      <c r="C14" s="148"/>
      <c r="D14" s="148"/>
      <c r="E14" s="148"/>
      <c r="F14" s="148"/>
      <c r="G14" s="148"/>
      <c r="H14" s="149"/>
    </row>
    <row r="15" spans="2:13">
      <c r="B15" s="75"/>
      <c r="C15" s="75"/>
      <c r="D15" s="75"/>
      <c r="E15" s="75"/>
      <c r="F15" s="75"/>
      <c r="G15" s="75"/>
      <c r="H15" s="75"/>
    </row>
    <row r="16" spans="2:13">
      <c r="B16" s="73" t="s">
        <v>48</v>
      </c>
      <c r="E16" s="73" t="s">
        <v>49</v>
      </c>
      <c r="F16" s="38"/>
    </row>
    <row r="17" spans="2:6">
      <c r="C17" s="73" t="s">
        <v>50</v>
      </c>
      <c r="F17" s="73" t="str">
        <f>C17</f>
        <v>VALOR AÑO 1</v>
      </c>
    </row>
    <row r="18" spans="2:6">
      <c r="B18" s="76" t="s">
        <v>51</v>
      </c>
      <c r="C18" s="14">
        <v>300000000</v>
      </c>
      <c r="E18" s="77" t="s">
        <v>52</v>
      </c>
      <c r="F18" s="14">
        <v>0</v>
      </c>
    </row>
    <row r="19" spans="2:6">
      <c r="C19" s="78"/>
      <c r="E19" s="77" t="s">
        <v>53</v>
      </c>
      <c r="F19" s="14">
        <v>0</v>
      </c>
    </row>
    <row r="20" spans="2:6">
      <c r="B20" s="76" t="s">
        <v>54</v>
      </c>
      <c r="C20" s="14">
        <v>200000000</v>
      </c>
      <c r="E20" s="77" t="s">
        <v>55</v>
      </c>
      <c r="F20" s="14">
        <v>0</v>
      </c>
    </row>
    <row r="21" spans="2:6">
      <c r="C21" s="78"/>
      <c r="E21" s="77" t="s">
        <v>56</v>
      </c>
      <c r="F21" s="14">
        <v>0</v>
      </c>
    </row>
    <row r="22" spans="2:6">
      <c r="B22" s="76" t="s">
        <v>57</v>
      </c>
      <c r="C22" s="14">
        <f>C18</f>
        <v>300000000</v>
      </c>
      <c r="E22" s="77" t="s">
        <v>58</v>
      </c>
      <c r="F22" s="14">
        <v>0</v>
      </c>
    </row>
    <row r="23" spans="2:6" ht="15.95">
      <c r="B23" s="8" t="s">
        <v>59</v>
      </c>
      <c r="C23" s="74">
        <f>C18+C20+C22</f>
        <v>800000000</v>
      </c>
      <c r="E23" s="77" t="s">
        <v>60</v>
      </c>
      <c r="F23" s="14">
        <v>0</v>
      </c>
    </row>
    <row r="24" spans="2:6">
      <c r="E24" s="77" t="s">
        <v>61</v>
      </c>
      <c r="F24" s="14">
        <v>0</v>
      </c>
    </row>
    <row r="25" spans="2:6" ht="27">
      <c r="B25" s="77" t="s">
        <v>62</v>
      </c>
      <c r="C25" s="14">
        <v>80000000</v>
      </c>
      <c r="E25" s="98" t="s">
        <v>63</v>
      </c>
      <c r="F25" s="14">
        <v>0</v>
      </c>
    </row>
    <row r="26" spans="2:6">
      <c r="E26" s="98" t="s">
        <v>64</v>
      </c>
      <c r="F26" s="14">
        <v>0</v>
      </c>
    </row>
    <row r="27" spans="2:6">
      <c r="B27" s="96" t="s">
        <v>65</v>
      </c>
      <c r="C27" s="96"/>
      <c r="E27" s="98"/>
      <c r="F27" s="14">
        <v>0</v>
      </c>
    </row>
    <row r="28" spans="2:6">
      <c r="B28" s="112">
        <f>'1'!G2</f>
        <v>2026</v>
      </c>
      <c r="C28" s="14">
        <v>88000000</v>
      </c>
      <c r="E28" s="98"/>
      <c r="F28" s="14">
        <v>0</v>
      </c>
    </row>
    <row r="29" spans="2:6">
      <c r="B29" s="112">
        <f>'1'!H2</f>
        <v>2027</v>
      </c>
      <c r="C29" s="14">
        <f>+(C28*10%)+C28</f>
        <v>96800000</v>
      </c>
      <c r="E29" s="98"/>
      <c r="F29" s="14">
        <v>0</v>
      </c>
    </row>
    <row r="30" spans="2:6">
      <c r="B30" s="112">
        <f>'1'!I2</f>
        <v>2028</v>
      </c>
      <c r="C30" s="14">
        <f t="shared" ref="C30" si="1">+(C29*10%)+C29</f>
        <v>106480000</v>
      </c>
      <c r="E30" s="98"/>
      <c r="F30" s="14">
        <v>0</v>
      </c>
    </row>
    <row r="31" spans="2:6" ht="15.95">
      <c r="B31" s="112">
        <f>'1'!J2</f>
        <v>2029</v>
      </c>
      <c r="C31" s="14"/>
      <c r="E31" s="77" t="s">
        <v>66</v>
      </c>
      <c r="F31" s="74">
        <f>SUM(F18:F30)</f>
        <v>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C30" sqref="C30"/>
    </sheetView>
  </sheetViews>
  <sheetFormatPr defaultColWidth="11.42578125" defaultRowHeight="15"/>
  <cols>
    <col min="1" max="1" width="11.42578125" style="8"/>
    <col min="2" max="2" width="39" style="8" bestFit="1" customWidth="1"/>
    <col min="3" max="4" width="18.42578125" style="8" bestFit="1" customWidth="1"/>
    <col min="5" max="5" width="12.85546875" style="8" customWidth="1"/>
    <col min="6" max="8" width="16.85546875" style="8" bestFit="1" customWidth="1"/>
    <col min="9" max="9" width="17" style="8" bestFit="1" customWidth="1"/>
    <col min="10" max="10" width="16.85546875" style="8" bestFit="1" customWidth="1"/>
    <col min="11" max="16384" width="11.42578125" style="8"/>
  </cols>
  <sheetData>
    <row r="2" spans="2:12" ht="29.25" customHeight="1">
      <c r="B2" s="141" t="s">
        <v>67</v>
      </c>
      <c r="C2" s="141"/>
      <c r="D2" s="141"/>
      <c r="E2" s="141"/>
      <c r="F2" s="141"/>
      <c r="G2" s="141"/>
      <c r="H2" s="141"/>
      <c r="I2" s="141"/>
      <c r="J2" s="141"/>
    </row>
    <row r="3" spans="2:12">
      <c r="F3" s="150" t="s">
        <v>68</v>
      </c>
      <c r="G3" s="150"/>
    </row>
    <row r="4" spans="2:12" ht="15.95">
      <c r="B4" s="16" t="s">
        <v>46</v>
      </c>
      <c r="C4" s="74">
        <f>'2'!C12</f>
        <v>410000000</v>
      </c>
      <c r="F4" s="151">
        <v>0.15</v>
      </c>
      <c r="G4" s="151"/>
      <c r="I4" s="8" t="s">
        <v>69</v>
      </c>
      <c r="J4" s="128">
        <v>5</v>
      </c>
      <c r="L4" s="71">
        <v>1</v>
      </c>
    </row>
    <row r="5" spans="2:12">
      <c r="L5" s="71">
        <v>2</v>
      </c>
    </row>
    <row r="6" spans="2:12" ht="15.95" thickBot="1">
      <c r="B6" s="16" t="s">
        <v>70</v>
      </c>
      <c r="F6" s="140" t="s">
        <v>71</v>
      </c>
      <c r="G6" s="140"/>
      <c r="H6" s="140"/>
      <c r="I6" s="140"/>
      <c r="J6" s="140"/>
      <c r="L6" s="71">
        <v>3</v>
      </c>
    </row>
    <row r="7" spans="2:12">
      <c r="C7" s="79" t="s">
        <v>72</v>
      </c>
      <c r="D7" s="79" t="s">
        <v>73</v>
      </c>
      <c r="E7" s="117"/>
      <c r="F7" s="118" t="s">
        <v>74</v>
      </c>
      <c r="G7" s="118" t="s">
        <v>75</v>
      </c>
      <c r="H7" s="118" t="s">
        <v>76</v>
      </c>
      <c r="I7" s="118" t="s">
        <v>77</v>
      </c>
      <c r="J7" s="119" t="s">
        <v>78</v>
      </c>
      <c r="L7" s="71">
        <v>4</v>
      </c>
    </row>
    <row r="8" spans="2:12">
      <c r="B8" s="45" t="s">
        <v>79</v>
      </c>
      <c r="C8" s="54">
        <v>12</v>
      </c>
      <c r="D8" s="25">
        <f>('1'!B33/12)*C8</f>
        <v>475386565</v>
      </c>
      <c r="E8" s="120" t="s">
        <v>80</v>
      </c>
      <c r="F8" s="121"/>
      <c r="G8" s="121"/>
      <c r="H8" s="121"/>
      <c r="I8" s="121"/>
      <c r="J8" s="122">
        <f>D16</f>
        <v>1765386565</v>
      </c>
      <c r="L8" s="71">
        <v>5</v>
      </c>
    </row>
    <row r="9" spans="2:12">
      <c r="B9" s="45" t="s">
        <v>81</v>
      </c>
      <c r="C9" s="54">
        <v>12</v>
      </c>
      <c r="D9" s="25">
        <f>('2'!C23/12)*C9</f>
        <v>800000000</v>
      </c>
      <c r="E9" s="120">
        <f>'1'!B31</f>
        <v>2025</v>
      </c>
      <c r="F9" s="124">
        <f t="shared" ref="F9:F13" si="0">IF(J8&gt;0,J8,0)</f>
        <v>1765386565</v>
      </c>
      <c r="G9" s="124">
        <f>F9*$F$4</f>
        <v>264807984.75</v>
      </c>
      <c r="H9" s="124">
        <f>IF(J8&lt;1,0,(I9-G9))</f>
        <v>261834283.69613481</v>
      </c>
      <c r="I9" s="124">
        <f>PMT(F4,J4,J8)*-1</f>
        <v>526642268.44613481</v>
      </c>
      <c r="J9" s="125">
        <f>F9-H9</f>
        <v>1503552281.3038652</v>
      </c>
    </row>
    <row r="10" spans="2:12">
      <c r="B10" s="45" t="s">
        <v>82</v>
      </c>
      <c r="C10" s="54">
        <v>12</v>
      </c>
      <c r="D10" s="25">
        <f>('2'!C25/12)*C10</f>
        <v>80000000</v>
      </c>
      <c r="E10" s="120">
        <f>'1'!C31</f>
        <v>2026</v>
      </c>
      <c r="F10" s="124">
        <f t="shared" si="0"/>
        <v>1503552281.3038652</v>
      </c>
      <c r="G10" s="124">
        <f t="shared" ref="G10:G13" si="1">F10*$F$4</f>
        <v>225532842.19557977</v>
      </c>
      <c r="H10" s="124">
        <f t="shared" ref="H10:H13" si="2">IF(J9&lt;1,0,(I10-G10))</f>
        <v>301109426.25055504</v>
      </c>
      <c r="I10" s="124">
        <f>IF(J9&lt;1,0,(I9*(1+$K$7)))</f>
        <v>526642268.44613481</v>
      </c>
      <c r="J10" s="125">
        <f t="shared" ref="J10:J13" si="3">F10-H10</f>
        <v>1202442855.0533102</v>
      </c>
    </row>
    <row r="11" spans="2:12">
      <c r="B11" s="45" t="s">
        <v>83</v>
      </c>
      <c r="C11" s="54">
        <v>12</v>
      </c>
      <c r="D11" s="25">
        <f>('2'!F31/12)*C11</f>
        <v>0</v>
      </c>
      <c r="E11" s="120">
        <f>'1'!D31</f>
        <v>2027</v>
      </c>
      <c r="F11" s="124">
        <f t="shared" si="0"/>
        <v>1202442855.0533102</v>
      </c>
      <c r="G11" s="124">
        <f t="shared" si="1"/>
        <v>180366428.25799653</v>
      </c>
      <c r="H11" s="124">
        <f t="shared" si="2"/>
        <v>346275840.18813825</v>
      </c>
      <c r="I11" s="124">
        <f t="shared" ref="I11:I13" si="4">IF(J10&lt;1,0,(I10*(1+$K$7)))</f>
        <v>526642268.44613481</v>
      </c>
      <c r="J11" s="125">
        <f t="shared" si="3"/>
        <v>856167014.86517191</v>
      </c>
    </row>
    <row r="12" spans="2:12" ht="15.95">
      <c r="B12" s="80" t="s">
        <v>26</v>
      </c>
      <c r="C12" s="58"/>
      <c r="D12" s="81">
        <f>SUM(D8:D11)</f>
        <v>1355386565</v>
      </c>
      <c r="E12" s="120">
        <f>'1'!E31</f>
        <v>2028</v>
      </c>
      <c r="F12" s="124">
        <f t="shared" si="0"/>
        <v>856167014.86517191</v>
      </c>
      <c r="G12" s="124">
        <f t="shared" si="1"/>
        <v>128425052.22977579</v>
      </c>
      <c r="H12" s="124">
        <f t="shared" si="2"/>
        <v>398217216.21635902</v>
      </c>
      <c r="I12" s="124">
        <f t="shared" si="4"/>
        <v>526642268.44613481</v>
      </c>
      <c r="J12" s="125">
        <f t="shared" si="3"/>
        <v>457949798.64881289</v>
      </c>
    </row>
    <row r="13" spans="2:12" ht="15.95" thickBot="1">
      <c r="E13" s="123">
        <f>'1'!F31</f>
        <v>2029</v>
      </c>
      <c r="F13" s="126">
        <f t="shared" si="0"/>
        <v>457949798.64881289</v>
      </c>
      <c r="G13" s="126">
        <f t="shared" si="1"/>
        <v>68692469.797321931</v>
      </c>
      <c r="H13" s="126">
        <f t="shared" si="2"/>
        <v>457949798.64881289</v>
      </c>
      <c r="I13" s="126">
        <f t="shared" si="4"/>
        <v>526642268.44613481</v>
      </c>
      <c r="J13" s="127">
        <f t="shared" si="3"/>
        <v>0</v>
      </c>
    </row>
    <row r="14" spans="2:12" ht="15.95">
      <c r="B14" s="45" t="s">
        <v>84</v>
      </c>
      <c r="D14" s="74">
        <f>C4+D12</f>
        <v>1765386565</v>
      </c>
    </row>
    <row r="15" spans="2:12">
      <c r="B15" s="45" t="s">
        <v>85</v>
      </c>
      <c r="D15" s="55"/>
    </row>
    <row r="16" spans="2:12" ht="15.95">
      <c r="B16" s="45" t="s">
        <v>86</v>
      </c>
      <c r="D16" s="82">
        <f>D14-D15</f>
        <v>1765386565</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31" activePane="bottomRight" state="frozenSplit"/>
      <selection pane="bottomRight" activeCell="C9" sqref="C9:C11"/>
      <selection pane="bottomLeft" activeCell="A12" sqref="A12"/>
      <selection pane="topRight" activeCell="E1" sqref="E1"/>
    </sheetView>
  </sheetViews>
  <sheetFormatPr defaultColWidth="11.42578125" defaultRowHeight="1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c r="A1" s="152" t="s">
        <v>87</v>
      </c>
      <c r="B1" s="152"/>
      <c r="C1" s="152"/>
      <c r="D1" s="152"/>
      <c r="E1" s="152"/>
      <c r="F1" s="152"/>
      <c r="G1" s="152"/>
    </row>
    <row r="2" spans="1:7" ht="23.1">
      <c r="A2" s="153" t="s">
        <v>88</v>
      </c>
      <c r="B2" s="153"/>
      <c r="C2" s="153"/>
      <c r="D2" s="153"/>
      <c r="E2" s="153"/>
      <c r="F2" s="153"/>
      <c r="G2" s="153"/>
    </row>
    <row r="3" spans="1:7" ht="8.25" customHeight="1">
      <c r="A3" s="56"/>
      <c r="B3" s="56"/>
      <c r="C3" s="56"/>
      <c r="D3" s="56"/>
      <c r="E3" s="56"/>
      <c r="F3" s="56"/>
      <c r="G3" s="56"/>
    </row>
    <row r="4" spans="1:7" ht="15.95">
      <c r="A4" s="154" t="s">
        <v>89</v>
      </c>
      <c r="B4" s="154"/>
      <c r="C4" s="154"/>
      <c r="D4" s="154"/>
      <c r="E4" s="154"/>
      <c r="F4" s="154"/>
      <c r="G4" s="154"/>
    </row>
    <row r="5" spans="1:7" ht="23.1">
      <c r="C5" s="60">
        <f>'1'!B31</f>
        <v>2025</v>
      </c>
      <c r="D5" s="60">
        <f>'1'!C31</f>
        <v>2026</v>
      </c>
      <c r="E5" s="60">
        <f>'1'!D31</f>
        <v>2027</v>
      </c>
      <c r="F5" s="60">
        <f>'1'!E31</f>
        <v>2028</v>
      </c>
      <c r="G5" s="60">
        <f>'1'!F31</f>
        <v>2029</v>
      </c>
    </row>
    <row r="6" spans="1:7">
      <c r="B6" s="8" t="s">
        <v>90</v>
      </c>
      <c r="C6" s="61">
        <f>'1'!B32</f>
        <v>2903400000</v>
      </c>
      <c r="D6" s="61">
        <f>'1'!C32</f>
        <v>3149653400</v>
      </c>
      <c r="E6" s="61">
        <f>'1'!D32</f>
        <v>3923944257.3539996</v>
      </c>
      <c r="F6" s="61">
        <f>'1'!E32</f>
        <v>4790145763.4024258</v>
      </c>
      <c r="G6" s="61">
        <f>'1'!F32</f>
        <v>4790145763.4024258</v>
      </c>
    </row>
    <row r="7" spans="1:7">
      <c r="B7" s="8" t="s">
        <v>91</v>
      </c>
      <c r="C7" s="61">
        <f>'1'!B33</f>
        <v>475386565</v>
      </c>
      <c r="D7" s="61">
        <f>'1'!C33</f>
        <v>516627893.25</v>
      </c>
      <c r="E7" s="61">
        <f>'1'!D33</f>
        <v>649168198.74269998</v>
      </c>
      <c r="F7" s="61">
        <f>'1'!E33</f>
        <v>796301439.87490141</v>
      </c>
      <c r="G7" s="61">
        <f>'1'!F33</f>
        <v>796301439.87490141</v>
      </c>
    </row>
    <row r="8" spans="1:7" ht="15.95" thickBot="1">
      <c r="B8" s="62" t="s">
        <v>92</v>
      </c>
      <c r="C8" s="63">
        <f>C6-C7</f>
        <v>2428013435</v>
      </c>
      <c r="D8" s="63">
        <f t="shared" ref="D8:G8" si="0">D6-D7</f>
        <v>2633025506.75</v>
      </c>
      <c r="E8" s="63">
        <f t="shared" si="0"/>
        <v>3274776058.6112995</v>
      </c>
      <c r="F8" s="63">
        <f t="shared" si="0"/>
        <v>3993844323.5275245</v>
      </c>
      <c r="G8" s="63">
        <f t="shared" si="0"/>
        <v>3993844323.5275245</v>
      </c>
    </row>
    <row r="9" spans="1:7" ht="15.95" thickTop="1">
      <c r="B9" s="8" t="s">
        <v>93</v>
      </c>
      <c r="C9" s="61">
        <f>'2'!C23</f>
        <v>800000000</v>
      </c>
      <c r="D9" s="61">
        <f>C9*(1+'1'!Z4)</f>
        <v>833600000</v>
      </c>
      <c r="E9" s="61">
        <f>D9*(1+'1'!AA4)</f>
        <v>871112000</v>
      </c>
      <c r="F9" s="61">
        <f>E9*(1+'1'!AB4)</f>
        <v>912925376</v>
      </c>
      <c r="G9" s="61">
        <f>F9*(1+'1'!AC4)</f>
        <v>912925376</v>
      </c>
    </row>
    <row r="10" spans="1:7">
      <c r="B10" s="8" t="s">
        <v>94</v>
      </c>
      <c r="C10" s="61">
        <f>'2'!F31</f>
        <v>0</v>
      </c>
      <c r="D10" s="61">
        <f>C10*(1+'1'!Z4)</f>
        <v>0</v>
      </c>
      <c r="E10" s="61">
        <f>D10*(1+'1'!AA4)</f>
        <v>0</v>
      </c>
      <c r="F10" s="61">
        <f>E10*(1+'1'!AB4)</f>
        <v>0</v>
      </c>
      <c r="G10" s="61">
        <f>F10*(1+'1'!AC4)</f>
        <v>0</v>
      </c>
    </row>
    <row r="11" spans="1:7">
      <c r="B11" s="8" t="s">
        <v>95</v>
      </c>
      <c r="C11" s="61">
        <f>'2'!C25</f>
        <v>80000000</v>
      </c>
      <c r="D11" s="61">
        <f>'2'!C28</f>
        <v>88000000</v>
      </c>
      <c r="E11" s="61">
        <f>'2'!C29</f>
        <v>96800000</v>
      </c>
      <c r="F11" s="61">
        <f>'2'!C30</f>
        <v>106480000</v>
      </c>
      <c r="G11" s="61">
        <f>'2'!C31</f>
        <v>0</v>
      </c>
    </row>
    <row r="12" spans="1:7">
      <c r="B12" s="8" t="s">
        <v>96</v>
      </c>
      <c r="C12" s="61">
        <f>'2'!G12</f>
        <v>77000000</v>
      </c>
      <c r="D12" s="61">
        <f>C12</f>
        <v>77000000</v>
      </c>
      <c r="E12" s="61">
        <f t="shared" ref="E12:G12" si="1">D12</f>
        <v>77000000</v>
      </c>
      <c r="F12" s="61">
        <f t="shared" si="1"/>
        <v>77000000</v>
      </c>
      <c r="G12" s="61">
        <f t="shared" si="1"/>
        <v>77000000</v>
      </c>
    </row>
    <row r="13" spans="1:7" ht="15.95" thickBot="1">
      <c r="B13" s="62" t="s">
        <v>97</v>
      </c>
      <c r="C13" s="64">
        <f>C8-C9-C10-C11-C12</f>
        <v>1471013435</v>
      </c>
      <c r="D13" s="64">
        <f t="shared" ref="D13:G13" si="2">D8-D9-D10-D11-D12</f>
        <v>1634425506.75</v>
      </c>
      <c r="E13" s="64">
        <f t="shared" si="2"/>
        <v>2229864058.6112995</v>
      </c>
      <c r="F13" s="64">
        <f t="shared" si="2"/>
        <v>2897438947.5275245</v>
      </c>
      <c r="G13" s="64">
        <f t="shared" si="2"/>
        <v>3003918947.5275245</v>
      </c>
    </row>
    <row r="14" spans="1:7" ht="15.95" thickTop="1">
      <c r="B14" s="8" t="s">
        <v>98</v>
      </c>
      <c r="C14" s="61">
        <f>'3'!G9</f>
        <v>264807984.75</v>
      </c>
      <c r="D14" s="61">
        <f>'3'!G10</f>
        <v>225532842.19557977</v>
      </c>
      <c r="E14" s="61">
        <f>'3'!G11</f>
        <v>180366428.25799653</v>
      </c>
      <c r="F14" s="61">
        <f>'3'!G12</f>
        <v>128425052.22977579</v>
      </c>
      <c r="G14" s="61">
        <f>'3'!G13</f>
        <v>68692469.797321931</v>
      </c>
    </row>
    <row r="15" spans="1:7" ht="15.95" thickBot="1">
      <c r="B15" s="62" t="s">
        <v>99</v>
      </c>
      <c r="C15" s="64">
        <f>C13-C14</f>
        <v>1206205450.25</v>
      </c>
      <c r="D15" s="64">
        <f t="shared" ref="D15:G15" si="3">D13-D14</f>
        <v>1408892664.5544202</v>
      </c>
      <c r="E15" s="64">
        <f t="shared" si="3"/>
        <v>2049497630.353303</v>
      </c>
      <c r="F15" s="64">
        <f t="shared" si="3"/>
        <v>2769013895.2977486</v>
      </c>
      <c r="G15" s="64">
        <f t="shared" si="3"/>
        <v>2935226477.7302027</v>
      </c>
    </row>
    <row r="16" spans="1:7" ht="15.95" thickTop="1">
      <c r="B16" s="8" t="s">
        <v>100</v>
      </c>
      <c r="C16" s="65">
        <f>IF(C15*'1'!$AB$7&lt;0,0,C15*'1'!$AB$7)</f>
        <v>422171907.58749998</v>
      </c>
      <c r="D16" s="65">
        <f>IF(D15*'1'!$AB$7&lt;0,0,D15*'1'!$AB$7)</f>
        <v>493112432.59404707</v>
      </c>
      <c r="E16" s="65">
        <f>IF(E15*'1'!$AB$7&lt;0,0,E15*'1'!$AB$7)</f>
        <v>717324170.62365603</v>
      </c>
      <c r="F16" s="65">
        <f>IF(F15*'1'!$AB$7&lt;0,0,F15*'1'!$AB$7)</f>
        <v>969154863.35421193</v>
      </c>
      <c r="G16" s="65">
        <f>IF(G15*'1'!$AB$7&lt;0,0,G15*'1'!$AB$7)</f>
        <v>1027329267.2055708</v>
      </c>
    </row>
    <row r="17" spans="1:8" ht="15.95" thickBot="1">
      <c r="B17" s="66" t="s">
        <v>101</v>
      </c>
      <c r="C17" s="67">
        <f>C15-C16</f>
        <v>784033542.66250002</v>
      </c>
      <c r="D17" s="67">
        <f t="shared" ref="D17:G17" si="4">D15-D16</f>
        <v>915780231.96037316</v>
      </c>
      <c r="E17" s="67">
        <f t="shared" si="4"/>
        <v>1332173459.7296469</v>
      </c>
      <c r="F17" s="67">
        <f t="shared" si="4"/>
        <v>1799859031.9435368</v>
      </c>
      <c r="G17" s="67">
        <f t="shared" si="4"/>
        <v>1907897210.524632</v>
      </c>
    </row>
    <row r="19" spans="1:8" ht="15.95">
      <c r="A19" s="154" t="s">
        <v>102</v>
      </c>
      <c r="B19" s="154"/>
      <c r="C19" s="154"/>
      <c r="D19" s="154"/>
      <c r="E19" s="154"/>
      <c r="F19" s="154"/>
      <c r="G19" s="154"/>
    </row>
    <row r="20" spans="1:8" ht="23.1">
      <c r="B20" s="68" t="s">
        <v>80</v>
      </c>
      <c r="C20" s="60">
        <f>C5</f>
        <v>2025</v>
      </c>
      <c r="D20" s="60">
        <f>D5</f>
        <v>2026</v>
      </c>
      <c r="E20" s="60">
        <f>E5</f>
        <v>2027</v>
      </c>
      <c r="F20" s="60">
        <f>F5</f>
        <v>2028</v>
      </c>
      <c r="G20" s="60">
        <f>G5</f>
        <v>2029</v>
      </c>
    </row>
    <row r="21" spans="1:8">
      <c r="A21" s="155" t="s">
        <v>103</v>
      </c>
      <c r="B21" s="155"/>
      <c r="C21" s="155"/>
      <c r="D21" s="155"/>
      <c r="E21" s="155"/>
      <c r="F21" s="155"/>
      <c r="G21" s="155"/>
    </row>
    <row r="22" spans="1:8">
      <c r="A22" s="8" t="s">
        <v>104</v>
      </c>
      <c r="B22" s="26">
        <f>B38-B26</f>
        <v>1355386565</v>
      </c>
      <c r="C22" s="26">
        <f t="shared" ref="C22:G22" si="5">C38-C26</f>
        <v>2376757731.553865</v>
      </c>
      <c r="D22" s="26">
        <f t="shared" si="5"/>
        <v>2355335519.6077304</v>
      </c>
      <c r="E22" s="26">
        <f t="shared" si="5"/>
        <v>2726664645.2184749</v>
      </c>
      <c r="F22" s="26">
        <f t="shared" si="5"/>
        <v>3124963693.9465618</v>
      </c>
      <c r="G22" s="26">
        <f t="shared" si="5"/>
        <v>2910226477.7302027</v>
      </c>
    </row>
    <row r="23" spans="1:8">
      <c r="A23" s="8" t="s">
        <v>105</v>
      </c>
      <c r="B23" s="26">
        <f>'2'!C4</f>
        <v>0</v>
      </c>
      <c r="C23" s="26">
        <f>B23</f>
        <v>0</v>
      </c>
      <c r="D23" s="26">
        <f t="shared" ref="D23:G23" si="6">C23</f>
        <v>0</v>
      </c>
      <c r="E23" s="26">
        <f t="shared" si="6"/>
        <v>0</v>
      </c>
      <c r="F23" s="26">
        <f t="shared" si="6"/>
        <v>0</v>
      </c>
      <c r="G23" s="26">
        <f t="shared" si="6"/>
        <v>0</v>
      </c>
      <c r="H23" s="26"/>
    </row>
    <row r="24" spans="1:8">
      <c r="A24" s="8" t="s">
        <v>106</v>
      </c>
      <c r="B24" s="26">
        <f>'2'!C12-'2'!C4</f>
        <v>410000000</v>
      </c>
      <c r="C24" s="26">
        <f>B24</f>
        <v>410000000</v>
      </c>
      <c r="D24" s="26">
        <f t="shared" ref="D24:G24" si="7">C24</f>
        <v>410000000</v>
      </c>
      <c r="E24" s="26">
        <f t="shared" si="7"/>
        <v>410000000</v>
      </c>
      <c r="F24" s="26">
        <f t="shared" si="7"/>
        <v>410000000</v>
      </c>
      <c r="G24" s="26">
        <f t="shared" si="7"/>
        <v>410000000</v>
      </c>
      <c r="H24" s="26"/>
    </row>
    <row r="25" spans="1:8">
      <c r="A25" s="8" t="s">
        <v>107</v>
      </c>
      <c r="B25" s="26">
        <v>0</v>
      </c>
      <c r="C25" s="26">
        <f>C12</f>
        <v>77000000</v>
      </c>
      <c r="D25" s="26">
        <f>D12+C12</f>
        <v>154000000</v>
      </c>
      <c r="E25" s="26">
        <f>E12+D12+C12</f>
        <v>231000000</v>
      </c>
      <c r="F25" s="26">
        <f>F12+E12+D12+C12</f>
        <v>308000000</v>
      </c>
      <c r="G25" s="26">
        <f>F25+G12</f>
        <v>385000000</v>
      </c>
      <c r="H25" s="26"/>
    </row>
    <row r="26" spans="1:8">
      <c r="A26" s="8" t="s">
        <v>108</v>
      </c>
      <c r="B26" s="26">
        <f>B23+(B24-B25)</f>
        <v>410000000</v>
      </c>
      <c r="C26" s="26">
        <f>C23+(C24-C25)</f>
        <v>333000000</v>
      </c>
      <c r="D26" s="26">
        <f t="shared" ref="D26:G26" si="8">D23+(D24-D25)</f>
        <v>256000000</v>
      </c>
      <c r="E26" s="26">
        <f t="shared" si="8"/>
        <v>179000000</v>
      </c>
      <c r="F26" s="26">
        <f t="shared" si="8"/>
        <v>102000000</v>
      </c>
      <c r="G26" s="26">
        <f t="shared" si="8"/>
        <v>25000000</v>
      </c>
      <c r="H26" s="26"/>
    </row>
    <row r="27" spans="1:8" ht="15.95" thickBot="1">
      <c r="A27" s="62" t="s">
        <v>109</v>
      </c>
      <c r="B27" s="69">
        <f>B22+B26</f>
        <v>1765386565</v>
      </c>
      <c r="C27" s="69">
        <f t="shared" ref="C27:G27" si="9">C22+C26</f>
        <v>2709757731.553865</v>
      </c>
      <c r="D27" s="69">
        <f t="shared" si="9"/>
        <v>2611335519.6077304</v>
      </c>
      <c r="E27" s="69">
        <f t="shared" si="9"/>
        <v>2905664645.2184749</v>
      </c>
      <c r="F27" s="69">
        <f t="shared" si="9"/>
        <v>3226963693.9465618</v>
      </c>
      <c r="G27" s="69">
        <f t="shared" si="9"/>
        <v>2935226477.7302027</v>
      </c>
      <c r="H27" s="26"/>
    </row>
    <row r="28" spans="1:8" ht="15.95" thickTop="1">
      <c r="A28" s="155" t="s">
        <v>110</v>
      </c>
      <c r="B28" s="155"/>
      <c r="C28" s="155"/>
      <c r="D28" s="155"/>
      <c r="E28" s="155"/>
      <c r="F28" s="155"/>
      <c r="G28" s="155"/>
    </row>
    <row r="29" spans="1:8">
      <c r="A29" s="8" t="s">
        <v>111</v>
      </c>
      <c r="B29" s="8">
        <v>0</v>
      </c>
      <c r="C29" s="65">
        <f>C16</f>
        <v>422171907.58749998</v>
      </c>
      <c r="D29" s="65">
        <f>D16</f>
        <v>493112432.59404707</v>
      </c>
      <c r="E29" s="65">
        <f>E16</f>
        <v>717324170.62365603</v>
      </c>
      <c r="F29" s="65">
        <f>F16</f>
        <v>969154863.35421193</v>
      </c>
      <c r="G29" s="65">
        <f>G16</f>
        <v>1027329267.2055708</v>
      </c>
    </row>
    <row r="30" spans="1:8">
      <c r="A30" s="8" t="s">
        <v>112</v>
      </c>
      <c r="B30" s="65">
        <f>B29</f>
        <v>0</v>
      </c>
      <c r="C30" s="65">
        <f t="shared" ref="C30:G30" si="10">C29</f>
        <v>422171907.58749998</v>
      </c>
      <c r="D30" s="65">
        <f t="shared" si="10"/>
        <v>493112432.59404707</v>
      </c>
      <c r="E30" s="65">
        <f t="shared" si="10"/>
        <v>717324170.62365603</v>
      </c>
      <c r="F30" s="65">
        <f t="shared" si="10"/>
        <v>969154863.35421193</v>
      </c>
      <c r="G30" s="65">
        <f t="shared" si="10"/>
        <v>1027329267.2055708</v>
      </c>
    </row>
    <row r="31" spans="1:8">
      <c r="A31" s="8" t="s">
        <v>113</v>
      </c>
      <c r="B31" s="25">
        <f>'3'!J8</f>
        <v>1765386565</v>
      </c>
      <c r="C31" s="25">
        <f>'3'!J9</f>
        <v>1503552281.3038652</v>
      </c>
      <c r="D31" s="25">
        <f>'3'!J10</f>
        <v>1202442855.0533102</v>
      </c>
      <c r="E31" s="25">
        <f>'3'!J11</f>
        <v>856167014.86517191</v>
      </c>
      <c r="F31" s="25">
        <f>'3'!J12</f>
        <v>457949798.64881289</v>
      </c>
      <c r="G31" s="25">
        <f>'3'!J13</f>
        <v>0</v>
      </c>
    </row>
    <row r="32" spans="1:8" ht="15.95" thickBot="1">
      <c r="A32" s="62" t="s">
        <v>110</v>
      </c>
      <c r="B32" s="69">
        <f>B30+B31</f>
        <v>1765386565</v>
      </c>
      <c r="C32" s="69">
        <f t="shared" ref="C32:G32" si="11">C30+C31</f>
        <v>1925724188.8913651</v>
      </c>
      <c r="D32" s="69">
        <f t="shared" si="11"/>
        <v>1695555287.6473572</v>
      </c>
      <c r="E32" s="69">
        <f t="shared" si="11"/>
        <v>1573491185.4888279</v>
      </c>
      <c r="F32" s="69">
        <f t="shared" si="11"/>
        <v>1427104662.0030248</v>
      </c>
      <c r="G32" s="69">
        <f t="shared" si="11"/>
        <v>1027329267.2055708</v>
      </c>
    </row>
    <row r="33" spans="1:7" ht="15.95" thickTop="1">
      <c r="A33" s="155" t="s">
        <v>114</v>
      </c>
      <c r="B33" s="155"/>
      <c r="C33" s="155"/>
      <c r="D33" s="155"/>
      <c r="E33" s="155"/>
      <c r="F33" s="155"/>
      <c r="G33" s="155"/>
    </row>
    <row r="34" spans="1:7">
      <c r="A34" s="8" t="s">
        <v>115</v>
      </c>
      <c r="B34" s="26">
        <f>'3'!D15</f>
        <v>0</v>
      </c>
      <c r="C34" s="26">
        <f>B34</f>
        <v>0</v>
      </c>
      <c r="D34" s="26">
        <f t="shared" ref="D34:G34" si="12">C34</f>
        <v>0</v>
      </c>
      <c r="E34" s="26">
        <f t="shared" si="12"/>
        <v>0</v>
      </c>
      <c r="F34" s="26">
        <f t="shared" si="12"/>
        <v>0</v>
      </c>
      <c r="G34" s="26">
        <f t="shared" si="12"/>
        <v>0</v>
      </c>
    </row>
    <row r="35" spans="1:7">
      <c r="A35" s="8" t="s">
        <v>116</v>
      </c>
      <c r="B35" s="8">
        <v>0</v>
      </c>
      <c r="C35" s="65">
        <f>C17</f>
        <v>784033542.66250002</v>
      </c>
      <c r="D35" s="65">
        <f>D17</f>
        <v>915780231.96037316</v>
      </c>
      <c r="E35" s="65">
        <f>E17</f>
        <v>1332173459.7296469</v>
      </c>
      <c r="F35" s="65">
        <f>F17</f>
        <v>1799859031.9435368</v>
      </c>
      <c r="G35" s="65">
        <f>G17</f>
        <v>1907897210.524632</v>
      </c>
    </row>
    <row r="36" spans="1:7" ht="15.95" thickBot="1">
      <c r="A36" s="62" t="s">
        <v>117</v>
      </c>
      <c r="B36" s="69">
        <f>B34+B35</f>
        <v>0</v>
      </c>
      <c r="C36" s="69">
        <f t="shared" ref="C36:G36" si="13">C34+C35</f>
        <v>784033542.66250002</v>
      </c>
      <c r="D36" s="69">
        <f t="shared" si="13"/>
        <v>915780231.96037316</v>
      </c>
      <c r="E36" s="69">
        <f t="shared" si="13"/>
        <v>1332173459.7296469</v>
      </c>
      <c r="F36" s="69">
        <f t="shared" si="13"/>
        <v>1799859031.9435368</v>
      </c>
      <c r="G36" s="69">
        <f t="shared" si="13"/>
        <v>1907897210.524632</v>
      </c>
    </row>
    <row r="37" spans="1:7" ht="15.95" thickTop="1"/>
    <row r="38" spans="1:7" ht="15.95" thickBot="1">
      <c r="A38" s="62" t="s">
        <v>118</v>
      </c>
      <c r="B38" s="69">
        <f>B32+B36</f>
        <v>1765386565</v>
      </c>
      <c r="C38" s="69">
        <f t="shared" ref="C38:G38" si="14">C32+C36</f>
        <v>2709757731.553865</v>
      </c>
      <c r="D38" s="69">
        <f t="shared" si="14"/>
        <v>2611335519.6077304</v>
      </c>
      <c r="E38" s="69">
        <f t="shared" si="14"/>
        <v>2905664645.2184749</v>
      </c>
      <c r="F38" s="69">
        <f t="shared" si="14"/>
        <v>3226963693.9465618</v>
      </c>
      <c r="G38" s="69">
        <f t="shared" si="14"/>
        <v>2935226477.7302027</v>
      </c>
    </row>
    <row r="39" spans="1:7" ht="15.95" thickTop="1">
      <c r="A39" s="58" t="s">
        <v>119</v>
      </c>
      <c r="B39" s="70">
        <f>B27-B38</f>
        <v>0</v>
      </c>
      <c r="C39" s="70">
        <f t="shared" ref="C39:G39" si="15">C27-C38</f>
        <v>0</v>
      </c>
      <c r="D39" s="70">
        <f t="shared" si="15"/>
        <v>0</v>
      </c>
      <c r="E39" s="70">
        <f t="shared" si="15"/>
        <v>0</v>
      </c>
      <c r="F39" s="70">
        <f t="shared" si="15"/>
        <v>0</v>
      </c>
      <c r="G39" s="70">
        <f t="shared" si="15"/>
        <v>0</v>
      </c>
    </row>
    <row r="41" spans="1:7" ht="15.95">
      <c r="A41" s="154" t="s">
        <v>120</v>
      </c>
      <c r="B41" s="154"/>
      <c r="C41" s="154"/>
      <c r="D41" s="154"/>
      <c r="E41" s="154"/>
      <c r="F41" s="154"/>
      <c r="G41" s="154"/>
    </row>
    <row r="42" spans="1:7">
      <c r="A42" s="155" t="s">
        <v>121</v>
      </c>
      <c r="B42" s="155"/>
      <c r="C42" s="155"/>
      <c r="D42" s="155"/>
      <c r="E42" s="155"/>
      <c r="F42" s="155"/>
      <c r="G42" s="155"/>
    </row>
    <row r="43" spans="1:7" ht="23.1">
      <c r="A43" s="11"/>
      <c r="B43" s="68" t="s">
        <v>80</v>
      </c>
      <c r="C43" s="60">
        <f>C20</f>
        <v>2025</v>
      </c>
      <c r="D43" s="60">
        <f t="shared" ref="D43:G43" si="16">D20</f>
        <v>2026</v>
      </c>
      <c r="E43" s="60">
        <f t="shared" si="16"/>
        <v>2027</v>
      </c>
      <c r="F43" s="60">
        <f t="shared" si="16"/>
        <v>2028</v>
      </c>
      <c r="G43" s="60">
        <f t="shared" si="16"/>
        <v>2029</v>
      </c>
    </row>
    <row r="44" spans="1:7">
      <c r="A44" s="1" t="s">
        <v>122</v>
      </c>
      <c r="B44" s="2">
        <f>B22</f>
        <v>1355386565</v>
      </c>
      <c r="C44" s="2">
        <f t="shared" ref="C44:G44" si="17">C22</f>
        <v>2376757731.553865</v>
      </c>
      <c r="D44" s="2">
        <f t="shared" si="17"/>
        <v>2355335519.6077304</v>
      </c>
      <c r="E44" s="2">
        <f t="shared" si="17"/>
        <v>2726664645.2184749</v>
      </c>
      <c r="F44" s="2">
        <f t="shared" si="17"/>
        <v>3124963693.9465618</v>
      </c>
      <c r="G44" s="2">
        <f t="shared" si="17"/>
        <v>2910226477.7302027</v>
      </c>
    </row>
    <row r="45" spans="1:7" ht="15.95" thickBot="1">
      <c r="A45" s="1" t="s">
        <v>123</v>
      </c>
      <c r="B45" s="3">
        <f>B29</f>
        <v>0</v>
      </c>
      <c r="C45" s="3">
        <f t="shared" ref="C45:G45" si="18">C29</f>
        <v>422171907.58749998</v>
      </c>
      <c r="D45" s="3">
        <f t="shared" si="18"/>
        <v>493112432.59404707</v>
      </c>
      <c r="E45" s="3">
        <f t="shared" si="18"/>
        <v>717324170.62365603</v>
      </c>
      <c r="F45" s="3">
        <f t="shared" si="18"/>
        <v>969154863.35421193</v>
      </c>
      <c r="G45" s="3">
        <f t="shared" si="18"/>
        <v>1027329267.2055708</v>
      </c>
    </row>
    <row r="46" spans="1:7" ht="15.95" thickTop="1">
      <c r="A46" s="4" t="s">
        <v>124</v>
      </c>
      <c r="B46" s="5">
        <f t="shared" ref="B46:G46" si="19">B44-B45</f>
        <v>1355386565</v>
      </c>
      <c r="C46" s="5">
        <f t="shared" si="19"/>
        <v>1954585823.9663649</v>
      </c>
      <c r="D46" s="5">
        <f t="shared" si="19"/>
        <v>1862223087.0136833</v>
      </c>
      <c r="E46" s="5">
        <f t="shared" si="19"/>
        <v>2009340474.5948188</v>
      </c>
      <c r="F46" s="5">
        <f t="shared" si="19"/>
        <v>2155808830.59235</v>
      </c>
      <c r="G46" s="5">
        <f t="shared" si="19"/>
        <v>1882897210.524632</v>
      </c>
    </row>
    <row r="47" spans="1:7">
      <c r="A47" s="1"/>
      <c r="B47" s="2"/>
      <c r="C47" s="2"/>
      <c r="D47" s="2"/>
      <c r="E47" s="2"/>
      <c r="F47" s="2"/>
      <c r="G47" s="2"/>
    </row>
    <row r="48" spans="1:7">
      <c r="A48" s="4" t="s">
        <v>125</v>
      </c>
      <c r="B48" s="2">
        <f>B26</f>
        <v>410000000</v>
      </c>
      <c r="C48" s="2">
        <f t="shared" ref="C48:G48" si="20">C26</f>
        <v>333000000</v>
      </c>
      <c r="D48" s="2">
        <f t="shared" si="20"/>
        <v>256000000</v>
      </c>
      <c r="E48" s="2">
        <f t="shared" si="20"/>
        <v>179000000</v>
      </c>
      <c r="F48" s="2">
        <f t="shared" si="20"/>
        <v>102000000</v>
      </c>
      <c r="G48" s="2">
        <f t="shared" si="20"/>
        <v>25000000</v>
      </c>
    </row>
    <row r="49" spans="1:7" ht="15.95" thickBot="1">
      <c r="A49" s="1" t="s">
        <v>126</v>
      </c>
      <c r="B49" s="3">
        <f>B25</f>
        <v>0</v>
      </c>
      <c r="C49" s="3">
        <f t="shared" ref="C49:G49" si="21">C25</f>
        <v>77000000</v>
      </c>
      <c r="D49" s="3">
        <f t="shared" si="21"/>
        <v>154000000</v>
      </c>
      <c r="E49" s="3">
        <f t="shared" si="21"/>
        <v>231000000</v>
      </c>
      <c r="F49" s="3">
        <f t="shared" si="21"/>
        <v>308000000</v>
      </c>
      <c r="G49" s="3">
        <f t="shared" si="21"/>
        <v>385000000</v>
      </c>
    </row>
    <row r="50" spans="1:7" ht="15.95" thickTop="1">
      <c r="A50" s="4" t="s">
        <v>127</v>
      </c>
      <c r="B50" s="5">
        <f t="shared" ref="B50:G50" si="22">B48+B49</f>
        <v>410000000</v>
      </c>
      <c r="C50" s="5">
        <f t="shared" si="22"/>
        <v>410000000</v>
      </c>
      <c r="D50" s="5">
        <f t="shared" si="22"/>
        <v>410000000</v>
      </c>
      <c r="E50" s="5">
        <f t="shared" si="22"/>
        <v>410000000</v>
      </c>
      <c r="F50" s="5">
        <f t="shared" si="22"/>
        <v>410000000</v>
      </c>
      <c r="G50" s="5">
        <f t="shared" si="22"/>
        <v>410000000</v>
      </c>
    </row>
    <row r="51" spans="1:7">
      <c r="A51" s="1"/>
      <c r="B51" s="2"/>
      <c r="C51" s="2"/>
      <c r="D51" s="2"/>
      <c r="E51" s="2"/>
      <c r="F51" s="2"/>
      <c r="G51" s="2"/>
    </row>
    <row r="52" spans="1:7" ht="15.95" thickBot="1">
      <c r="A52" s="12" t="s">
        <v>128</v>
      </c>
      <c r="B52" s="6">
        <f t="shared" ref="B52:G52" si="23">B46+B48</f>
        <v>1765386565</v>
      </c>
      <c r="C52" s="6">
        <f t="shared" si="23"/>
        <v>2287585823.9663649</v>
      </c>
      <c r="D52" s="6">
        <f t="shared" si="23"/>
        <v>2118223087.0136833</v>
      </c>
      <c r="E52" s="6">
        <f t="shared" si="23"/>
        <v>2188340474.5948191</v>
      </c>
      <c r="F52" s="6">
        <f t="shared" si="23"/>
        <v>2257808830.59235</v>
      </c>
      <c r="G52" s="6">
        <f t="shared" si="23"/>
        <v>1907897210.524632</v>
      </c>
    </row>
    <row r="53" spans="1:7" ht="15.95" thickTop="1">
      <c r="A53" s="7"/>
      <c r="B53" s="2"/>
      <c r="C53" s="2"/>
      <c r="D53" s="2"/>
      <c r="E53" s="2"/>
      <c r="F53" s="2"/>
      <c r="G53" s="2"/>
    </row>
    <row r="54" spans="1:7">
      <c r="A54" s="156" t="s">
        <v>129</v>
      </c>
      <c r="B54" s="156"/>
      <c r="C54" s="156"/>
      <c r="D54" s="156"/>
      <c r="E54" s="156"/>
      <c r="F54" s="156"/>
      <c r="G54" s="156"/>
    </row>
    <row r="55" spans="1:7">
      <c r="A55" s="1" t="s">
        <v>130</v>
      </c>
      <c r="C55" s="9">
        <f>C13</f>
        <v>1471013435</v>
      </c>
      <c r="D55" s="9">
        <f t="shared" ref="D55:G55" si="24">D13</f>
        <v>1634425506.75</v>
      </c>
      <c r="E55" s="9">
        <f t="shared" si="24"/>
        <v>2229864058.6112995</v>
      </c>
      <c r="F55" s="9">
        <f t="shared" si="24"/>
        <v>2897438947.5275245</v>
      </c>
      <c r="G55" s="9">
        <f t="shared" si="24"/>
        <v>3003918947.5275245</v>
      </c>
    </row>
    <row r="56" spans="1:7" ht="15.95" thickBot="1">
      <c r="A56" s="1" t="s">
        <v>131</v>
      </c>
      <c r="C56" s="10">
        <f>C55*'1'!$AB$7</f>
        <v>514854702.24999994</v>
      </c>
      <c r="D56" s="10">
        <f>D55*'1'!$AB$7</f>
        <v>572048927.36249995</v>
      </c>
      <c r="E56" s="10">
        <f>E55*'1'!$AB$7</f>
        <v>780452420.51395476</v>
      </c>
      <c r="F56" s="10">
        <f>F55*'1'!$AB$7</f>
        <v>1014103631.6346335</v>
      </c>
      <c r="G56" s="10">
        <f>G55*'1'!$AB$7</f>
        <v>1051371631.6346335</v>
      </c>
    </row>
    <row r="57" spans="1:7" ht="15.95" thickTop="1">
      <c r="A57" s="4" t="s">
        <v>132</v>
      </c>
      <c r="C57" s="9">
        <f>C55-C56</f>
        <v>956158732.75</v>
      </c>
      <c r="D57" s="9">
        <f>D55-D56</f>
        <v>1062376579.3875</v>
      </c>
      <c r="E57" s="9">
        <f>E55-E56</f>
        <v>1449411638.0973449</v>
      </c>
      <c r="F57" s="9">
        <f>F55-F56</f>
        <v>1883335315.8928909</v>
      </c>
      <c r="G57" s="9">
        <f>G55-G56</f>
        <v>1952547315.8928909</v>
      </c>
    </row>
    <row r="58" spans="1:7" ht="15.95" thickBot="1">
      <c r="A58" s="1" t="s">
        <v>133</v>
      </c>
      <c r="C58" s="10">
        <f>-(C52-B52)</f>
        <v>-522199258.96636486</v>
      </c>
      <c r="D58" s="10">
        <f t="shared" ref="D58:G58" si="25">-(D52-C52)</f>
        <v>169362736.95268154</v>
      </c>
      <c r="E58" s="10">
        <f t="shared" si="25"/>
        <v>-70117387.58113575</v>
      </c>
      <c r="F58" s="10">
        <f t="shared" si="25"/>
        <v>-69468355.997530937</v>
      </c>
      <c r="G58" s="10">
        <f t="shared" si="25"/>
        <v>349911620.06771803</v>
      </c>
    </row>
    <row r="59" spans="1:7" ht="17.100000000000001" thickTop="1" thickBot="1">
      <c r="A59" s="57" t="s">
        <v>134</v>
      </c>
      <c r="B59" s="58"/>
      <c r="C59" s="59">
        <f>SUM(C57:C58)</f>
        <v>433959473.78363514</v>
      </c>
      <c r="D59" s="59">
        <f t="shared" ref="D59:G59" si="26">SUM(D57:D58)</f>
        <v>1231739316.3401816</v>
      </c>
      <c r="E59" s="59">
        <f t="shared" si="26"/>
        <v>1379294250.5162091</v>
      </c>
      <c r="F59" s="59">
        <f t="shared" si="26"/>
        <v>1813866959.89536</v>
      </c>
      <c r="G59" s="59">
        <f t="shared" si="26"/>
        <v>2302458935.960609</v>
      </c>
    </row>
    <row r="60" spans="1:7" ht="15.95" thickTop="1"/>
  </sheetData>
  <sheetProtection algorithmName="SHA-512" hashValue="TYHGZqyfeKPksQ+YyU56HAa+uc4V6QC8USGqZy1r1EQCOq1fg2lL/+R8R91CNJr1ktaR53KOgDtZE1jjCJMdxg==" saltValue="UO6NieQnziBRyJGZGrguBQ=="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60" zoomScaleNormal="60" workbookViewId="0">
      <selection activeCell="D11" sqref="D11"/>
    </sheetView>
  </sheetViews>
  <sheetFormatPr defaultColWidth="11.42578125" defaultRowHeight="15"/>
  <cols>
    <col min="1" max="1" width="11.42578125" style="8"/>
    <col min="2" max="2" width="32.42578125" style="8" customWidth="1"/>
    <col min="3" max="3" width="24.28515625" style="8" bestFit="1" customWidth="1"/>
    <col min="4" max="4" width="36.28515625" style="8" bestFit="1" customWidth="1"/>
    <col min="5" max="5" width="42" style="8"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42578125" style="8" bestFit="1" customWidth="1"/>
    <col min="17" max="16384" width="11.42578125" style="8"/>
  </cols>
  <sheetData>
    <row r="2" spans="2:16" ht="38.25" customHeight="1">
      <c r="B2" s="141" t="s">
        <v>135</v>
      </c>
      <c r="C2" s="141"/>
      <c r="D2" s="141"/>
      <c r="E2" s="141"/>
      <c r="F2" s="141"/>
      <c r="G2" s="141"/>
      <c r="H2" s="141"/>
    </row>
    <row r="3" spans="2:16" ht="15.75" customHeight="1">
      <c r="B3" s="157" t="s">
        <v>136</v>
      </c>
      <c r="C3" s="157"/>
      <c r="D3" s="157"/>
      <c r="E3" s="158">
        <v>0.13500000000000001</v>
      </c>
      <c r="F3" s="158"/>
    </row>
    <row r="4" spans="2:16" ht="16.5" customHeight="1">
      <c r="B4" s="157"/>
      <c r="C4" s="157"/>
      <c r="D4" s="157"/>
      <c r="E4" s="158"/>
      <c r="F4" s="158"/>
      <c r="O4" s="100"/>
    </row>
    <row r="5" spans="2:16" ht="16.5" customHeight="1">
      <c r="B5" s="161"/>
      <c r="C5" s="161"/>
      <c r="D5" s="161"/>
      <c r="E5" s="134"/>
      <c r="F5" s="134"/>
      <c r="O5" s="100"/>
    </row>
    <row r="6" spans="2:16" ht="15.95" thickBot="1">
      <c r="O6" s="100"/>
      <c r="P6" s="103"/>
    </row>
    <row r="7" spans="2:16" ht="23.1">
      <c r="B7" s="99" t="s">
        <v>137</v>
      </c>
      <c r="C7" s="83" t="s">
        <v>138</v>
      </c>
      <c r="D7" s="84">
        <f>'4'!C20</f>
        <v>2025</v>
      </c>
      <c r="E7" s="84">
        <f>'4'!D20</f>
        <v>2026</v>
      </c>
      <c r="F7" s="84">
        <f>'4'!E20</f>
        <v>2027</v>
      </c>
      <c r="G7" s="84">
        <f>'4'!F20</f>
        <v>2028</v>
      </c>
      <c r="H7" s="85">
        <f>'4'!G20</f>
        <v>2029</v>
      </c>
      <c r="O7" s="100"/>
      <c r="P7" s="102"/>
    </row>
    <row r="8" spans="2:16" ht="20.100000000000001" thickBot="1">
      <c r="B8" s="86"/>
      <c r="C8" s="107">
        <f>-'3'!D14</f>
        <v>-1765386565</v>
      </c>
      <c r="D8" s="107">
        <f>'4'!C59</f>
        <v>433959473.78363514</v>
      </c>
      <c r="E8" s="107">
        <f>'4'!D59</f>
        <v>1231739316.3401816</v>
      </c>
      <c r="F8" s="107">
        <f>'4'!E59</f>
        <v>1379294250.5162091</v>
      </c>
      <c r="G8" s="107">
        <f>'4'!F59</f>
        <v>1813866959.89536</v>
      </c>
      <c r="H8" s="108">
        <f>'4'!G59</f>
        <v>2302458935.960609</v>
      </c>
      <c r="O8" s="100"/>
      <c r="P8" s="102"/>
    </row>
    <row r="9" spans="2:16" ht="15.95" thickBot="1">
      <c r="C9" s="71">
        <f>C8/(1+$E$3)^0</f>
        <v>-1765386565</v>
      </c>
      <c r="D9" s="71">
        <f>D8/(1+$E$3)^1</f>
        <v>382343148.70804858</v>
      </c>
      <c r="E9" s="71">
        <f>E8/(1+$E$3)^2</f>
        <v>956152315.27115345</v>
      </c>
      <c r="F9" s="71">
        <f>F8/(1+$E$3)^3</f>
        <v>943342370.41232193</v>
      </c>
      <c r="G9" s="71">
        <f>G8/(1+$E$3)^4</f>
        <v>1093004585.5099638</v>
      </c>
      <c r="H9" s="71">
        <f>H8/(1+$E$3)^5</f>
        <v>1222397873.4494643</v>
      </c>
      <c r="O9" s="100"/>
      <c r="P9" s="102"/>
    </row>
    <row r="10" spans="2:16" ht="24.95" thickBot="1">
      <c r="B10" s="30" t="s">
        <v>139</v>
      </c>
      <c r="C10" s="31"/>
      <c r="D10" s="109">
        <f>NPV(E3,D8:H8)+$C$8</f>
        <v>2831853728.3509512</v>
      </c>
      <c r="O10" s="100"/>
      <c r="P10" s="102"/>
    </row>
    <row r="11" spans="2:16" ht="29.1" thickBot="1">
      <c r="B11" s="138" t="s">
        <v>140</v>
      </c>
      <c r="C11" s="31"/>
      <c r="D11" s="110">
        <f>IF(ISERROR(IRR(C8:H8)),"NO_APLICA",(IRR(C8:H8)))</f>
        <v>0.54053034469200245</v>
      </c>
      <c r="F11" s="104" t="s">
        <v>141</v>
      </c>
      <c r="G11" s="31"/>
      <c r="H11" s="105">
        <f>IF(ISERROR(-C9/AVERAGE(D9:H9)),"NO_APLICA",(-C9/AVERAGE(D9:H9)))</f>
        <v>1.9200503479808324</v>
      </c>
      <c r="I11" s="106" t="s">
        <v>142</v>
      </c>
      <c r="P11" s="101"/>
    </row>
    <row r="13" spans="2:16" ht="18">
      <c r="B13" s="159" t="s">
        <v>143</v>
      </c>
      <c r="C13" s="159"/>
      <c r="D13" s="159"/>
      <c r="E13" s="159"/>
      <c r="F13" s="159"/>
      <c r="G13" s="159"/>
      <c r="H13" s="159"/>
    </row>
    <row r="14" spans="2:16" ht="27">
      <c r="B14" s="87" t="str">
        <f>'1'!B2</f>
        <v>NOMBRE DEL PRODUCTO O SERVICIO</v>
      </c>
      <c r="C14" s="87" t="s">
        <v>144</v>
      </c>
      <c r="D14" s="87" t="s">
        <v>145</v>
      </c>
      <c r="E14" s="87" t="s">
        <v>146</v>
      </c>
      <c r="F14" s="87" t="s">
        <v>147</v>
      </c>
      <c r="H14" s="71"/>
      <c r="I14" s="71"/>
      <c r="J14" s="71" t="s">
        <v>148</v>
      </c>
    </row>
    <row r="15" spans="2:16">
      <c r="B15" s="92" t="str">
        <f>'1'!B3</f>
        <v>Crédito AgroSostenible Itaú 2025</v>
      </c>
      <c r="C15" s="88">
        <f>'1'!D3-'1'!D17</f>
        <v>10266000</v>
      </c>
      <c r="D15" s="89">
        <f>'1'!F3</f>
        <v>0.20544878418406007</v>
      </c>
      <c r="E15" s="88">
        <f>C15*D15</f>
        <v>2109137.2184335608</v>
      </c>
      <c r="F15" s="90">
        <f t="shared" ref="F15:F24" si="0">$E$28*D15</f>
        <v>19.64385071018722</v>
      </c>
      <c r="G15" s="38" t="s">
        <v>149</v>
      </c>
      <c r="H15" s="72">
        <f>'1'!D3</f>
        <v>11930000</v>
      </c>
      <c r="I15" s="91">
        <f t="shared" ref="I15:I24" si="1">$B$35*D15</f>
        <v>39.287701420374447</v>
      </c>
      <c r="J15" s="72">
        <f>'1'!D17</f>
        <v>1664000</v>
      </c>
    </row>
    <row r="16" spans="2:16">
      <c r="B16" s="92" t="str">
        <f>'1'!B4</f>
        <v>Crédito AgroSostenible Itaú 2026</v>
      </c>
      <c r="C16" s="88">
        <f>'1'!D4-'1'!D18</f>
        <v>9636112</v>
      </c>
      <c r="D16" s="89">
        <f>'1'!F4</f>
        <v>0.23496590204587725</v>
      </c>
      <c r="E16" s="88">
        <f t="shared" ref="E16:E24" si="2">C16*D16</f>
        <v>2264157.7482951023</v>
      </c>
      <c r="F16" s="90">
        <f t="shared" si="0"/>
        <v>22.466110569136166</v>
      </c>
      <c r="G16" s="38" t="str">
        <f>G15</f>
        <v>UNIDADES</v>
      </c>
      <c r="H16" s="72">
        <f>'1'!D4</f>
        <v>11370000</v>
      </c>
      <c r="I16" s="91">
        <f t="shared" si="1"/>
        <v>44.93222113827234</v>
      </c>
      <c r="J16" s="72">
        <f>'1'!D18</f>
        <v>1733888</v>
      </c>
    </row>
    <row r="17" spans="2:10">
      <c r="B17" s="92" t="str">
        <f>'1'!B5</f>
        <v>Crédito AgroSostenible Itaú 2027</v>
      </c>
      <c r="C17" s="88">
        <f>'1'!D5-'1'!D19</f>
        <v>8988087</v>
      </c>
      <c r="D17" s="89">
        <f>'1'!F5</f>
        <v>0.26038437693738375</v>
      </c>
      <c r="E17" s="88">
        <f t="shared" si="2"/>
        <v>2340357.4333539987</v>
      </c>
      <c r="F17" s="90">
        <f t="shared" si="0"/>
        <v>24.896481369491266</v>
      </c>
      <c r="G17" s="38" t="str">
        <f t="shared" ref="G17:G24" si="3">G16</f>
        <v>UNIDADES</v>
      </c>
      <c r="H17" s="72">
        <f>'1'!D5</f>
        <v>10800000</v>
      </c>
      <c r="I17" s="91">
        <f t="shared" si="1"/>
        <v>49.792962738982538</v>
      </c>
      <c r="J17" s="72">
        <f>'1'!D19</f>
        <v>1811913</v>
      </c>
    </row>
    <row r="18" spans="2:10">
      <c r="B18" s="92" t="str">
        <f>'1'!B6</f>
        <v>Crédito AgroSostenible Itaú 2028</v>
      </c>
      <c r="C18" s="88">
        <f>'1'!D6-'1'!D20</f>
        <v>8322125</v>
      </c>
      <c r="D18" s="89">
        <f>'1'!F6</f>
        <v>0.29920093683267895</v>
      </c>
      <c r="E18" s="88">
        <f t="shared" si="2"/>
        <v>2489987.5964386584</v>
      </c>
      <c r="F18" s="90">
        <f t="shared" si="0"/>
        <v>28.607901277350614</v>
      </c>
      <c r="G18" s="38" t="str">
        <f t="shared" si="3"/>
        <v>UNIDADES</v>
      </c>
      <c r="H18" s="72">
        <f>'1'!D6</f>
        <v>10220000</v>
      </c>
      <c r="I18" s="91">
        <f t="shared" si="1"/>
        <v>57.215802554701234</v>
      </c>
      <c r="J18" s="72">
        <f>'1'!D20</f>
        <v>1897875</v>
      </c>
    </row>
    <row r="19" spans="2:10">
      <c r="B19" s="92">
        <f>'1'!B7</f>
        <v>0</v>
      </c>
      <c r="C19" s="88">
        <f>'1'!D7-'1'!D21</f>
        <v>0</v>
      </c>
      <c r="D19" s="89">
        <f>'1'!F7</f>
        <v>0</v>
      </c>
      <c r="E19" s="88">
        <f t="shared" si="2"/>
        <v>0</v>
      </c>
      <c r="F19" s="90">
        <f t="shared" si="0"/>
        <v>0</v>
      </c>
      <c r="G19" s="38" t="str">
        <f t="shared" si="3"/>
        <v>UNIDADES</v>
      </c>
      <c r="H19" s="72">
        <f>'1'!D7</f>
        <v>0</v>
      </c>
      <c r="I19" s="91">
        <f t="shared" si="1"/>
        <v>0</v>
      </c>
      <c r="J19" s="72">
        <f>'1'!D21</f>
        <v>0</v>
      </c>
    </row>
    <row r="20" spans="2:10">
      <c r="B20" s="92">
        <f>'1'!B8</f>
        <v>0</v>
      </c>
      <c r="C20" s="88">
        <f>'1'!D8-'1'!D22</f>
        <v>0</v>
      </c>
      <c r="D20" s="89">
        <f>'1'!F8</f>
        <v>0</v>
      </c>
      <c r="E20" s="88">
        <f t="shared" si="2"/>
        <v>0</v>
      </c>
      <c r="F20" s="90">
        <f t="shared" si="0"/>
        <v>0</v>
      </c>
      <c r="G20" s="38" t="str">
        <f t="shared" si="3"/>
        <v>UNIDADES</v>
      </c>
      <c r="H20" s="72">
        <f>'1'!D8</f>
        <v>0</v>
      </c>
      <c r="I20" s="91">
        <f t="shared" si="1"/>
        <v>0</v>
      </c>
      <c r="J20" s="72">
        <f>'1'!D22</f>
        <v>0</v>
      </c>
    </row>
    <row r="21" spans="2:10">
      <c r="B21" s="92">
        <f>'1'!B9</f>
        <v>0</v>
      </c>
      <c r="C21" s="88">
        <f>'1'!D9-'1'!D23</f>
        <v>0</v>
      </c>
      <c r="D21" s="89">
        <f>'1'!F9</f>
        <v>0</v>
      </c>
      <c r="E21" s="88">
        <f t="shared" si="2"/>
        <v>0</v>
      </c>
      <c r="F21" s="90">
        <f t="shared" si="0"/>
        <v>0</v>
      </c>
      <c r="G21" s="38" t="str">
        <f t="shared" si="3"/>
        <v>UNIDADES</v>
      </c>
      <c r="H21" s="72">
        <f>'1'!D9</f>
        <v>0</v>
      </c>
      <c r="I21" s="91">
        <f t="shared" si="1"/>
        <v>0</v>
      </c>
      <c r="J21" s="72">
        <f>'1'!D23</f>
        <v>0</v>
      </c>
    </row>
    <row r="22" spans="2:10">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c r="B24" s="92">
        <f>'1'!B12</f>
        <v>0</v>
      </c>
      <c r="C24" s="88">
        <f>'1'!D12-'1'!D26</f>
        <v>0</v>
      </c>
      <c r="D24" s="89">
        <f>'1'!F12</f>
        <v>0</v>
      </c>
      <c r="E24" s="88">
        <f t="shared" si="2"/>
        <v>0</v>
      </c>
      <c r="F24" s="90">
        <f t="shared" si="0"/>
        <v>0</v>
      </c>
      <c r="G24" s="38" t="str">
        <f t="shared" si="3"/>
        <v>UNIDADES</v>
      </c>
      <c r="H24" s="72">
        <f>'1'!D12</f>
        <v>0</v>
      </c>
      <c r="I24" s="91">
        <f t="shared" si="1"/>
        <v>0</v>
      </c>
      <c r="J24" s="72">
        <f>'1'!D26</f>
        <v>0</v>
      </c>
    </row>
    <row r="25" spans="2:10" ht="24.95">
      <c r="C25" s="26"/>
      <c r="D25" s="93"/>
      <c r="E25" s="26"/>
      <c r="F25" s="94">
        <f>SUM(F15:F24)</f>
        <v>95.614343926165276</v>
      </c>
      <c r="G25" s="8" t="str">
        <f>G24</f>
        <v>UNIDADES</v>
      </c>
      <c r="H25" s="72"/>
      <c r="I25" s="91"/>
      <c r="J25" s="72"/>
    </row>
    <row r="26" spans="2:10" ht="12.75" customHeight="1">
      <c r="C26" s="26"/>
      <c r="D26" s="93"/>
      <c r="E26" s="26"/>
      <c r="F26" s="94"/>
      <c r="H26" s="72"/>
      <c r="I26" s="91"/>
      <c r="J26" s="72"/>
    </row>
    <row r="27" spans="2:10" ht="21" customHeight="1">
      <c r="B27" s="162" t="s">
        <v>150</v>
      </c>
      <c r="C27" s="162"/>
      <c r="D27" s="162"/>
      <c r="E27" s="95">
        <f>SUM(E15:E24)</f>
        <v>9203639.9965213202</v>
      </c>
      <c r="H27" s="71"/>
      <c r="I27" s="71"/>
      <c r="J27" s="71"/>
    </row>
    <row r="28" spans="2:10" ht="19.5" customHeight="1">
      <c r="B28" s="162" t="s">
        <v>151</v>
      </c>
      <c r="C28" s="162"/>
      <c r="D28" s="162"/>
      <c r="E28" s="94">
        <f>IF(E27=0,0,('2'!C23+'2'!F31+'2'!C25)/'5'!E27)</f>
        <v>95.614343926165262</v>
      </c>
      <c r="F28" s="96" t="s">
        <v>149</v>
      </c>
      <c r="H28" s="97"/>
    </row>
    <row r="29" spans="2:10" ht="24.95">
      <c r="B29" s="162" t="s">
        <v>152</v>
      </c>
      <c r="C29" s="162"/>
      <c r="D29" s="162"/>
      <c r="E29" s="95">
        <f>E49</f>
        <v>1051045565.9886405</v>
      </c>
    </row>
    <row r="30" spans="2:10">
      <c r="B30" s="129"/>
      <c r="C30" s="129"/>
      <c r="D30" s="129"/>
      <c r="E30" s="129"/>
      <c r="F30" s="129"/>
      <c r="G30" s="129"/>
    </row>
    <row r="31" spans="2:10" s="71" customFormat="1"/>
    <row r="32" spans="2:10" s="71" customFormat="1">
      <c r="C32" s="71" t="s">
        <v>153</v>
      </c>
      <c r="D32" s="71" t="s">
        <v>154</v>
      </c>
      <c r="E32" s="71" t="s">
        <v>155</v>
      </c>
      <c r="F32" s="71" t="s">
        <v>156</v>
      </c>
    </row>
    <row r="33" spans="2:6" s="71" customFormat="1">
      <c r="B33" s="71">
        <v>0</v>
      </c>
      <c r="C33" s="72">
        <f>'2'!C25+'2'!F31+'2'!C23</f>
        <v>880000000</v>
      </c>
      <c r="D33" s="71">
        <f>0</f>
        <v>0</v>
      </c>
      <c r="E33" s="71">
        <v>0</v>
      </c>
      <c r="F33" s="72">
        <f>C33+E33</f>
        <v>880000000</v>
      </c>
    </row>
    <row r="34" spans="2:6" s="71" customFormat="1">
      <c r="B34" s="91">
        <f>F25</f>
        <v>95.614343926165276</v>
      </c>
      <c r="C34" s="72">
        <f>C33</f>
        <v>880000000</v>
      </c>
      <c r="D34" s="130">
        <f>SUMPRODUCT(F15:F24,H15:H24)</f>
        <v>1051045565.9886405</v>
      </c>
      <c r="E34" s="130">
        <f>SUMPRODUCT(F15:F24,J15:J24)</f>
        <v>171045565.98864073</v>
      </c>
      <c r="F34" s="72">
        <f t="shared" ref="F34:F35" si="4">C34+E34</f>
        <v>1051045565.9886408</v>
      </c>
    </row>
    <row r="35" spans="2:6" s="71" customFormat="1">
      <c r="B35" s="91">
        <f>B34*2</f>
        <v>191.22868785233055</v>
      </c>
      <c r="C35" s="72">
        <f>C34</f>
        <v>880000000</v>
      </c>
      <c r="D35" s="130">
        <f>SUMPRODUCT(H15:H24,I15:I24)</f>
        <v>2102091131.9772816</v>
      </c>
      <c r="E35" s="130">
        <f>SUMPRODUCT(I15:I24,J15:J24)</f>
        <v>342091131.97728151</v>
      </c>
      <c r="F35" s="72">
        <f t="shared" si="4"/>
        <v>1222091131.9772816</v>
      </c>
    </row>
    <row r="36" spans="2:6" s="71" customFormat="1">
      <c r="C36" s="72"/>
    </row>
    <row r="37" spans="2:6" s="71" customFormat="1">
      <c r="C37" s="72"/>
    </row>
    <row r="38" spans="2:6" s="71" customFormat="1">
      <c r="C38" s="131" t="s">
        <v>157</v>
      </c>
      <c r="D38" s="71" t="s">
        <v>149</v>
      </c>
      <c r="E38" s="71" t="s">
        <v>158</v>
      </c>
    </row>
    <row r="39" spans="2:6" s="71" customFormat="1">
      <c r="B39" s="71">
        <v>1</v>
      </c>
      <c r="C39" s="72">
        <f>'1'!D3</f>
        <v>11930000</v>
      </c>
      <c r="D39" s="91">
        <f>F15</f>
        <v>19.64385071018722</v>
      </c>
      <c r="E39" s="71">
        <f>C39*D39</f>
        <v>234351138.97253352</v>
      </c>
    </row>
    <row r="40" spans="2:6" s="71" customFormat="1">
      <c r="B40" s="71">
        <f>B39+1</f>
        <v>2</v>
      </c>
      <c r="C40" s="72">
        <f>'1'!D4</f>
        <v>11370000</v>
      </c>
      <c r="D40" s="91">
        <f t="shared" ref="D40:D48" si="5">F16</f>
        <v>22.466110569136166</v>
      </c>
      <c r="E40" s="71">
        <f t="shared" ref="E40:E48" si="6">C40*D40</f>
        <v>255439677.17107821</v>
      </c>
    </row>
    <row r="41" spans="2:6" s="71" customFormat="1">
      <c r="B41" s="71">
        <f t="shared" ref="B41:B48" si="7">B40+1</f>
        <v>3</v>
      </c>
      <c r="C41" s="72">
        <f>'1'!D5</f>
        <v>10800000</v>
      </c>
      <c r="D41" s="91">
        <f t="shared" si="5"/>
        <v>24.896481369491266</v>
      </c>
      <c r="E41" s="71">
        <f t="shared" si="6"/>
        <v>268881998.79050565</v>
      </c>
    </row>
    <row r="42" spans="2:6" s="71" customFormat="1">
      <c r="B42" s="71">
        <f t="shared" si="7"/>
        <v>4</v>
      </c>
      <c r="C42" s="72">
        <f>'1'!D6</f>
        <v>10220000</v>
      </c>
      <c r="D42" s="91">
        <f t="shared" si="5"/>
        <v>28.607901277350614</v>
      </c>
      <c r="E42" s="71">
        <f t="shared" si="6"/>
        <v>292372751.05452329</v>
      </c>
    </row>
    <row r="43" spans="2:6" s="71" customFormat="1">
      <c r="B43" s="71">
        <f t="shared" si="7"/>
        <v>5</v>
      </c>
      <c r="C43" s="72">
        <f>'1'!D7</f>
        <v>0</v>
      </c>
      <c r="D43" s="91">
        <f t="shared" si="5"/>
        <v>0</v>
      </c>
      <c r="E43" s="71">
        <f t="shared" si="6"/>
        <v>0</v>
      </c>
    </row>
    <row r="44" spans="2:6" s="71" customFormat="1">
      <c r="B44" s="71">
        <f t="shared" si="7"/>
        <v>6</v>
      </c>
      <c r="C44" s="72">
        <f>'1'!D8</f>
        <v>0</v>
      </c>
      <c r="D44" s="91">
        <f t="shared" si="5"/>
        <v>0</v>
      </c>
      <c r="E44" s="71">
        <f t="shared" si="6"/>
        <v>0</v>
      </c>
    </row>
    <row r="45" spans="2:6" s="71" customFormat="1">
      <c r="B45" s="71">
        <f t="shared" si="7"/>
        <v>7</v>
      </c>
      <c r="C45" s="72">
        <f>'1'!D9</f>
        <v>0</v>
      </c>
      <c r="D45" s="91">
        <f t="shared" si="5"/>
        <v>0</v>
      </c>
      <c r="E45" s="71">
        <f t="shared" si="6"/>
        <v>0</v>
      </c>
    </row>
    <row r="46" spans="2:6" s="71" customFormat="1">
      <c r="B46" s="71">
        <f t="shared" si="7"/>
        <v>8</v>
      </c>
      <c r="C46" s="72">
        <f>'1'!D10</f>
        <v>0</v>
      </c>
      <c r="D46" s="91">
        <f t="shared" si="5"/>
        <v>0</v>
      </c>
      <c r="E46" s="71">
        <f t="shared" si="6"/>
        <v>0</v>
      </c>
    </row>
    <row r="47" spans="2:6" s="71" customFormat="1">
      <c r="B47" s="71">
        <f t="shared" si="7"/>
        <v>9</v>
      </c>
      <c r="C47" s="72">
        <f>'1'!D11</f>
        <v>0</v>
      </c>
      <c r="D47" s="91">
        <f t="shared" si="5"/>
        <v>0</v>
      </c>
      <c r="E47" s="71">
        <f t="shared" si="6"/>
        <v>0</v>
      </c>
    </row>
    <row r="48" spans="2:6" s="71" customFormat="1">
      <c r="B48" s="71">
        <f t="shared" si="7"/>
        <v>10</v>
      </c>
      <c r="C48" s="72">
        <f>'1'!D12</f>
        <v>0</v>
      </c>
      <c r="D48" s="91">
        <f t="shared" si="5"/>
        <v>0</v>
      </c>
      <c r="E48" s="71">
        <f t="shared" si="6"/>
        <v>0</v>
      </c>
    </row>
    <row r="49" spans="2:8" s="71" customFormat="1">
      <c r="C49" s="72"/>
      <c r="E49" s="132">
        <f>SUM(E39:E48)</f>
        <v>1051045565.9886405</v>
      </c>
    </row>
    <row r="50" spans="2:8" s="71" customFormat="1"/>
    <row r="51" spans="2:8" s="71" customFormat="1">
      <c r="C51" s="72"/>
    </row>
    <row r="52" spans="2:8" s="71" customFormat="1">
      <c r="B52" s="160"/>
      <c r="C52" s="160"/>
      <c r="D52" s="160"/>
      <c r="G52" s="71" t="s">
        <v>159</v>
      </c>
      <c r="H52" s="133">
        <f>'4'!B32/'4'!B27</f>
        <v>1</v>
      </c>
    </row>
    <row r="53" spans="2:8" s="71" customFormat="1">
      <c r="C53" s="72"/>
      <c r="G53" s="71" t="s">
        <v>160</v>
      </c>
      <c r="H53" s="133">
        <f>'4'!B36/'4'!B27</f>
        <v>0</v>
      </c>
    </row>
    <row r="54" spans="2:8" s="71" customFormat="1">
      <c r="G54" s="71" t="s">
        <v>161</v>
      </c>
      <c r="H54" s="71">
        <f>'1'!AB7</f>
        <v>0.35</v>
      </c>
    </row>
    <row r="55" spans="2:8" s="71" customFormat="1">
      <c r="G55" s="71" t="s">
        <v>162</v>
      </c>
      <c r="H55" s="133">
        <f>'3'!F4</f>
        <v>0.15</v>
      </c>
    </row>
    <row r="56" spans="2:8" s="71" customFormat="1">
      <c r="G56" s="71" t="s">
        <v>163</v>
      </c>
    </row>
    <row r="57" spans="2:8" s="71" customFormat="1"/>
    <row r="58" spans="2:8" s="71" customFormat="1"/>
    <row r="59" spans="2:8" s="71" customFormat="1"/>
    <row r="60" spans="2:8" s="71" customFormat="1"/>
    <row r="61" spans="2:8" s="71" customFormat="1"/>
    <row r="62" spans="2:8">
      <c r="B62" s="129"/>
      <c r="C62" s="129"/>
      <c r="D62" s="129"/>
      <c r="E62" s="129"/>
      <c r="F62" s="129"/>
      <c r="G62" s="129"/>
    </row>
    <row r="63" spans="2:8">
      <c r="B63" s="129"/>
      <c r="C63" s="129"/>
      <c r="D63" s="129"/>
      <c r="E63" s="129"/>
      <c r="F63" s="129"/>
      <c r="G63" s="129"/>
    </row>
    <row r="64" spans="2:8">
      <c r="B64" s="129"/>
      <c r="C64" s="129"/>
      <c r="D64" s="129"/>
      <c r="E64" s="129"/>
      <c r="F64" s="129"/>
      <c r="G64" s="129"/>
    </row>
    <row r="65" spans="2:7">
      <c r="B65" s="129"/>
      <c r="C65" s="129"/>
      <c r="D65" s="129"/>
      <c r="E65" s="129"/>
      <c r="F65" s="129"/>
      <c r="G65" s="129"/>
    </row>
    <row r="66" spans="2:7">
      <c r="B66" s="129"/>
      <c r="C66" s="129"/>
      <c r="D66" s="129"/>
      <c r="E66" s="129"/>
      <c r="F66" s="129"/>
      <c r="G66" s="129"/>
    </row>
  </sheetData>
  <sheetProtection algorithmName="SHA-512" hashValue="moE6vkfzJ2/plS6QaAdzkQxb14QdB460QBAc3HmrFG0ryFmW05kTv+aMYJ1d6g/Yc3JKYjmDdomYwTZ9tQpztw==" saltValue="SIKXKXO1TjOxERs8DMAPeg=="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7D871BBCCF4134981C3825295B422C0" ma:contentTypeVersion="14" ma:contentTypeDescription="Crear nuevo documento." ma:contentTypeScope="" ma:versionID="ab0226ade4eb2135671995830e26b9c6">
  <xsd:schema xmlns:xsd="http://www.w3.org/2001/XMLSchema" xmlns:xs="http://www.w3.org/2001/XMLSchema" xmlns:p="http://schemas.microsoft.com/office/2006/metadata/properties" xmlns:ns2="380d98aa-e734-417d-81ad-3ac905303bf1" xmlns:ns3="199df2c6-054e-4caa-bbec-543129edf3d9" targetNamespace="http://schemas.microsoft.com/office/2006/metadata/properties" ma:root="true" ma:fieldsID="fb8147c160a15415901ff7196a3489ed" ns2:_="" ns3:_="">
    <xsd:import namespace="380d98aa-e734-417d-81ad-3ac905303bf1"/>
    <xsd:import namespace="199df2c6-054e-4caa-bbec-543129edf3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d98aa-e734-417d-81ad-3ac905303b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df2c6-054e-4caa-bbec-543129edf3d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a481ef2-0731-4635-a321-f59a98b45360}" ma:internalName="TaxCatchAll" ma:showField="CatchAllData" ma:web="199df2c6-054e-4caa-bbec-543129edf3d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9df2c6-054e-4caa-bbec-543129edf3d9" xsi:nil="true"/>
    <lcf76f155ced4ddcb4097134ff3c332f xmlns="380d98aa-e734-417d-81ad-3ac905303bf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C6C35E-F044-4DF1-B149-274DFBF1FF5F}"/>
</file>

<file path=customXml/itemProps2.xml><?xml version="1.0" encoding="utf-8"?>
<ds:datastoreItem xmlns:ds="http://schemas.openxmlformats.org/officeDocument/2006/customXml" ds:itemID="{12201D0C-22A1-4197-B743-460FDB3B7C61}"/>
</file>

<file path=customXml/itemProps3.xml><?xml version="1.0" encoding="utf-8"?>
<ds:datastoreItem xmlns:ds="http://schemas.openxmlformats.org/officeDocument/2006/customXml" ds:itemID="{672A827F-F916-41B3-8E4A-6E70E024C4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JAIME EDUARDO VARELA LOPEZ</cp:lastModifiedBy>
  <cp:revision/>
  <dcterms:created xsi:type="dcterms:W3CDTF">2013-07-30T17:19:59Z</dcterms:created>
  <dcterms:modified xsi:type="dcterms:W3CDTF">2025-01-08T17:53:41Z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0x010100C7D871BBCCF4134981C3825295B422C0</vt:lpwstr>
  </property>
  <property fmtid="{D5CDD505-2E9C-101B-9397-08002B2CF9AE}" pid="3" name="MediaServiceImageTags">
    <vt:lpwstr/>
  </property>
</Properties>
</file>