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6"/>
  <workbookPr codeName="ThisWorkbook" defaultThemeVersion="124226"/>
  <mc:AlternateContent xmlns:mc="http://schemas.openxmlformats.org/markup-compatibility/2006">
    <mc:Choice Requires="x15">
      <x15ac:absPath xmlns:x15ac="http://schemas.microsoft.com/office/spreadsheetml/2010/11/ac" url="https://universidadeaneduco.sharepoint.com/sites/Trabajodegrado399/Documentos compartidos/General/ANTEPROYECTO/"/>
    </mc:Choice>
  </mc:AlternateContent>
  <xr:revisionPtr revIDLastSave="0" documentId="8_{68E8D93C-4025-4FAB-AF10-C3A2D30F2DCE}" xr6:coauthVersionLast="47" xr6:coauthVersionMax="47" xr10:uidLastSave="{00000000-0000-0000-0000-000000000000}"/>
  <bookViews>
    <workbookView xWindow="-108" yWindow="-108" windowWidth="23256" windowHeight="12456" tabRatio="703" firstSheet="5" activeTab="5" xr2:uid="{00000000-000D-0000-FFFF-FFFF00000000}"/>
  </bookViews>
  <sheets>
    <sheet name="Menú" sheetId="7" r:id="rId1"/>
    <sheet name="1" sheetId="1" r:id="rId2"/>
    <sheet name="2" sheetId="4" r:id="rId3"/>
    <sheet name="3" sheetId="3" r:id="rId4"/>
    <sheet name="4" sheetId="5" r:id="rId5"/>
    <sheet name="5" sheetId="6" r:id="rId6"/>
    <sheet name="Hoja1" sheetId="8" r:id="rId7"/>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4" l="1"/>
  <c r="C18" i="4"/>
  <c r="F30" i="4"/>
  <c r="C6" i="1"/>
  <c r="D20" i="1"/>
  <c r="E8" i="8"/>
  <c r="E6" i="8"/>
  <c r="C8" i="8"/>
  <c r="C6" i="8"/>
  <c r="F27" i="4"/>
  <c r="J5" i="1"/>
  <c r="J6" i="1" s="1"/>
  <c r="J7" i="1" s="1"/>
  <c r="J8" i="1" s="1"/>
  <c r="J9" i="1" s="1"/>
  <c r="J10" i="1" s="1"/>
  <c r="I5" i="1"/>
  <c r="I6" i="1" s="1"/>
  <c r="I7" i="1" s="1"/>
  <c r="I8" i="1" s="1"/>
  <c r="I9" i="1" s="1"/>
  <c r="I10" i="1" s="1"/>
  <c r="J4" i="1"/>
  <c r="I4" i="1"/>
  <c r="H4" i="1"/>
  <c r="H5" i="1" s="1"/>
  <c r="H6" i="1" s="1"/>
  <c r="H7" i="1" s="1"/>
  <c r="H8" i="1" s="1"/>
  <c r="H9" i="1" s="1"/>
  <c r="H10" i="1" s="1"/>
  <c r="I3" i="1"/>
  <c r="J3" i="1"/>
  <c r="H3" i="1"/>
  <c r="G5" i="1"/>
  <c r="G6" i="1"/>
  <c r="G7" i="1"/>
  <c r="G8" i="1" s="1"/>
  <c r="G9" i="1" s="1"/>
  <c r="G10" i="1" s="1"/>
  <c r="G4" i="1"/>
  <c r="C28" i="4"/>
  <c r="C29" i="4" s="1"/>
  <c r="C30" i="4" s="1"/>
  <c r="C31" i="4" s="1"/>
  <c r="F21" i="4" l="1"/>
  <c r="F20" i="4"/>
  <c r="F19" i="4"/>
  <c r="F26" i="4"/>
  <c r="F18" i="4" l="1"/>
  <c r="H55" i="6" l="1"/>
  <c r="H54" i="6"/>
  <c r="B41" i="6" l="1"/>
  <c r="B42" i="6" s="1"/>
  <c r="B43" i="6" s="1"/>
  <c r="B44" i="6" s="1"/>
  <c r="B45" i="6" s="1"/>
  <c r="B46" i="6" s="1"/>
  <c r="B47" i="6" s="1"/>
  <c r="B48" i="6" s="1"/>
  <c r="B40" i="6"/>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C12" i="4"/>
  <c r="C4" i="3" l="1"/>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F25" i="4" l="1"/>
  <c r="F31" i="4" s="1"/>
  <c r="C10" i="5" s="1"/>
  <c r="D10" i="5" s="1"/>
  <c r="E10" i="5" s="1"/>
  <c r="F10" i="5" s="1"/>
  <c r="G10" i="5" s="1"/>
  <c r="C5" i="5"/>
  <c r="C20" i="5" s="1"/>
  <c r="D7" i="6" s="1"/>
  <c r="E9" i="3"/>
  <c r="G9" i="5"/>
  <c r="H2" i="1"/>
  <c r="I2" i="1" s="1"/>
  <c r="B28" i="4"/>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11" i="3" l="1"/>
  <c r="C33" i="6"/>
  <c r="C34" i="6" s="1"/>
  <c r="C35" i="6" s="1"/>
  <c r="D5" i="5"/>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F33" i="6" l="1"/>
  <c r="D43" i="5"/>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2" i="6" s="1"/>
  <c r="C17" i="5"/>
  <c r="C35" i="5" s="1"/>
  <c r="C36" i="5" s="1"/>
  <c r="H9" i="3"/>
  <c r="J9" i="3" s="1"/>
  <c r="I10" i="3" s="1"/>
  <c r="E35" i="6"/>
  <c r="F35" i="6" s="1"/>
  <c r="D35" i="6"/>
  <c r="C30" i="5"/>
  <c r="C45" i="5"/>
  <c r="B39" i="5"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F12" i="3" l="1"/>
  <c r="G12" i="3" s="1"/>
  <c r="F14" i="5" s="1"/>
  <c r="F15" i="5" s="1"/>
  <c r="F16" i="5" s="1"/>
  <c r="F17" i="5" s="1"/>
  <c r="F35" i="5" s="1"/>
  <c r="F36" i="5" s="1"/>
  <c r="E31" i="5"/>
  <c r="E32" i="5" s="1"/>
  <c r="E38" i="5" s="1"/>
  <c r="E22" i="5" s="1"/>
  <c r="E27" i="5" s="1"/>
  <c r="E39" i="5" s="1"/>
  <c r="D46" i="5"/>
  <c r="D52" i="5" s="1"/>
  <c r="D58" i="5" s="1"/>
  <c r="D59" i="5" s="1"/>
  <c r="E8" i="6" s="1"/>
  <c r="H12" i="3" l="1"/>
  <c r="J12" i="3" s="1"/>
  <c r="F13" i="3" s="1"/>
  <c r="G13" i="3" s="1"/>
  <c r="G14" i="5" s="1"/>
  <c r="G15" i="5" s="1"/>
  <c r="G16" i="5" s="1"/>
  <c r="G17" i="5" s="1"/>
  <c r="F29" i="5"/>
  <c r="F45" i="5" s="1"/>
  <c r="E44" i="5"/>
  <c r="F31" i="5" l="1"/>
  <c r="G29" i="5"/>
  <c r="G30" i="5" s="1"/>
  <c r="I13" i="3"/>
  <c r="H13" i="3" s="1"/>
  <c r="J13" i="3" s="1"/>
  <c r="G31" i="5" s="1"/>
  <c r="F30" i="5"/>
  <c r="E46" i="5"/>
  <c r="E52" i="5" s="1"/>
  <c r="E58" i="5" s="1"/>
  <c r="E59" i="5" s="1"/>
  <c r="F8" i="6" s="1"/>
  <c r="G35" i="5"/>
  <c r="G36" i="5" s="1"/>
  <c r="F32" i="5" l="1"/>
  <c r="F38" i="5" s="1"/>
  <c r="F22" i="5" s="1"/>
  <c r="F44" i="5" s="1"/>
  <c r="F46" i="5" s="1"/>
  <c r="F52" i="5" s="1"/>
  <c r="F58" i="5" s="1"/>
  <c r="F59" i="5" s="1"/>
  <c r="G8" i="6" s="1"/>
  <c r="G45" i="5"/>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15D37B23-6DCF-476C-9716-745394B1EA5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90A58B64-0954-4606-8E52-6B6846D741A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7186AB6B-DA9E-457A-99AB-DF7B1480404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4" authorId="0" shapeId="0" xr:uid="{FE2D29B2-817F-4975-9C78-E4C8DFB19DF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8DD3DBE6-82F6-410E-AC8D-47D72287FCD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DB72840D-6E79-41B1-9065-BF76951BC88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531D8E2A-183C-4100-A3DB-BC721E967C9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5" authorId="0" shapeId="0" xr:uid="{A2C24072-B3FC-4BDB-A9A5-0463D9221F2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5" authorId="0" shapeId="0" xr:uid="{FB5B93F4-D71E-49BA-B786-7B1F51D8E2F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5" authorId="0" shapeId="0" xr:uid="{48B26B9C-D99E-47D7-916A-6AFB1B6E313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5" authorId="0" shapeId="0" xr:uid="{6847621C-4906-417F-8D32-FE2C670ED3D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6" authorId="0" shapeId="0" xr:uid="{EA7AE37E-9FE0-4905-9541-99A4AE6EF0F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6" authorId="0" shapeId="0" xr:uid="{37545DE4-9470-40C4-B171-214B33795C2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6" authorId="0" shapeId="0" xr:uid="{24CB7F30-C283-435E-927E-C8411975AFD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6" authorId="0" shapeId="0" xr:uid="{6D9E60A3-E64A-4F7E-8FA0-C1243E31718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7" authorId="0" shapeId="0" xr:uid="{1E26F5F5-E647-4988-9805-C5EB4C64511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7" authorId="0" shapeId="0" xr:uid="{2AE0E26E-7000-4996-8679-105CA765E94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7" authorId="0" shapeId="0" xr:uid="{34F093B5-94B0-4A25-ADA4-9798097CE55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7" authorId="0" shapeId="0" xr:uid="{CFAF7673-C342-4194-A7CC-150810503EF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G8" authorId="0" shapeId="0" xr:uid="{04C0B2DA-092D-4C24-9500-706FEDEA55A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8" authorId="0" shapeId="0" xr:uid="{5C623C5F-B375-49A4-B2F5-BDF1473ACEE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8" authorId="0" shapeId="0" xr:uid="{3B337323-1501-4462-A6B7-3B3F18052E7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8" authorId="0" shapeId="0" xr:uid="{53ACB24F-11B7-419D-A034-69E0A222730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9" authorId="0" shapeId="0" xr:uid="{AC3AF8C9-824B-4638-874F-242F5606882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9" authorId="0" shapeId="0" xr:uid="{2422F08F-02BE-46E3-BFD7-A2C2C1284A2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9" authorId="0" shapeId="0" xr:uid="{C8A9BCE6-A364-4C70-9780-BE9BAEA6360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9" authorId="0" shapeId="0" xr:uid="{34E660F0-694E-404A-9389-F0136EFDD6A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10" authorId="0" shapeId="0" xr:uid="{C251AE28-4D8C-43EC-B616-224C47B5D1E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10" authorId="0" shapeId="0" xr:uid="{5E05BE28-36D6-4278-AFAF-E2C2A4F3BCD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10" authorId="0" shapeId="0" xr:uid="{F80B2E59-AFDC-451C-8285-BC58E1CF429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10" authorId="0" shapeId="0" xr:uid="{2D9934A2-9A7A-439D-B0E4-14FD6BC3DC5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C40B85F3-3947-4E14-9FBD-B8FCA6AD5C6C}">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F6867FCB-A13C-4BBE-995B-7B4A7A88ACE8}">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C28" authorId="0" shapeId="0" xr:uid="{C0AB31AE-0948-48AD-9222-4A2EB7D98DCC}">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C29" authorId="0" shapeId="0" xr:uid="{AE4C0F03-3DA7-4D9D-B079-25C7D0BE5648}">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C30" authorId="0" shapeId="0" xr:uid="{CCD376AC-47CE-4446-8B68-988039C6C302}">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 ref="C31" authorId="0" shapeId="0" xr:uid="{9232DC84-E96A-486C-9642-5DACC2613ECF}">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<sst xmlns="http://schemas.openxmlformats.org/spreadsheetml/2006/main" count="182" uniqueCount="173">
  <si>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</si>
  <si>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</si>
  <si>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</si>
  <si>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</si>
  <si>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</si>
  <si>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</si>
  <si>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</si>
  <si>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</si>
  <si>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</si>
  <si>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</si>
  <si>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</si>
  <si>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</si>
  <si>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</si>
  <si>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</si>
  <si>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</si>
  <si>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</si>
  <si>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</si>
  <si>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</si>
  <si>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Suscripcion usuario proveedor</t>
  </si>
  <si>
    <t>AÑO</t>
  </si>
  <si>
    <t xml:space="preserve">Suscripcion usuario cultivador </t>
  </si>
  <si>
    <t>INFLACIÓN</t>
  </si>
  <si>
    <t>Venta de KIT huerta para usuario individual</t>
  </si>
  <si>
    <t>IPP</t>
  </si>
  <si>
    <t xml:space="preserve">Venta de KIT huerta para usuario comunitario </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</si>
  <si>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</si>
  <si>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</si>
  <si>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</si>
  <si>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</si>
  <si>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</si>
  <si>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</si>
  <si>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</si>
  <si>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</si>
  <si>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</si>
  <si>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</si>
  <si>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</si>
  <si>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</si>
  <si>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</si>
  <si>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</si>
  <si>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</si>
  <si>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</si>
  <si>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</si>
  <si>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</si>
  <si>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</si>
  <si>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</si>
  <si>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</si>
  <si>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</si>
  <si>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</si>
  <si>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</si>
  <si>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</si>
  <si>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</si>
  <si>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</si>
  <si>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</si>
  <si>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</si>
  <si>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</si>
  <si>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</si>
  <si>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</si>
  <si>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</si>
  <si>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</si>
  <si>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</si>
  <si>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</si>
  <si>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</si>
  <si>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</si>
  <si>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MANTENIMIENTO PREV HUERTAS</t>
  </si>
  <si>
    <t>MANTENIMIENTO PREV APP</t>
  </si>
  <si>
    <t>GASTO PUBLICITARIO AÑOS SIGUIENTES</t>
  </si>
  <si>
    <t>POLIZAS</t>
  </si>
  <si>
    <t>OUTSOURSING</t>
  </si>
  <si>
    <t>DOMINIO- HOSTING</t>
  </si>
  <si>
    <t>HORARIO FUNDADORES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</si>
  <si>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</si>
  <si>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</si>
  <si>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</si>
  <si>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</si>
  <si>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</si>
  <si>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</si>
  <si>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</si>
  <si>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</si>
  <si>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</si>
  <si>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</si>
  <si>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</si>
  <si>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</si>
  <si>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</si>
  <si>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</si>
  <si>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</si>
  <si>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</si>
  <si>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</si>
  <si>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</si>
  <si>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</si>
  <si>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</si>
  <si>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</si>
  <si>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</si>
  <si>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</si>
  <si>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</si>
  <si>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</si>
  <si>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</si>
  <si>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</si>
  <si>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</si>
  <si>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</si>
  <si>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</si>
  <si>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</si>
  <si>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</si>
  <si>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</si>
  <si>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</si>
  <si>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</si>
  <si>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</si>
  <si>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</si>
  <si>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</si>
  <si>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</si>
  <si>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</si>
  <si>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</si>
  <si>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</si>
  <si>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</si>
  <si>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</si>
  <si>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</si>
  <si>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</si>
  <si>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</si>
  <si>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</si>
  <si>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</si>
  <si>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</si>
  <si>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</si>
  <si>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</si>
  <si>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</si>
  <si>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</si>
  <si>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</si>
  <si>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</si>
  <si>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</si>
  <si>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</si>
  <si>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</si>
  <si>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</si>
  <si>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</si>
  <si>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</si>
  <si>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</si>
  <si>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</si>
  <si>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</si>
  <si>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</si>
  <si>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</si>
  <si>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</si>
  <si>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</si>
  <si>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</si>
  <si>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</si>
  <si>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</si>
  <si>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</si>
  <si>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</si>
  <si>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</si>
  <si>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</si>
  <si>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</si>
  <si>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</si>
  <si>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</si>
  <si>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</si>
  <si>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</si>
  <si>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</si>
  <si>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</si>
  <si>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</si>
  <si>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</si>
  <si>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</si>
  <si>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</si>
  <si>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</si>
  <si>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</si>
  <si>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</si>
  <si>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</si>
  <si>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</si>
  <si>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</si>
  <si>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</si>
  <si>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</si>
  <si>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</si>
  <si>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</si>
  <si>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</si>
  <si>
    <r>
      <t>KPI</t>
    </r>
    <r>
      <rPr>
        <b/>
        <sz val="12"/>
        <color rgb="FF000000"/>
        <rFont val="Century Gothic"/>
        <family val="2"/>
      </rPr>
      <t>​</t>
    </r>
  </si>
  <si>
    <t># de usuarios que adquieren el kit por año</t>
  </si>
  <si>
    <t>20% en Stock</t>
  </si>
  <si>
    <t>550 al año</t>
  </si>
  <si>
    <t>20 al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</si>
</sst>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7">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
      <b/>
      <sz val="9"/>
      <color theme="1"/>
      <name val="Aharoni"/>
    </font>
    <font>
      <b/>
      <sz val="12"/>
      <color theme="1"/>
      <name val="Arial"/>
      <family val="2"/>
    </font>
    <font>
      <sz val="11"/>
      <color theme="1"/>
      <name val="Aharoni"/>
    </font>
    <font>
      <sz val="11"/>
      <color rgb="FFFFFF00"/>
      <name val="Arial"/>
      <family val="2"/>
    </font>
    <font>
      <b/>
      <sz val="12"/>
      <color rgb="FF000000"/>
      <name val="Century Gothic"/>
      <family val="2"/>
    </font>
    <font>
      <b/>
      <sz val="9"/>
      <color rgb="FF000000"/>
      <name val="Aharoni"/>
      <charset val="177"/>
    </font>
    <font>
      <sz val="11"/>
      <color rgb="FF000000"/>
      <name val="Calibri"/>
      <family val="2"/>
      <scheme val="minor"/>
    </font>
    <font>
      <b/>
      <sz val="11"/>
      <color rgb="FF00000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theme="0"/>
        <bgColor indexed="64"/>
      </patternFill>
    </fill>
  </fills>
  <borders count="18">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0" fontId="35" fillId="0" borderId="0" applyNumberFormat="0" applyFill="0" applyBorder="0" applyAlignment="0" applyProtection="0"/>
    <xf numFmtId="0" fontId="19" fillId="0" borderId="0"/>
  </cellStyleXfs>
  <cellXfs count="180">
    <xf numFmtId="0" fontId="0" fillId="0" borderId="0" xfId="0"/>
    <xf numFmtId="0" fontId="24"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5" fillId="0" borderId="0" xfId="0" applyFont="1" applyProtection="1">
      <protection hidden="1"/>
    </xf>
    <xf numFmtId="173" fontId="23" fillId="0" borderId="0" xfId="1" applyNumberFormat="1" applyFont="1" applyFill="1" applyProtection="1">
      <protection hidden="1"/>
    </xf>
    <xf numFmtId="173" fontId="23" fillId="0" borderId="1" xfId="1" applyNumberFormat="1" applyFont="1" applyFill="1" applyBorder="1" applyProtection="1">
      <protection hidden="1"/>
    </xf>
    <xf numFmtId="175" fontId="19"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6" fillId="0" borderId="0" xfId="3" applyNumberFormat="1" applyFont="1" applyFill="1" applyBorder="1" applyProtection="1">
      <protection hidden="1"/>
    </xf>
    <xf numFmtId="0" fontId="27" fillId="0" borderId="0" xfId="0" applyFont="1" applyProtection="1">
      <protection hidden="1"/>
    </xf>
    <xf numFmtId="0" fontId="28" fillId="4" borderId="0" xfId="0" applyFont="1" applyFill="1" applyProtection="1">
      <protection locked="0"/>
    </xf>
    <xf numFmtId="166" fontId="28" fillId="4" borderId="0" xfId="1" applyFont="1" applyFill="1" applyProtection="1">
      <protection locked="0"/>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70" fontId="29" fillId="6" borderId="0" xfId="2" applyNumberFormat="1" applyFont="1" applyFill="1" applyBorder="1" applyProtection="1">
      <protection locked="0"/>
    </xf>
    <xf numFmtId="170" fontId="29" fillId="6" borderId="14" xfId="2" applyNumberFormat="1" applyFont="1" applyFill="1" applyBorder="1" applyProtection="1">
      <protection locked="0"/>
    </xf>
    <xf numFmtId="170" fontId="29" fillId="6" borderId="3" xfId="2" applyNumberFormat="1" applyFont="1" applyFill="1" applyBorder="1" applyProtection="1">
      <protection locked="0"/>
    </xf>
    <xf numFmtId="170" fontId="29" fillId="6" borderId="12" xfId="2" applyNumberFormat="1" applyFont="1" applyFill="1" applyBorder="1" applyProtection="1">
      <protection locked="0"/>
    </xf>
    <xf numFmtId="170" fontId="29" fillId="6" borderId="5" xfId="2" applyNumberFormat="1" applyFont="1" applyFill="1" applyBorder="1" applyProtection="1">
      <protection locked="0"/>
    </xf>
    <xf numFmtId="167" fontId="28" fillId="4" borderId="0" xfId="4" applyFont="1" applyFill="1" applyProtection="1">
      <protection locked="0"/>
    </xf>
    <xf numFmtId="177" fontId="28" fillId="4" borderId="0" xfId="4" applyNumberFormat="1" applyFont="1" applyFill="1" applyAlignment="1" applyProtection="1">
      <alignment horizontal="center"/>
      <protection locked="0"/>
    </xf>
    <xf numFmtId="166" fontId="28"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5" fillId="5" borderId="0" xfId="0" applyFont="1" applyFill="1" applyProtection="1">
      <protection hidden="1"/>
    </xf>
    <xf numFmtId="0" fontId="0" fillId="5" borderId="0" xfId="0" applyFill="1" applyProtection="1">
      <protection hidden="1"/>
    </xf>
    <xf numFmtId="173"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2"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7" fillId="0" borderId="0" xfId="0" applyFont="1" applyProtection="1">
      <protection hidden="1"/>
    </xf>
    <xf numFmtId="166" fontId="17" fillId="0" borderId="0" xfId="0" applyNumberFormat="1" applyFont="1" applyProtection="1">
      <protection hidden="1"/>
    </xf>
    <xf numFmtId="0" fontId="7" fillId="0" borderId="0" xfId="0" applyFont="1" applyProtection="1">
      <protection hidden="1"/>
    </xf>
    <xf numFmtId="166"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6" fontId="20" fillId="5" borderId="0" xfId="0" applyNumberFormat="1" applyFont="1" applyFill="1" applyProtection="1">
      <protection hidden="1"/>
    </xf>
    <xf numFmtId="166"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7"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4" fillId="0" borderId="0" xfId="4" applyFont="1" applyProtection="1">
      <protection hidden="1"/>
    </xf>
    <xf numFmtId="166" fontId="34"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164" fontId="0" fillId="0" borderId="0" xfId="0" applyNumberFormat="1" applyProtection="1">
      <protection hidden="1"/>
    </xf>
    <xf numFmtId="0" fontId="19" fillId="0" borderId="0" xfId="6"/>
    <xf numFmtId="178" fontId="19" fillId="0" borderId="0" xfId="6" applyNumberFormat="1"/>
    <xf numFmtId="164" fontId="19" fillId="0" borderId="0" xfId="6" applyNumberFormat="1"/>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179" fontId="40" fillId="0" borderId="3" xfId="0" applyNumberFormat="1" applyFont="1" applyBorder="1" applyProtection="1">
      <protection hidden="1"/>
    </xf>
    <xf numFmtId="179" fontId="40" fillId="0" borderId="12" xfId="0" applyNumberFormat="1" applyFont="1" applyBorder="1" applyProtection="1">
      <protection hidden="1"/>
    </xf>
    <xf numFmtId="165"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3" fillId="0" borderId="0" xfId="0" applyFont="1" applyAlignment="1" applyProtection="1">
      <alignment wrapText="1"/>
      <protection hidden="1"/>
    </xf>
    <xf numFmtId="170" fontId="28" fillId="4" borderId="0" xfId="2" applyNumberFormat="1" applyFont="1" applyFill="1" applyProtection="1">
      <protection locked="0"/>
    </xf>
    <xf numFmtId="0" fontId="44" fillId="0" borderId="13" xfId="0" applyFont="1" applyBorder="1" applyAlignment="1" applyProtection="1">
      <alignment wrapText="1"/>
      <protection hidden="1"/>
    </xf>
    <xf numFmtId="0" fontId="44" fillId="0" borderId="11" xfId="0" applyFont="1" applyBorder="1" applyProtection="1">
      <protection hidden="1"/>
    </xf>
    <xf numFmtId="0" fontId="0" fillId="0" borderId="8" xfId="0" applyBorder="1" applyProtection="1">
      <protection hidden="1"/>
    </xf>
    <xf numFmtId="0" fontId="25" fillId="0" borderId="15" xfId="0" applyFont="1" applyBorder="1" applyAlignment="1">
      <alignment horizontal="center"/>
    </xf>
    <xf numFmtId="0" fontId="25"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7" fillId="4" borderId="0" xfId="0" applyFont="1" applyFill="1" applyProtection="1">
      <protection locked="0" hidden="1"/>
    </xf>
    <xf numFmtId="0" fontId="45" fillId="0" borderId="0" xfId="0" applyFont="1" applyProtection="1">
      <protection hidden="1"/>
    </xf>
    <xf numFmtId="166" fontId="17" fillId="0" borderId="0" xfId="1" applyFont="1" applyProtection="1">
      <protection hidden="1"/>
    </xf>
    <xf numFmtId="0" fontId="17" fillId="0" borderId="0" xfId="0" applyFont="1" applyAlignment="1" applyProtection="1">
      <alignment horizontal="center"/>
      <protection hidden="1"/>
    </xf>
    <xf numFmtId="166" fontId="46" fillId="0" borderId="0" xfId="1" applyFont="1" applyProtection="1">
      <protection hidden="1"/>
    </xf>
    <xf numFmtId="9" fontId="17" fillId="0" borderId="0" xfId="2" applyFont="1" applyProtection="1">
      <protection hidden="1"/>
    </xf>
    <xf numFmtId="10" fontId="41" fillId="0" borderId="0" xfId="2" applyNumberFormat="1" applyFont="1" applyFill="1" applyAlignment="1" applyProtection="1">
      <alignment horizontal="center" vertical="center"/>
      <protection locked="0"/>
    </xf>
    <xf numFmtId="168" fontId="48" fillId="0" borderId="0" xfId="1" applyNumberFormat="1" applyFont="1" applyProtection="1">
      <protection hidden="1"/>
    </xf>
    <xf numFmtId="168" fontId="48" fillId="0" borderId="0" xfId="0" applyNumberFormat="1" applyFont="1" applyProtection="1">
      <protection hidden="1"/>
    </xf>
    <xf numFmtId="168" fontId="0" fillId="0" borderId="0" xfId="1" applyNumberFormat="1" applyFont="1" applyFill="1" applyProtection="1">
      <protection hidden="1"/>
    </xf>
    <xf numFmtId="0" fontId="49" fillId="0" borderId="0" xfId="0" applyFont="1" applyAlignment="1" applyProtection="1">
      <alignment wrapText="1"/>
      <protection locked="0"/>
    </xf>
    <xf numFmtId="169" fontId="6" fillId="0" borderId="0" xfId="1" applyNumberFormat="1" applyFont="1" applyFill="1" applyProtection="1">
      <protection hidden="1"/>
    </xf>
    <xf numFmtId="167" fontId="6" fillId="0" borderId="0" xfId="4" applyFont="1" applyAlignment="1" applyProtection="1">
      <alignment horizontal="center"/>
      <protection hidden="1"/>
    </xf>
    <xf numFmtId="0" fontId="11" fillId="0" borderId="4" xfId="0" applyFont="1" applyBorder="1" applyProtection="1">
      <protection hidden="1"/>
    </xf>
    <xf numFmtId="168" fontId="50" fillId="7" borderId="1" xfId="1" applyNumberFormat="1" applyFont="1" applyFill="1" applyBorder="1" applyProtection="1">
      <protection hidden="1"/>
    </xf>
    <xf numFmtId="0" fontId="51" fillId="0" borderId="0" xfId="0" applyFont="1" applyProtection="1">
      <protection hidden="1"/>
    </xf>
    <xf numFmtId="0" fontId="28" fillId="4" borderId="0" xfId="0" applyFont="1" applyFill="1" applyAlignment="1" applyProtection="1">
      <alignment wrapText="1"/>
      <protection locked="0"/>
    </xf>
    <xf numFmtId="0" fontId="52" fillId="4" borderId="0" xfId="0" applyFont="1" applyFill="1" applyAlignment="1" applyProtection="1">
      <alignment wrapText="1"/>
      <protection locked="0"/>
    </xf>
    <xf numFmtId="0" fontId="52" fillId="4" borderId="0" xfId="0" applyFont="1" applyFill="1" applyProtection="1">
      <protection locked="0"/>
    </xf>
    <xf numFmtId="0" fontId="0" fillId="0" borderId="0" xfId="0" applyAlignment="1">
      <alignment wrapText="1"/>
    </xf>
    <xf numFmtId="0" fontId="0" fillId="0" borderId="17" xfId="0" applyBorder="1"/>
    <xf numFmtId="0" fontId="0" fillId="0" borderId="17" xfId="0" applyBorder="1" applyAlignment="1">
      <alignment wrapText="1"/>
    </xf>
    <xf numFmtId="0" fontId="0" fillId="0" borderId="17" xfId="0" applyBorder="1" applyAlignment="1">
      <alignment horizontal="center" vertical="center"/>
    </xf>
    <xf numFmtId="0" fontId="0" fillId="0" borderId="17" xfId="0" applyBorder="1" applyAlignment="1">
      <alignment horizontal="center" vertical="center" wrapText="1"/>
    </xf>
    <xf numFmtId="0" fontId="20" fillId="0" borderId="17" xfId="0" applyFont="1" applyBorder="1" applyAlignment="1">
      <alignment horizontal="center" vertical="center" wrapText="1"/>
    </xf>
    <xf numFmtId="0" fontId="48" fillId="0" borderId="0" xfId="0" applyFont="1" applyAlignment="1" applyProtection="1">
      <alignment wrapText="1"/>
      <protection hidden="1"/>
    </xf>
    <xf numFmtId="0" fontId="54" fillId="8" borderId="0" xfId="0" applyFont="1" applyFill="1" applyAlignment="1" applyProtection="1">
      <alignment wrapText="1"/>
      <protection hidden="1"/>
    </xf>
    <xf numFmtId="0" fontId="55" fillId="8" borderId="0" xfId="0" applyFont="1" applyFill="1" applyProtection="1">
      <protection hidden="1"/>
    </xf>
    <xf numFmtId="0" fontId="56" fillId="8" borderId="0" xfId="0" applyFont="1" applyFill="1" applyProtection="1">
      <protection hidden="1"/>
    </xf>
    <xf numFmtId="0" fontId="56" fillId="8" borderId="0" xfId="0" applyFont="1" applyFill="1" applyAlignment="1" applyProtection="1">
      <alignment horizontal="center"/>
      <protection hidden="1"/>
    </xf>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8"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1"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7"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184.40307968753899</c:v>
                </c:pt>
                <c:pt idx="2">
                  <c:v>368.80615937507798</c:v>
                </c:pt>
              </c:numCache>
            </c:numRef>
          </c:cat>
          <c:val>
            <c:numRef>
              <c:f>'5'!$C$33:$C$35</c:f>
              <c:numCache>
                <c:formatCode>_("$"\ * #,##0.00_);_("$"\ * \(#,##0.00\);_("$"\ * "-"??_);_(@_)</c:formatCode>
                <c:ptCount val="3"/>
                <c:pt idx="0">
                  <c:v>164196600</c:v>
                </c:pt>
                <c:pt idx="1">
                  <c:v>164196600</c:v>
                </c:pt>
                <c:pt idx="2">
                  <c:v>164196600</c:v>
                </c:pt>
              </c:numCache>
            </c:numRef>
          </c:val>
          <c:smooth val="0"/>
          <c:extLst>
            <c:ext xmlns:c16="http://schemas.microsoft.com/office/drawing/2014/chart" uri="{C3380CC4-5D6E-409C-BE32-E72D297353CC}">
              <c16:uniqueId val="{00000000-83C7-4FF8-A0B1-E63DCAE066C2}"/>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184.40307968753899</c:v>
                </c:pt>
                <c:pt idx="2">
                  <c:v>368.80615937507798</c:v>
                </c:pt>
              </c:numCache>
            </c:numRef>
          </c:cat>
          <c:val>
            <c:numRef>
              <c:f>'5'!$D$33:$D$35</c:f>
              <c:numCache>
                <c:formatCode>_("$"\ * #,##0.00_);_("$"\ * \(#,##0.00\);_("$"\ * "-"??_);_(@_)</c:formatCode>
                <c:ptCount val="3"/>
                <c:pt idx="0" formatCode="General">
                  <c:v>0</c:v>
                </c:pt>
                <c:pt idx="1">
                  <c:v>273544894.35723376</c:v>
                </c:pt>
                <c:pt idx="2">
                  <c:v>547089788.71446753</c:v>
                </c:pt>
              </c:numCache>
            </c:numRef>
          </c:val>
          <c:smooth val="0"/>
          <c:extLst>
            <c:ext xmlns:c16="http://schemas.microsoft.com/office/drawing/2014/chart" uri="{C3380CC4-5D6E-409C-BE32-E72D297353CC}">
              <c16:uniqueId val="{00000001-83C7-4FF8-A0B1-E63DCAE066C2}"/>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184.40307968753899</c:v>
                </c:pt>
                <c:pt idx="2">
                  <c:v>368.80615937507798</c:v>
                </c:pt>
              </c:numCache>
            </c:numRef>
          </c:cat>
          <c:val>
            <c:numRef>
              <c:f>'5'!$F$33:$F$35</c:f>
              <c:numCache>
                <c:formatCode>_("$"\ * #,##0.00_);_("$"\ * \(#,##0.00\);_("$"\ * "-"??_);_(@_)</c:formatCode>
                <c:ptCount val="3"/>
                <c:pt idx="0">
                  <c:v>164196600</c:v>
                </c:pt>
                <c:pt idx="1">
                  <c:v>273544894.35723376</c:v>
                </c:pt>
                <c:pt idx="2">
                  <c:v>382893188.71446753</c:v>
                </c:pt>
              </c:numCache>
            </c:numRef>
          </c:val>
          <c:smooth val="0"/>
          <c:extLst>
            <c:ext xmlns:c16="http://schemas.microsoft.com/office/drawing/2014/chart" uri="{C3380CC4-5D6E-409C-BE32-E72D297353CC}">
              <c16:uniqueId val="{00000002-83C7-4FF8-A0B1-E63DCAE066C2}"/>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1"/>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2"/>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1</xdr:col>
      <xdr:colOff>0</xdr:colOff>
      <xdr:row>34</xdr:row>
      <xdr:rowOff>0</xdr:rowOff>
    </xdr:from>
    <xdr:to>
      <xdr:col>5</xdr:col>
      <xdr:colOff>676275</xdr:colOff>
      <xdr:row>62</xdr:row>
      <xdr:rowOff>0</xdr:rowOff>
    </xdr:to>
    <xdr:graphicFrame macro="">
      <xdr:nvGraphicFramePr>
        <xdr:cNvPr id="7" name="1 Gráfico">
          <a:extLst>
            <a:ext uri="{FF2B5EF4-FFF2-40B4-BE49-F238E27FC236}">
              <a16:creationId xmlns:a16="http://schemas.microsoft.com/office/drawing/2014/main" id="{AD6DB79C-24F7-4176-89A0-155CEC619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defaultColWidth="11.42578125" defaultRowHeight="14.45"/>
  <sheetData>
    <row r="23" spans="7:8" ht="20.45">
      <c r="G23" s="156" t="s">
        <v>0</v>
      </c>
      <c r="H23" s="156"/>
    </row>
  </sheetData>
  <sheetProtection algorithmName="SHA-512" hashValue="yEMIW8KgRsP3VTzZ5MhJf2mifk22oU04SQfTSUKUce+y7DQ9nVfd/ZJwQti+bHWzITHglYeYcql49OGjwHXpCQ==" saltValue="tEOLSjpE/Gzt9Qmj0TZxcg=="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80" zoomScaleNormal="80" workbookViewId="0">
      <selection activeCell="AC3" sqref="AC3"/>
    </sheetView>
  </sheetViews>
  <sheetFormatPr defaultColWidth="11.42578125" defaultRowHeight="14.45"/>
  <cols>
    <col min="1" max="1" width="17.7109375" style="8" customWidth="1"/>
    <col min="2" max="2" width="48" style="8" customWidth="1"/>
    <col min="3" max="6" width="24.7109375" style="8" customWidth="1"/>
    <col min="7" max="10" width="9.42578125" style="8" bestFit="1" customWidth="1"/>
    <col min="11" max="11" width="4.28515625" style="8" customWidth="1"/>
    <col min="12" max="15" width="11.42578125" style="8" hidden="1" customWidth="1"/>
    <col min="16" max="19" width="12" style="8" hidden="1" customWidth="1"/>
    <col min="20" max="23" width="15.5703125" style="8" hidden="1" customWidth="1"/>
    <col min="24" max="24" width="2.42578125" style="8" customWidth="1"/>
    <col min="25" max="25" width="12" style="8" customWidth="1"/>
    <col min="26" max="29" width="8.5703125" style="8" customWidth="1"/>
    <col min="30" max="16384" width="11.42578125" style="8"/>
  </cols>
  <sheetData>
    <row r="1" spans="1:29" ht="30.75" customHeight="1">
      <c r="A1" s="158" t="s">
        <v>1</v>
      </c>
      <c r="B1" s="158"/>
      <c r="C1" s="158"/>
      <c r="D1" s="158"/>
      <c r="E1" s="158"/>
      <c r="G1" s="159" t="s">
        <v>2</v>
      </c>
      <c r="H1" s="159"/>
      <c r="I1" s="159"/>
      <c r="J1" s="159"/>
      <c r="P1" s="8" t="s">
        <v>3</v>
      </c>
      <c r="Y1" s="15" t="s">
        <v>4</v>
      </c>
      <c r="Z1" s="47">
        <v>2025</v>
      </c>
      <c r="AA1" s="16"/>
    </row>
    <row r="2" spans="1:29" ht="32.25" customHeight="1" thickBot="1">
      <c r="B2" s="17" t="s">
        <v>5</v>
      </c>
      <c r="C2" s="18" t="s">
        <v>6</v>
      </c>
      <c r="D2" s="17" t="s">
        <v>7</v>
      </c>
      <c r="E2" s="18" t="s">
        <v>8</v>
      </c>
      <c r="F2" s="19" t="s">
        <v>9</v>
      </c>
      <c r="G2" s="20">
        <f>'1'!Z1+1</f>
        <v>2026</v>
      </c>
      <c r="H2" s="20">
        <f>G2+1</f>
        <v>2027</v>
      </c>
      <c r="I2" s="20">
        <f t="shared" ref="I2:J2" si="0">H2+1</f>
        <v>2028</v>
      </c>
      <c r="J2" s="20">
        <f t="shared" si="0"/>
        <v>2029</v>
      </c>
      <c r="L2" s="8">
        <f>G2</f>
        <v>2026</v>
      </c>
      <c r="M2" s="8">
        <f>H2</f>
        <v>2027</v>
      </c>
      <c r="N2" s="8">
        <f>M2+1</f>
        <v>2028</v>
      </c>
      <c r="O2" s="8">
        <f>N2+1</f>
        <v>2029</v>
      </c>
      <c r="P2" s="8" t="s">
        <v>10</v>
      </c>
      <c r="Q2" s="8" t="s">
        <v>11</v>
      </c>
      <c r="R2" s="8" t="s">
        <v>12</v>
      </c>
      <c r="S2" s="8" t="s">
        <v>13</v>
      </c>
      <c r="T2" s="8" t="s">
        <v>14</v>
      </c>
      <c r="U2" s="8" t="s">
        <v>15</v>
      </c>
      <c r="V2" s="8" t="s">
        <v>16</v>
      </c>
      <c r="W2" s="8" t="s">
        <v>17</v>
      </c>
      <c r="Y2" s="16"/>
      <c r="Z2" s="16"/>
      <c r="AA2" s="16"/>
    </row>
    <row r="3" spans="1:29" ht="24" thickBot="1">
      <c r="A3" s="21">
        <v>1</v>
      </c>
      <c r="B3" s="13" t="s">
        <v>18</v>
      </c>
      <c r="C3" s="53">
        <v>100</v>
      </c>
      <c r="D3" s="14">
        <v>50000</v>
      </c>
      <c r="E3" s="22">
        <f>C3*D3</f>
        <v>5000000</v>
      </c>
      <c r="F3" s="23">
        <f>IF($E$13=0,0,E3/$E$13)</f>
        <v>1.4814814814814815E-2</v>
      </c>
      <c r="G3" s="112">
        <v>0.12</v>
      </c>
      <c r="H3" s="112">
        <f>+G3</f>
        <v>0.12</v>
      </c>
      <c r="I3" s="112">
        <f t="shared" ref="I3:J3" si="1">+H3</f>
        <v>0.12</v>
      </c>
      <c r="J3" s="112">
        <f t="shared" si="1"/>
        <v>0.12</v>
      </c>
      <c r="K3" s="24"/>
      <c r="L3" s="8">
        <f t="shared" ref="L3:L12" si="2">C3*(1+G3)</f>
        <v>112.00000000000001</v>
      </c>
      <c r="M3" s="8">
        <f>L3*(1+H3)</f>
        <v>125.44000000000003</v>
      </c>
      <c r="N3" s="8">
        <f t="shared" ref="N3:O3" si="3">M3*(1+I3)</f>
        <v>140.49280000000005</v>
      </c>
      <c r="O3" s="8">
        <f t="shared" si="3"/>
        <v>157.35193600000005</v>
      </c>
      <c r="P3" s="25">
        <f>D3*(1+'1'!$Z$4)</f>
        <v>51900</v>
      </c>
      <c r="Q3" s="25">
        <f>P3*(1+'1'!$AA$4)</f>
        <v>54235.499999999993</v>
      </c>
      <c r="R3" s="25">
        <f>Q3*(1+'1'!$AB$4)</f>
        <v>55971.035999999993</v>
      </c>
      <c r="S3" s="25">
        <f>R3*(1+'1'!$AC$4)</f>
        <v>58097.935367999991</v>
      </c>
      <c r="T3" s="26">
        <f>L3*P3</f>
        <v>5812800.0000000009</v>
      </c>
      <c r="U3" s="26">
        <f>M3*Q3</f>
        <v>6803301.1200000001</v>
      </c>
      <c r="V3" s="26">
        <f>N3*R3</f>
        <v>7863527.5665408019</v>
      </c>
      <c r="W3" s="26">
        <f>O3*S3</f>
        <v>9141822.6077576745</v>
      </c>
      <c r="X3" s="26"/>
      <c r="Y3" s="27" t="s">
        <v>19</v>
      </c>
      <c r="Z3" s="28">
        <f>G2</f>
        <v>2026</v>
      </c>
      <c r="AA3" s="28">
        <f>Z3+1</f>
        <v>2027</v>
      </c>
      <c r="AB3" s="28">
        <f t="shared" ref="AB3:AC3" si="4">AA3+1</f>
        <v>2028</v>
      </c>
      <c r="AC3" s="29">
        <f t="shared" si="4"/>
        <v>2029</v>
      </c>
    </row>
    <row r="4" spans="1:29" ht="23.45">
      <c r="A4" s="21">
        <f>A3+1</f>
        <v>2</v>
      </c>
      <c r="B4" s="13" t="s">
        <v>20</v>
      </c>
      <c r="C4" s="53">
        <v>1000</v>
      </c>
      <c r="D4" s="14">
        <v>20000</v>
      </c>
      <c r="E4" s="22">
        <f t="shared" ref="E4:E12" si="5">C4*D4</f>
        <v>20000000</v>
      </c>
      <c r="F4" s="23">
        <f t="shared" ref="F4:F12" si="6">IF($E$13=0,0,E4/$E$13)</f>
        <v>5.9259259259259262E-2</v>
      </c>
      <c r="G4" s="112">
        <f>+G3</f>
        <v>0.12</v>
      </c>
      <c r="H4" s="112">
        <f t="shared" ref="H4:J10" si="7">+H3</f>
        <v>0.12</v>
      </c>
      <c r="I4" s="112">
        <f t="shared" si="7"/>
        <v>0.12</v>
      </c>
      <c r="J4" s="112">
        <f t="shared" si="7"/>
        <v>0.12</v>
      </c>
      <c r="K4" s="24"/>
      <c r="L4" s="8">
        <f t="shared" si="2"/>
        <v>1120</v>
      </c>
      <c r="M4" s="8">
        <f t="shared" ref="M4:M12" si="8">L4*(1+H4)</f>
        <v>1254.4000000000001</v>
      </c>
      <c r="N4" s="8">
        <f t="shared" ref="N4:N12" si="9">M4*(1+I4)</f>
        <v>1404.9280000000003</v>
      </c>
      <c r="O4" s="8">
        <f t="shared" ref="O4:O12" si="10">N4*(1+J4)</f>
        <v>1573.5193600000005</v>
      </c>
      <c r="P4" s="25">
        <f>D4*(1+'1'!$Z$4)</f>
        <v>20760</v>
      </c>
      <c r="Q4" s="25">
        <f>P4*(1+'1'!$AA$4)</f>
        <v>21694.199999999997</v>
      </c>
      <c r="R4" s="25">
        <f>Q4*(1+'1'!$AB$4)</f>
        <v>22388.414399999998</v>
      </c>
      <c r="S4" s="25">
        <f>R4*(1+'1'!$AC$4)</f>
        <v>23239.174147199999</v>
      </c>
      <c r="T4" s="26">
        <f t="shared" ref="T4:T12" si="11">L4*P4</f>
        <v>23251200</v>
      </c>
      <c r="U4" s="26">
        <f t="shared" ref="U4:U12" si="12">M4*Q4</f>
        <v>27213204.479999997</v>
      </c>
      <c r="V4" s="26">
        <f t="shared" ref="V4:V12" si="13">N4*R4</f>
        <v>31454110.266163204</v>
      </c>
      <c r="W4" s="26">
        <f t="shared" ref="W4:W12" si="14">O4*S4</f>
        <v>36567290.431030698</v>
      </c>
      <c r="X4" s="26"/>
      <c r="Y4" s="113" t="s">
        <v>21</v>
      </c>
      <c r="Z4" s="48">
        <v>3.7999999999999999E-2</v>
      </c>
      <c r="AA4" s="48">
        <v>4.4999999999999998E-2</v>
      </c>
      <c r="AB4" s="48">
        <v>3.2000000000000001E-2</v>
      </c>
      <c r="AC4" s="49">
        <v>3.7999999999999999E-2</v>
      </c>
    </row>
    <row r="5" spans="1:29" ht="23.45">
      <c r="A5" s="21">
        <f t="shared" ref="A5:A12" si="15">A4+1</f>
        <v>3</v>
      </c>
      <c r="B5" s="142" t="s">
        <v>22</v>
      </c>
      <c r="C5" s="53">
        <v>500</v>
      </c>
      <c r="D5" s="14">
        <v>250000</v>
      </c>
      <c r="E5" s="137">
        <f t="shared" si="5"/>
        <v>125000000</v>
      </c>
      <c r="F5" s="23">
        <f t="shared" si="6"/>
        <v>0.37037037037037035</v>
      </c>
      <c r="G5" s="112">
        <f t="shared" ref="G5:G10" si="16">+G4</f>
        <v>0.12</v>
      </c>
      <c r="H5" s="112">
        <f t="shared" si="7"/>
        <v>0.12</v>
      </c>
      <c r="I5" s="112">
        <f t="shared" si="7"/>
        <v>0.12</v>
      </c>
      <c r="J5" s="112">
        <f t="shared" si="7"/>
        <v>0.12</v>
      </c>
      <c r="K5" s="24"/>
      <c r="L5" s="8">
        <f t="shared" si="2"/>
        <v>560</v>
      </c>
      <c r="M5" s="8">
        <f t="shared" si="8"/>
        <v>627.20000000000005</v>
      </c>
      <c r="N5" s="8">
        <f t="shared" si="9"/>
        <v>702.46400000000017</v>
      </c>
      <c r="O5" s="8">
        <f t="shared" si="10"/>
        <v>786.75968000000023</v>
      </c>
      <c r="P5" s="25">
        <f>D5*(1+'1'!$Z$4)</f>
        <v>259500</v>
      </c>
      <c r="Q5" s="25">
        <f>P5*(1+'1'!$AA$4)</f>
        <v>271177.5</v>
      </c>
      <c r="R5" s="25">
        <f>Q5*(1+'1'!$AB$4)</f>
        <v>279855.18</v>
      </c>
      <c r="S5" s="25">
        <f>R5*(1+'1'!$AC$4)</f>
        <v>290489.67684000003</v>
      </c>
      <c r="T5" s="26">
        <f t="shared" si="11"/>
        <v>145320000</v>
      </c>
      <c r="U5" s="26">
        <f t="shared" si="12"/>
        <v>170082528</v>
      </c>
      <c r="V5" s="26">
        <f t="shared" si="13"/>
        <v>196588189.16352004</v>
      </c>
      <c r="W5" s="26">
        <f t="shared" si="14"/>
        <v>228545565.19394189</v>
      </c>
      <c r="X5" s="26"/>
      <c r="Y5" s="114" t="s">
        <v>23</v>
      </c>
      <c r="Z5" s="50">
        <v>0</v>
      </c>
      <c r="AA5" s="50">
        <v>0</v>
      </c>
      <c r="AB5" s="50">
        <v>0</v>
      </c>
      <c r="AC5" s="51">
        <v>0</v>
      </c>
    </row>
    <row r="6" spans="1:29" ht="27" customHeight="1">
      <c r="A6" s="21">
        <f t="shared" si="15"/>
        <v>4</v>
      </c>
      <c r="B6" s="13" t="s">
        <v>24</v>
      </c>
      <c r="C6" s="53">
        <f>+ROUND(C5*0.15,0)</f>
        <v>75</v>
      </c>
      <c r="D6" s="14">
        <v>2500000</v>
      </c>
      <c r="E6" s="22">
        <f t="shared" si="5"/>
        <v>187500000</v>
      </c>
      <c r="F6" s="23">
        <f t="shared" si="6"/>
        <v>0.55555555555555558</v>
      </c>
      <c r="G6" s="112">
        <f t="shared" si="16"/>
        <v>0.12</v>
      </c>
      <c r="H6" s="112">
        <f t="shared" si="7"/>
        <v>0.12</v>
      </c>
      <c r="I6" s="112">
        <f t="shared" si="7"/>
        <v>0.12</v>
      </c>
      <c r="J6" s="112">
        <f t="shared" si="7"/>
        <v>0.12</v>
      </c>
      <c r="K6" s="24"/>
      <c r="L6" s="8">
        <f t="shared" si="2"/>
        <v>84.000000000000014</v>
      </c>
      <c r="M6" s="8">
        <f t="shared" si="8"/>
        <v>94.080000000000027</v>
      </c>
      <c r="N6" s="8">
        <f t="shared" si="9"/>
        <v>105.36960000000003</v>
      </c>
      <c r="O6" s="8">
        <f t="shared" si="10"/>
        <v>118.01395200000005</v>
      </c>
      <c r="P6" s="25">
        <f>D6*(1+'1'!$Z$4)</f>
        <v>2595000</v>
      </c>
      <c r="Q6" s="25">
        <f>P6*(1+'1'!$AA$4)</f>
        <v>2711775</v>
      </c>
      <c r="R6" s="25">
        <f>Q6*(1+'1'!$AB$4)</f>
        <v>2798551.8000000003</v>
      </c>
      <c r="S6" s="25">
        <f>R6*(1+'1'!$AC$4)</f>
        <v>2904896.7684000004</v>
      </c>
      <c r="T6" s="26">
        <f t="shared" si="11"/>
        <v>217980000.00000003</v>
      </c>
      <c r="U6" s="26">
        <f t="shared" si="12"/>
        <v>255123792.00000006</v>
      </c>
      <c r="V6" s="26">
        <f t="shared" si="13"/>
        <v>294882283.74528015</v>
      </c>
      <c r="W6" s="26">
        <f t="shared" si="14"/>
        <v>342818347.79091293</v>
      </c>
      <c r="X6" s="26"/>
    </row>
    <row r="7" spans="1:29" ht="24" hidden="1" thickBot="1">
      <c r="A7" s="21">
        <f t="shared" si="15"/>
        <v>5</v>
      </c>
      <c r="B7" s="13"/>
      <c r="C7" s="53"/>
      <c r="D7" s="14"/>
      <c r="E7" s="22">
        <f t="shared" si="5"/>
        <v>0</v>
      </c>
      <c r="F7" s="23">
        <f t="shared" si="6"/>
        <v>0</v>
      </c>
      <c r="G7" s="112">
        <f t="shared" si="16"/>
        <v>0.12</v>
      </c>
      <c r="H7" s="112">
        <f t="shared" si="7"/>
        <v>0.12</v>
      </c>
      <c r="I7" s="112">
        <f t="shared" si="7"/>
        <v>0.12</v>
      </c>
      <c r="J7" s="112">
        <f t="shared" si="7"/>
        <v>0.12</v>
      </c>
      <c r="K7" s="24"/>
      <c r="L7" s="8">
        <f t="shared" si="2"/>
        <v>0</v>
      </c>
      <c r="M7" s="8">
        <f t="shared" si="8"/>
        <v>0</v>
      </c>
      <c r="N7" s="8">
        <f t="shared" si="9"/>
        <v>0</v>
      </c>
      <c r="O7" s="8">
        <f t="shared" si="10"/>
        <v>0</v>
      </c>
      <c r="P7" s="25">
        <f>D7*(1+'1'!$Z$4)</f>
        <v>0</v>
      </c>
      <c r="Q7" s="25">
        <f>P7*(1+'1'!$AA$4)</f>
        <v>0</v>
      </c>
      <c r="R7" s="25">
        <f>Q7*(1+'1'!$AB$4)</f>
        <v>0</v>
      </c>
      <c r="S7" s="25">
        <f>R7*(1+'1'!$AC$4)</f>
        <v>0</v>
      </c>
      <c r="T7" s="26">
        <f t="shared" si="11"/>
        <v>0</v>
      </c>
      <c r="U7" s="26">
        <f t="shared" si="12"/>
        <v>0</v>
      </c>
      <c r="V7" s="26">
        <f t="shared" si="13"/>
        <v>0</v>
      </c>
      <c r="W7" s="26">
        <f t="shared" si="14"/>
        <v>0</v>
      </c>
      <c r="X7" s="26"/>
      <c r="Y7" s="30" t="s">
        <v>25</v>
      </c>
      <c r="Z7" s="31"/>
      <c r="AA7" s="31"/>
      <c r="AB7" s="52">
        <v>0.35</v>
      </c>
      <c r="AC7" s="32"/>
    </row>
    <row r="8" spans="1:29" ht="31.9" hidden="1" customHeight="1">
      <c r="A8" s="21">
        <f t="shared" si="15"/>
        <v>6</v>
      </c>
      <c r="B8" s="143"/>
      <c r="C8" s="53"/>
      <c r="D8" s="14"/>
      <c r="E8" s="22">
        <f t="shared" si="5"/>
        <v>0</v>
      </c>
      <c r="F8" s="23">
        <f t="shared" si="6"/>
        <v>0</v>
      </c>
      <c r="G8" s="112">
        <f t="shared" si="16"/>
        <v>0.12</v>
      </c>
      <c r="H8" s="112">
        <f t="shared" si="7"/>
        <v>0.12</v>
      </c>
      <c r="I8" s="112">
        <f t="shared" si="7"/>
        <v>0.12</v>
      </c>
      <c r="J8" s="112">
        <f t="shared" si="7"/>
        <v>0.12</v>
      </c>
      <c r="K8" s="24"/>
      <c r="L8" s="8">
        <f t="shared" si="2"/>
        <v>0</v>
      </c>
      <c r="M8" s="8">
        <f t="shared" si="8"/>
        <v>0</v>
      </c>
      <c r="N8" s="8">
        <f t="shared" si="9"/>
        <v>0</v>
      </c>
      <c r="O8" s="8">
        <f t="shared" si="10"/>
        <v>0</v>
      </c>
      <c r="P8" s="25">
        <f>D8*(1+'1'!$Z$4)</f>
        <v>0</v>
      </c>
      <c r="Q8" s="25">
        <f>P8*(1+'1'!$AA$4)</f>
        <v>0</v>
      </c>
      <c r="R8" s="25">
        <f>Q8*(1+'1'!$AB$4)</f>
        <v>0</v>
      </c>
      <c r="S8" s="25">
        <f>R8*(1+'1'!$AC$4)</f>
        <v>0</v>
      </c>
      <c r="T8" s="26">
        <f t="shared" si="11"/>
        <v>0</v>
      </c>
      <c r="U8" s="26">
        <f t="shared" si="12"/>
        <v>0</v>
      </c>
      <c r="V8" s="26">
        <f t="shared" si="13"/>
        <v>0</v>
      </c>
      <c r="W8" s="26">
        <f t="shared" si="14"/>
        <v>0</v>
      </c>
      <c r="X8" s="26"/>
    </row>
    <row r="9" spans="1:29" ht="23.45" hidden="1" customHeight="1">
      <c r="A9" s="21">
        <f t="shared" si="15"/>
        <v>7</v>
      </c>
      <c r="B9" s="144"/>
      <c r="C9" s="53"/>
      <c r="D9" s="14"/>
      <c r="E9" s="22">
        <f t="shared" si="5"/>
        <v>0</v>
      </c>
      <c r="F9" s="23">
        <f t="shared" si="6"/>
        <v>0</v>
      </c>
      <c r="G9" s="112">
        <f t="shared" si="16"/>
        <v>0.12</v>
      </c>
      <c r="H9" s="112">
        <f t="shared" si="7"/>
        <v>0.12</v>
      </c>
      <c r="I9" s="112">
        <f t="shared" si="7"/>
        <v>0.12</v>
      </c>
      <c r="J9" s="112">
        <f t="shared" si="7"/>
        <v>0.12</v>
      </c>
      <c r="K9" s="24"/>
      <c r="L9" s="8">
        <f t="shared" si="2"/>
        <v>0</v>
      </c>
      <c r="M9" s="8">
        <f t="shared" si="8"/>
        <v>0</v>
      </c>
      <c r="N9" s="8">
        <f t="shared" si="9"/>
        <v>0</v>
      </c>
      <c r="O9" s="8">
        <f t="shared" si="10"/>
        <v>0</v>
      </c>
      <c r="P9" s="25">
        <f>D9*(1+'1'!$Z$4)</f>
        <v>0</v>
      </c>
      <c r="Q9" s="25">
        <f>P9*(1+'1'!$AA$4)</f>
        <v>0</v>
      </c>
      <c r="R9" s="25">
        <f>Q9*(1+'1'!$AB$4)</f>
        <v>0</v>
      </c>
      <c r="S9" s="25">
        <f>R9*(1+'1'!$AC$4)</f>
        <v>0</v>
      </c>
      <c r="T9" s="26">
        <f t="shared" si="11"/>
        <v>0</v>
      </c>
      <c r="U9" s="26">
        <f t="shared" si="12"/>
        <v>0</v>
      </c>
      <c r="V9" s="26">
        <f t="shared" si="13"/>
        <v>0</v>
      </c>
      <c r="W9" s="26">
        <f t="shared" si="14"/>
        <v>0</v>
      </c>
      <c r="X9" s="26"/>
    </row>
    <row r="10" spans="1:29" hidden="1">
      <c r="A10" s="21">
        <f t="shared" si="15"/>
        <v>8</v>
      </c>
      <c r="B10" s="13"/>
      <c r="C10" s="53"/>
      <c r="D10" s="14"/>
      <c r="E10" s="22">
        <f t="shared" si="5"/>
        <v>0</v>
      </c>
      <c r="F10" s="23">
        <f t="shared" si="6"/>
        <v>0</v>
      </c>
      <c r="G10" s="112">
        <f t="shared" si="16"/>
        <v>0.12</v>
      </c>
      <c r="H10" s="112">
        <f t="shared" si="7"/>
        <v>0.12</v>
      </c>
      <c r="I10" s="112">
        <f t="shared" si="7"/>
        <v>0.12</v>
      </c>
      <c r="J10" s="112">
        <f t="shared" si="7"/>
        <v>0.12</v>
      </c>
      <c r="K10" s="24"/>
      <c r="L10" s="8">
        <f t="shared" si="2"/>
        <v>0</v>
      </c>
      <c r="M10" s="8">
        <f t="shared" si="8"/>
        <v>0</v>
      </c>
      <c r="N10" s="8">
        <f t="shared" si="9"/>
        <v>0</v>
      </c>
      <c r="O10" s="8">
        <f t="shared" si="10"/>
        <v>0</v>
      </c>
      <c r="P10" s="25">
        <f>D10*(1+'1'!$Z$4)</f>
        <v>0</v>
      </c>
      <c r="Q10" s="25">
        <f>P10*(1+'1'!$AA$4)</f>
        <v>0</v>
      </c>
      <c r="R10" s="25">
        <f>Q10*(1+'1'!$AB$4)</f>
        <v>0</v>
      </c>
      <c r="S10" s="25">
        <f>R10*(1+'1'!$AC$4)</f>
        <v>0</v>
      </c>
      <c r="T10" s="26">
        <f t="shared" si="11"/>
        <v>0</v>
      </c>
      <c r="U10" s="26">
        <f t="shared" si="12"/>
        <v>0</v>
      </c>
      <c r="V10" s="26">
        <f t="shared" si="13"/>
        <v>0</v>
      </c>
      <c r="W10" s="26">
        <f t="shared" si="14"/>
        <v>0</v>
      </c>
      <c r="X10" s="26"/>
    </row>
    <row r="11" spans="1:29" hidden="1">
      <c r="A11" s="21">
        <f t="shared" si="15"/>
        <v>9</v>
      </c>
      <c r="B11" s="13"/>
      <c r="C11" s="53">
        <v>0</v>
      </c>
      <c r="D11" s="14">
        <v>0</v>
      </c>
      <c r="E11" s="22">
        <f t="shared" si="5"/>
        <v>0</v>
      </c>
      <c r="F11" s="23">
        <f t="shared" si="6"/>
        <v>0</v>
      </c>
      <c r="G11" s="46">
        <v>0</v>
      </c>
      <c r="H11" s="46">
        <v>0</v>
      </c>
      <c r="I11" s="46">
        <v>0</v>
      </c>
      <c r="J11" s="46">
        <v>0</v>
      </c>
      <c r="K11" s="24"/>
      <c r="L11" s="8">
        <f t="shared" si="2"/>
        <v>0</v>
      </c>
      <c r="M11" s="8">
        <f t="shared" si="8"/>
        <v>0</v>
      </c>
      <c r="N11" s="8">
        <f t="shared" si="9"/>
        <v>0</v>
      </c>
      <c r="O11" s="8">
        <f t="shared" si="10"/>
        <v>0</v>
      </c>
      <c r="P11" s="25">
        <f>D11*(1+'1'!$Z$4)</f>
        <v>0</v>
      </c>
      <c r="Q11" s="25">
        <f>P11*(1+'1'!$AA$4)</f>
        <v>0</v>
      </c>
      <c r="R11" s="25">
        <f>Q11*(1+'1'!$AB$4)</f>
        <v>0</v>
      </c>
      <c r="S11" s="25">
        <f>R11*(1+'1'!$AC$4)</f>
        <v>0</v>
      </c>
      <c r="T11" s="26">
        <f t="shared" si="11"/>
        <v>0</v>
      </c>
      <c r="U11" s="26">
        <f t="shared" si="12"/>
        <v>0</v>
      </c>
      <c r="V11" s="26">
        <f t="shared" si="13"/>
        <v>0</v>
      </c>
      <c r="W11" s="26">
        <f t="shared" si="14"/>
        <v>0</v>
      </c>
      <c r="X11" s="26"/>
    </row>
    <row r="12" spans="1:29" hidden="1">
      <c r="A12" s="21">
        <f t="shared" si="15"/>
        <v>10</v>
      </c>
      <c r="B12" s="13"/>
      <c r="C12" s="53">
        <v>0</v>
      </c>
      <c r="D12" s="14">
        <v>0</v>
      </c>
      <c r="E12" s="22">
        <f t="shared" si="5"/>
        <v>0</v>
      </c>
      <c r="F12" s="23">
        <f t="shared" si="6"/>
        <v>0</v>
      </c>
      <c r="G12" s="46">
        <v>0</v>
      </c>
      <c r="H12" s="46">
        <v>0</v>
      </c>
      <c r="I12" s="46">
        <v>0</v>
      </c>
      <c r="J12" s="46">
        <v>0</v>
      </c>
      <c r="K12" s="24"/>
      <c r="L12" s="8">
        <f t="shared" si="2"/>
        <v>0</v>
      </c>
      <c r="M12" s="8">
        <f t="shared" si="8"/>
        <v>0</v>
      </c>
      <c r="N12" s="8">
        <f t="shared" si="9"/>
        <v>0</v>
      </c>
      <c r="O12" s="8">
        <f t="shared" si="10"/>
        <v>0</v>
      </c>
      <c r="P12" s="25">
        <f>D12*(1+'1'!$Z$4)</f>
        <v>0</v>
      </c>
      <c r="Q12" s="25">
        <f>P12*(1+'1'!$AA$4)</f>
        <v>0</v>
      </c>
      <c r="R12" s="25">
        <f>Q12*(1+'1'!$AB$4)</f>
        <v>0</v>
      </c>
      <c r="S12" s="25">
        <f>R12*(1+'1'!$AC$4)</f>
        <v>0</v>
      </c>
      <c r="T12" s="26">
        <f t="shared" si="11"/>
        <v>0</v>
      </c>
      <c r="U12" s="26">
        <f t="shared" si="12"/>
        <v>0</v>
      </c>
      <c r="V12" s="26">
        <f t="shared" si="13"/>
        <v>0</v>
      </c>
      <c r="W12" s="26">
        <f t="shared" si="14"/>
        <v>0</v>
      </c>
      <c r="X12" s="26"/>
    </row>
    <row r="13" spans="1:29">
      <c r="D13" s="8" t="s">
        <v>26</v>
      </c>
      <c r="E13" s="33">
        <f>SUM(E3:E12)</f>
        <v>337500000</v>
      </c>
      <c r="F13" s="34">
        <f>SUM(F3:F12)</f>
        <v>1</v>
      </c>
      <c r="T13" s="35">
        <f>SUM(T3:T12)</f>
        <v>392364000</v>
      </c>
      <c r="U13" s="35">
        <f>SUM(U3:U12)</f>
        <v>459222825.60000002</v>
      </c>
      <c r="V13" s="35">
        <f>SUM(V3:V12)</f>
        <v>530788110.74150419</v>
      </c>
      <c r="W13" s="35">
        <f>SUM(W3:W12)</f>
        <v>617073026.02364326</v>
      </c>
      <c r="X13" s="26"/>
    </row>
    <row r="15" spans="1:29" ht="23.25" customHeight="1">
      <c r="A15" s="158" t="s">
        <v>27</v>
      </c>
      <c r="B15" s="158"/>
      <c r="C15" s="158"/>
      <c r="D15" s="158"/>
      <c r="E15" s="158"/>
      <c r="G15" s="36"/>
    </row>
    <row r="16" spans="1:29" ht="25.5" customHeight="1">
      <c r="B16" s="17" t="s">
        <v>28</v>
      </c>
      <c r="C16" s="37" t="s">
        <v>6</v>
      </c>
      <c r="D16" s="111" t="s">
        <v>29</v>
      </c>
      <c r="E16" s="18" t="s">
        <v>30</v>
      </c>
      <c r="L16" s="8">
        <f>L2</f>
        <v>2026</v>
      </c>
      <c r="M16" s="8">
        <f t="shared" ref="M16:W16" si="17">M2</f>
        <v>2027</v>
      </c>
      <c r="N16" s="8">
        <f t="shared" si="17"/>
        <v>2028</v>
      </c>
      <c r="O16" s="8">
        <f t="shared" si="17"/>
        <v>2029</v>
      </c>
      <c r="P16" s="8" t="str">
        <f t="shared" si="17"/>
        <v>AÑO 2</v>
      </c>
      <c r="Q16" s="8" t="str">
        <f t="shared" si="17"/>
        <v>AÑO 3</v>
      </c>
      <c r="R16" s="8" t="str">
        <f t="shared" si="17"/>
        <v>AÑO 4</v>
      </c>
      <c r="S16" s="8" t="str">
        <f t="shared" si="17"/>
        <v>AÑO 5</v>
      </c>
      <c r="T16" s="8" t="str">
        <f t="shared" si="17"/>
        <v>año 2</v>
      </c>
      <c r="U16" s="8" t="str">
        <f t="shared" si="17"/>
        <v>año 3</v>
      </c>
      <c r="V16" s="8" t="str">
        <f t="shared" si="17"/>
        <v>año 4</v>
      </c>
      <c r="W16" s="8" t="str">
        <f t="shared" si="17"/>
        <v>año 5</v>
      </c>
    </row>
    <row r="17" spans="1:24">
      <c r="A17" s="21">
        <f>A3</f>
        <v>1</v>
      </c>
      <c r="B17" s="92" t="str">
        <f>B3</f>
        <v>Suscripcion usuario proveedor</v>
      </c>
      <c r="C17" s="138">
        <f>C3</f>
        <v>100</v>
      </c>
      <c r="D17" s="14">
        <v>4500</v>
      </c>
      <c r="E17" s="22">
        <f>C17*D17</f>
        <v>450000</v>
      </c>
      <c r="F17" s="23">
        <f>IF($E$27=0,0,E17/$E$27)</f>
        <v>3.4364261168384879E-3</v>
      </c>
      <c r="L17" s="8">
        <f t="shared" ref="L17:L26" si="18">C17*(1+G3)</f>
        <v>112.00000000000001</v>
      </c>
      <c r="M17" s="8">
        <f>L17*(1+H3)</f>
        <v>125.44000000000003</v>
      </c>
      <c r="N17" s="8">
        <f t="shared" ref="N17:O17" si="19">M17*(1+I3)</f>
        <v>140.49280000000005</v>
      </c>
      <c r="O17" s="8">
        <f t="shared" si="19"/>
        <v>157.35193600000005</v>
      </c>
      <c r="P17" s="40">
        <f>D17*(1+'1'!$Z$5)</f>
        <v>4500</v>
      </c>
      <c r="Q17" s="25">
        <f>P17*(1+'1'!$AA$5)</f>
        <v>4500</v>
      </c>
      <c r="R17" s="25">
        <f>Q17*(1+'1'!$AB$5)</f>
        <v>4500</v>
      </c>
      <c r="S17" s="25">
        <f>R17*(1+'1'!$AC$5)</f>
        <v>4500</v>
      </c>
      <c r="T17" s="40">
        <f t="shared" ref="T17:U19" si="20">L17*P17</f>
        <v>504000.00000000006</v>
      </c>
      <c r="U17" s="26">
        <f t="shared" si="20"/>
        <v>564480.00000000012</v>
      </c>
      <c r="V17" s="26">
        <f t="shared" ref="V17:W17" si="21">N17*R17</f>
        <v>632217.60000000021</v>
      </c>
      <c r="W17" s="26">
        <f t="shared" si="21"/>
        <v>708083.71200000029</v>
      </c>
      <c r="X17" s="26"/>
    </row>
    <row r="18" spans="1:24">
      <c r="A18" s="21">
        <f t="shared" ref="A18:B25" si="22">A4</f>
        <v>2</v>
      </c>
      <c r="B18" s="41" t="str">
        <f t="shared" si="22"/>
        <v xml:space="preserve">Suscripcion usuario cultivador </v>
      </c>
      <c r="C18" s="138">
        <f t="shared" ref="C18:C26" si="23">C4</f>
        <v>1000</v>
      </c>
      <c r="D18" s="14">
        <v>5500</v>
      </c>
      <c r="E18" s="22">
        <f t="shared" ref="E18:E26" si="24">C18*D18</f>
        <v>5500000</v>
      </c>
      <c r="F18" s="23">
        <f t="shared" ref="F18:F26" si="25">IF($E$27=0,0,E18/$E$27)</f>
        <v>4.2000763650248185E-2</v>
      </c>
      <c r="L18" s="8">
        <f t="shared" si="18"/>
        <v>1120</v>
      </c>
      <c r="M18" s="8">
        <f t="shared" ref="M18:M26" si="26">L18*(1+H4)</f>
        <v>1254.4000000000001</v>
      </c>
      <c r="N18" s="8">
        <f t="shared" ref="N18:N26" si="27">M18*(1+I4)</f>
        <v>1404.9280000000003</v>
      </c>
      <c r="O18" s="8">
        <f t="shared" ref="O18:O26" si="28">N18*(1+J4)</f>
        <v>1573.5193600000005</v>
      </c>
      <c r="P18" s="40">
        <f>D18*(1+'1'!$Z$5)</f>
        <v>5500</v>
      </c>
      <c r="Q18" s="25">
        <f>P18*(1+'1'!$AA$5)</f>
        <v>5500</v>
      </c>
      <c r="R18" s="25">
        <f>Q18*(1+'1'!$AB$5)</f>
        <v>5500</v>
      </c>
      <c r="S18" s="25">
        <f>R18*(1+'1'!$AC$5)</f>
        <v>5500</v>
      </c>
      <c r="T18" s="40">
        <f t="shared" si="20"/>
        <v>6160000</v>
      </c>
      <c r="U18" s="26">
        <f t="shared" si="20"/>
        <v>6899200.0000000009</v>
      </c>
      <c r="V18" s="26">
        <f t="shared" ref="V18:V26" si="29">N18*R18</f>
        <v>7727104.0000000019</v>
      </c>
      <c r="W18" s="26">
        <f t="shared" ref="W18:W26" si="30">O18*S18</f>
        <v>8654356.4800000023</v>
      </c>
      <c r="X18" s="26"/>
    </row>
    <row r="19" spans="1:24">
      <c r="A19" s="21">
        <f t="shared" si="22"/>
        <v>3</v>
      </c>
      <c r="B19" s="41" t="str">
        <f t="shared" si="22"/>
        <v>Venta de KIT huerta para usuario individual</v>
      </c>
      <c r="C19" s="138">
        <f t="shared" si="23"/>
        <v>500</v>
      </c>
      <c r="D19" s="14">
        <v>100000</v>
      </c>
      <c r="E19" s="22">
        <f t="shared" si="24"/>
        <v>50000000</v>
      </c>
      <c r="F19" s="23">
        <f t="shared" si="25"/>
        <v>0.38182512409316532</v>
      </c>
      <c r="L19" s="8">
        <f t="shared" si="18"/>
        <v>560</v>
      </c>
      <c r="M19" s="8">
        <f t="shared" si="26"/>
        <v>627.20000000000005</v>
      </c>
      <c r="N19" s="8">
        <f t="shared" si="27"/>
        <v>702.46400000000017</v>
      </c>
      <c r="O19" s="8">
        <f t="shared" si="28"/>
        <v>786.75968000000023</v>
      </c>
      <c r="P19" s="40">
        <f>D19*(1+'1'!$Z$5)</f>
        <v>100000</v>
      </c>
      <c r="Q19" s="25">
        <f>P19*(1+'1'!$AA$5)</f>
        <v>100000</v>
      </c>
      <c r="R19" s="25">
        <f>Q19*(1+'1'!$AB$5)</f>
        <v>100000</v>
      </c>
      <c r="S19" s="25">
        <f>R19*(1+'1'!$AC$5)</f>
        <v>100000</v>
      </c>
      <c r="T19" s="40">
        <f t="shared" si="20"/>
        <v>56000000</v>
      </c>
      <c r="U19" s="26">
        <f t="shared" si="20"/>
        <v>62720000.000000007</v>
      </c>
      <c r="V19" s="26">
        <f t="shared" si="29"/>
        <v>70246400.000000015</v>
      </c>
      <c r="W19" s="26">
        <f t="shared" si="30"/>
        <v>78675968.00000003</v>
      </c>
      <c r="X19" s="26"/>
    </row>
    <row r="20" spans="1:24" ht="12.6" customHeight="1">
      <c r="A20" s="21">
        <f t="shared" si="22"/>
        <v>4</v>
      </c>
      <c r="B20" s="41" t="str">
        <f t="shared" si="22"/>
        <v xml:space="preserve">Venta de KIT huerta para usuario comunitario </v>
      </c>
      <c r="C20" s="138">
        <f t="shared" si="23"/>
        <v>75</v>
      </c>
      <c r="D20" s="14">
        <f>+D19*10</f>
        <v>1000000</v>
      </c>
      <c r="E20" s="22">
        <f t="shared" si="24"/>
        <v>75000000</v>
      </c>
      <c r="F20" s="23">
        <f t="shared" si="25"/>
        <v>0.57273768613974796</v>
      </c>
      <c r="L20" s="8">
        <f t="shared" si="18"/>
        <v>84.000000000000014</v>
      </c>
      <c r="M20" s="8">
        <f t="shared" si="26"/>
        <v>94.080000000000027</v>
      </c>
      <c r="N20" s="8">
        <f t="shared" si="27"/>
        <v>105.36960000000003</v>
      </c>
      <c r="O20" s="8">
        <f t="shared" si="28"/>
        <v>118.01395200000005</v>
      </c>
      <c r="P20" s="40">
        <f>D20*(1+'1'!$Z$5)</f>
        <v>1000000</v>
      </c>
      <c r="Q20" s="25">
        <f>P20*(1+'1'!$AA$5)</f>
        <v>1000000</v>
      </c>
      <c r="R20" s="25">
        <f>Q20*(1+'1'!$AB$5)</f>
        <v>1000000</v>
      </c>
      <c r="S20" s="25">
        <f>R20*(1+'1'!$AC$5)</f>
        <v>1000000</v>
      </c>
      <c r="T20" s="40">
        <f t="shared" ref="T20:T26" si="31">L20*P20</f>
        <v>84000000.000000015</v>
      </c>
      <c r="U20" s="26">
        <f t="shared" ref="U20:U26" si="32">M20*Q20</f>
        <v>94080000.00000003</v>
      </c>
      <c r="V20" s="26">
        <f t="shared" si="29"/>
        <v>105369600.00000003</v>
      </c>
      <c r="W20" s="26">
        <f t="shared" si="30"/>
        <v>118013952.00000004</v>
      </c>
      <c r="X20" s="26"/>
    </row>
    <row r="21" spans="1:24" hidden="1">
      <c r="A21" s="21">
        <f t="shared" si="22"/>
        <v>5</v>
      </c>
      <c r="B21" s="41">
        <f t="shared" si="22"/>
        <v>0</v>
      </c>
      <c r="C21" s="138">
        <f t="shared" si="23"/>
        <v>0</v>
      </c>
      <c r="D21" s="14"/>
      <c r="E21" s="22">
        <f t="shared" si="24"/>
        <v>0</v>
      </c>
      <c r="F21" s="23">
        <f t="shared" si="25"/>
        <v>0</v>
      </c>
      <c r="L21" s="8">
        <f t="shared" si="18"/>
        <v>0</v>
      </c>
      <c r="M21" s="8">
        <f t="shared" si="26"/>
        <v>0</v>
      </c>
      <c r="N21" s="8">
        <f t="shared" si="27"/>
        <v>0</v>
      </c>
      <c r="O21" s="8">
        <f t="shared" si="28"/>
        <v>0</v>
      </c>
      <c r="P21" s="40">
        <f>D21*(1+'1'!$Z$5)</f>
        <v>0</v>
      </c>
      <c r="Q21" s="25">
        <f>P21*(1+'1'!$AA$5)</f>
        <v>0</v>
      </c>
      <c r="R21" s="25">
        <f>Q21*(1+'1'!$AB$5)</f>
        <v>0</v>
      </c>
      <c r="S21" s="25">
        <f>R21*(1+'1'!$AC$5)</f>
        <v>0</v>
      </c>
      <c r="T21" s="40">
        <f t="shared" si="31"/>
        <v>0</v>
      </c>
      <c r="U21" s="26">
        <f t="shared" si="32"/>
        <v>0</v>
      </c>
      <c r="V21" s="26">
        <f t="shared" si="29"/>
        <v>0</v>
      </c>
      <c r="W21" s="26">
        <f t="shared" si="30"/>
        <v>0</v>
      </c>
      <c r="X21" s="26"/>
    </row>
    <row r="22" spans="1:24" hidden="1">
      <c r="A22" s="21">
        <f t="shared" si="22"/>
        <v>6</v>
      </c>
      <c r="B22" s="41">
        <f t="shared" si="22"/>
        <v>0</v>
      </c>
      <c r="C22" s="138">
        <f t="shared" si="23"/>
        <v>0</v>
      </c>
      <c r="D22" s="14"/>
      <c r="E22" s="22">
        <f t="shared" si="24"/>
        <v>0</v>
      </c>
      <c r="F22" s="23">
        <f t="shared" si="25"/>
        <v>0</v>
      </c>
      <c r="L22" s="8">
        <f t="shared" si="18"/>
        <v>0</v>
      </c>
      <c r="M22" s="8">
        <f t="shared" si="26"/>
        <v>0</v>
      </c>
      <c r="N22" s="8">
        <f t="shared" si="27"/>
        <v>0</v>
      </c>
      <c r="O22" s="8">
        <f t="shared" si="28"/>
        <v>0</v>
      </c>
      <c r="P22" s="40">
        <f>D22*(1+'1'!$Z$5)</f>
        <v>0</v>
      </c>
      <c r="Q22" s="25">
        <f>P22*(1+'1'!$AA$5)</f>
        <v>0</v>
      </c>
      <c r="R22" s="25">
        <f>Q22*(1+'1'!$AB$5)</f>
        <v>0</v>
      </c>
      <c r="S22" s="25">
        <f>R22*(1+'1'!$AC$5)</f>
        <v>0</v>
      </c>
      <c r="T22" s="40">
        <f t="shared" si="31"/>
        <v>0</v>
      </c>
      <c r="U22" s="26">
        <f t="shared" si="32"/>
        <v>0</v>
      </c>
      <c r="V22" s="26">
        <f t="shared" si="29"/>
        <v>0</v>
      </c>
      <c r="W22" s="26">
        <f t="shared" si="30"/>
        <v>0</v>
      </c>
      <c r="X22" s="26"/>
    </row>
    <row r="23" spans="1:24" hidden="1">
      <c r="A23" s="21">
        <f t="shared" si="22"/>
        <v>7</v>
      </c>
      <c r="B23" s="41">
        <f t="shared" si="22"/>
        <v>0</v>
      </c>
      <c r="C23" s="138">
        <f t="shared" si="23"/>
        <v>0</v>
      </c>
      <c r="D23" s="14"/>
      <c r="E23" s="22">
        <f t="shared" si="24"/>
        <v>0</v>
      </c>
      <c r="F23" s="23">
        <f t="shared" si="25"/>
        <v>0</v>
      </c>
      <c r="L23" s="8">
        <f t="shared" si="18"/>
        <v>0</v>
      </c>
      <c r="M23" s="8">
        <f t="shared" si="26"/>
        <v>0</v>
      </c>
      <c r="N23" s="8">
        <f t="shared" si="27"/>
        <v>0</v>
      </c>
      <c r="O23" s="8">
        <f t="shared" si="28"/>
        <v>0</v>
      </c>
      <c r="P23" s="40">
        <f>D23*(1+'1'!$Z$5)</f>
        <v>0</v>
      </c>
      <c r="Q23" s="25">
        <f>P23*(1+'1'!$AA$5)</f>
        <v>0</v>
      </c>
      <c r="R23" s="25">
        <f>Q23*(1+'1'!$AB$5)</f>
        <v>0</v>
      </c>
      <c r="S23" s="25">
        <f>R23*(1+'1'!$AC$5)</f>
        <v>0</v>
      </c>
      <c r="T23" s="40">
        <f t="shared" si="31"/>
        <v>0</v>
      </c>
      <c r="U23" s="26">
        <f t="shared" si="32"/>
        <v>0</v>
      </c>
      <c r="V23" s="26">
        <f t="shared" si="29"/>
        <v>0</v>
      </c>
      <c r="W23" s="26">
        <f t="shared" si="30"/>
        <v>0</v>
      </c>
      <c r="X23" s="26"/>
    </row>
    <row r="24" spans="1:24" hidden="1">
      <c r="A24" s="21">
        <f t="shared" si="22"/>
        <v>8</v>
      </c>
      <c r="B24" s="41">
        <f t="shared" si="22"/>
        <v>0</v>
      </c>
      <c r="C24" s="39">
        <f t="shared" si="23"/>
        <v>0</v>
      </c>
      <c r="D24" s="14">
        <v>0</v>
      </c>
      <c r="E24" s="22">
        <f t="shared" si="24"/>
        <v>0</v>
      </c>
      <c r="F24" s="23">
        <f t="shared" si="25"/>
        <v>0</v>
      </c>
      <c r="L24" s="8">
        <f t="shared" si="18"/>
        <v>0</v>
      </c>
      <c r="M24" s="8">
        <f t="shared" si="26"/>
        <v>0</v>
      </c>
      <c r="N24" s="8">
        <f t="shared" si="27"/>
        <v>0</v>
      </c>
      <c r="O24" s="8">
        <f t="shared" si="28"/>
        <v>0</v>
      </c>
      <c r="P24" s="40">
        <f>D24*(1+'1'!$Z$5)</f>
        <v>0</v>
      </c>
      <c r="Q24" s="25">
        <f>P24*(1+'1'!$AA$5)</f>
        <v>0</v>
      </c>
      <c r="R24" s="25">
        <f>Q24*(1+'1'!$AB$5)</f>
        <v>0</v>
      </c>
      <c r="S24" s="25">
        <f>R24*(1+'1'!$AC$5)</f>
        <v>0</v>
      </c>
      <c r="T24" s="40">
        <f t="shared" si="31"/>
        <v>0</v>
      </c>
      <c r="U24" s="26">
        <f t="shared" si="32"/>
        <v>0</v>
      </c>
      <c r="V24" s="26">
        <f t="shared" si="29"/>
        <v>0</v>
      </c>
      <c r="W24" s="26">
        <f t="shared" si="30"/>
        <v>0</v>
      </c>
      <c r="X24" s="26"/>
    </row>
    <row r="25" spans="1:24" hidden="1">
      <c r="A25" s="21">
        <f t="shared" si="22"/>
        <v>9</v>
      </c>
      <c r="B25" s="41">
        <f t="shared" si="22"/>
        <v>0</v>
      </c>
      <c r="C25" s="39">
        <f t="shared" si="23"/>
        <v>0</v>
      </c>
      <c r="D25" s="14">
        <v>0</v>
      </c>
      <c r="E25" s="22">
        <f t="shared" si="24"/>
        <v>0</v>
      </c>
      <c r="F25" s="23">
        <f t="shared" si="25"/>
        <v>0</v>
      </c>
      <c r="L25" s="8">
        <f t="shared" si="18"/>
        <v>0</v>
      </c>
      <c r="M25" s="8">
        <f t="shared" si="26"/>
        <v>0</v>
      </c>
      <c r="N25" s="8">
        <f t="shared" si="27"/>
        <v>0</v>
      </c>
      <c r="O25" s="8">
        <f t="shared" si="28"/>
        <v>0</v>
      </c>
      <c r="P25" s="40">
        <f>D25*(1+'1'!$Z$5)</f>
        <v>0</v>
      </c>
      <c r="Q25" s="25">
        <f>P25*(1+'1'!$AA$5)</f>
        <v>0</v>
      </c>
      <c r="R25" s="25">
        <f>Q25*(1+'1'!$AB$5)</f>
        <v>0</v>
      </c>
      <c r="S25" s="25">
        <f>R25*(1+'1'!$AC$5)</f>
        <v>0</v>
      </c>
      <c r="T25" s="40">
        <f t="shared" si="31"/>
        <v>0</v>
      </c>
      <c r="U25" s="26">
        <f t="shared" si="32"/>
        <v>0</v>
      </c>
      <c r="V25" s="26">
        <f t="shared" si="29"/>
        <v>0</v>
      </c>
      <c r="W25" s="26">
        <f t="shared" si="30"/>
        <v>0</v>
      </c>
      <c r="X25" s="26"/>
    </row>
    <row r="26" spans="1:24" hidden="1">
      <c r="A26" s="21">
        <f>A12</f>
        <v>10</v>
      </c>
      <c r="B26" s="41">
        <f t="shared" ref="B26" si="33">B12</f>
        <v>0</v>
      </c>
      <c r="C26" s="39">
        <f t="shared" si="23"/>
        <v>0</v>
      </c>
      <c r="D26" s="14">
        <v>0</v>
      </c>
      <c r="E26" s="22">
        <f t="shared" si="24"/>
        <v>0</v>
      </c>
      <c r="F26" s="23">
        <f t="shared" si="25"/>
        <v>0</v>
      </c>
      <c r="L26" s="8">
        <f t="shared" si="18"/>
        <v>0</v>
      </c>
      <c r="M26" s="8">
        <f t="shared" si="26"/>
        <v>0</v>
      </c>
      <c r="N26" s="8">
        <f t="shared" si="27"/>
        <v>0</v>
      </c>
      <c r="O26" s="8">
        <f t="shared" si="28"/>
        <v>0</v>
      </c>
      <c r="P26" s="40">
        <f>D26*(1+'1'!$Z$5)</f>
        <v>0</v>
      </c>
      <c r="Q26" s="25">
        <f>P26*(1+'1'!$AA$5)</f>
        <v>0</v>
      </c>
      <c r="R26" s="25">
        <f>Q26*(1+'1'!$AB$5)</f>
        <v>0</v>
      </c>
      <c r="S26" s="25">
        <f>R26*(1+'1'!$AC$5)</f>
        <v>0</v>
      </c>
      <c r="T26" s="40">
        <f t="shared" si="31"/>
        <v>0</v>
      </c>
      <c r="U26" s="26">
        <f t="shared" si="32"/>
        <v>0</v>
      </c>
      <c r="V26" s="26">
        <f t="shared" si="29"/>
        <v>0</v>
      </c>
      <c r="W26" s="26">
        <f t="shared" si="30"/>
        <v>0</v>
      </c>
      <c r="X26" s="26"/>
    </row>
    <row r="27" spans="1:24">
      <c r="D27" s="8" t="str">
        <f>D13</f>
        <v>TOTAL</v>
      </c>
      <c r="E27" s="33">
        <f>SUM(E17:E26)</f>
        <v>130950000</v>
      </c>
      <c r="F27" s="34">
        <f>SUM(F17:F26)</f>
        <v>1</v>
      </c>
      <c r="T27" s="35">
        <f>SUM(T17:T26)</f>
        <v>146664000</v>
      </c>
      <c r="U27" s="35">
        <f>SUM(U17:U26)</f>
        <v>164263680.00000006</v>
      </c>
      <c r="V27" s="35">
        <f t="shared" ref="V27:W27" si="34">SUM(V17:V26)</f>
        <v>183975321.60000005</v>
      </c>
      <c r="W27" s="35">
        <f t="shared" si="34"/>
        <v>206052360.19200009</v>
      </c>
      <c r="X27" s="26"/>
    </row>
    <row r="30" spans="1:24">
      <c r="A30" s="157" t="s">
        <v>31</v>
      </c>
      <c r="B30" s="157"/>
      <c r="C30" s="157"/>
      <c r="D30" s="157"/>
      <c r="E30" s="157"/>
      <c r="F30" s="157"/>
    </row>
    <row r="31" spans="1:24" ht="25.15">
      <c r="A31" s="42" t="s">
        <v>19</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ht="30.6">
      <c r="A32" s="151" t="s">
        <v>32</v>
      </c>
      <c r="B32" s="133">
        <f>'1'!E13</f>
        <v>337500000</v>
      </c>
      <c r="C32" s="134">
        <f>'1'!T13</f>
        <v>392364000</v>
      </c>
      <c r="D32" s="134">
        <f>'1'!U13</f>
        <v>459222825.60000002</v>
      </c>
      <c r="E32" s="134">
        <f>'1'!V13</f>
        <v>530788110.74150419</v>
      </c>
      <c r="F32" s="134">
        <f>'1'!W13</f>
        <v>617073026.02364326</v>
      </c>
    </row>
    <row r="33" spans="1:6" ht="30.6">
      <c r="A33" s="151" t="s">
        <v>33</v>
      </c>
      <c r="B33" s="133">
        <f>'1'!E27</f>
        <v>130950000</v>
      </c>
      <c r="C33" s="133">
        <f>'1'!T27</f>
        <v>146664000</v>
      </c>
      <c r="D33" s="133">
        <f>'1'!U27</f>
        <v>164263680.00000006</v>
      </c>
      <c r="E33" s="133">
        <f>'1'!V27</f>
        <v>183975321.60000005</v>
      </c>
      <c r="F33" s="133">
        <f>'1'!W27</f>
        <v>206052360.19200009</v>
      </c>
    </row>
    <row r="34" spans="1:6" ht="16.149999999999999" thickBot="1">
      <c r="A34" s="141" t="s">
        <v>34</v>
      </c>
      <c r="B34" s="140">
        <f>B32-B33</f>
        <v>206550000</v>
      </c>
      <c r="C34" s="140">
        <f t="shared" ref="C34:D34" si="35">C32-C33</f>
        <v>245700000</v>
      </c>
      <c r="D34" s="140">
        <f t="shared" si="35"/>
        <v>294959145.59999996</v>
      </c>
      <c r="E34" s="140">
        <f t="shared" ref="E34" si="36">E32-E33</f>
        <v>346812789.14150417</v>
      </c>
      <c r="F34" s="140">
        <f t="shared" ref="F34" si="37">F32-F33</f>
        <v>411020665.83164316</v>
      </c>
    </row>
    <row r="35" spans="1:6" ht="15" thickTop="1"/>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6"/>
  <sheetViews>
    <sheetView showGridLines="0" workbookViewId="0">
      <pane ySplit="14" topLeftCell="A20" activePane="bottomLeft" state="frozen"/>
      <selection pane="bottomLeft" activeCell="C23" sqref="C23"/>
      <selection activeCell="B40" sqref="B40"/>
    </sheetView>
  </sheetViews>
  <sheetFormatPr defaultColWidth="11.42578125" defaultRowHeight="14.45"/>
  <cols>
    <col min="1" max="1" width="5.42578125" style="8" customWidth="1"/>
    <col min="2" max="2" width="29.42578125" style="8" bestFit="1" customWidth="1"/>
    <col min="3" max="3" width="20.28515625" style="8" customWidth="1"/>
    <col min="4" max="4" width="11.42578125" style="8"/>
    <col min="5" max="5" width="23.28515625" style="8" customWidth="1"/>
    <col min="6" max="6" width="18" style="8" bestFit="1" customWidth="1"/>
    <col min="7" max="7" width="15.5703125" style="8" bestFit="1" customWidth="1"/>
    <col min="8" max="16384" width="11.42578125" style="8"/>
  </cols>
  <sheetData>
    <row r="1" spans="2:13">
      <c r="B1" s="160" t="s">
        <v>35</v>
      </c>
      <c r="C1" s="160"/>
      <c r="D1" s="160"/>
      <c r="E1" s="160"/>
      <c r="F1" s="160"/>
      <c r="G1" s="160"/>
      <c r="H1" s="160"/>
    </row>
    <row r="2" spans="2:13" ht="3.75" customHeight="1">
      <c r="B2" s="160"/>
      <c r="C2" s="160"/>
      <c r="D2" s="160"/>
      <c r="E2" s="160"/>
      <c r="F2" s="160"/>
      <c r="G2" s="160"/>
      <c r="H2" s="160"/>
    </row>
    <row r="3" spans="2:13">
      <c r="C3" s="21" t="s">
        <v>36</v>
      </c>
      <c r="F3" s="71" t="s">
        <v>37</v>
      </c>
      <c r="G3" s="127"/>
      <c r="H3" s="127"/>
      <c r="I3" s="127"/>
      <c r="J3" s="127"/>
      <c r="K3" s="127"/>
      <c r="L3" s="127"/>
      <c r="M3" s="127"/>
    </row>
    <row r="4" spans="2:13">
      <c r="B4" s="45" t="s">
        <v>38</v>
      </c>
      <c r="C4" s="14">
        <v>0</v>
      </c>
      <c r="F4" s="71"/>
      <c r="G4" s="71"/>
      <c r="H4" s="71"/>
      <c r="I4" s="127"/>
      <c r="J4" s="127"/>
      <c r="K4" s="127"/>
      <c r="L4" s="127"/>
      <c r="M4" s="127"/>
    </row>
    <row r="5" spans="2:13">
      <c r="B5" s="45" t="s">
        <v>39</v>
      </c>
      <c r="C5" s="14">
        <v>0</v>
      </c>
      <c r="F5" s="71">
        <v>10</v>
      </c>
      <c r="G5" s="72">
        <f t="shared" ref="G5:G11" si="0">C5/F5</f>
        <v>0</v>
      </c>
      <c r="H5" s="71"/>
      <c r="I5" s="127"/>
      <c r="J5" s="127"/>
      <c r="K5" s="127"/>
      <c r="L5" s="127"/>
      <c r="M5" s="127"/>
    </row>
    <row r="6" spans="2:13">
      <c r="B6" s="45" t="s">
        <v>40</v>
      </c>
      <c r="C6" s="14">
        <v>6500000</v>
      </c>
      <c r="F6" s="71">
        <v>5</v>
      </c>
      <c r="G6" s="72">
        <f t="shared" si="0"/>
        <v>1300000</v>
      </c>
      <c r="H6" s="71"/>
      <c r="I6" s="127"/>
      <c r="J6" s="127"/>
      <c r="K6" s="127"/>
      <c r="L6" s="127"/>
      <c r="M6" s="127"/>
    </row>
    <row r="7" spans="2:13">
      <c r="B7" s="45" t="s">
        <v>41</v>
      </c>
      <c r="C7" s="14">
        <v>9000000</v>
      </c>
      <c r="F7" s="71">
        <v>5</v>
      </c>
      <c r="G7" s="72">
        <f t="shared" si="0"/>
        <v>1800000</v>
      </c>
      <c r="H7" s="71"/>
      <c r="I7" s="127"/>
      <c r="J7" s="127"/>
      <c r="K7" s="127"/>
      <c r="L7" s="127"/>
      <c r="M7" s="127"/>
    </row>
    <row r="8" spans="2:13">
      <c r="B8" s="45" t="s">
        <v>42</v>
      </c>
      <c r="C8" s="14">
        <v>20000000</v>
      </c>
      <c r="F8" s="71">
        <v>5</v>
      </c>
      <c r="G8" s="72">
        <f t="shared" si="0"/>
        <v>4000000</v>
      </c>
      <c r="H8" s="71"/>
      <c r="I8" s="127"/>
      <c r="J8" s="127"/>
      <c r="K8" s="127"/>
      <c r="L8" s="127"/>
      <c r="M8" s="127"/>
    </row>
    <row r="9" spans="2:13">
      <c r="B9" s="45" t="s">
        <v>43</v>
      </c>
      <c r="C9" s="14">
        <v>0</v>
      </c>
      <c r="F9" s="71">
        <v>5</v>
      </c>
      <c r="G9" s="72">
        <f t="shared" si="0"/>
        <v>0</v>
      </c>
      <c r="H9" s="71"/>
      <c r="I9" s="127"/>
      <c r="J9" s="127"/>
      <c r="K9" s="127"/>
      <c r="L9" s="127"/>
      <c r="M9" s="127"/>
    </row>
    <row r="10" spans="2:13">
      <c r="B10" s="45" t="s">
        <v>44</v>
      </c>
      <c r="C10" s="14">
        <v>5000000</v>
      </c>
      <c r="F10" s="71">
        <v>5</v>
      </c>
      <c r="G10" s="72">
        <f t="shared" si="0"/>
        <v>1000000</v>
      </c>
      <c r="H10" s="71"/>
      <c r="I10" s="127"/>
      <c r="J10" s="127"/>
      <c r="K10" s="127"/>
      <c r="L10" s="127"/>
      <c r="M10" s="127"/>
    </row>
    <row r="11" spans="2:13">
      <c r="B11" s="45" t="s">
        <v>45</v>
      </c>
      <c r="C11" s="14">
        <v>65000000</v>
      </c>
      <c r="F11" s="71">
        <v>5</v>
      </c>
      <c r="G11" s="72">
        <f t="shared" si="0"/>
        <v>13000000</v>
      </c>
      <c r="H11" s="71"/>
      <c r="I11" s="127"/>
      <c r="J11" s="127"/>
      <c r="K11" s="127"/>
      <c r="L11" s="127"/>
      <c r="M11" s="127"/>
    </row>
    <row r="12" spans="2:13" ht="16.149999999999999" thickBot="1">
      <c r="B12" s="73" t="s">
        <v>46</v>
      </c>
      <c r="C12" s="74">
        <f>SUM(C4:C11)</f>
        <v>105500000</v>
      </c>
      <c r="F12" s="71"/>
      <c r="G12" s="72">
        <f>SUM(G5:G11)</f>
        <v>21100000</v>
      </c>
      <c r="H12" s="71"/>
      <c r="I12" s="127"/>
      <c r="J12" s="127"/>
      <c r="K12" s="127"/>
      <c r="L12" s="127"/>
      <c r="M12" s="127"/>
    </row>
    <row r="13" spans="2:13">
      <c r="B13" s="161" t="s">
        <v>47</v>
      </c>
      <c r="C13" s="162"/>
      <c r="D13" s="162"/>
      <c r="E13" s="162"/>
      <c r="F13" s="162"/>
      <c r="G13" s="162"/>
      <c r="H13" s="163"/>
    </row>
    <row r="14" spans="2:13" ht="15" thickBot="1">
      <c r="B14" s="164"/>
      <c r="C14" s="165"/>
      <c r="D14" s="165"/>
      <c r="E14" s="165"/>
      <c r="F14" s="165"/>
      <c r="G14" s="165"/>
      <c r="H14" s="166"/>
    </row>
    <row r="15" spans="2:13">
      <c r="B15" s="75"/>
      <c r="C15" s="75"/>
      <c r="D15" s="75"/>
      <c r="E15" s="75"/>
      <c r="F15" s="75"/>
      <c r="G15" s="75"/>
      <c r="H15" s="75"/>
    </row>
    <row r="16" spans="2:13">
      <c r="B16" s="73" t="s">
        <v>48</v>
      </c>
      <c r="E16" s="73" t="s">
        <v>49</v>
      </c>
      <c r="F16" s="38"/>
    </row>
    <row r="17" spans="2:6">
      <c r="C17" s="73" t="s">
        <v>50</v>
      </c>
      <c r="F17" s="73" t="str">
        <f>C17</f>
        <v>VALOR AÑO 1</v>
      </c>
    </row>
    <row r="18" spans="2:6">
      <c r="B18" s="76" t="s">
        <v>51</v>
      </c>
      <c r="C18" s="14">
        <f>((12*1*1423500))*1.6</f>
        <v>27331200</v>
      </c>
      <c r="E18" s="77" t="s">
        <v>52</v>
      </c>
      <c r="F18" s="14">
        <f>1500000*12</f>
        <v>18000000</v>
      </c>
    </row>
    <row r="19" spans="2:6">
      <c r="C19" s="78"/>
      <c r="E19" s="77" t="s">
        <v>53</v>
      </c>
      <c r="F19" s="14">
        <f>150000*12</f>
        <v>1800000</v>
      </c>
    </row>
    <row r="20" spans="2:6">
      <c r="B20" s="76" t="s">
        <v>54</v>
      </c>
      <c r="C20" s="14"/>
      <c r="E20" s="77" t="s">
        <v>55</v>
      </c>
      <c r="F20" s="14">
        <f>120000*12</f>
        <v>1440000</v>
      </c>
    </row>
    <row r="21" spans="2:6">
      <c r="C21" s="78"/>
      <c r="E21" s="77" t="s">
        <v>56</v>
      </c>
      <c r="F21" s="14">
        <f>100000*12</f>
        <v>1200000</v>
      </c>
    </row>
    <row r="22" spans="2:6">
      <c r="B22" s="76" t="s">
        <v>57</v>
      </c>
      <c r="C22" s="14">
        <f>(12*2*1423500)*1.6</f>
        <v>54662400</v>
      </c>
      <c r="E22" s="77" t="s">
        <v>58</v>
      </c>
      <c r="F22" s="14">
        <v>600000</v>
      </c>
    </row>
    <row r="23" spans="2:6" ht="15.6">
      <c r="B23" s="8" t="s">
        <v>59</v>
      </c>
      <c r="C23" s="74">
        <f>C18+C20+C22</f>
        <v>81993600</v>
      </c>
      <c r="E23" s="77" t="s">
        <v>60</v>
      </c>
      <c r="F23" s="14"/>
    </row>
    <row r="24" spans="2:6">
      <c r="E24" s="77" t="s">
        <v>61</v>
      </c>
      <c r="F24" s="14">
        <v>500000</v>
      </c>
    </row>
    <row r="25" spans="2:6" ht="24">
      <c r="B25" s="152" t="s">
        <v>62</v>
      </c>
      <c r="C25" s="14">
        <v>12000000</v>
      </c>
      <c r="E25" s="136" t="s">
        <v>63</v>
      </c>
      <c r="F25" s="14">
        <f>0.2*('1'!E22+'1'!E23)</f>
        <v>0</v>
      </c>
    </row>
    <row r="26" spans="2:6" ht="18" customHeight="1">
      <c r="B26" s="153"/>
      <c r="C26" s="153"/>
      <c r="E26" s="136" t="s">
        <v>64</v>
      </c>
      <c r="F26" s="14">
        <f>20%*C11</f>
        <v>13000000</v>
      </c>
    </row>
    <row r="27" spans="2:6" ht="15">
      <c r="B27" s="154" t="s">
        <v>65</v>
      </c>
      <c r="C27" s="154"/>
      <c r="E27" s="98" t="s">
        <v>66</v>
      </c>
      <c r="F27" s="14">
        <f>+F18*3%</f>
        <v>540000</v>
      </c>
    </row>
    <row r="28" spans="2:6" ht="15">
      <c r="B28" s="155">
        <f>'1'!G2</f>
        <v>2026</v>
      </c>
      <c r="C28" s="14">
        <f>+C25*1.1</f>
        <v>13200000.000000002</v>
      </c>
      <c r="E28" s="98" t="s">
        <v>67</v>
      </c>
      <c r="F28" s="14">
        <v>7200000</v>
      </c>
    </row>
    <row r="29" spans="2:6" ht="15">
      <c r="B29" s="155">
        <f>'1'!H2</f>
        <v>2027</v>
      </c>
      <c r="C29" s="14">
        <f>+C28*1.1</f>
        <v>14520000.000000004</v>
      </c>
      <c r="E29" s="98" t="s">
        <v>68</v>
      </c>
      <c r="F29" s="14">
        <v>300000</v>
      </c>
    </row>
    <row r="30" spans="2:6" ht="15">
      <c r="B30" s="155">
        <f>'1'!I2</f>
        <v>2028</v>
      </c>
      <c r="C30" s="14">
        <f t="shared" ref="C30:C31" si="1">+C29*1.1</f>
        <v>15972000.000000006</v>
      </c>
      <c r="E30" s="98" t="s">
        <v>69</v>
      </c>
      <c r="F30" s="14">
        <f>1423500*3*6</f>
        <v>25623000</v>
      </c>
    </row>
    <row r="31" spans="2:6" ht="15.75">
      <c r="B31" s="155">
        <f>'1'!J2</f>
        <v>2029</v>
      </c>
      <c r="C31" s="14">
        <f t="shared" si="1"/>
        <v>17569200.000000007</v>
      </c>
      <c r="E31" s="77" t="s">
        <v>70</v>
      </c>
      <c r="F31" s="74">
        <f>SUM(F18:F30)</f>
        <v>70203000</v>
      </c>
    </row>
    <row r="32" spans="2:6" ht="15">
      <c r="B32" s="153"/>
      <c r="C32" s="153"/>
    </row>
    <row r="33" spans="2:3" ht="15">
      <c r="B33" s="127"/>
      <c r="C33" s="127"/>
    </row>
    <row r="34" spans="2:3" ht="15">
      <c r="B34" s="127"/>
      <c r="C34" s="127"/>
    </row>
    <row r="35" spans="2:3" ht="15">
      <c r="B35" s="127"/>
      <c r="C35" s="127"/>
    </row>
    <row r="36" spans="2:3" ht="15">
      <c r="B36" s="127"/>
      <c r="C36" s="127"/>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topLeftCell="B1" workbookViewId="0">
      <selection activeCell="D15" sqref="D15"/>
    </sheetView>
  </sheetViews>
  <sheetFormatPr defaultColWidth="11.42578125" defaultRowHeight="14.45"/>
  <cols>
    <col min="1" max="1" width="11.42578125" style="8"/>
    <col min="2" max="2" width="39" style="8" bestFit="1" customWidth="1"/>
    <col min="3" max="3" width="18.5703125" style="8" bestFit="1" customWidth="1"/>
    <col min="4" max="4" width="24.85546875" style="8" customWidth="1"/>
    <col min="5" max="5" width="12.85546875" style="8" customWidth="1"/>
    <col min="6" max="6" width="20.28515625" style="8" customWidth="1"/>
    <col min="7" max="7" width="18.42578125" style="8" customWidth="1"/>
    <col min="8" max="8" width="19.7109375" style="8" customWidth="1"/>
    <col min="9" max="9" width="17" style="8" bestFit="1" customWidth="1"/>
    <col min="10" max="10" width="20.28515625" style="8" customWidth="1"/>
    <col min="11" max="16384" width="11.42578125" style="8"/>
  </cols>
  <sheetData>
    <row r="2" spans="2:12" ht="29.25" customHeight="1">
      <c r="B2" s="158" t="s">
        <v>71</v>
      </c>
      <c r="C2" s="158"/>
      <c r="D2" s="158"/>
      <c r="E2" s="158"/>
      <c r="F2" s="158"/>
      <c r="G2" s="158"/>
      <c r="H2" s="158"/>
      <c r="I2" s="158"/>
      <c r="J2" s="158"/>
    </row>
    <row r="3" spans="2:12">
      <c r="F3" s="167" t="s">
        <v>72</v>
      </c>
      <c r="G3" s="167"/>
    </row>
    <row r="4" spans="2:12" ht="15.6">
      <c r="B4" s="16" t="s">
        <v>46</v>
      </c>
      <c r="C4" s="74">
        <f>'2'!C12</f>
        <v>105500000</v>
      </c>
      <c r="F4" s="168">
        <v>0.12</v>
      </c>
      <c r="G4" s="168"/>
      <c r="I4" s="8" t="s">
        <v>73</v>
      </c>
      <c r="J4" s="126">
        <v>5</v>
      </c>
      <c r="L4" s="71">
        <v>1</v>
      </c>
    </row>
    <row r="5" spans="2:12">
      <c r="L5" s="71">
        <v>2</v>
      </c>
    </row>
    <row r="6" spans="2:12" ht="15" thickBot="1">
      <c r="B6" s="16" t="s">
        <v>74</v>
      </c>
      <c r="F6" s="157" t="s">
        <v>75</v>
      </c>
      <c r="G6" s="157"/>
      <c r="H6" s="157"/>
      <c r="I6" s="157"/>
      <c r="J6" s="157"/>
      <c r="L6" s="71">
        <v>3</v>
      </c>
    </row>
    <row r="7" spans="2:12">
      <c r="C7" s="79" t="s">
        <v>76</v>
      </c>
      <c r="D7" s="79" t="s">
        <v>77</v>
      </c>
      <c r="E7" s="115"/>
      <c r="F7" s="116" t="s">
        <v>78</v>
      </c>
      <c r="G7" s="116" t="s">
        <v>79</v>
      </c>
      <c r="H7" s="116" t="s">
        <v>80</v>
      </c>
      <c r="I7" s="116" t="s">
        <v>81</v>
      </c>
      <c r="J7" s="117" t="s">
        <v>82</v>
      </c>
      <c r="L7" s="71">
        <v>4</v>
      </c>
    </row>
    <row r="8" spans="2:12">
      <c r="B8" s="45" t="s">
        <v>83</v>
      </c>
      <c r="C8" s="54">
        <v>2</v>
      </c>
      <c r="D8" s="25">
        <f>('1'!B33/12)*C8</f>
        <v>21825000</v>
      </c>
      <c r="E8" s="118" t="s">
        <v>84</v>
      </c>
      <c r="F8" s="119"/>
      <c r="G8" s="119"/>
      <c r="H8" s="119"/>
      <c r="I8" s="119"/>
      <c r="J8" s="120">
        <f>D16</f>
        <v>139691100</v>
      </c>
      <c r="L8" s="71">
        <v>5</v>
      </c>
    </row>
    <row r="9" spans="2:12">
      <c r="B9" s="45" t="s">
        <v>85</v>
      </c>
      <c r="C9" s="54">
        <v>2</v>
      </c>
      <c r="D9" s="25">
        <f>('2'!C23/12)*C9</f>
        <v>13665600</v>
      </c>
      <c r="E9" s="118">
        <f>'1'!B31</f>
        <v>2025</v>
      </c>
      <c r="F9" s="122">
        <f t="shared" ref="F9:F13" si="0">IF(J8&gt;0,J8,0)</f>
        <v>139691100</v>
      </c>
      <c r="G9" s="122">
        <f>F9*$F$4</f>
        <v>16762932</v>
      </c>
      <c r="H9" s="122">
        <f>IF(J8&lt;1,0,(I9-G9))</f>
        <v>21988738.605550259</v>
      </c>
      <c r="I9" s="122">
        <f>PMT(F4,J4,J8)*-1</f>
        <v>38751670.605550259</v>
      </c>
      <c r="J9" s="123">
        <f>F9-H9</f>
        <v>117702361.39444974</v>
      </c>
    </row>
    <row r="10" spans="2:12">
      <c r="B10" s="45" t="s">
        <v>86</v>
      </c>
      <c r="C10" s="54">
        <v>2</v>
      </c>
      <c r="D10" s="25">
        <f>('2'!C25/12)*C10</f>
        <v>2000000</v>
      </c>
      <c r="E10" s="118">
        <f>'1'!C31</f>
        <v>2026</v>
      </c>
      <c r="F10" s="122">
        <f t="shared" si="0"/>
        <v>117702361.39444974</v>
      </c>
      <c r="G10" s="122">
        <f t="shared" ref="G10:G13" si="1">F10*$F$4</f>
        <v>14124283.367333969</v>
      </c>
      <c r="H10" s="122">
        <f t="shared" ref="H10:H13" si="2">IF(J9&lt;1,0,(I10-G10))</f>
        <v>24627387.238216288</v>
      </c>
      <c r="I10" s="122">
        <f>IF(J9&lt;1,0,(I9*(1+$K$7)))</f>
        <v>38751670.605550259</v>
      </c>
      <c r="J10" s="123">
        <f t="shared" ref="J10:J13" si="3">F10-H10</f>
        <v>93074974.15623346</v>
      </c>
    </row>
    <row r="11" spans="2:12">
      <c r="B11" s="45" t="s">
        <v>87</v>
      </c>
      <c r="C11" s="54">
        <v>2</v>
      </c>
      <c r="D11" s="25">
        <f>('2'!F31/12)*C11</f>
        <v>11700500</v>
      </c>
      <c r="E11" s="118">
        <f>'1'!D31</f>
        <v>2027</v>
      </c>
      <c r="F11" s="122">
        <f t="shared" si="0"/>
        <v>93074974.15623346</v>
      </c>
      <c r="G11" s="122">
        <f t="shared" si="1"/>
        <v>11168996.898748014</v>
      </c>
      <c r="H11" s="122">
        <f t="shared" si="2"/>
        <v>27582673.706802245</v>
      </c>
      <c r="I11" s="122">
        <f t="shared" ref="I11:I13" si="4">IF(J10&lt;1,0,(I10*(1+$K$7)))</f>
        <v>38751670.605550259</v>
      </c>
      <c r="J11" s="123">
        <f t="shared" si="3"/>
        <v>65492300.449431211</v>
      </c>
    </row>
    <row r="12" spans="2:12" ht="15.6">
      <c r="B12" s="80" t="s">
        <v>26</v>
      </c>
      <c r="C12" s="58"/>
      <c r="D12" s="81">
        <f>SUM(D8:D11)</f>
        <v>49191100</v>
      </c>
      <c r="E12" s="118">
        <f>'1'!E31</f>
        <v>2028</v>
      </c>
      <c r="F12" s="122">
        <f t="shared" si="0"/>
        <v>65492300.449431211</v>
      </c>
      <c r="G12" s="122">
        <f t="shared" si="1"/>
        <v>7859076.0539317448</v>
      </c>
      <c r="H12" s="122">
        <f t="shared" si="2"/>
        <v>30892594.551618516</v>
      </c>
      <c r="I12" s="122">
        <f t="shared" si="4"/>
        <v>38751670.605550259</v>
      </c>
      <c r="J12" s="123">
        <f t="shared" si="3"/>
        <v>34599705.897812694</v>
      </c>
    </row>
    <row r="13" spans="2:12" ht="15" thickBot="1">
      <c r="E13" s="121">
        <f>'1'!F31</f>
        <v>2029</v>
      </c>
      <c r="F13" s="124">
        <f t="shared" si="0"/>
        <v>34599705.897812694</v>
      </c>
      <c r="G13" s="124">
        <f t="shared" si="1"/>
        <v>4151964.7077375231</v>
      </c>
      <c r="H13" s="124">
        <f t="shared" si="2"/>
        <v>34599705.897812739</v>
      </c>
      <c r="I13" s="124">
        <f t="shared" si="4"/>
        <v>38751670.605550259</v>
      </c>
      <c r="J13" s="125">
        <f t="shared" si="3"/>
        <v>0</v>
      </c>
    </row>
    <row r="14" spans="2:12" ht="15.6">
      <c r="B14" s="45" t="s">
        <v>88</v>
      </c>
      <c r="D14" s="74">
        <f>C4+D12</f>
        <v>154691100</v>
      </c>
    </row>
    <row r="15" spans="2:12">
      <c r="B15" s="45" t="s">
        <v>89</v>
      </c>
      <c r="D15" s="55">
        <v>15000000</v>
      </c>
    </row>
    <row r="16" spans="2:12" ht="15.6">
      <c r="B16" s="45" t="s">
        <v>90</v>
      </c>
      <c r="D16" s="82">
        <f>D14-D15</f>
        <v>139691100</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disablePrompts="1"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22" activePane="bottomRight" state="frozenSplit"/>
      <selection pane="bottomRight" activeCell="G63" sqref="G63"/>
      <selection pane="bottomLeft" activeCell="A12" sqref="A12"/>
      <selection pane="topRight" activeCell="E1" sqref="E1"/>
    </sheetView>
  </sheetViews>
  <sheetFormatPr defaultColWidth="11.42578125" defaultRowHeight="14.45"/>
  <cols>
    <col min="1" max="1" width="26.7109375" style="8" customWidth="1"/>
    <col min="2" max="2" width="25.85546875" style="8" bestFit="1" customWidth="1"/>
    <col min="3" max="3" width="21.7109375" style="8" bestFit="1" customWidth="1"/>
    <col min="4" max="7" width="22.42578125" style="8" customWidth="1"/>
    <col min="8" max="16384" width="11.42578125" style="8"/>
  </cols>
  <sheetData>
    <row r="1" spans="1:7" ht="34.5" customHeight="1">
      <c r="A1" s="169" t="s">
        <v>91</v>
      </c>
      <c r="B1" s="169"/>
      <c r="C1" s="169"/>
      <c r="D1" s="169"/>
      <c r="E1" s="169"/>
      <c r="F1" s="169"/>
      <c r="G1" s="169"/>
    </row>
    <row r="2" spans="1:7" ht="23.45">
      <c r="A2" s="170" t="s">
        <v>92</v>
      </c>
      <c r="B2" s="170"/>
      <c r="C2" s="170"/>
      <c r="D2" s="170"/>
      <c r="E2" s="170"/>
      <c r="F2" s="170"/>
      <c r="G2" s="170"/>
    </row>
    <row r="3" spans="1:7" ht="8.25" customHeight="1">
      <c r="A3" s="56"/>
      <c r="B3" s="56"/>
      <c r="C3" s="56"/>
      <c r="D3" s="56"/>
      <c r="E3" s="56"/>
      <c r="F3" s="56"/>
      <c r="G3" s="56"/>
    </row>
    <row r="4" spans="1:7" ht="15.6">
      <c r="A4" s="171" t="s">
        <v>93</v>
      </c>
      <c r="B4" s="171"/>
      <c r="C4" s="171"/>
      <c r="D4" s="171"/>
      <c r="E4" s="171"/>
      <c r="F4" s="171"/>
      <c r="G4" s="171"/>
    </row>
    <row r="5" spans="1:7" ht="23.45">
      <c r="C5" s="60">
        <f>'1'!B31</f>
        <v>2025</v>
      </c>
      <c r="D5" s="60">
        <f>'1'!C31</f>
        <v>2026</v>
      </c>
      <c r="E5" s="60">
        <f>'1'!D31</f>
        <v>2027</v>
      </c>
      <c r="F5" s="60">
        <f>'1'!E31</f>
        <v>2028</v>
      </c>
      <c r="G5" s="60">
        <f>'1'!F31</f>
        <v>2029</v>
      </c>
    </row>
    <row r="6" spans="1:7">
      <c r="B6" s="8" t="s">
        <v>94</v>
      </c>
      <c r="C6" s="61">
        <f>'1'!B32</f>
        <v>337500000</v>
      </c>
      <c r="D6" s="61">
        <f>'1'!C32</f>
        <v>392364000</v>
      </c>
      <c r="E6" s="61">
        <f>'1'!D32</f>
        <v>459222825.60000002</v>
      </c>
      <c r="F6" s="61">
        <f>'1'!E32</f>
        <v>530788110.74150419</v>
      </c>
      <c r="G6" s="61">
        <f>'1'!F32</f>
        <v>617073026.02364326</v>
      </c>
    </row>
    <row r="7" spans="1:7">
      <c r="B7" s="8" t="s">
        <v>95</v>
      </c>
      <c r="C7" s="61">
        <f>'1'!B33</f>
        <v>130950000</v>
      </c>
      <c r="D7" s="61">
        <f>'1'!C33</f>
        <v>146664000</v>
      </c>
      <c r="E7" s="61">
        <f>'1'!D33</f>
        <v>164263680.00000006</v>
      </c>
      <c r="F7" s="61">
        <f>'1'!E33</f>
        <v>183975321.60000005</v>
      </c>
      <c r="G7" s="61">
        <f>'1'!F33</f>
        <v>206052360.19200009</v>
      </c>
    </row>
    <row r="8" spans="1:7" ht="15" thickBot="1">
      <c r="B8" s="62" t="s">
        <v>96</v>
      </c>
      <c r="C8" s="63">
        <f>C6-C7</f>
        <v>206550000</v>
      </c>
      <c r="D8" s="63">
        <f t="shared" ref="D8:G8" si="0">D6-D7</f>
        <v>245700000</v>
      </c>
      <c r="E8" s="63">
        <f t="shared" si="0"/>
        <v>294959145.59999996</v>
      </c>
      <c r="F8" s="63">
        <f t="shared" si="0"/>
        <v>346812789.14150417</v>
      </c>
      <c r="G8" s="63">
        <f t="shared" si="0"/>
        <v>411020665.83164316</v>
      </c>
    </row>
    <row r="9" spans="1:7" ht="15" thickTop="1">
      <c r="B9" s="8" t="s">
        <v>97</v>
      </c>
      <c r="C9" s="135">
        <f>'2'!C23</f>
        <v>81993600</v>
      </c>
      <c r="D9" s="135">
        <f>C9*(1+'1'!Z4)</f>
        <v>85109356.799999997</v>
      </c>
      <c r="E9" s="135">
        <f>D9*(1+'1'!AA4)</f>
        <v>88939277.855999991</v>
      </c>
      <c r="F9" s="135">
        <f>E9*(1+'1'!AB4)</f>
        <v>91785334.747391999</v>
      </c>
      <c r="G9" s="135">
        <f>F9*(1+'1'!AC4)</f>
        <v>95273177.467792898</v>
      </c>
    </row>
    <row r="10" spans="1:7">
      <c r="B10" s="8" t="s">
        <v>98</v>
      </c>
      <c r="C10" s="135">
        <f>'2'!F31</f>
        <v>70203000</v>
      </c>
      <c r="D10" s="135">
        <f>C10*(1+'1'!Z4)</f>
        <v>72870714</v>
      </c>
      <c r="E10" s="135">
        <f>D10*(1+'1'!AA4)</f>
        <v>76149896.129999995</v>
      </c>
      <c r="F10" s="135">
        <f>E10*(1+'1'!AB4)</f>
        <v>78586692.806160003</v>
      </c>
      <c r="G10" s="135">
        <f>F10*(1+'1'!AC4)</f>
        <v>81572987.132794082</v>
      </c>
    </row>
    <row r="11" spans="1:7">
      <c r="B11" s="8" t="s">
        <v>99</v>
      </c>
      <c r="C11" s="135">
        <f>'2'!C25</f>
        <v>12000000</v>
      </c>
      <c r="D11" s="135">
        <f>'2'!C28</f>
        <v>13200000.000000002</v>
      </c>
      <c r="E11" s="135">
        <f>'2'!C29</f>
        <v>14520000.000000004</v>
      </c>
      <c r="F11" s="135">
        <f>'2'!C30</f>
        <v>15972000.000000006</v>
      </c>
      <c r="G11" s="135">
        <f>'2'!C31</f>
        <v>17569200.000000007</v>
      </c>
    </row>
    <row r="12" spans="1:7">
      <c r="B12" s="8" t="s">
        <v>100</v>
      </c>
      <c r="C12" s="135">
        <f>'2'!G12</f>
        <v>21100000</v>
      </c>
      <c r="D12" s="135">
        <f>C12</f>
        <v>21100000</v>
      </c>
      <c r="E12" s="135">
        <f t="shared" ref="E12:G12" si="1">D12</f>
        <v>21100000</v>
      </c>
      <c r="F12" s="135">
        <f t="shared" si="1"/>
        <v>21100000</v>
      </c>
      <c r="G12" s="135">
        <f t="shared" si="1"/>
        <v>21100000</v>
      </c>
    </row>
    <row r="13" spans="1:7" ht="15" thickBot="1">
      <c r="B13" s="62" t="s">
        <v>101</v>
      </c>
      <c r="C13" s="64">
        <f>C8-C9-C10-C11-C12</f>
        <v>21253400</v>
      </c>
      <c r="D13" s="64">
        <f t="shared" ref="D13:G13" si="2">D8-D9-D10-D11-D12</f>
        <v>53419929.199999988</v>
      </c>
      <c r="E13" s="64">
        <f t="shared" si="2"/>
        <v>94249971.613999963</v>
      </c>
      <c r="F13" s="64">
        <f t="shared" si="2"/>
        <v>139368761.58795217</v>
      </c>
      <c r="G13" s="64">
        <f t="shared" si="2"/>
        <v>195505301.23105615</v>
      </c>
    </row>
    <row r="14" spans="1:7" ht="15" thickTop="1">
      <c r="B14" s="8" t="s">
        <v>102</v>
      </c>
      <c r="C14" s="61">
        <f>'3'!G9</f>
        <v>16762932</v>
      </c>
      <c r="D14" s="61">
        <f>'3'!G10</f>
        <v>14124283.367333969</v>
      </c>
      <c r="E14" s="61">
        <f>'3'!G11</f>
        <v>11168996.898748014</v>
      </c>
      <c r="F14" s="61">
        <f>'3'!G12</f>
        <v>7859076.0539317448</v>
      </c>
      <c r="G14" s="61">
        <f>'3'!G13</f>
        <v>4151964.7077375231</v>
      </c>
    </row>
    <row r="15" spans="1:7" ht="15" thickBot="1">
      <c r="B15" s="62" t="s">
        <v>103</v>
      </c>
      <c r="C15" s="64">
        <f>C13-C14</f>
        <v>4490468</v>
      </c>
      <c r="D15" s="64">
        <f t="shared" ref="D15:G15" si="3">D13-D14</f>
        <v>39295645.832666017</v>
      </c>
      <c r="E15" s="64">
        <f t="shared" si="3"/>
        <v>83080974.715251952</v>
      </c>
      <c r="F15" s="64">
        <f t="shared" si="3"/>
        <v>131509685.53402042</v>
      </c>
      <c r="G15" s="64">
        <f t="shared" si="3"/>
        <v>191353336.52331862</v>
      </c>
    </row>
    <row r="16" spans="1:7" ht="15" thickTop="1">
      <c r="B16" s="8" t="s">
        <v>104</v>
      </c>
      <c r="C16" s="65">
        <f>IF(C15*'1'!$AB$7&lt;0,0,C15*'1'!$AB$7)</f>
        <v>1571663.7999999998</v>
      </c>
      <c r="D16" s="65">
        <f>IF(D15*'1'!$AB$7&lt;0,0,D15*'1'!$AB$7)</f>
        <v>13753476.041433105</v>
      </c>
      <c r="E16" s="65">
        <f>IF(E15*'1'!$AB$7&lt;0,0,E15*'1'!$AB$7)</f>
        <v>29078341.15033818</v>
      </c>
      <c r="F16" s="65">
        <f>IF(F15*'1'!$AB$7&lt;0,0,F15*'1'!$AB$7)</f>
        <v>46028389.936907142</v>
      </c>
      <c r="G16" s="65">
        <f>IF(G15*'1'!$AB$7&lt;0,0,G15*'1'!$AB$7)</f>
        <v>66973667.783161514</v>
      </c>
    </row>
    <row r="17" spans="1:8" ht="15" thickBot="1">
      <c r="B17" s="66" t="s">
        <v>105</v>
      </c>
      <c r="C17" s="67">
        <f>C15-C16</f>
        <v>2918804.2</v>
      </c>
      <c r="D17" s="67">
        <f t="shared" ref="D17:G17" si="4">D15-D16</f>
        <v>25542169.791232914</v>
      </c>
      <c r="E17" s="67">
        <f t="shared" si="4"/>
        <v>54002633.564913772</v>
      </c>
      <c r="F17" s="67">
        <f t="shared" si="4"/>
        <v>85481295.597113281</v>
      </c>
      <c r="G17" s="67">
        <f t="shared" si="4"/>
        <v>124379668.7401571</v>
      </c>
    </row>
    <row r="19" spans="1:8" ht="15.6">
      <c r="A19" s="171" t="s">
        <v>106</v>
      </c>
      <c r="B19" s="171"/>
      <c r="C19" s="171"/>
      <c r="D19" s="171"/>
      <c r="E19" s="171"/>
      <c r="F19" s="171"/>
      <c r="G19" s="171"/>
    </row>
    <row r="20" spans="1:8" ht="23.45">
      <c r="B20" s="68" t="s">
        <v>84</v>
      </c>
      <c r="C20" s="60">
        <f>C5</f>
        <v>2025</v>
      </c>
      <c r="D20" s="60">
        <f>D5</f>
        <v>2026</v>
      </c>
      <c r="E20" s="60">
        <f>E5</f>
        <v>2027</v>
      </c>
      <c r="F20" s="60">
        <f>F5</f>
        <v>2028</v>
      </c>
      <c r="G20" s="60">
        <f>G5</f>
        <v>2029</v>
      </c>
    </row>
    <row r="21" spans="1:8">
      <c r="A21" s="172" t="s">
        <v>107</v>
      </c>
      <c r="B21" s="172"/>
      <c r="C21" s="172"/>
      <c r="D21" s="172"/>
      <c r="E21" s="172"/>
      <c r="F21" s="172"/>
      <c r="G21" s="172"/>
    </row>
    <row r="22" spans="1:8">
      <c r="A22" s="8" t="s">
        <v>108</v>
      </c>
      <c r="B22" s="26">
        <f>B38-B26</f>
        <v>49191100</v>
      </c>
      <c r="C22" s="26">
        <f t="shared" ref="C22:G22" si="5">C38-C26</f>
        <v>52792829.394449741</v>
      </c>
      <c r="D22" s="26">
        <f t="shared" si="5"/>
        <v>84070619.988899469</v>
      </c>
      <c r="E22" s="26">
        <f t="shared" si="5"/>
        <v>121373275.16468316</v>
      </c>
      <c r="F22" s="26">
        <f t="shared" si="5"/>
        <v>160009391.43183312</v>
      </c>
      <c r="G22" s="26">
        <f t="shared" si="5"/>
        <v>206353336.52331862</v>
      </c>
    </row>
    <row r="23" spans="1:8">
      <c r="A23" s="8" t="s">
        <v>109</v>
      </c>
      <c r="B23" s="26">
        <f>'2'!C4</f>
        <v>0</v>
      </c>
      <c r="C23" s="26">
        <f>B23</f>
        <v>0</v>
      </c>
      <c r="D23" s="26">
        <f t="shared" ref="D23:G23" si="6">C23</f>
        <v>0</v>
      </c>
      <c r="E23" s="26">
        <f t="shared" si="6"/>
        <v>0</v>
      </c>
      <c r="F23" s="26">
        <f t="shared" si="6"/>
        <v>0</v>
      </c>
      <c r="G23" s="26">
        <f t="shared" si="6"/>
        <v>0</v>
      </c>
      <c r="H23" s="26"/>
    </row>
    <row r="24" spans="1:8">
      <c r="A24" s="8" t="s">
        <v>110</v>
      </c>
      <c r="B24" s="26">
        <f>'2'!C12-'2'!C4</f>
        <v>105500000</v>
      </c>
      <c r="C24" s="26">
        <f>B24</f>
        <v>105500000</v>
      </c>
      <c r="D24" s="26">
        <f t="shared" ref="D24:G24" si="7">C24</f>
        <v>105500000</v>
      </c>
      <c r="E24" s="26">
        <f t="shared" si="7"/>
        <v>105500000</v>
      </c>
      <c r="F24" s="26">
        <f t="shared" si="7"/>
        <v>105500000</v>
      </c>
      <c r="G24" s="26">
        <f t="shared" si="7"/>
        <v>105500000</v>
      </c>
      <c r="H24" s="26"/>
    </row>
    <row r="25" spans="1:8">
      <c r="A25" s="8" t="s">
        <v>111</v>
      </c>
      <c r="B25" s="26">
        <v>0</v>
      </c>
      <c r="C25" s="26">
        <f>C12</f>
        <v>21100000</v>
      </c>
      <c r="D25" s="26">
        <f>D12+C12</f>
        <v>42200000</v>
      </c>
      <c r="E25" s="26">
        <f>E12+D12+C12</f>
        <v>63300000</v>
      </c>
      <c r="F25" s="26">
        <f>F12+E12+D12+C12</f>
        <v>84400000</v>
      </c>
      <c r="G25" s="26">
        <f>F25+G12</f>
        <v>105500000</v>
      </c>
      <c r="H25" s="26"/>
    </row>
    <row r="26" spans="1:8">
      <c r="A26" s="8" t="s">
        <v>112</v>
      </c>
      <c r="B26" s="26">
        <f>B23+(B24-B25)</f>
        <v>105500000</v>
      </c>
      <c r="C26" s="26">
        <f>C23+(C24-C25)</f>
        <v>84400000</v>
      </c>
      <c r="D26" s="26">
        <f t="shared" ref="D26:G26" si="8">D23+(D24-D25)</f>
        <v>63300000</v>
      </c>
      <c r="E26" s="26">
        <f t="shared" si="8"/>
        <v>42200000</v>
      </c>
      <c r="F26" s="26">
        <f t="shared" si="8"/>
        <v>21100000</v>
      </c>
      <c r="G26" s="26">
        <f t="shared" si="8"/>
        <v>0</v>
      </c>
      <c r="H26" s="26"/>
    </row>
    <row r="27" spans="1:8" ht="15" thickBot="1">
      <c r="A27" s="62" t="s">
        <v>113</v>
      </c>
      <c r="B27" s="69">
        <f>B22+B26</f>
        <v>154691100</v>
      </c>
      <c r="C27" s="69">
        <f t="shared" ref="C27:G27" si="9">C22+C26</f>
        <v>137192829.39444974</v>
      </c>
      <c r="D27" s="69">
        <f t="shared" si="9"/>
        <v>147370619.98889947</v>
      </c>
      <c r="E27" s="69">
        <f t="shared" si="9"/>
        <v>163573275.16468316</v>
      </c>
      <c r="F27" s="69">
        <f t="shared" si="9"/>
        <v>181109391.43183312</v>
      </c>
      <c r="G27" s="69">
        <f t="shared" si="9"/>
        <v>206353336.52331862</v>
      </c>
      <c r="H27" s="26"/>
    </row>
    <row r="28" spans="1:8" ht="15" thickTop="1">
      <c r="A28" s="172" t="s">
        <v>114</v>
      </c>
      <c r="B28" s="172"/>
      <c r="C28" s="172"/>
      <c r="D28" s="172"/>
      <c r="E28" s="172"/>
      <c r="F28" s="172"/>
      <c r="G28" s="172"/>
    </row>
    <row r="29" spans="1:8">
      <c r="A29" s="8" t="s">
        <v>115</v>
      </c>
      <c r="B29" s="8">
        <v>0</v>
      </c>
      <c r="C29" s="65">
        <f>C16</f>
        <v>1571663.7999999998</v>
      </c>
      <c r="D29" s="65">
        <f>D16</f>
        <v>13753476.041433105</v>
      </c>
      <c r="E29" s="65">
        <f>E16</f>
        <v>29078341.15033818</v>
      </c>
      <c r="F29" s="65">
        <f>F16</f>
        <v>46028389.936907142</v>
      </c>
      <c r="G29" s="65">
        <f>G16</f>
        <v>66973667.783161514</v>
      </c>
    </row>
    <row r="30" spans="1:8">
      <c r="A30" s="8" t="s">
        <v>116</v>
      </c>
      <c r="B30" s="65">
        <f>B29</f>
        <v>0</v>
      </c>
      <c r="C30" s="65">
        <f t="shared" ref="C30:G30" si="10">C29</f>
        <v>1571663.7999999998</v>
      </c>
      <c r="D30" s="65">
        <f t="shared" si="10"/>
        <v>13753476.041433105</v>
      </c>
      <c r="E30" s="65">
        <f t="shared" si="10"/>
        <v>29078341.15033818</v>
      </c>
      <c r="F30" s="65">
        <f t="shared" si="10"/>
        <v>46028389.936907142</v>
      </c>
      <c r="G30" s="65">
        <f t="shared" si="10"/>
        <v>66973667.783161514</v>
      </c>
    </row>
    <row r="31" spans="1:8">
      <c r="A31" s="8" t="s">
        <v>117</v>
      </c>
      <c r="B31" s="25">
        <f>'3'!J8</f>
        <v>139691100</v>
      </c>
      <c r="C31" s="25">
        <f>'3'!J9</f>
        <v>117702361.39444974</v>
      </c>
      <c r="D31" s="25">
        <f>'3'!J10</f>
        <v>93074974.15623346</v>
      </c>
      <c r="E31" s="25">
        <f>'3'!J11</f>
        <v>65492300.449431211</v>
      </c>
      <c r="F31" s="25">
        <f>'3'!J12</f>
        <v>34599705.897812694</v>
      </c>
      <c r="G31" s="25">
        <f>'3'!J13</f>
        <v>0</v>
      </c>
    </row>
    <row r="32" spans="1:8" ht="15" thickBot="1">
      <c r="A32" s="62" t="s">
        <v>114</v>
      </c>
      <c r="B32" s="69">
        <f>B30+B31</f>
        <v>139691100</v>
      </c>
      <c r="C32" s="69">
        <f t="shared" ref="C32:G32" si="11">C30+C31</f>
        <v>119274025.19444974</v>
      </c>
      <c r="D32" s="69">
        <f t="shared" si="11"/>
        <v>106828450.19766657</v>
      </c>
      <c r="E32" s="69">
        <f t="shared" si="11"/>
        <v>94570641.599769384</v>
      </c>
      <c r="F32" s="69">
        <f t="shared" si="11"/>
        <v>80628095.834719837</v>
      </c>
      <c r="G32" s="69">
        <f t="shared" si="11"/>
        <v>66973667.783161514</v>
      </c>
    </row>
    <row r="33" spans="1:7" ht="15" thickTop="1">
      <c r="A33" s="172" t="s">
        <v>118</v>
      </c>
      <c r="B33" s="172"/>
      <c r="C33" s="172"/>
      <c r="D33" s="172"/>
      <c r="E33" s="172"/>
      <c r="F33" s="172"/>
      <c r="G33" s="172"/>
    </row>
    <row r="34" spans="1:7">
      <c r="A34" s="8" t="s">
        <v>119</v>
      </c>
      <c r="B34" s="26">
        <f>'3'!D15</f>
        <v>15000000</v>
      </c>
      <c r="C34" s="26">
        <f>B34</f>
        <v>15000000</v>
      </c>
      <c r="D34" s="26">
        <f t="shared" ref="D34:G34" si="12">C34</f>
        <v>15000000</v>
      </c>
      <c r="E34" s="26">
        <f t="shared" si="12"/>
        <v>15000000</v>
      </c>
      <c r="F34" s="26">
        <f t="shared" si="12"/>
        <v>15000000</v>
      </c>
      <c r="G34" s="26">
        <f t="shared" si="12"/>
        <v>15000000</v>
      </c>
    </row>
    <row r="35" spans="1:7">
      <c r="A35" s="8" t="s">
        <v>120</v>
      </c>
      <c r="B35" s="8">
        <v>0</v>
      </c>
      <c r="C35" s="65">
        <f>C17</f>
        <v>2918804.2</v>
      </c>
      <c r="D35" s="65">
        <f>D17</f>
        <v>25542169.791232914</v>
      </c>
      <c r="E35" s="65">
        <f>E17</f>
        <v>54002633.564913772</v>
      </c>
      <c r="F35" s="65">
        <f>F17</f>
        <v>85481295.597113281</v>
      </c>
      <c r="G35" s="65">
        <f>G17</f>
        <v>124379668.7401571</v>
      </c>
    </row>
    <row r="36" spans="1:7" ht="15" thickBot="1">
      <c r="A36" s="62" t="s">
        <v>121</v>
      </c>
      <c r="B36" s="69">
        <f>B34+B35</f>
        <v>15000000</v>
      </c>
      <c r="C36" s="69">
        <f t="shared" ref="C36:G36" si="13">C34+C35</f>
        <v>17918804.199999999</v>
      </c>
      <c r="D36" s="69">
        <f t="shared" si="13"/>
        <v>40542169.791232914</v>
      </c>
      <c r="E36" s="69">
        <f t="shared" si="13"/>
        <v>69002633.564913779</v>
      </c>
      <c r="F36" s="69">
        <f t="shared" si="13"/>
        <v>100481295.59711328</v>
      </c>
      <c r="G36" s="69">
        <f t="shared" si="13"/>
        <v>139379668.7401571</v>
      </c>
    </row>
    <row r="37" spans="1:7" ht="15" thickTop="1"/>
    <row r="38" spans="1:7" ht="15" thickBot="1">
      <c r="A38" s="62" t="s">
        <v>122</v>
      </c>
      <c r="B38" s="69">
        <f>B32+B36</f>
        <v>154691100</v>
      </c>
      <c r="C38" s="69">
        <f t="shared" ref="C38:G38" si="14">C32+C36</f>
        <v>137192829.39444974</v>
      </c>
      <c r="D38" s="69">
        <f t="shared" si="14"/>
        <v>147370619.98889947</v>
      </c>
      <c r="E38" s="69">
        <f t="shared" si="14"/>
        <v>163573275.16468316</v>
      </c>
      <c r="F38" s="69">
        <f t="shared" si="14"/>
        <v>181109391.43183312</v>
      </c>
      <c r="G38" s="69">
        <f t="shared" si="14"/>
        <v>206353336.52331862</v>
      </c>
    </row>
    <row r="39" spans="1:7" ht="15" thickTop="1">
      <c r="A39" s="58" t="s">
        <v>123</v>
      </c>
      <c r="B39" s="70">
        <f>B27-B38</f>
        <v>0</v>
      </c>
      <c r="C39" s="70">
        <f t="shared" ref="C39:G39" si="15">C27-C38</f>
        <v>0</v>
      </c>
      <c r="D39" s="70">
        <f t="shared" si="15"/>
        <v>0</v>
      </c>
      <c r="E39" s="70">
        <f t="shared" si="15"/>
        <v>0</v>
      </c>
      <c r="F39" s="70">
        <f t="shared" si="15"/>
        <v>0</v>
      </c>
      <c r="G39" s="70">
        <f t="shared" si="15"/>
        <v>0</v>
      </c>
    </row>
    <row r="41" spans="1:7" ht="15.6">
      <c r="A41" s="171" t="s">
        <v>124</v>
      </c>
      <c r="B41" s="171"/>
      <c r="C41" s="171"/>
      <c r="D41" s="171"/>
      <c r="E41" s="171"/>
      <c r="F41" s="171"/>
      <c r="G41" s="171"/>
    </row>
    <row r="42" spans="1:7">
      <c r="A42" s="172" t="s">
        <v>125</v>
      </c>
      <c r="B42" s="172"/>
      <c r="C42" s="172"/>
      <c r="D42" s="172"/>
      <c r="E42" s="172"/>
      <c r="F42" s="172"/>
      <c r="G42" s="172"/>
    </row>
    <row r="43" spans="1:7" ht="23.45">
      <c r="A43" s="11"/>
      <c r="B43" s="68" t="s">
        <v>84</v>
      </c>
      <c r="C43" s="60">
        <f>C20</f>
        <v>2025</v>
      </c>
      <c r="D43" s="60">
        <f t="shared" ref="D43:G43" si="16">D20</f>
        <v>2026</v>
      </c>
      <c r="E43" s="60">
        <f t="shared" si="16"/>
        <v>2027</v>
      </c>
      <c r="F43" s="60">
        <f t="shared" si="16"/>
        <v>2028</v>
      </c>
      <c r="G43" s="60">
        <f t="shared" si="16"/>
        <v>2029</v>
      </c>
    </row>
    <row r="44" spans="1:7">
      <c r="A44" s="1" t="s">
        <v>126</v>
      </c>
      <c r="B44" s="2">
        <f>B22</f>
        <v>49191100</v>
      </c>
      <c r="C44" s="2">
        <f t="shared" ref="C44:G44" si="17">C22</f>
        <v>52792829.394449741</v>
      </c>
      <c r="D44" s="2">
        <f t="shared" si="17"/>
        <v>84070619.988899469</v>
      </c>
      <c r="E44" s="2">
        <f t="shared" si="17"/>
        <v>121373275.16468316</v>
      </c>
      <c r="F44" s="2">
        <f t="shared" si="17"/>
        <v>160009391.43183312</v>
      </c>
      <c r="G44" s="2">
        <f t="shared" si="17"/>
        <v>206353336.52331862</v>
      </c>
    </row>
    <row r="45" spans="1:7" ht="15" thickBot="1">
      <c r="A45" s="1" t="s">
        <v>127</v>
      </c>
      <c r="B45" s="3">
        <f>B29</f>
        <v>0</v>
      </c>
      <c r="C45" s="3">
        <f t="shared" ref="C45:G45" si="18">C29</f>
        <v>1571663.7999999998</v>
      </c>
      <c r="D45" s="3">
        <f t="shared" si="18"/>
        <v>13753476.041433105</v>
      </c>
      <c r="E45" s="3">
        <f t="shared" si="18"/>
        <v>29078341.15033818</v>
      </c>
      <c r="F45" s="3">
        <f t="shared" si="18"/>
        <v>46028389.936907142</v>
      </c>
      <c r="G45" s="3">
        <f t="shared" si="18"/>
        <v>66973667.783161514</v>
      </c>
    </row>
    <row r="46" spans="1:7" ht="15" thickTop="1">
      <c r="A46" s="4" t="s">
        <v>128</v>
      </c>
      <c r="B46" s="5">
        <f t="shared" ref="B46:G46" si="19">B44-B45</f>
        <v>49191100</v>
      </c>
      <c r="C46" s="5">
        <f t="shared" si="19"/>
        <v>51221165.594449744</v>
      </c>
      <c r="D46" s="5">
        <f t="shared" si="19"/>
        <v>70317143.947466359</v>
      </c>
      <c r="E46" s="5">
        <f t="shared" si="19"/>
        <v>92294934.01434499</v>
      </c>
      <c r="F46" s="5">
        <f t="shared" si="19"/>
        <v>113981001.49492598</v>
      </c>
      <c r="G46" s="5">
        <f t="shared" si="19"/>
        <v>139379668.7401571</v>
      </c>
    </row>
    <row r="47" spans="1:7">
      <c r="A47" s="1"/>
      <c r="B47" s="2"/>
      <c r="C47" s="2"/>
      <c r="D47" s="2"/>
      <c r="E47" s="2"/>
      <c r="F47" s="2"/>
      <c r="G47" s="2"/>
    </row>
    <row r="48" spans="1:7">
      <c r="A48" s="4" t="s">
        <v>129</v>
      </c>
      <c r="B48" s="2">
        <f>B26</f>
        <v>105500000</v>
      </c>
      <c r="C48" s="2">
        <f t="shared" ref="C48:G48" si="20">C26</f>
        <v>84400000</v>
      </c>
      <c r="D48" s="2">
        <f t="shared" si="20"/>
        <v>63300000</v>
      </c>
      <c r="E48" s="2">
        <f t="shared" si="20"/>
        <v>42200000</v>
      </c>
      <c r="F48" s="2">
        <f t="shared" si="20"/>
        <v>21100000</v>
      </c>
      <c r="G48" s="2">
        <f t="shared" si="20"/>
        <v>0</v>
      </c>
    </row>
    <row r="49" spans="1:7" ht="15" thickBot="1">
      <c r="A49" s="1" t="s">
        <v>130</v>
      </c>
      <c r="B49" s="3">
        <f>B25</f>
        <v>0</v>
      </c>
      <c r="C49" s="3">
        <f t="shared" ref="C49:G49" si="21">C25</f>
        <v>21100000</v>
      </c>
      <c r="D49" s="3">
        <f t="shared" si="21"/>
        <v>42200000</v>
      </c>
      <c r="E49" s="3">
        <f t="shared" si="21"/>
        <v>63300000</v>
      </c>
      <c r="F49" s="3">
        <f t="shared" si="21"/>
        <v>84400000</v>
      </c>
      <c r="G49" s="3">
        <f t="shared" si="21"/>
        <v>105500000</v>
      </c>
    </row>
    <row r="50" spans="1:7" ht="15" thickTop="1">
      <c r="A50" s="4" t="s">
        <v>131</v>
      </c>
      <c r="B50" s="5">
        <f t="shared" ref="B50:G50" si="22">B48+B49</f>
        <v>105500000</v>
      </c>
      <c r="C50" s="5">
        <f t="shared" si="22"/>
        <v>105500000</v>
      </c>
      <c r="D50" s="5">
        <f t="shared" si="22"/>
        <v>105500000</v>
      </c>
      <c r="E50" s="5">
        <f t="shared" si="22"/>
        <v>105500000</v>
      </c>
      <c r="F50" s="5">
        <f t="shared" si="22"/>
        <v>105500000</v>
      </c>
      <c r="G50" s="5">
        <f t="shared" si="22"/>
        <v>105500000</v>
      </c>
    </row>
    <row r="51" spans="1:7">
      <c r="A51" s="1"/>
      <c r="B51" s="2"/>
      <c r="C51" s="2"/>
      <c r="D51" s="2"/>
      <c r="E51" s="2"/>
      <c r="F51" s="2"/>
      <c r="G51" s="2"/>
    </row>
    <row r="52" spans="1:7" ht="15" thickBot="1">
      <c r="A52" s="12" t="s">
        <v>132</v>
      </c>
      <c r="B52" s="6">
        <f t="shared" ref="B52:G52" si="23">B46+B48</f>
        <v>154691100</v>
      </c>
      <c r="C52" s="6">
        <f t="shared" si="23"/>
        <v>135621165.59444976</v>
      </c>
      <c r="D52" s="6">
        <f t="shared" si="23"/>
        <v>133617143.94746636</v>
      </c>
      <c r="E52" s="6">
        <f t="shared" si="23"/>
        <v>134494934.01434499</v>
      </c>
      <c r="F52" s="6">
        <f t="shared" si="23"/>
        <v>135081001.49492598</v>
      </c>
      <c r="G52" s="6">
        <f t="shared" si="23"/>
        <v>139379668.7401571</v>
      </c>
    </row>
    <row r="53" spans="1:7" ht="15" thickTop="1">
      <c r="A53" s="7"/>
      <c r="B53" s="2"/>
      <c r="C53" s="2"/>
      <c r="D53" s="2"/>
      <c r="E53" s="2"/>
      <c r="F53" s="2"/>
      <c r="G53" s="2"/>
    </row>
    <row r="54" spans="1:7">
      <c r="A54" s="173" t="s">
        <v>133</v>
      </c>
      <c r="B54" s="173"/>
      <c r="C54" s="173"/>
      <c r="D54" s="173"/>
      <c r="E54" s="173"/>
      <c r="F54" s="173"/>
      <c r="G54" s="173"/>
    </row>
    <row r="55" spans="1:7">
      <c r="A55" s="1" t="s">
        <v>134</v>
      </c>
      <c r="C55" s="9">
        <f>C13</f>
        <v>21253400</v>
      </c>
      <c r="D55" s="9">
        <f t="shared" ref="D55:G55" si="24">D13</f>
        <v>53419929.199999988</v>
      </c>
      <c r="E55" s="9">
        <f t="shared" si="24"/>
        <v>94249971.613999963</v>
      </c>
      <c r="F55" s="9">
        <f t="shared" si="24"/>
        <v>139368761.58795217</v>
      </c>
      <c r="G55" s="9">
        <f t="shared" si="24"/>
        <v>195505301.23105615</v>
      </c>
    </row>
    <row r="56" spans="1:7" ht="15" thickBot="1">
      <c r="A56" s="1" t="s">
        <v>135</v>
      </c>
      <c r="C56" s="10">
        <f>C55*'1'!$AB$7</f>
        <v>7438689.9999999991</v>
      </c>
      <c r="D56" s="10">
        <f>D55*'1'!$AB$7</f>
        <v>18696975.219999995</v>
      </c>
      <c r="E56" s="10">
        <f>E55*'1'!$AB$7</f>
        <v>32987490.064899985</v>
      </c>
      <c r="F56" s="10">
        <f>F55*'1'!$AB$7</f>
        <v>48779066.555783257</v>
      </c>
      <c r="G56" s="10">
        <f>G55*'1'!$AB$7</f>
        <v>68426855.430869654</v>
      </c>
    </row>
    <row r="57" spans="1:7" ht="15" thickTop="1">
      <c r="A57" s="4" t="s">
        <v>136</v>
      </c>
      <c r="C57" s="9">
        <f>C55-C56</f>
        <v>13814710</v>
      </c>
      <c r="D57" s="9">
        <f>D55-D56</f>
        <v>34722953.979999989</v>
      </c>
      <c r="E57" s="9">
        <f>E55-E56</f>
        <v>61262481.549099982</v>
      </c>
      <c r="F57" s="9">
        <f>F55-F56</f>
        <v>90589695.03216891</v>
      </c>
      <c r="G57" s="9">
        <f>G55-G56</f>
        <v>127078445.8001865</v>
      </c>
    </row>
    <row r="58" spans="1:7" ht="15" thickBot="1">
      <c r="A58" s="1" t="s">
        <v>137</v>
      </c>
      <c r="C58" s="10">
        <f>-(C52-B52)</f>
        <v>19069934.405550241</v>
      </c>
      <c r="D58" s="10">
        <f t="shared" ref="D58:G58" si="25">-(D52-C52)</f>
        <v>2004021.6469834</v>
      </c>
      <c r="E58" s="10">
        <f t="shared" si="25"/>
        <v>-877790.06687863171</v>
      </c>
      <c r="F58" s="10">
        <f t="shared" si="25"/>
        <v>-586067.48058098555</v>
      </c>
      <c r="G58" s="10">
        <f t="shared" si="25"/>
        <v>-4298667.2452311218</v>
      </c>
    </row>
    <row r="59" spans="1:7" ht="15.6" thickTop="1" thickBot="1">
      <c r="A59" s="57" t="s">
        <v>138</v>
      </c>
      <c r="B59" s="58"/>
      <c r="C59" s="59">
        <f>SUM(C57:C58)</f>
        <v>32884644.405550241</v>
      </c>
      <c r="D59" s="59">
        <f t="shared" ref="D59:G59" si="26">SUM(D57:D58)</f>
        <v>36726975.626983389</v>
      </c>
      <c r="E59" s="59">
        <f t="shared" si="26"/>
        <v>60384691.48222135</v>
      </c>
      <c r="F59" s="59">
        <f t="shared" si="26"/>
        <v>90003627.551587924</v>
      </c>
      <c r="G59" s="59">
        <f t="shared" si="26"/>
        <v>122779778.55495538</v>
      </c>
    </row>
    <row r="60" spans="1:7" ht="15" thickTop="1"/>
  </sheetData>
  <sheetProtection algorithmName="SHA-512" hashValue="TYHGZqyfeKPksQ+YyU56HAa+uc4V6QC8USGqZy1r1EQCOq1fg2lL/+R8R91CNJr1ktaR53KOgDtZE1jjCJMdxg==" saltValue="UO6NieQnziBRyJGZGrguBQ=="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abSelected="1" topLeftCell="A5" zoomScale="70" zoomScaleNormal="70" workbookViewId="0">
      <selection activeCell="E10" sqref="E10"/>
    </sheetView>
  </sheetViews>
  <sheetFormatPr defaultColWidth="11.42578125" defaultRowHeight="14.45"/>
  <cols>
    <col min="1" max="1" width="11.42578125" style="8"/>
    <col min="2" max="2" width="44.28515625" style="8" customWidth="1"/>
    <col min="3" max="3" width="24.28515625" style="8" bestFit="1" customWidth="1"/>
    <col min="4" max="4" width="36.28515625" style="8" bestFit="1" customWidth="1"/>
    <col min="5" max="5" width="32.7109375" style="8" customWidth="1"/>
    <col min="6" max="6" width="26" style="8" customWidth="1"/>
    <col min="7" max="8" width="23.85546875" style="8"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c r="B2" s="158" t="s">
        <v>139</v>
      </c>
      <c r="C2" s="158"/>
      <c r="D2" s="158"/>
      <c r="E2" s="158"/>
      <c r="F2" s="158"/>
      <c r="G2" s="158"/>
      <c r="H2" s="158"/>
    </row>
    <row r="3" spans="2:16" ht="15.75" customHeight="1">
      <c r="B3" s="174" t="s">
        <v>140</v>
      </c>
      <c r="C3" s="174"/>
      <c r="D3" s="174"/>
      <c r="E3" s="175">
        <v>0.25</v>
      </c>
      <c r="F3" s="175"/>
    </row>
    <row r="4" spans="2:16" ht="16.5" customHeight="1">
      <c r="B4" s="174"/>
      <c r="C4" s="174"/>
      <c r="D4" s="174"/>
      <c r="E4" s="175"/>
      <c r="F4" s="175"/>
      <c r="O4" s="100"/>
    </row>
    <row r="5" spans="2:16" ht="16.5" customHeight="1">
      <c r="B5" s="178"/>
      <c r="C5" s="178"/>
      <c r="D5" s="178"/>
      <c r="E5" s="132"/>
      <c r="F5" s="132"/>
      <c r="O5" s="100"/>
    </row>
    <row r="6" spans="2:16" ht="15" thickBot="1">
      <c r="O6" s="100"/>
      <c r="P6" s="103"/>
    </row>
    <row r="7" spans="2:16" ht="23.45">
      <c r="B7" s="99" t="s">
        <v>141</v>
      </c>
      <c r="C7" s="83" t="s">
        <v>142</v>
      </c>
      <c r="D7" s="84">
        <f>'4'!C20</f>
        <v>2025</v>
      </c>
      <c r="E7" s="84">
        <f>'4'!D20</f>
        <v>2026</v>
      </c>
      <c r="F7" s="84">
        <f>'4'!E20</f>
        <v>2027</v>
      </c>
      <c r="G7" s="84">
        <f>'4'!F20</f>
        <v>2028</v>
      </c>
      <c r="H7" s="85">
        <f>'4'!G20</f>
        <v>2029</v>
      </c>
      <c r="O7" s="100"/>
      <c r="P7" s="102"/>
    </row>
    <row r="8" spans="2:16" ht="18.600000000000001" thickBot="1">
      <c r="B8" s="86"/>
      <c r="C8" s="107">
        <f>-'3'!D14</f>
        <v>-154691100</v>
      </c>
      <c r="D8" s="107">
        <f>'4'!C59</f>
        <v>32884644.405550241</v>
      </c>
      <c r="E8" s="107">
        <f>'4'!D59</f>
        <v>36726975.626983389</v>
      </c>
      <c r="F8" s="107">
        <f>'4'!E59</f>
        <v>60384691.48222135</v>
      </c>
      <c r="G8" s="107">
        <f>'4'!F59</f>
        <v>90003627.551587924</v>
      </c>
      <c r="H8" s="108">
        <f>'4'!G59</f>
        <v>122779778.55495538</v>
      </c>
      <c r="O8" s="100"/>
      <c r="P8" s="102"/>
    </row>
    <row r="9" spans="2:16" ht="15" thickBot="1">
      <c r="C9" s="71">
        <f>C8/(1+$E$3)^0</f>
        <v>-154691100</v>
      </c>
      <c r="D9" s="71">
        <f>D8/(1+$E$3)^1</f>
        <v>26307715.524440192</v>
      </c>
      <c r="E9" s="71">
        <f>E8/(1+$E$3)^2</f>
        <v>23505264.401269369</v>
      </c>
      <c r="F9" s="71">
        <f>F8/(1+$E$3)^3</f>
        <v>30916962.038897332</v>
      </c>
      <c r="G9" s="71">
        <f>G8/(1+$E$3)^4</f>
        <v>36865485.845130414</v>
      </c>
      <c r="H9" s="71">
        <f>H8/(1+$E$3)^5</f>
        <v>40232477.836887777</v>
      </c>
      <c r="O9" s="100"/>
      <c r="P9" s="102"/>
    </row>
    <row r="10" spans="2:16" ht="24" thickBot="1">
      <c r="B10" s="30" t="s">
        <v>143</v>
      </c>
      <c r="C10" s="31"/>
      <c r="D10" s="109">
        <f>NPV(E3,D8:H8)+$C$8</f>
        <v>3136805.6466251016</v>
      </c>
      <c r="O10" s="100"/>
      <c r="P10" s="102"/>
    </row>
    <row r="11" spans="2:16" ht="28.9" thickBot="1">
      <c r="B11" s="139" t="s">
        <v>144</v>
      </c>
      <c r="C11" s="31"/>
      <c r="D11" s="110">
        <f>IF(ISERROR(IRR(C8:H8)),"NO_APLICA",(IRR(C8:H8)))</f>
        <v>0.25773328428187492</v>
      </c>
      <c r="F11" s="104" t="s">
        <v>145</v>
      </c>
      <c r="G11" s="31"/>
      <c r="H11" s="105">
        <f>IF(ISERROR(-C9/AVERAGE(D9:H9)),"NO_APLICA",(-C9/AVERAGE(D9:H9)))</f>
        <v>4.9006257596280731</v>
      </c>
      <c r="I11" s="106" t="s">
        <v>146</v>
      </c>
      <c r="P11" s="101"/>
    </row>
    <row r="13" spans="2:16" ht="18">
      <c r="B13" s="176" t="s">
        <v>147</v>
      </c>
      <c r="C13" s="176"/>
      <c r="D13" s="176"/>
      <c r="E13" s="176"/>
      <c r="F13" s="176"/>
      <c r="G13" s="176"/>
      <c r="H13" s="176"/>
    </row>
    <row r="14" spans="2:16" ht="36.6">
      <c r="B14" s="87" t="str">
        <f>'1'!B2</f>
        <v>NOMBRE DEL PRODUCTO O SERVICIO</v>
      </c>
      <c r="C14" s="87" t="s">
        <v>148</v>
      </c>
      <c r="D14" s="87" t="s">
        <v>149</v>
      </c>
      <c r="E14" s="87" t="s">
        <v>150</v>
      </c>
      <c r="F14" s="87" t="s">
        <v>151</v>
      </c>
      <c r="H14" s="71"/>
      <c r="I14" s="71"/>
      <c r="J14" s="71" t="s">
        <v>152</v>
      </c>
    </row>
    <row r="15" spans="2:16">
      <c r="B15" s="92" t="str">
        <f>'1'!B3</f>
        <v>Suscripcion usuario proveedor</v>
      </c>
      <c r="C15" s="88">
        <f>'1'!D3-'1'!D17</f>
        <v>45500</v>
      </c>
      <c r="D15" s="89">
        <f>'1'!F3</f>
        <v>1.4814814814814815E-2</v>
      </c>
      <c r="E15" s="88">
        <f>C15*D15</f>
        <v>674.07407407407413</v>
      </c>
      <c r="F15" s="90">
        <f t="shared" ref="F15:F24" si="0">$E$28*D15</f>
        <v>2.7318974768524296</v>
      </c>
      <c r="G15" s="38" t="s">
        <v>153</v>
      </c>
      <c r="H15" s="72">
        <f>'1'!D3</f>
        <v>50000</v>
      </c>
      <c r="I15" s="91">
        <f t="shared" ref="I15:I24" si="1">$B$35*D15</f>
        <v>5.4637949537048591</v>
      </c>
      <c r="J15" s="72">
        <f>'1'!D17</f>
        <v>4500</v>
      </c>
    </row>
    <row r="16" spans="2:16">
      <c r="B16" s="92" t="str">
        <f>'1'!B4</f>
        <v xml:space="preserve">Suscripcion usuario cultivador </v>
      </c>
      <c r="C16" s="88">
        <f>'1'!D4-'1'!D18</f>
        <v>14500</v>
      </c>
      <c r="D16" s="89">
        <f>'1'!F4</f>
        <v>5.9259259259259262E-2</v>
      </c>
      <c r="E16" s="88">
        <f t="shared" ref="E16:E24" si="2">C16*D16</f>
        <v>859.25925925925924</v>
      </c>
      <c r="F16" s="90">
        <f t="shared" si="0"/>
        <v>10.927589907409718</v>
      </c>
      <c r="G16" s="38" t="str">
        <f>G15</f>
        <v>UNIDADES</v>
      </c>
      <c r="H16" s="72">
        <f>'1'!D4</f>
        <v>20000</v>
      </c>
      <c r="I16" s="91">
        <f t="shared" si="1"/>
        <v>21.855179814819437</v>
      </c>
      <c r="J16" s="72">
        <f>'1'!D18</f>
        <v>5500</v>
      </c>
    </row>
    <row r="17" spans="2:10">
      <c r="B17" s="92" t="str">
        <f>'1'!B5</f>
        <v>Venta de KIT huerta para usuario individual</v>
      </c>
      <c r="C17" s="88">
        <f>'1'!D5-'1'!D19</f>
        <v>150000</v>
      </c>
      <c r="D17" s="89">
        <f>'1'!F5</f>
        <v>0.37037037037037035</v>
      </c>
      <c r="E17" s="88">
        <f t="shared" si="2"/>
        <v>55555.555555555555</v>
      </c>
      <c r="F17" s="90">
        <f t="shared" si="0"/>
        <v>68.297436921310734</v>
      </c>
      <c r="G17" s="38" t="str">
        <f t="shared" ref="G17:G24" si="3">G16</f>
        <v>UNIDADES</v>
      </c>
      <c r="H17" s="72">
        <f>'1'!D5</f>
        <v>250000</v>
      </c>
      <c r="I17" s="91">
        <f t="shared" si="1"/>
        <v>136.59487384262147</v>
      </c>
      <c r="J17" s="72">
        <f>'1'!D19</f>
        <v>100000</v>
      </c>
    </row>
    <row r="18" spans="2:10">
      <c r="B18" s="92" t="str">
        <f>'1'!B6</f>
        <v xml:space="preserve">Venta de KIT huerta para usuario comunitario </v>
      </c>
      <c r="C18" s="88">
        <f>'1'!D6-'1'!D20</f>
        <v>1500000</v>
      </c>
      <c r="D18" s="89">
        <f>'1'!F6</f>
        <v>0.55555555555555558</v>
      </c>
      <c r="E18" s="88">
        <f t="shared" si="2"/>
        <v>833333.33333333337</v>
      </c>
      <c r="F18" s="90">
        <f t="shared" si="0"/>
        <v>102.44615538196611</v>
      </c>
      <c r="G18" s="38" t="str">
        <f t="shared" si="3"/>
        <v>UNIDADES</v>
      </c>
      <c r="H18" s="72">
        <f>'1'!D6</f>
        <v>2500000</v>
      </c>
      <c r="I18" s="91">
        <f t="shared" si="1"/>
        <v>204.89231076393222</v>
      </c>
      <c r="J18" s="72">
        <f>'1'!D20</f>
        <v>1000000</v>
      </c>
    </row>
    <row r="19" spans="2:10">
      <c r="B19" s="92">
        <f>'1'!B7</f>
        <v>0</v>
      </c>
      <c r="C19" s="88">
        <f>'1'!D7-'1'!D21</f>
        <v>0</v>
      </c>
      <c r="D19" s="89">
        <f>'1'!F7</f>
        <v>0</v>
      </c>
      <c r="E19" s="88">
        <f t="shared" si="2"/>
        <v>0</v>
      </c>
      <c r="F19" s="90">
        <f t="shared" si="0"/>
        <v>0</v>
      </c>
      <c r="G19" s="38" t="str">
        <f t="shared" si="3"/>
        <v>UNIDADES</v>
      </c>
      <c r="H19" s="72">
        <f>'1'!D7</f>
        <v>0</v>
      </c>
      <c r="I19" s="91">
        <f t="shared" si="1"/>
        <v>0</v>
      </c>
      <c r="J19" s="72">
        <f>'1'!D21</f>
        <v>0</v>
      </c>
    </row>
    <row r="20" spans="2:10">
      <c r="B20" s="92">
        <f>'1'!B8</f>
        <v>0</v>
      </c>
      <c r="C20" s="88">
        <f>'1'!D8-'1'!D22</f>
        <v>0</v>
      </c>
      <c r="D20" s="89">
        <f>'1'!F8</f>
        <v>0</v>
      </c>
      <c r="E20" s="88">
        <f t="shared" si="2"/>
        <v>0</v>
      </c>
      <c r="F20" s="90">
        <f t="shared" si="0"/>
        <v>0</v>
      </c>
      <c r="G20" s="38" t="str">
        <f t="shared" si="3"/>
        <v>UNIDADES</v>
      </c>
      <c r="H20" s="72">
        <f>'1'!D8</f>
        <v>0</v>
      </c>
      <c r="I20" s="91">
        <f t="shared" si="1"/>
        <v>0</v>
      </c>
      <c r="J20" s="72">
        <f>'1'!D22</f>
        <v>0</v>
      </c>
    </row>
    <row r="21" spans="2:10">
      <c r="B21" s="92">
        <f>'1'!B9</f>
        <v>0</v>
      </c>
      <c r="C21" s="88">
        <f>'1'!D9-'1'!D23</f>
        <v>0</v>
      </c>
      <c r="D21" s="89">
        <f>'1'!F9</f>
        <v>0</v>
      </c>
      <c r="E21" s="88">
        <f t="shared" si="2"/>
        <v>0</v>
      </c>
      <c r="F21" s="90">
        <f t="shared" si="0"/>
        <v>0</v>
      </c>
      <c r="G21" s="38" t="str">
        <f t="shared" si="3"/>
        <v>UNIDADES</v>
      </c>
      <c r="H21" s="72">
        <f>'1'!D9</f>
        <v>0</v>
      </c>
      <c r="I21" s="91">
        <f t="shared" si="1"/>
        <v>0</v>
      </c>
      <c r="J21" s="72">
        <f>'1'!D23</f>
        <v>0</v>
      </c>
    </row>
    <row r="22" spans="2:10">
      <c r="B22" s="92">
        <f>'1'!B10</f>
        <v>0</v>
      </c>
      <c r="C22" s="88">
        <f>'1'!D10-'1'!D24</f>
        <v>0</v>
      </c>
      <c r="D22" s="89">
        <f>'1'!F10</f>
        <v>0</v>
      </c>
      <c r="E22" s="88">
        <f t="shared" si="2"/>
        <v>0</v>
      </c>
      <c r="F22" s="90">
        <f t="shared" si="0"/>
        <v>0</v>
      </c>
      <c r="G22" s="38" t="str">
        <f t="shared" si="3"/>
        <v>UNIDADES</v>
      </c>
      <c r="H22" s="72">
        <f>'1'!D10</f>
        <v>0</v>
      </c>
      <c r="I22" s="91">
        <f t="shared" si="1"/>
        <v>0</v>
      </c>
      <c r="J22" s="72">
        <f>'1'!D24</f>
        <v>0</v>
      </c>
    </row>
    <row r="23" spans="2:10">
      <c r="B23" s="92">
        <f>'1'!B11</f>
        <v>0</v>
      </c>
      <c r="C23" s="88">
        <f>'1'!D11-'1'!D25</f>
        <v>0</v>
      </c>
      <c r="D23" s="89">
        <f>'1'!F11</f>
        <v>0</v>
      </c>
      <c r="E23" s="88">
        <f t="shared" si="2"/>
        <v>0</v>
      </c>
      <c r="F23" s="90">
        <f t="shared" si="0"/>
        <v>0</v>
      </c>
      <c r="G23" s="38" t="str">
        <f t="shared" si="3"/>
        <v>UNIDADES</v>
      </c>
      <c r="H23" s="72">
        <f>'1'!D11</f>
        <v>0</v>
      </c>
      <c r="I23" s="91">
        <f t="shared" si="1"/>
        <v>0</v>
      </c>
      <c r="J23" s="72">
        <f>'1'!D25</f>
        <v>0</v>
      </c>
    </row>
    <row r="24" spans="2:10">
      <c r="B24" s="92">
        <f>'1'!B12</f>
        <v>0</v>
      </c>
      <c r="C24" s="88">
        <f>'1'!D12-'1'!D26</f>
        <v>0</v>
      </c>
      <c r="D24" s="89">
        <f>'1'!F12</f>
        <v>0</v>
      </c>
      <c r="E24" s="88">
        <f t="shared" si="2"/>
        <v>0</v>
      </c>
      <c r="F24" s="90">
        <f t="shared" si="0"/>
        <v>0</v>
      </c>
      <c r="G24" s="38" t="str">
        <f t="shared" si="3"/>
        <v>UNIDADES</v>
      </c>
      <c r="H24" s="72">
        <f>'1'!D12</f>
        <v>0</v>
      </c>
      <c r="I24" s="91">
        <f t="shared" si="1"/>
        <v>0</v>
      </c>
      <c r="J24" s="72">
        <f>'1'!D26</f>
        <v>0</v>
      </c>
    </row>
    <row r="25" spans="2:10" ht="25.15">
      <c r="C25" s="26"/>
      <c r="D25" s="93"/>
      <c r="E25" s="26"/>
      <c r="F25" s="94">
        <f>SUM(F15:F24)</f>
        <v>184.40307968753899</v>
      </c>
      <c r="G25" s="8" t="str">
        <f>G24</f>
        <v>UNIDADES</v>
      </c>
      <c r="H25" s="72"/>
      <c r="I25" s="91"/>
      <c r="J25" s="72"/>
    </row>
    <row r="26" spans="2:10" ht="12.75" customHeight="1">
      <c r="C26" s="26"/>
      <c r="D26" s="93"/>
      <c r="E26" s="26"/>
      <c r="F26" s="94"/>
      <c r="H26" s="72"/>
      <c r="I26" s="91"/>
      <c r="J26" s="72"/>
    </row>
    <row r="27" spans="2:10" ht="21" customHeight="1">
      <c r="B27" s="179" t="s">
        <v>154</v>
      </c>
      <c r="C27" s="179"/>
      <c r="D27" s="179"/>
      <c r="E27" s="95">
        <f>SUM(E15:E24)</f>
        <v>890422.22222222225</v>
      </c>
      <c r="H27" s="71"/>
      <c r="I27" s="71"/>
      <c r="J27" s="71"/>
    </row>
    <row r="28" spans="2:10" ht="19.5" customHeight="1">
      <c r="B28" s="179" t="s">
        <v>155</v>
      </c>
      <c r="C28" s="179"/>
      <c r="D28" s="179"/>
      <c r="E28" s="94">
        <f>IF(E27=0,0,('2'!C23+'2'!F31+'2'!C25)/'5'!E27)</f>
        <v>184.40307968753899</v>
      </c>
      <c r="F28" s="96" t="s">
        <v>153</v>
      </c>
      <c r="H28" s="97"/>
    </row>
    <row r="29" spans="2:10" ht="25.15">
      <c r="B29" s="179" t="s">
        <v>156</v>
      </c>
      <c r="C29" s="179"/>
      <c r="D29" s="179"/>
      <c r="E29" s="95">
        <f>E49</f>
        <v>273544894.35723376</v>
      </c>
    </row>
    <row r="30" spans="2:10">
      <c r="B30" s="127"/>
      <c r="C30" s="127"/>
      <c r="D30" s="127"/>
      <c r="E30" s="127"/>
      <c r="F30" s="127"/>
      <c r="G30" s="127"/>
    </row>
    <row r="31" spans="2:10" s="71" customFormat="1"/>
    <row r="32" spans="2:10" s="71" customFormat="1">
      <c r="C32" s="71" t="s">
        <v>157</v>
      </c>
      <c r="D32" s="71" t="s">
        <v>158</v>
      </c>
      <c r="E32" s="71" t="s">
        <v>159</v>
      </c>
      <c r="F32" s="71" t="s">
        <v>160</v>
      </c>
    </row>
    <row r="33" spans="2:6" s="71" customFormat="1">
      <c r="B33" s="71">
        <v>0</v>
      </c>
      <c r="C33" s="72">
        <f>'2'!C25+'2'!F31+'2'!C23</f>
        <v>164196600</v>
      </c>
      <c r="D33" s="71">
        <f>0</f>
        <v>0</v>
      </c>
      <c r="E33" s="71">
        <v>0</v>
      </c>
      <c r="F33" s="72">
        <f>C33+E33</f>
        <v>164196600</v>
      </c>
    </row>
    <row r="34" spans="2:6" s="71" customFormat="1">
      <c r="B34" s="91">
        <f>F25</f>
        <v>184.40307968753899</v>
      </c>
      <c r="C34" s="72">
        <f>C33</f>
        <v>164196600</v>
      </c>
      <c r="D34" s="128">
        <f>SUMPRODUCT(F15:F24,H15:H24)</f>
        <v>273544894.35723376</v>
      </c>
      <c r="E34" s="128">
        <f>SUMPRODUCT(F15:F24,J15:J24)</f>
        <v>109348294.35723378</v>
      </c>
      <c r="F34" s="72">
        <f t="shared" ref="F34:F35" si="4">C34+E34</f>
        <v>273544894.35723376</v>
      </c>
    </row>
    <row r="35" spans="2:6" s="71" customFormat="1">
      <c r="B35" s="91">
        <f>B34*2</f>
        <v>368.80615937507798</v>
      </c>
      <c r="C35" s="72">
        <f>C34</f>
        <v>164196600</v>
      </c>
      <c r="D35" s="128">
        <f>SUMPRODUCT(H15:H24,I15:I24)</f>
        <v>547089788.71446753</v>
      </c>
      <c r="E35" s="128">
        <f>SUMPRODUCT(I15:I24,J15:J24)</f>
        <v>218696588.71446756</v>
      </c>
      <c r="F35" s="72">
        <f t="shared" si="4"/>
        <v>382893188.71446753</v>
      </c>
    </row>
    <row r="36" spans="2:6" s="71" customFormat="1">
      <c r="C36" s="72"/>
    </row>
    <row r="37" spans="2:6" s="71" customFormat="1">
      <c r="C37" s="72"/>
    </row>
    <row r="38" spans="2:6" s="71" customFormat="1">
      <c r="C38" s="129" t="s">
        <v>161</v>
      </c>
      <c r="D38" s="71" t="s">
        <v>153</v>
      </c>
      <c r="E38" s="71" t="s">
        <v>162</v>
      </c>
    </row>
    <row r="39" spans="2:6" s="71" customFormat="1">
      <c r="B39" s="71">
        <v>1</v>
      </c>
      <c r="C39" s="72">
        <f>'1'!D3</f>
        <v>50000</v>
      </c>
      <c r="D39" s="91">
        <f>F15</f>
        <v>2.7318974768524296</v>
      </c>
      <c r="E39" s="71">
        <f>C39*D39</f>
        <v>136594.87384262148</v>
      </c>
    </row>
    <row r="40" spans="2:6" s="71" customFormat="1">
      <c r="B40" s="71">
        <f>B39+1</f>
        <v>2</v>
      </c>
      <c r="C40" s="72">
        <f>'1'!D4</f>
        <v>20000</v>
      </c>
      <c r="D40" s="91">
        <f t="shared" ref="D40:D48" si="5">F16</f>
        <v>10.927589907409718</v>
      </c>
      <c r="E40" s="71">
        <f t="shared" ref="E40:E48" si="6">C40*D40</f>
        <v>218551.79814819436</v>
      </c>
    </row>
    <row r="41" spans="2:6" s="71" customFormat="1">
      <c r="B41" s="71">
        <f t="shared" ref="B41:B48" si="7">B40+1</f>
        <v>3</v>
      </c>
      <c r="C41" s="72">
        <f>'1'!D5</f>
        <v>250000</v>
      </c>
      <c r="D41" s="91">
        <f t="shared" si="5"/>
        <v>68.297436921310734</v>
      </c>
      <c r="E41" s="71">
        <f t="shared" si="6"/>
        <v>17074359.230327684</v>
      </c>
    </row>
    <row r="42" spans="2:6" s="71" customFormat="1">
      <c r="B42" s="71">
        <f t="shared" si="7"/>
        <v>4</v>
      </c>
      <c r="C42" s="72">
        <f>'1'!D6</f>
        <v>2500000</v>
      </c>
      <c r="D42" s="91">
        <f t="shared" si="5"/>
        <v>102.44615538196611</v>
      </c>
      <c r="E42" s="71">
        <f t="shared" si="6"/>
        <v>256115388.45491526</v>
      </c>
    </row>
    <row r="43" spans="2:6" s="71" customFormat="1">
      <c r="B43" s="71">
        <f t="shared" si="7"/>
        <v>5</v>
      </c>
      <c r="C43" s="72">
        <f>'1'!D7</f>
        <v>0</v>
      </c>
      <c r="D43" s="91">
        <f t="shared" si="5"/>
        <v>0</v>
      </c>
      <c r="E43" s="71">
        <f t="shared" si="6"/>
        <v>0</v>
      </c>
    </row>
    <row r="44" spans="2:6" s="71" customFormat="1">
      <c r="B44" s="71">
        <f t="shared" si="7"/>
        <v>6</v>
      </c>
      <c r="C44" s="72">
        <f>'1'!D8</f>
        <v>0</v>
      </c>
      <c r="D44" s="91">
        <f t="shared" si="5"/>
        <v>0</v>
      </c>
      <c r="E44" s="71">
        <f t="shared" si="6"/>
        <v>0</v>
      </c>
    </row>
    <row r="45" spans="2:6" s="71" customFormat="1">
      <c r="B45" s="71">
        <f t="shared" si="7"/>
        <v>7</v>
      </c>
      <c r="C45" s="72">
        <f>'1'!D9</f>
        <v>0</v>
      </c>
      <c r="D45" s="91">
        <f t="shared" si="5"/>
        <v>0</v>
      </c>
      <c r="E45" s="71">
        <f t="shared" si="6"/>
        <v>0</v>
      </c>
    </row>
    <row r="46" spans="2:6" s="71" customFormat="1">
      <c r="B46" s="71">
        <f t="shared" si="7"/>
        <v>8</v>
      </c>
      <c r="C46" s="72">
        <f>'1'!D10</f>
        <v>0</v>
      </c>
      <c r="D46" s="91">
        <f t="shared" si="5"/>
        <v>0</v>
      </c>
      <c r="E46" s="71">
        <f t="shared" si="6"/>
        <v>0</v>
      </c>
    </row>
    <row r="47" spans="2:6" s="71" customFormat="1">
      <c r="B47" s="71">
        <f t="shared" si="7"/>
        <v>9</v>
      </c>
      <c r="C47" s="72">
        <f>'1'!D11</f>
        <v>0</v>
      </c>
      <c r="D47" s="91">
        <f t="shared" si="5"/>
        <v>0</v>
      </c>
      <c r="E47" s="71">
        <f t="shared" si="6"/>
        <v>0</v>
      </c>
    </row>
    <row r="48" spans="2:6" s="71" customFormat="1">
      <c r="B48" s="71">
        <f t="shared" si="7"/>
        <v>10</v>
      </c>
      <c r="C48" s="72">
        <f>'1'!D12</f>
        <v>0</v>
      </c>
      <c r="D48" s="91">
        <f t="shared" si="5"/>
        <v>0</v>
      </c>
      <c r="E48" s="71">
        <f t="shared" si="6"/>
        <v>0</v>
      </c>
    </row>
    <row r="49" spans="2:8" s="71" customFormat="1">
      <c r="C49" s="72"/>
      <c r="E49" s="130">
        <f>SUM(E39:E48)</f>
        <v>273544894.35723376</v>
      </c>
    </row>
    <row r="50" spans="2:8" s="71" customFormat="1"/>
    <row r="51" spans="2:8" s="71" customFormat="1">
      <c r="C51" s="72"/>
    </row>
    <row r="52" spans="2:8" s="71" customFormat="1">
      <c r="B52" s="177"/>
      <c r="C52" s="177"/>
      <c r="D52" s="177"/>
      <c r="G52" s="71" t="s">
        <v>163</v>
      </c>
      <c r="H52" s="131">
        <f>'4'!B32/'4'!B27</f>
        <v>0.90303255972709484</v>
      </c>
    </row>
    <row r="53" spans="2:8" s="71" customFormat="1">
      <c r="C53" s="72"/>
      <c r="G53" s="71" t="s">
        <v>164</v>
      </c>
      <c r="H53" s="131">
        <f>'4'!B36/'4'!B27</f>
        <v>9.6967440272905159E-2</v>
      </c>
    </row>
    <row r="54" spans="2:8" s="71" customFormat="1">
      <c r="G54" s="71" t="s">
        <v>165</v>
      </c>
      <c r="H54" s="71">
        <f>'1'!AB7</f>
        <v>0.35</v>
      </c>
    </row>
    <row r="55" spans="2:8" s="71" customFormat="1">
      <c r="G55" s="71" t="s">
        <v>166</v>
      </c>
      <c r="H55" s="131">
        <f>'3'!F4</f>
        <v>0.12</v>
      </c>
    </row>
    <row r="56" spans="2:8" s="71" customFormat="1">
      <c r="G56" s="71" t="s">
        <v>167</v>
      </c>
    </row>
    <row r="57" spans="2:8" s="71" customFormat="1"/>
    <row r="58" spans="2:8" s="71" customFormat="1"/>
    <row r="59" spans="2:8" s="71" customFormat="1"/>
    <row r="60" spans="2:8" s="71" customFormat="1"/>
    <row r="61" spans="2:8" s="71" customFormat="1"/>
    <row r="62" spans="2:8">
      <c r="B62" s="127"/>
      <c r="C62" s="127"/>
      <c r="D62" s="127"/>
      <c r="E62" s="127"/>
      <c r="F62" s="127"/>
      <c r="G62" s="127"/>
    </row>
    <row r="63" spans="2:8">
      <c r="B63" s="127"/>
      <c r="C63" s="127"/>
      <c r="D63" s="127"/>
      <c r="E63" s="127"/>
      <c r="F63" s="127"/>
      <c r="G63" s="127"/>
    </row>
    <row r="64" spans="2:8">
      <c r="B64" s="127"/>
      <c r="C64" s="127"/>
      <c r="D64" s="127"/>
      <c r="E64" s="127"/>
      <c r="F64" s="127"/>
      <c r="G64" s="127"/>
    </row>
    <row r="65" spans="2:7">
      <c r="B65" s="127"/>
      <c r="C65" s="127"/>
      <c r="D65" s="127"/>
      <c r="E65" s="127"/>
      <c r="F65" s="127"/>
      <c r="G65" s="127"/>
    </row>
    <row r="66" spans="2:7">
      <c r="B66" s="127"/>
      <c r="C66" s="127"/>
      <c r="D66" s="127"/>
      <c r="E66" s="127"/>
      <c r="F66" s="127"/>
      <c r="G66" s="127"/>
    </row>
  </sheetData>
  <sheetProtection algorithmName="SHA-512" hashValue="moE6vkfzJ2/plS6QaAdzkQxb14QdB460QBAc3HmrFG0ryFmW05kTv+aMYJ1d6g/Yc3JKYjmDdomYwTZ9tQpztw==" saltValue="SIKXKXO1TjOxERs8DMAPeg=="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40F00-669D-4AFC-8FE0-3D7954F23D87}">
  <dimension ref="C4:E8"/>
  <sheetViews>
    <sheetView workbookViewId="0">
      <selection activeCell="D6" sqref="D6"/>
    </sheetView>
  </sheetViews>
  <sheetFormatPr defaultColWidth="11.42578125" defaultRowHeight="14.45"/>
  <cols>
    <col min="3" max="3" width="24.28515625" style="145" customWidth="1"/>
    <col min="4" max="4" width="30.7109375" style="145" customWidth="1"/>
    <col min="5" max="5" width="24.28515625" customWidth="1"/>
  </cols>
  <sheetData>
    <row r="4" spans="3:5" ht="31.15">
      <c r="C4" s="150" t="s">
        <v>168</v>
      </c>
      <c r="D4" s="150" t="s">
        <v>169</v>
      </c>
      <c r="E4" s="150" t="s">
        <v>170</v>
      </c>
    </row>
    <row r="5" spans="3:5">
      <c r="C5" s="147"/>
      <c r="D5" s="146"/>
      <c r="E5" s="146"/>
    </row>
    <row r="6" spans="3:5" ht="28.9">
      <c r="C6" s="149" t="str">
        <f>+'1'!B5</f>
        <v>Venta de KIT huerta para usuario individual</v>
      </c>
      <c r="D6" s="148" t="s">
        <v>171</v>
      </c>
      <c r="E6" s="148">
        <f>550*0.2</f>
        <v>110</v>
      </c>
    </row>
    <row r="7" spans="3:5">
      <c r="C7" s="149"/>
      <c r="D7" s="148"/>
      <c r="E7" s="148"/>
    </row>
    <row r="8" spans="3:5" ht="28.9">
      <c r="C8" s="149" t="str">
        <f>+'1'!B6</f>
        <v xml:space="preserve">Venta de KIT huerta para usuario comunitario </v>
      </c>
      <c r="D8" s="148" t="s">
        <v>172</v>
      </c>
      <c r="E8" s="148">
        <f>20*0.2</f>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1F90877AE4D9847A2F0BFD1F9D70888" ma:contentTypeVersion="4" ma:contentTypeDescription="Crear nuevo documento." ma:contentTypeScope="" ma:versionID="e5d730f0816c85c9f30b02bb7f11618e">
  <xsd:schema xmlns:xsd="http://www.w3.org/2001/XMLSchema" xmlns:xs="http://www.w3.org/2001/XMLSchema" xmlns:p="http://schemas.microsoft.com/office/2006/metadata/properties" xmlns:ns2="c5a683b2-48c3-4cad-9aa0-e7a194632183" targetNamespace="http://schemas.microsoft.com/office/2006/metadata/properties" ma:root="true" ma:fieldsID="7561d2a5e96209088c69c1492970a713" ns2:_="">
    <xsd:import namespace="c5a683b2-48c3-4cad-9aa0-e7a1946321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683b2-48c3-4cad-9aa0-e7a1946321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3A8E22-FC22-4483-B8D3-F8A048E274A2}"/>
</file>

<file path=customXml/itemProps2.xml><?xml version="1.0" encoding="utf-8"?>
<ds:datastoreItem xmlns:ds="http://schemas.openxmlformats.org/officeDocument/2006/customXml" ds:itemID="{E3F79531-CEC7-4F54-A318-A71EEF1ED699}"/>
</file>

<file path=customXml/itemProps3.xml><?xml version="1.0" encoding="utf-8"?>
<ds:datastoreItem xmlns:ds="http://schemas.openxmlformats.org/officeDocument/2006/customXml" ds:itemID="{65867BFE-EAC9-4690-9EAD-132C18C7B8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
  <cp:revision/>
  <dcterms:created xsi:type="dcterms:W3CDTF">2013-07-30T17:19:59Z</dcterms:created>
  <dcterms:modified xsi:type="dcterms:W3CDTF">2025-06-02T01:18:50Z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0x010100E1F90877AE4D9847A2F0BFD1F9D70888</vt:lpwstr>
  </property>
  <property fmtid="{D5CDD505-2E9C-101B-9397-08002B2CF9AE}" pid="3" name="MediaServiceImageTags">
    <vt:lpwstr/>
  </property>
</Properties>
</file>