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codeName="ThisWorkbook" defaultThemeVersion="124226"/>
  <mc:AlternateContent xmlns:mc="http://schemas.openxmlformats.org/markup-compatibility/2006">
    <mc:Choice Requires="x15">
      <x15ac:absPath xmlns:x15ac="http://schemas.microsoft.com/office/spreadsheetml/2010/11/ac" url="D:\MAESTRÍA LM\4. Cuarto semestre\Proyecto de grado\"/>
    </mc:Choice>
  </mc:AlternateContent>
  <xr:revisionPtr revIDLastSave="0" documentId="8_{9908F331-A38F-4FD6-8B96-C5993C050B4F}" xr6:coauthVersionLast="40" xr6:coauthVersionMax="40" xr10:uidLastSave="{00000000-0000-0000-0000-000000000000}"/>
  <bookViews>
    <workbookView xWindow="0" yWindow="0" windowWidth="20490" windowHeight="7545" tabRatio="703" firstSheet="5"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calcChain.xml><?xml version="1.0" encoding="utf-8"?>
<calcChain xmlns="http://schemas.openxmlformats.org/spreadsheetml/2006/main">
  <c r="F23" i="4" l="1"/>
  <c r="F22" i="4"/>
  <c r="F25" i="4"/>
  <c r="F24" i="4"/>
  <c r="F21" i="4"/>
  <c r="F19" i="4"/>
  <c r="F20" i="4"/>
  <c r="F18" i="4"/>
  <c r="C8" i="4"/>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B27" i="5"/>
  <c r="I9" i="3"/>
  <c r="F9" i="3"/>
  <c r="G9" i="3" s="1"/>
  <c r="C14" i="5" s="1"/>
  <c r="C15" i="5" s="1"/>
  <c r="C16" i="5" s="1"/>
  <c r="C29" i="5" s="1"/>
  <c r="F55" i="5"/>
  <c r="F56" i="5" s="1"/>
  <c r="F57" i="5" s="1"/>
  <c r="I16" i="6"/>
  <c r="I17" i="6"/>
  <c r="I22" i="6"/>
  <c r="I20" i="6"/>
  <c r="I21" i="6"/>
  <c r="I23" i="6"/>
  <c r="I24" i="6"/>
  <c r="I15" i="6"/>
  <c r="I19" i="6"/>
  <c r="I18" i="6"/>
  <c r="G43" i="5"/>
  <c r="B39" i="5" l="1"/>
  <c r="H53" i="6"/>
  <c r="H52" i="6"/>
  <c r="C17" i="5"/>
  <c r="C35" i="5" s="1"/>
  <c r="C36" i="5" s="1"/>
  <c r="H9" i="3"/>
  <c r="J9" i="3" s="1"/>
  <c r="I10" i="3" s="1"/>
  <c r="E35" i="6"/>
  <c r="F35" i="6" s="1"/>
  <c r="D35" i="6"/>
  <c r="C30" i="5"/>
  <c r="C45" i="5"/>
  <c r="F10" i="3" l="1"/>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D44" i="5"/>
  <c r="E45" i="5"/>
  <c r="E17" i="5"/>
  <c r="E35" i="5" s="1"/>
  <c r="E36" i="5" s="1"/>
  <c r="I12" i="3" l="1"/>
  <c r="F12" i="3"/>
  <c r="G12" i="3" s="1"/>
  <c r="F14" i="5" s="1"/>
  <c r="F15" i="5" s="1"/>
  <c r="F16" i="5" s="1"/>
  <c r="F17" i="5" s="1"/>
  <c r="F35" i="5" s="1"/>
  <c r="F36" i="5" s="1"/>
  <c r="E31" i="5"/>
  <c r="E32" i="5" s="1"/>
  <c r="E38" i="5" s="1"/>
  <c r="E22" i="5" s="1"/>
  <c r="E27" i="5" s="1"/>
  <c r="E39" i="5" s="1"/>
  <c r="D46" i="5"/>
  <c r="D52" i="5" s="1"/>
  <c r="D58" i="5" s="1"/>
  <c r="D59" i="5" s="1"/>
  <c r="E8" i="6" s="1"/>
  <c r="F29" i="5" l="1"/>
  <c r="F45" i="5" s="1"/>
  <c r="H12" i="3"/>
  <c r="J12" i="3" s="1"/>
  <c r="F13" i="3" s="1"/>
  <c r="G13" i="3" s="1"/>
  <c r="G14" i="5" s="1"/>
  <c r="G15" i="5" s="1"/>
  <c r="G16" i="5" s="1"/>
  <c r="G17" i="5" s="1"/>
  <c r="E44" i="5"/>
  <c r="I13" i="3" l="1"/>
  <c r="H13" i="3" s="1"/>
  <c r="J13" i="3" s="1"/>
  <c r="G31" i="5" s="1"/>
  <c r="G29" i="5"/>
  <c r="G30" i="5" s="1"/>
  <c r="F31" i="5"/>
  <c r="F30" i="5"/>
  <c r="E46" i="5"/>
  <c r="E52" i="5" s="1"/>
  <c r="E58" i="5" s="1"/>
  <c r="E59" i="5" s="1"/>
  <c r="F8" i="6" s="1"/>
  <c r="G35" i="5"/>
  <c r="G36" i="5" s="1"/>
  <c r="G32" i="5" l="1"/>
  <c r="F32" i="5"/>
  <c r="F38" i="5" s="1"/>
  <c r="F22" i="5" s="1"/>
  <c r="F44" i="5" s="1"/>
  <c r="F46" i="5" s="1"/>
  <c r="F52" i="5" s="1"/>
  <c r="F58" i="5" s="1"/>
  <c r="F59" i="5" s="1"/>
  <c r="G8" i="6" s="1"/>
  <c r="G45" i="5"/>
  <c r="G38" i="5"/>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<sst xmlns="http://schemas.openxmlformats.org/spreadsheetml/2006/main" count="176" uniqueCount="167">
  <si>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</si>
  <si>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</si>
  <si>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</si>
  <si>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</si>
  <si>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</si>
  <si>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</si>
  <si>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</si>
  <si>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</si>
  <si>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</si>
  <si>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</si>
  <si>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</si>
  <si>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</si>
  <si>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</si>
  <si>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</si>
  <si>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</si>
  <si>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</si>
  <si>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</si>
  <si>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</si>
  <si>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15 variadeades de Frutas (Promedio)</t>
  </si>
  <si>
    <t>AÑO</t>
  </si>
  <si>
    <t>10 Variedades de Verduras (Promedio)</t>
  </si>
  <si>
    <t>INFLACIÓN</t>
  </si>
  <si>
    <t>Servicio de suscripción</t>
  </si>
  <si>
    <t>IPP</t>
  </si>
  <si>
    <t>Servicio de entrega Normal  - al siguiente dia (Inferior a $50.000)</t>
  </si>
  <si>
    <t xml:space="preserve">Servicio de entrega express - El mismo dia </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</si>
  <si>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</si>
  <si>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</si>
  <si>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</si>
  <si>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</si>
  <si>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</si>
  <si>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</si>
  <si>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</si>
  <si>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</si>
  <si>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</si>
  <si>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</si>
  <si>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</si>
  <si>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</si>
  <si>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</si>
  <si>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</si>
  <si>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</si>
  <si>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</si>
  <si>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</si>
  <si>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</si>
  <si>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</si>
  <si>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</si>
  <si>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</si>
  <si>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</si>
  <si>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</si>
  <si>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</si>
  <si>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</si>
  <si>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</si>
  <si>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</si>
  <si>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</si>
  <si>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</si>
  <si>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</si>
  <si>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</si>
  <si>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</si>
  <si>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</si>
  <si>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</si>
  <si>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</si>
  <si>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</si>
  <si>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</si>
  <si>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</si>
  <si>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</si>
  <si>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</si>
  <si>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</si>
  <si>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Contador</t>
  </si>
  <si>
    <t xml:space="preserve">Host Aplicación </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</si>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</sst>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0.00;[Red]\-&quot;$&quot;#,##0.00"/>
    <numFmt numFmtId="164" formatCode="&quot;$&quot;\ #,##0.00_);[Red]\(&quot;$&quot;\ #,##0.00\)"/>
    <numFmt numFmtId="165" formatCode="_(&quot;$&quot;\ * #,##0.00_);_(&quot;$&quot;\ * \(#,##0.00\);_(&quot;$&quot;\ * &quot;-&quot;??_);_(@_)"/>
    <numFmt numFmtId="166" formatCode="_(* #,##0.00_);_(* \(#,##0.00\);_(*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 #,##0.0_);_(* \(#,##0.0\);_(* &quot;-&quot;??_);_(@_)"/>
    <numFmt numFmtId="177" formatCode="_ * #,##0.00_ ;_ * \-#,##0.00_ ;_ * &quot;-&quot;??_ ;_ @_ "/>
    <numFmt numFmtId="178" formatCode="&quot;$&quot;#,##0.00"/>
    <numFmt numFmtId="179" formatCode="_-&quot;$&quot;* #,##0.0_-;\-&quot;$&quot;* #,##0.0_-;_-&quot;$&quot;* &quot;-&quot;??_-;_-@_-"/>
  </numFmts>
  <fonts count="50">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0" fontId="36" fillId="0" borderId="0" applyNumberFormat="0" applyFill="0" applyBorder="0" applyAlignment="0" applyProtection="0"/>
    <xf numFmtId="0" fontId="20" fillId="0" borderId="0"/>
  </cellStyleXfs>
  <cellXfs count="163">
    <xf numFmtId="0" fontId="0" fillId="0" borderId="0" xfId="0"/>
    <xf numFmtId="0" fontId="25" fillId="0" borderId="0" xfId="0" applyFont="1" applyProtection="1">
      <protection hidden="1"/>
    </xf>
    <xf numFmtId="172" fontId="0" fillId="0" borderId="0" xfId="1" applyNumberFormat="1" applyFont="1" applyFill="1" applyProtection="1">
      <protection hidden="1"/>
    </xf>
    <xf numFmtId="172" fontId="0" fillId="0" borderId="7" xfId="1" applyNumberFormat="1" applyFont="1" applyFill="1" applyBorder="1" applyProtection="1">
      <protection hidden="1"/>
    </xf>
    <xf numFmtId="0" fontId="26" fillId="0" borderId="0" xfId="0" applyFont="1" applyProtection="1">
      <protection hidden="1"/>
    </xf>
    <xf numFmtId="172" fontId="24" fillId="0" borderId="0" xfId="1" applyNumberFormat="1" applyFont="1" applyFill="1" applyProtection="1">
      <protection hidden="1"/>
    </xf>
    <xf numFmtId="172" fontId="24" fillId="0" borderId="1" xfId="1" applyNumberFormat="1" applyFont="1" applyFill="1" applyBorder="1" applyProtection="1">
      <protection hidden="1"/>
    </xf>
    <xf numFmtId="174" fontId="20" fillId="0" borderId="0" xfId="3" applyNumberFormat="1" applyFont="1" applyFill="1" applyProtection="1">
      <protection hidden="1"/>
    </xf>
    <xf numFmtId="0" fontId="0" fillId="0" borderId="0" xfId="0" applyProtection="1">
      <protection hidden="1"/>
    </xf>
    <xf numFmtId="175" fontId="0" fillId="0" borderId="0" xfId="1" applyNumberFormat="1" applyFont="1" applyFill="1" applyProtection="1">
      <protection hidden="1"/>
    </xf>
    <xf numFmtId="175" fontId="0" fillId="0" borderId="7" xfId="1" applyNumberFormat="1" applyFont="1" applyFill="1" applyBorder="1" applyProtection="1">
      <protection hidden="1"/>
    </xf>
    <xf numFmtId="174"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5"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5"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7" fontId="6" fillId="0" borderId="0" xfId="1" applyNumberFormat="1" applyFont="1" applyProtection="1">
      <protection hidden="1"/>
    </xf>
    <xf numFmtId="167"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69" fontId="30" fillId="6" borderId="0" xfId="2" applyNumberFormat="1" applyFont="1" applyFill="1" applyBorder="1" applyProtection="1">
      <protection locked="0"/>
    </xf>
    <xf numFmtId="169" fontId="30" fillId="6" borderId="14" xfId="2" applyNumberFormat="1" applyFont="1" applyFill="1" applyBorder="1" applyProtection="1">
      <protection locked="0"/>
    </xf>
    <xf numFmtId="169" fontId="30" fillId="6" borderId="3" xfId="2" applyNumberFormat="1" applyFont="1" applyFill="1" applyBorder="1" applyProtection="1">
      <protection locked="0"/>
    </xf>
    <xf numFmtId="169" fontId="30" fillId="6" borderId="12" xfId="2" applyNumberFormat="1" applyFont="1" applyFill="1" applyBorder="1" applyProtection="1">
      <protection locked="0"/>
    </xf>
    <xf numFmtId="169" fontId="30" fillId="6" borderId="5" xfId="2" applyNumberFormat="1" applyFont="1" applyFill="1" applyBorder="1" applyProtection="1">
      <protection locked="0"/>
    </xf>
    <xf numFmtId="166" fontId="29" fillId="4" borderId="0" xfId="4" applyFont="1" applyFill="1" applyProtection="1">
      <protection locked="0"/>
    </xf>
    <xf numFmtId="176" fontId="29" fillId="4" borderId="0" xfId="4" applyNumberFormat="1" applyFont="1" applyFill="1" applyAlignment="1" applyProtection="1">
      <alignment horizontal="center"/>
      <protection locked="0"/>
    </xf>
    <xf numFmtId="165"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2"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7" fontId="0" fillId="0" borderId="0" xfId="1" applyNumberFormat="1" applyFont="1" applyProtection="1">
      <protection hidden="1"/>
    </xf>
    <xf numFmtId="0" fontId="2" fillId="0" borderId="1" xfId="0" applyFont="1" applyBorder="1" applyProtection="1">
      <protection hidden="1"/>
    </xf>
    <xf numFmtId="167" fontId="0" fillId="0" borderId="1" xfId="0" applyNumberFormat="1" applyBorder="1" applyProtection="1">
      <protection hidden="1"/>
    </xf>
    <xf numFmtId="173" fontId="0" fillId="0" borderId="1" xfId="0" applyNumberFormat="1" applyBorder="1" applyProtection="1">
      <protection hidden="1"/>
    </xf>
    <xf numFmtId="173" fontId="0" fillId="0" borderId="0" xfId="0" applyNumberFormat="1" applyProtection="1">
      <protection hidden="1"/>
    </xf>
    <xf numFmtId="0" fontId="2" fillId="0" borderId="2" xfId="0" applyFont="1" applyBorder="1" applyProtection="1">
      <protection hidden="1"/>
    </xf>
    <xf numFmtId="173"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5" fontId="2" fillId="0" borderId="1" xfId="0" applyNumberFormat="1" applyFont="1" applyBorder="1" applyProtection="1">
      <protection hidden="1"/>
    </xf>
    <xf numFmtId="165" fontId="0" fillId="5" borderId="0" xfId="0" applyNumberFormat="1" applyFill="1" applyProtection="1">
      <protection hidden="1"/>
    </xf>
    <xf numFmtId="0" fontId="18" fillId="0" borderId="0" xfId="0" applyFont="1" applyProtection="1">
      <protection hidden="1"/>
    </xf>
    <xf numFmtId="165" fontId="18" fillId="0" borderId="0" xfId="0" applyNumberFormat="1" applyFont="1" applyProtection="1">
      <protection hidden="1"/>
    </xf>
    <xf numFmtId="0" fontId="7" fillId="0" borderId="0" xfId="0" applyFont="1" applyProtection="1">
      <protection hidden="1"/>
    </xf>
    <xf numFmtId="165"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1"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5" fontId="21" fillId="5" borderId="0" xfId="0" applyNumberFormat="1" applyFont="1" applyFill="1" applyProtection="1">
      <protection hidden="1"/>
    </xf>
    <xf numFmtId="165"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5" fontId="6" fillId="0" borderId="0" xfId="0" applyNumberFormat="1" applyFo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6"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6" fontId="35" fillId="0" borderId="0" xfId="4" applyFont="1" applyProtection="1">
      <protection hidden="1"/>
    </xf>
    <xf numFmtId="165" fontId="35" fillId="0" borderId="0" xfId="1" applyFont="1" applyProtection="1">
      <protection hidden="1"/>
    </xf>
    <xf numFmtId="0" fontId="2" fillId="0" borderId="0" xfId="0" applyFont="1" applyProtection="1">
      <protection hidden="1"/>
    </xf>
    <xf numFmtId="166"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8" fontId="0" fillId="0" borderId="0" xfId="0" applyNumberFormat="1" applyProtection="1">
      <protection hidden="1"/>
    </xf>
    <xf numFmtId="0" fontId="20" fillId="0" borderId="0" xfId="6"/>
    <xf numFmtId="177" fontId="20" fillId="0" borderId="0" xfId="6" applyNumberFormat="1"/>
    <xf numFmtId="8"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8" fontId="41" fillId="0" borderId="3" xfId="0" applyNumberFormat="1" applyFont="1" applyBorder="1" applyProtection="1">
      <protection hidden="1"/>
    </xf>
    <xf numFmtId="178" fontId="41" fillId="0" borderId="12" xfId="0" applyNumberFormat="1" applyFont="1" applyBorder="1" applyProtection="1">
      <protection hidden="1"/>
    </xf>
    <xf numFmtId="164"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69" fontId="29" fillId="4" borderId="0" xfId="2" applyNumberFormat="1" applyFont="1" applyFill="1" applyProtection="1">
      <protection locked="0"/>
    </xf>
    <xf numFmtId="167"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79" fontId="6" fillId="0" borderId="0" xfId="0" applyNumberFormat="1" applyFont="1"/>
    <xf numFmtId="179" fontId="6" fillId="0" borderId="14" xfId="0" applyNumberFormat="1" applyFont="1" applyBorder="1"/>
    <xf numFmtId="0" fontId="2" fillId="0" borderId="11" xfId="0" applyFont="1" applyBorder="1" applyAlignment="1" applyProtection="1">
      <alignment horizontal="center"/>
      <protection hidden="1"/>
    </xf>
    <xf numFmtId="179" fontId="6" fillId="0" borderId="0" xfId="0" applyNumberFormat="1" applyFont="1" applyProtection="1">
      <protection hidden="1"/>
    </xf>
    <xf numFmtId="179" fontId="6" fillId="0" borderId="14" xfId="0" applyNumberFormat="1" applyFont="1" applyBorder="1" applyProtection="1">
      <protection hidden="1"/>
    </xf>
    <xf numFmtId="179" fontId="6" fillId="0" borderId="3" xfId="0" applyNumberFormat="1" applyFont="1" applyBorder="1" applyProtection="1">
      <protection hidden="1"/>
    </xf>
    <xf numFmtId="179"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5" fontId="18" fillId="0" borderId="0" xfId="1" applyFont="1" applyProtection="1">
      <protection hidden="1"/>
    </xf>
    <xf numFmtId="0" fontId="18" fillId="0" borderId="0" xfId="0" applyFont="1" applyAlignment="1" applyProtection="1">
      <alignment horizontal="center"/>
      <protection hidden="1"/>
    </xf>
    <xf numFmtId="165"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11" fillId="0" borderId="4" xfId="0" applyFont="1" applyBorder="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70337.462618933117</c:v>
                </c:pt>
                <c:pt idx="2">
                  <c:v>140674.92523786623</c:v>
                </c:pt>
              </c:numCache>
            </c:numRef>
          </c:cat>
          <c:val>
            <c:numRef>
              <c:f>'5'!$C$33:$C$35</c:f>
              <c:numCache>
                <c:formatCode>_("$"\ * #,##0.00_);_("$"\ * \(#,##0.00\);_("$"\ * "-"??_);_(@_)</c:formatCode>
                <c:ptCount val="3"/>
                <c:pt idx="0">
                  <c:v>229426887</c:v>
                </c:pt>
                <c:pt idx="1">
                  <c:v>229426887</c:v>
                </c:pt>
                <c:pt idx="2">
                  <c:v>229426887</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70337.462618933117</c:v>
                </c:pt>
                <c:pt idx="2">
                  <c:v>140674.92523786623</c:v>
                </c:pt>
              </c:numCache>
            </c:numRef>
          </c:cat>
          <c:val>
            <c:numRef>
              <c:f>'5'!$D$33:$D$35</c:f>
              <c:numCache>
                <c:formatCode>_("$"\ * #,##0.00_);_("$"\ * \(#,##0.00\);_("$"\ * "-"??_);_(@_)</c:formatCode>
                <c:ptCount val="3"/>
                <c:pt idx="0" formatCode="General">
                  <c:v>0</c:v>
                </c:pt>
                <c:pt idx="1">
                  <c:v>458823808.09386086</c:v>
                </c:pt>
                <c:pt idx="2">
                  <c:v>917647616.18772173</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70337.462618933117</c:v>
                </c:pt>
                <c:pt idx="2">
                  <c:v>140674.92523786623</c:v>
                </c:pt>
              </c:numCache>
            </c:numRef>
          </c:cat>
          <c:val>
            <c:numRef>
              <c:f>'5'!$F$33:$F$35</c:f>
              <c:numCache>
                <c:formatCode>_("$"\ * #,##0.00_);_("$"\ * \(#,##0.00\);_("$"\ * "-"??_);_(@_)</c:formatCode>
                <c:ptCount val="3"/>
                <c:pt idx="0">
                  <c:v>229426887</c:v>
                </c:pt>
                <c:pt idx="1">
                  <c:v>458823808.09386086</c:v>
                </c:pt>
                <c:pt idx="2">
                  <c:v>688220729.18772173</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election activeCell="I43" sqref="I43"/>
    </sheetView>
  </sheetViews>
  <sheetFormatPr baseColWidth="10" defaultColWidth="11.42578125" defaultRowHeight="15"/>
  <sheetData>
    <row r="23" spans="7:8" ht="20.25">
      <c r="G23" s="139" t="s">
        <v>0</v>
      </c>
      <c r="H23" s="139"/>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80" zoomScaleNormal="80" workbookViewId="0">
      <selection activeCell="A13" sqref="A13"/>
    </sheetView>
  </sheetViews>
  <sheetFormatPr baseColWidth="10" defaultColWidth="11.42578125" defaultRowHeight="15"/>
  <cols>
    <col min="1" max="1" width="22.5703125" style="8" customWidth="1"/>
    <col min="2" max="2" width="64.28515625" style="8" customWidth="1"/>
    <col min="3" max="6" width="25.85546875" style="8" bestFit="1"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c r="A1" s="141" t="s">
        <v>1</v>
      </c>
      <c r="B1" s="141"/>
      <c r="C1" s="141"/>
      <c r="D1" s="141"/>
      <c r="E1" s="141"/>
      <c r="G1" s="142" t="s">
        <v>2</v>
      </c>
      <c r="H1" s="142"/>
      <c r="I1" s="142"/>
      <c r="J1" s="142"/>
      <c r="P1" s="8" t="s">
        <v>3</v>
      </c>
      <c r="Y1" s="15" t="s">
        <v>4</v>
      </c>
      <c r="Z1" s="50">
        <v>2022</v>
      </c>
      <c r="AA1" s="16"/>
    </row>
    <row r="2" spans="1:29" ht="32.25" customHeight="1" thickBot="1">
      <c r="B2" s="17" t="s">
        <v>5</v>
      </c>
      <c r="C2" s="18" t="s">
        <v>6</v>
      </c>
      <c r="D2" s="17" t="s">
        <v>7</v>
      </c>
      <c r="E2" s="18" t="s">
        <v>8</v>
      </c>
      <c r="F2" s="19" t="s">
        <v>9</v>
      </c>
      <c r="G2" s="20">
        <f>'1'!Z1+1</f>
        <v>2023</v>
      </c>
      <c r="H2" s="20">
        <f>G2+1</f>
        <v>2024</v>
      </c>
      <c r="I2" s="20">
        <f t="shared" ref="I2:J2" si="0">H2+1</f>
        <v>2025</v>
      </c>
      <c r="J2" s="20">
        <f t="shared" si="0"/>
        <v>2026</v>
      </c>
      <c r="L2" s="8">
        <f>G2</f>
        <v>2023</v>
      </c>
      <c r="M2" s="8">
        <f>H2</f>
        <v>2024</v>
      </c>
      <c r="N2" s="8">
        <f>M2+1</f>
        <v>2025</v>
      </c>
      <c r="O2" s="8">
        <f>N2+1</f>
        <v>2026</v>
      </c>
      <c r="P2" s="8" t="s">
        <v>10</v>
      </c>
      <c r="Q2" s="8" t="s">
        <v>11</v>
      </c>
      <c r="R2" s="8" t="s">
        <v>12</v>
      </c>
      <c r="S2" s="8" t="s">
        <v>13</v>
      </c>
      <c r="T2" s="8" t="s">
        <v>14</v>
      </c>
      <c r="U2" s="8" t="s">
        <v>15</v>
      </c>
      <c r="V2" s="8" t="s">
        <v>16</v>
      </c>
      <c r="W2" s="8" t="s">
        <v>17</v>
      </c>
      <c r="Y2" s="16"/>
      <c r="Z2" s="16"/>
      <c r="AA2" s="16"/>
    </row>
    <row r="3" spans="1:29" ht="24" thickBot="1">
      <c r="A3" s="21">
        <v>1</v>
      </c>
      <c r="B3" s="13" t="s">
        <v>18</v>
      </c>
      <c r="C3" s="56">
        <v>50000</v>
      </c>
      <c r="D3" s="14">
        <v>6112</v>
      </c>
      <c r="E3" s="22">
        <f>C3*D3</f>
        <v>305600000</v>
      </c>
      <c r="F3" s="23">
        <f>IF($E$13=0,0,E3/$E$13)</f>
        <v>0.52466221436297145</v>
      </c>
      <c r="G3" s="116">
        <v>0.03</v>
      </c>
      <c r="H3" s="116">
        <v>0.05</v>
      </c>
      <c r="I3" s="116">
        <v>0.05</v>
      </c>
      <c r="J3" s="116">
        <v>0.08</v>
      </c>
      <c r="K3" s="24"/>
      <c r="L3" s="8">
        <f t="shared" ref="L3:L12" si="1">C3*(1+G3)</f>
        <v>51500</v>
      </c>
      <c r="M3" s="8">
        <f>L3*(1+H3)</f>
        <v>54075</v>
      </c>
      <c r="N3" s="8">
        <f t="shared" ref="N3:O3" si="2">M3*(1+I3)</f>
        <v>56778.75</v>
      </c>
      <c r="O3" s="8">
        <f t="shared" si="2"/>
        <v>61321.05</v>
      </c>
      <c r="P3" s="25">
        <f>D3*(1+'1'!$Z$4)</f>
        <v>6325.9199999999992</v>
      </c>
      <c r="Q3" s="25">
        <f>P3*(1+'1'!$AA$4)</f>
        <v>6559.9790399999983</v>
      </c>
      <c r="R3" s="25">
        <f>Q3*(1+'1'!$AB$4)</f>
        <v>6763.3383902399974</v>
      </c>
      <c r="S3" s="25">
        <f>R3*(1+'1'!$AC$4)</f>
        <v>6952.7118651667179</v>
      </c>
      <c r="T3" s="26">
        <f>L3*P3</f>
        <v>325784879.99999994</v>
      </c>
      <c r="U3" s="26">
        <f>M3*Q3</f>
        <v>354730866.58799994</v>
      </c>
      <c r="V3" s="26">
        <f>N3*R3</f>
        <v>384013899.62483925</v>
      </c>
      <c r="W3" s="26">
        <f>O3*S3</f>
        <v>426347591.91948158</v>
      </c>
      <c r="X3" s="26"/>
      <c r="Y3" s="27" t="s">
        <v>19</v>
      </c>
      <c r="Z3" s="28">
        <f>G2</f>
        <v>2023</v>
      </c>
      <c r="AA3" s="28">
        <f>Z3+1</f>
        <v>2024</v>
      </c>
      <c r="AB3" s="28">
        <f t="shared" ref="AB3:AC3" si="3">AA3+1</f>
        <v>2025</v>
      </c>
      <c r="AC3" s="29">
        <f t="shared" si="3"/>
        <v>2026</v>
      </c>
    </row>
    <row r="4" spans="1:29" ht="23.25">
      <c r="A4" s="21">
        <f>A3+1</f>
        <v>2</v>
      </c>
      <c r="B4" s="13" t="s">
        <v>20</v>
      </c>
      <c r="C4" s="56">
        <v>50000</v>
      </c>
      <c r="D4" s="14">
        <v>4963</v>
      </c>
      <c r="E4" s="22">
        <f t="shared" ref="E4:E12" si="4">C4*D4</f>
        <v>248150000</v>
      </c>
      <c r="F4" s="23">
        <f t="shared" ref="F4:F12" si="5">IF($E$13=0,0,E4/$E$13)</f>
        <v>0.42603052517726236</v>
      </c>
      <c r="G4" s="116">
        <v>0.03</v>
      </c>
      <c r="H4" s="116">
        <v>0.05</v>
      </c>
      <c r="I4" s="116">
        <v>0.05</v>
      </c>
      <c r="J4" s="116">
        <v>0.08</v>
      </c>
      <c r="K4" s="24"/>
      <c r="L4" s="8">
        <f t="shared" si="1"/>
        <v>51500</v>
      </c>
      <c r="M4" s="8">
        <f t="shared" ref="M4:M12" si="6">L4*(1+H4)</f>
        <v>54075</v>
      </c>
      <c r="N4" s="8">
        <f t="shared" ref="N4:N12" si="7">M4*(1+I4)</f>
        <v>56778.75</v>
      </c>
      <c r="O4" s="8">
        <f t="shared" ref="O4:O12" si="8">N4*(1+J4)</f>
        <v>61321.05</v>
      </c>
      <c r="P4" s="25">
        <f>D4*(1+'1'!$Z$4)</f>
        <v>5136.7049999999999</v>
      </c>
      <c r="Q4" s="25">
        <f>P4*(1+'1'!$AA$4)</f>
        <v>5326.7630849999996</v>
      </c>
      <c r="R4" s="25">
        <f>Q4*(1+'1'!$AB$4)</f>
        <v>5491.8927406349994</v>
      </c>
      <c r="S4" s="25">
        <f>R4*(1+'1'!$AC$4)</f>
        <v>5645.6657373727794</v>
      </c>
      <c r="T4" s="26">
        <f t="shared" ref="T4:T12" si="9">L4*P4</f>
        <v>264540307.5</v>
      </c>
      <c r="U4" s="26">
        <f t="shared" ref="U4:U12" si="10">M4*Q4</f>
        <v>288044713.82137495</v>
      </c>
      <c r="V4" s="26">
        <f t="shared" ref="V4:V12" si="11">N4*R4</f>
        <v>311822804.94732946</v>
      </c>
      <c r="W4" s="26">
        <f t="shared" ref="W4:W12" si="12">O4*S4</f>
        <v>346198150.96472311</v>
      </c>
      <c r="X4" s="26"/>
      <c r="Y4" s="118" t="s">
        <v>21</v>
      </c>
      <c r="Z4" s="51">
        <v>3.5000000000000003E-2</v>
      </c>
      <c r="AA4" s="51">
        <v>3.6999999999999998E-2</v>
      </c>
      <c r="AB4" s="51">
        <v>3.1E-2</v>
      </c>
      <c r="AC4" s="52">
        <v>2.8000000000000001E-2</v>
      </c>
    </row>
    <row r="5" spans="1:29" ht="24" thickBot="1">
      <c r="A5" s="21">
        <f t="shared" ref="A5:A12" si="13">A4+1</f>
        <v>3</v>
      </c>
      <c r="B5" s="13" t="s">
        <v>22</v>
      </c>
      <c r="C5" s="56">
        <v>200</v>
      </c>
      <c r="D5" s="14">
        <v>50000</v>
      </c>
      <c r="E5" s="22">
        <f t="shared" si="4"/>
        <v>10000000</v>
      </c>
      <c r="F5" s="23">
        <f t="shared" si="5"/>
        <v>1.7168266176798806E-2</v>
      </c>
      <c r="G5" s="49">
        <v>0.03</v>
      </c>
      <c r="H5" s="49">
        <v>0.05</v>
      </c>
      <c r="I5" s="49">
        <v>0.05</v>
      </c>
      <c r="J5" s="49">
        <v>0.08</v>
      </c>
      <c r="K5" s="24"/>
      <c r="L5" s="8">
        <f t="shared" si="1"/>
        <v>206</v>
      </c>
      <c r="M5" s="8">
        <f t="shared" si="6"/>
        <v>216.3</v>
      </c>
      <c r="N5" s="8">
        <f t="shared" si="7"/>
        <v>227.11500000000001</v>
      </c>
      <c r="O5" s="8">
        <f t="shared" si="8"/>
        <v>245.28420000000003</v>
      </c>
      <c r="P5" s="25">
        <f>D5*(1+'1'!$Z$4)</f>
        <v>51749.999999999993</v>
      </c>
      <c r="Q5" s="25">
        <f>P5*(1+'1'!$AA$4)</f>
        <v>53664.749999999985</v>
      </c>
      <c r="R5" s="25">
        <f>Q5*(1+'1'!$AB$4)</f>
        <v>55328.357249999979</v>
      </c>
      <c r="S5" s="25">
        <f>R5*(1+'1'!$AC$4)</f>
        <v>56877.551252999983</v>
      </c>
      <c r="T5" s="26">
        <f t="shared" si="9"/>
        <v>10660499.999999998</v>
      </c>
      <c r="U5" s="26">
        <f t="shared" si="10"/>
        <v>11607685.424999997</v>
      </c>
      <c r="V5" s="26">
        <f t="shared" si="11"/>
        <v>12565899.856833747</v>
      </c>
      <c r="W5" s="26">
        <f t="shared" si="12"/>
        <v>13951164.657051099</v>
      </c>
      <c r="X5" s="26"/>
      <c r="Y5" s="119" t="s">
        <v>23</v>
      </c>
      <c r="Z5" s="53">
        <v>0.03</v>
      </c>
      <c r="AA5" s="53">
        <v>0.03</v>
      </c>
      <c r="AB5" s="53">
        <v>0.03</v>
      </c>
      <c r="AC5" s="54">
        <v>0.03</v>
      </c>
    </row>
    <row r="6" spans="1:29" ht="15.75" thickBot="1">
      <c r="A6" s="21">
        <f t="shared" si="13"/>
        <v>4</v>
      </c>
      <c r="B6" s="13" t="s">
        <v>24</v>
      </c>
      <c r="C6" s="56">
        <v>1440</v>
      </c>
      <c r="D6" s="14">
        <v>7000</v>
      </c>
      <c r="E6" s="22">
        <f t="shared" si="4"/>
        <v>10080000</v>
      </c>
      <c r="F6" s="23">
        <f t="shared" si="5"/>
        <v>1.7305612306213195E-2</v>
      </c>
      <c r="G6" s="49">
        <v>0.03</v>
      </c>
      <c r="H6" s="49">
        <v>0.05</v>
      </c>
      <c r="I6" s="49">
        <v>0.05</v>
      </c>
      <c r="J6" s="49">
        <v>0.08</v>
      </c>
      <c r="K6" s="24"/>
      <c r="L6" s="8">
        <f t="shared" si="1"/>
        <v>1483.2</v>
      </c>
      <c r="M6" s="8">
        <f t="shared" si="6"/>
        <v>1557.3600000000001</v>
      </c>
      <c r="N6" s="8">
        <f t="shared" si="7"/>
        <v>1635.2280000000003</v>
      </c>
      <c r="O6" s="8">
        <f t="shared" si="8"/>
        <v>1766.0462400000004</v>
      </c>
      <c r="P6" s="25">
        <f>D6*(1+'1'!$Z$4)</f>
        <v>7244.9999999999991</v>
      </c>
      <c r="Q6" s="25">
        <f>P6*(1+'1'!$AA$4)</f>
        <v>7513.0649999999987</v>
      </c>
      <c r="R6" s="25">
        <f>Q6*(1+'1'!$AB$4)</f>
        <v>7745.9700149999981</v>
      </c>
      <c r="S6" s="25">
        <f>R6*(1+'1'!$AC$4)</f>
        <v>7962.8571754199984</v>
      </c>
      <c r="T6" s="26">
        <f t="shared" si="9"/>
        <v>10745783.999999998</v>
      </c>
      <c r="U6" s="26">
        <f t="shared" si="10"/>
        <v>11700546.908399999</v>
      </c>
      <c r="V6" s="26">
        <f t="shared" si="11"/>
        <v>12666427.055688418</v>
      </c>
      <c r="W6" s="26">
        <f t="shared" si="12"/>
        <v>14062773.974307511</v>
      </c>
      <c r="X6" s="26"/>
    </row>
    <row r="7" spans="1:29" ht="24" thickBot="1">
      <c r="A7" s="21">
        <f t="shared" si="13"/>
        <v>5</v>
      </c>
      <c r="B7" s="13" t="s">
        <v>25</v>
      </c>
      <c r="C7" s="56">
        <v>576</v>
      </c>
      <c r="D7" s="14">
        <v>15000</v>
      </c>
      <c r="E7" s="22">
        <f t="shared" si="4"/>
        <v>8640000</v>
      </c>
      <c r="F7" s="23">
        <f t="shared" si="5"/>
        <v>1.4833381976754167E-2</v>
      </c>
      <c r="G7" s="49">
        <v>0.03</v>
      </c>
      <c r="H7" s="49">
        <v>0.05</v>
      </c>
      <c r="I7" s="49">
        <v>0.05</v>
      </c>
      <c r="J7" s="49">
        <v>0.08</v>
      </c>
      <c r="K7" s="24"/>
      <c r="L7" s="8">
        <f t="shared" si="1"/>
        <v>593.28</v>
      </c>
      <c r="M7" s="8">
        <f t="shared" si="6"/>
        <v>622.94399999999996</v>
      </c>
      <c r="N7" s="8">
        <f t="shared" si="7"/>
        <v>654.09119999999996</v>
      </c>
      <c r="O7" s="8">
        <f t="shared" si="8"/>
        <v>706.418496</v>
      </c>
      <c r="P7" s="25">
        <f>D7*(1+'1'!$Z$4)</f>
        <v>15524.999999999998</v>
      </c>
      <c r="Q7" s="25">
        <f>P7*(1+'1'!$AA$4)</f>
        <v>16099.424999999997</v>
      </c>
      <c r="R7" s="25">
        <f>Q7*(1+'1'!$AB$4)</f>
        <v>16598.507174999995</v>
      </c>
      <c r="S7" s="25">
        <f>R7*(1+'1'!$AC$4)</f>
        <v>17063.265375899995</v>
      </c>
      <c r="T7" s="26">
        <f t="shared" si="9"/>
        <v>9210671.9999999981</v>
      </c>
      <c r="U7" s="26">
        <f t="shared" si="10"/>
        <v>10029040.207199998</v>
      </c>
      <c r="V7" s="26">
        <f t="shared" si="11"/>
        <v>10856937.476304356</v>
      </c>
      <c r="W7" s="26">
        <f t="shared" si="12"/>
        <v>12053806.26369215</v>
      </c>
      <c r="X7" s="26"/>
      <c r="Y7" s="30" t="s">
        <v>26</v>
      </c>
      <c r="Z7" s="31"/>
      <c r="AA7" s="31"/>
      <c r="AB7" s="55">
        <v>0.35</v>
      </c>
      <c r="AC7" s="32"/>
    </row>
    <row r="8" spans="1:29">
      <c r="A8" s="21">
        <f t="shared" si="13"/>
        <v>6</v>
      </c>
      <c r="B8" s="13"/>
      <c r="C8" s="56">
        <v>0</v>
      </c>
      <c r="D8" s="14">
        <v>0</v>
      </c>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c r="A9" s="21">
        <f t="shared" si="13"/>
        <v>7</v>
      </c>
      <c r="B9" s="13"/>
      <c r="C9" s="56">
        <v>0</v>
      </c>
      <c r="D9" s="14">
        <v>0</v>
      </c>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c r="A10" s="21">
        <f t="shared" si="13"/>
        <v>8</v>
      </c>
      <c r="B10" s="13"/>
      <c r="C10" s="56">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6">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6">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27</v>
      </c>
      <c r="E13" s="33">
        <f>SUM(E3:E12)</f>
        <v>582470000</v>
      </c>
      <c r="F13" s="34">
        <f>SUM(F3:F12)</f>
        <v>1</v>
      </c>
      <c r="T13" s="35">
        <f>SUM(T3:T12)</f>
        <v>620942143.5</v>
      </c>
      <c r="U13" s="35">
        <f>SUM(U3:U12)</f>
        <v>676112852.94997501</v>
      </c>
      <c r="V13" s="35">
        <f>SUM(V3:V12)</f>
        <v>731925968.9609952</v>
      </c>
      <c r="W13" s="35">
        <f>SUM(W3:W12)</f>
        <v>812613487.77925539</v>
      </c>
      <c r="X13" s="26"/>
    </row>
    <row r="15" spans="1:29" ht="23.25" customHeight="1">
      <c r="A15" s="141" t="s">
        <v>28</v>
      </c>
      <c r="B15" s="141"/>
      <c r="C15" s="141"/>
      <c r="D15" s="141"/>
      <c r="E15" s="141"/>
      <c r="G15" s="36"/>
    </row>
    <row r="16" spans="1:29" ht="25.5" customHeight="1">
      <c r="B16" s="17" t="s">
        <v>29</v>
      </c>
      <c r="C16" s="37" t="s">
        <v>6</v>
      </c>
      <c r="D16" s="114" t="s">
        <v>30</v>
      </c>
      <c r="E16" s="18" t="s">
        <v>31</v>
      </c>
      <c r="L16" s="8">
        <f>L2</f>
        <v>2023</v>
      </c>
      <c r="M16" s="8">
        <f t="shared" ref="M16:W16" si="14">M2</f>
        <v>2024</v>
      </c>
      <c r="N16" s="8">
        <f t="shared" si="14"/>
        <v>2025</v>
      </c>
      <c r="O16" s="8">
        <f t="shared" si="14"/>
        <v>2026</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5" t="str">
        <f>B3</f>
        <v>15 variadeades de Frutas (Promedio)</v>
      </c>
      <c r="C17" s="39">
        <f>C3</f>
        <v>50000</v>
      </c>
      <c r="D17" s="14">
        <v>3056</v>
      </c>
      <c r="E17" s="22">
        <f>C17*D17</f>
        <v>152800000</v>
      </c>
      <c r="F17" s="23">
        <f>IF($E$27=0,0,E17/$E$27)</f>
        <v>0.52470725593214518</v>
      </c>
      <c r="L17" s="8">
        <f t="shared" ref="L17:L26" si="15">C17*(1+G3)</f>
        <v>51500</v>
      </c>
      <c r="M17" s="8">
        <f>L17*(1+H3)</f>
        <v>54075</v>
      </c>
      <c r="N17" s="8">
        <f t="shared" ref="N17:O17" si="16">M17*(1+I3)</f>
        <v>56778.75</v>
      </c>
      <c r="O17" s="8">
        <f t="shared" si="16"/>
        <v>61321.05</v>
      </c>
      <c r="P17" s="40">
        <f>D17*(1+'1'!$Z$5)</f>
        <v>3147.6800000000003</v>
      </c>
      <c r="Q17" s="25">
        <f>P17*(1+'1'!$AA$5)</f>
        <v>3242.1104000000005</v>
      </c>
      <c r="R17" s="25">
        <f>Q17*(1+'1'!$AB$5)</f>
        <v>3339.3737120000005</v>
      </c>
      <c r="S17" s="25">
        <f>R17*(1+'1'!$AC$5)</f>
        <v>3439.5549233600004</v>
      </c>
      <c r="T17" s="40">
        <f t="shared" ref="T17:U19" si="17">L17*P17</f>
        <v>162105520.00000003</v>
      </c>
      <c r="U17" s="26">
        <f t="shared" si="17"/>
        <v>175317119.88000003</v>
      </c>
      <c r="V17" s="26">
        <f t="shared" ref="V17:W17" si="18">N17*R17</f>
        <v>189605465.15022004</v>
      </c>
      <c r="W17" s="26">
        <f t="shared" si="18"/>
        <v>210917119.43310475</v>
      </c>
      <c r="X17" s="26"/>
    </row>
    <row r="18" spans="1:24">
      <c r="A18" s="21">
        <f t="shared" ref="A18:B25" si="19">A4</f>
        <v>2</v>
      </c>
      <c r="B18" s="41" t="str">
        <f t="shared" si="19"/>
        <v>10 Variedades de Verduras (Promedio)</v>
      </c>
      <c r="C18" s="39">
        <f t="shared" ref="C18:C26" si="20">C4</f>
        <v>50000</v>
      </c>
      <c r="D18" s="14">
        <v>2481</v>
      </c>
      <c r="E18" s="22">
        <f t="shared" ref="E18:E26" si="21">C18*D18</f>
        <v>124050000</v>
      </c>
      <c r="F18" s="23">
        <f t="shared" ref="F18:F26" si="22">IF($E$27=0,0,E18/$E$27)</f>
        <v>0.42598125064386527</v>
      </c>
      <c r="L18" s="8">
        <f t="shared" si="15"/>
        <v>51500</v>
      </c>
      <c r="M18" s="8">
        <f t="shared" ref="M18:M26" si="23">L18*(1+H4)</f>
        <v>54075</v>
      </c>
      <c r="N18" s="8">
        <f t="shared" ref="N18:N26" si="24">M18*(1+I4)</f>
        <v>56778.75</v>
      </c>
      <c r="O18" s="8">
        <f t="shared" ref="O18:O26" si="25">N18*(1+J4)</f>
        <v>61321.05</v>
      </c>
      <c r="P18" s="40">
        <f>D18*(1+'1'!$Z$5)</f>
        <v>2555.4300000000003</v>
      </c>
      <c r="Q18" s="25">
        <f>P18*(1+'1'!$AA$5)</f>
        <v>2632.0929000000006</v>
      </c>
      <c r="R18" s="25">
        <f>Q18*(1+'1'!$AB$5)</f>
        <v>2711.0556870000005</v>
      </c>
      <c r="S18" s="25">
        <f>R18*(1+'1'!$AC$5)</f>
        <v>2792.3873576100004</v>
      </c>
      <c r="T18" s="40">
        <f t="shared" si="17"/>
        <v>131604645.00000001</v>
      </c>
      <c r="U18" s="26">
        <f t="shared" si="17"/>
        <v>142330423.56750003</v>
      </c>
      <c r="V18" s="26">
        <f t="shared" ref="V18:V26" si="26">N18*R18</f>
        <v>153930353.08825126</v>
      </c>
      <c r="W18" s="26">
        <f t="shared" ref="W18:W26" si="27">O18*S18</f>
        <v>171232124.77537072</v>
      </c>
      <c r="X18" s="26"/>
    </row>
    <row r="19" spans="1:24">
      <c r="A19" s="21">
        <f t="shared" si="19"/>
        <v>3</v>
      </c>
      <c r="B19" s="41" t="str">
        <f t="shared" si="19"/>
        <v>Servicio de suscripción</v>
      </c>
      <c r="C19" s="39">
        <f t="shared" si="20"/>
        <v>200</v>
      </c>
      <c r="D19" s="14">
        <v>25000</v>
      </c>
      <c r="E19" s="22">
        <f t="shared" si="21"/>
        <v>5000000</v>
      </c>
      <c r="F19" s="23">
        <f t="shared" si="22"/>
        <v>1.7169740050135641E-2</v>
      </c>
      <c r="L19" s="8">
        <f t="shared" si="15"/>
        <v>206</v>
      </c>
      <c r="M19" s="8">
        <f t="shared" si="23"/>
        <v>216.3</v>
      </c>
      <c r="N19" s="8">
        <f t="shared" si="24"/>
        <v>227.11500000000001</v>
      </c>
      <c r="O19" s="8">
        <f t="shared" si="25"/>
        <v>245.28420000000003</v>
      </c>
      <c r="P19" s="40">
        <f>D19*(1+'1'!$Z$5)</f>
        <v>25750</v>
      </c>
      <c r="Q19" s="25">
        <f>P19*(1+'1'!$AA$5)</f>
        <v>26522.5</v>
      </c>
      <c r="R19" s="25">
        <f>Q19*(1+'1'!$AB$5)</f>
        <v>27318.174999999999</v>
      </c>
      <c r="S19" s="25">
        <f>R19*(1+'1'!$AC$5)</f>
        <v>28137.720249999998</v>
      </c>
      <c r="T19" s="40">
        <f t="shared" si="17"/>
        <v>5304500</v>
      </c>
      <c r="U19" s="26">
        <f t="shared" si="17"/>
        <v>5736816.75</v>
      </c>
      <c r="V19" s="26">
        <f t="shared" si="26"/>
        <v>6204367.3151249997</v>
      </c>
      <c r="W19" s="26">
        <f t="shared" si="27"/>
        <v>6901738.2013450507</v>
      </c>
      <c r="X19" s="26"/>
    </row>
    <row r="20" spans="1:24">
      <c r="A20" s="21">
        <f t="shared" si="19"/>
        <v>4</v>
      </c>
      <c r="B20" s="41" t="str">
        <f t="shared" si="19"/>
        <v>Servicio de entrega Normal  - al siguiente dia (Inferior a $50.000)</v>
      </c>
      <c r="C20" s="39">
        <f t="shared" si="20"/>
        <v>1440</v>
      </c>
      <c r="D20" s="14">
        <v>3500</v>
      </c>
      <c r="E20" s="22">
        <f t="shared" si="21"/>
        <v>5040000</v>
      </c>
      <c r="F20" s="23">
        <f t="shared" si="22"/>
        <v>1.7307097970536724E-2</v>
      </c>
      <c r="L20" s="8">
        <f t="shared" si="15"/>
        <v>1483.2</v>
      </c>
      <c r="M20" s="8">
        <f t="shared" si="23"/>
        <v>1557.3600000000001</v>
      </c>
      <c r="N20" s="8">
        <f t="shared" si="24"/>
        <v>1635.2280000000003</v>
      </c>
      <c r="O20" s="8">
        <f t="shared" si="25"/>
        <v>1766.0462400000004</v>
      </c>
      <c r="P20" s="40">
        <f>D20*(1+'1'!$Z$5)</f>
        <v>3605</v>
      </c>
      <c r="Q20" s="25">
        <f>P20*(1+'1'!$AA$5)</f>
        <v>3713.15</v>
      </c>
      <c r="R20" s="25">
        <f>Q20*(1+'1'!$AB$5)</f>
        <v>3824.5445</v>
      </c>
      <c r="S20" s="25">
        <f>R20*(1+'1'!$AC$5)</f>
        <v>3939.280835</v>
      </c>
      <c r="T20" s="40">
        <f t="shared" ref="T20:T26" si="28">L20*P20</f>
        <v>5346936</v>
      </c>
      <c r="U20" s="26">
        <f t="shared" ref="U20:U26" si="29">M20*Q20</f>
        <v>5782711.2840000009</v>
      </c>
      <c r="V20" s="26">
        <f t="shared" si="26"/>
        <v>6254002.2536460012</v>
      </c>
      <c r="W20" s="26">
        <f t="shared" si="27"/>
        <v>6956952.1069558114</v>
      </c>
      <c r="X20" s="26"/>
    </row>
    <row r="21" spans="1:24">
      <c r="A21" s="21">
        <f t="shared" si="19"/>
        <v>5</v>
      </c>
      <c r="B21" s="41" t="str">
        <f t="shared" si="19"/>
        <v xml:space="preserve">Servicio de entrega express - El mismo dia </v>
      </c>
      <c r="C21" s="39">
        <f t="shared" si="20"/>
        <v>576</v>
      </c>
      <c r="D21" s="14">
        <v>7500</v>
      </c>
      <c r="E21" s="22">
        <f t="shared" si="21"/>
        <v>4320000</v>
      </c>
      <c r="F21" s="23">
        <f t="shared" si="22"/>
        <v>1.4834655403317194E-2</v>
      </c>
      <c r="L21" s="8">
        <f t="shared" si="15"/>
        <v>593.28</v>
      </c>
      <c r="M21" s="8">
        <f t="shared" si="23"/>
        <v>622.94399999999996</v>
      </c>
      <c r="N21" s="8">
        <f t="shared" si="24"/>
        <v>654.09119999999996</v>
      </c>
      <c r="O21" s="8">
        <f t="shared" si="25"/>
        <v>706.418496</v>
      </c>
      <c r="P21" s="40">
        <f>D21*(1+'1'!$Z$5)</f>
        <v>7725</v>
      </c>
      <c r="Q21" s="25">
        <f>P21*(1+'1'!$AA$5)</f>
        <v>7956.75</v>
      </c>
      <c r="R21" s="25">
        <f>Q21*(1+'1'!$AB$5)</f>
        <v>8195.4524999999994</v>
      </c>
      <c r="S21" s="25">
        <f>R21*(1+'1'!$AC$5)</f>
        <v>8441.3160749999988</v>
      </c>
      <c r="T21" s="40">
        <f t="shared" si="28"/>
        <v>4583088</v>
      </c>
      <c r="U21" s="26">
        <f t="shared" si="29"/>
        <v>4956609.6719999993</v>
      </c>
      <c r="V21" s="26">
        <f t="shared" si="26"/>
        <v>5360573.3602679996</v>
      </c>
      <c r="W21" s="26">
        <f t="shared" si="27"/>
        <v>5963101.805962122</v>
      </c>
      <c r="X21" s="26"/>
    </row>
    <row r="22" spans="1:24">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291210000</v>
      </c>
      <c r="F27" s="34">
        <f>SUM(F17:F26)</f>
        <v>1</v>
      </c>
      <c r="T27" s="35">
        <f>SUM(T17:T26)</f>
        <v>308944689.00000006</v>
      </c>
      <c r="U27" s="35">
        <f>SUM(U17:U26)</f>
        <v>334123681.15350002</v>
      </c>
      <c r="V27" s="35">
        <f t="shared" ref="V27:W27" si="31">SUM(V17:V26)</f>
        <v>361354761.16751027</v>
      </c>
      <c r="W27" s="35">
        <f t="shared" si="31"/>
        <v>401971036.32273847</v>
      </c>
      <c r="X27" s="26"/>
    </row>
    <row r="30" spans="1:24">
      <c r="A30" s="140" t="s">
        <v>32</v>
      </c>
      <c r="B30" s="140"/>
      <c r="C30" s="140"/>
      <c r="D30" s="140"/>
      <c r="E30" s="140"/>
      <c r="F30" s="140"/>
    </row>
    <row r="31" spans="1:24" ht="25.5">
      <c r="A31" s="42" t="s">
        <v>19</v>
      </c>
      <c r="B31" s="43">
        <f>'1'!Z1</f>
        <v>2022</v>
      </c>
      <c r="C31" s="43">
        <f>B31+1</f>
        <v>2023</v>
      </c>
      <c r="D31" s="43">
        <f>C31+1</f>
        <v>2024</v>
      </c>
      <c r="E31" s="43">
        <f>D31+1</f>
        <v>2025</v>
      </c>
      <c r="F31" s="43">
        <f>E31+1</f>
        <v>2026</v>
      </c>
      <c r="H31" s="44"/>
      <c r="I31" s="44"/>
      <c r="J31" s="44"/>
      <c r="K31" s="44"/>
      <c r="L31" s="44"/>
      <c r="M31" s="44"/>
      <c r="N31" s="44"/>
      <c r="O31" s="44"/>
      <c r="P31" s="44"/>
      <c r="Q31" s="44"/>
      <c r="R31" s="44"/>
      <c r="S31" s="44"/>
      <c r="T31" s="44"/>
      <c r="U31" s="44"/>
      <c r="V31" s="44"/>
    </row>
    <row r="32" spans="1:24">
      <c r="A32" s="45" t="s">
        <v>33</v>
      </c>
      <c r="B32" s="46">
        <f>'1'!E13</f>
        <v>582470000</v>
      </c>
      <c r="C32" s="47">
        <f>'1'!T13</f>
        <v>620942143.5</v>
      </c>
      <c r="D32" s="47">
        <f>'1'!U13</f>
        <v>676112852.94997501</v>
      </c>
      <c r="E32" s="47">
        <f>'1'!V13</f>
        <v>731925968.9609952</v>
      </c>
      <c r="F32" s="47">
        <f>'1'!W13</f>
        <v>812613487.77925539</v>
      </c>
    </row>
    <row r="33" spans="1:6">
      <c r="A33" s="45" t="s">
        <v>34</v>
      </c>
      <c r="B33" s="46">
        <f>'1'!E27</f>
        <v>291210000</v>
      </c>
      <c r="C33" s="46">
        <f>'1'!T27</f>
        <v>308944689.00000006</v>
      </c>
      <c r="D33" s="46">
        <f>'1'!U27</f>
        <v>334123681.15350002</v>
      </c>
      <c r="E33" s="46">
        <f>'1'!V27</f>
        <v>361354761.16751027</v>
      </c>
      <c r="F33" s="46">
        <f>'1'!W27</f>
        <v>401971036.32273847</v>
      </c>
    </row>
    <row r="34" spans="1:6" ht="21" thickBot="1">
      <c r="A34" s="48" t="s">
        <v>35</v>
      </c>
      <c r="B34" s="117">
        <f>B32-B33</f>
        <v>291260000</v>
      </c>
      <c r="C34" s="117">
        <f t="shared" ref="C34:D34" si="32">C32-C33</f>
        <v>311997454.49999994</v>
      </c>
      <c r="D34" s="117">
        <f t="shared" si="32"/>
        <v>341989171.79647499</v>
      </c>
      <c r="E34" s="117">
        <f t="shared" ref="E34" si="33">E32-E33</f>
        <v>370571207.79348493</v>
      </c>
      <c r="F34" s="117">
        <f t="shared" ref="F34" si="34">F32-F33</f>
        <v>410642451.45651692</v>
      </c>
    </row>
    <row r="35" spans="1:6" ht="15.7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activeCell="H22" sqref="H22"/>
    </sheetView>
  </sheetViews>
  <sheetFormatPr baseColWidth="10" defaultColWidth="11.42578125" defaultRowHeight="15"/>
  <cols>
    <col min="1" max="1" width="5.42578125" style="8" customWidth="1"/>
    <col min="2" max="2" width="29.42578125" style="8" bestFit="1" customWidth="1"/>
    <col min="3" max="3" width="20.28515625" style="8" customWidth="1"/>
    <col min="4" max="4" width="11.42578125" style="8"/>
    <col min="5" max="5" width="23.28515625" style="8" customWidth="1"/>
    <col min="6" max="6" width="18.5703125" style="8" bestFit="1" customWidth="1"/>
    <col min="7" max="7" width="15.5703125" style="8" bestFit="1" customWidth="1"/>
    <col min="8" max="16384" width="11.42578125" style="8"/>
  </cols>
  <sheetData>
    <row r="1" spans="2:8">
      <c r="B1" s="143" t="s">
        <v>36</v>
      </c>
      <c r="C1" s="143"/>
      <c r="D1" s="143"/>
      <c r="E1" s="143"/>
      <c r="F1" s="143"/>
      <c r="G1" s="143"/>
      <c r="H1" s="143"/>
    </row>
    <row r="2" spans="2:8" ht="3.75" customHeight="1">
      <c r="B2" s="143"/>
      <c r="C2" s="143"/>
      <c r="D2" s="143"/>
      <c r="E2" s="143"/>
      <c r="F2" s="143"/>
      <c r="G2" s="143"/>
      <c r="H2" s="143"/>
    </row>
    <row r="3" spans="2:8">
      <c r="C3" s="21" t="s">
        <v>37</v>
      </c>
      <c r="F3" s="74" t="s">
        <v>38</v>
      </c>
      <c r="G3" s="74"/>
    </row>
    <row r="4" spans="2:8">
      <c r="B4" s="48" t="s">
        <v>39</v>
      </c>
      <c r="C4" s="14">
        <v>0</v>
      </c>
      <c r="F4" s="74"/>
      <c r="G4" s="74"/>
    </row>
    <row r="5" spans="2:8">
      <c r="B5" s="48" t="s">
        <v>40</v>
      </c>
      <c r="C5" s="14">
        <v>25000000</v>
      </c>
      <c r="F5" s="74">
        <v>10</v>
      </c>
      <c r="G5" s="75">
        <f t="shared" ref="G5:G11" si="0">C5/F5</f>
        <v>2500000</v>
      </c>
    </row>
    <row r="6" spans="2:8">
      <c r="B6" s="48" t="s">
        <v>41</v>
      </c>
      <c r="C6" s="14">
        <v>18400000</v>
      </c>
      <c r="F6" s="74">
        <v>5</v>
      </c>
      <c r="G6" s="75">
        <f t="shared" si="0"/>
        <v>3680000</v>
      </c>
    </row>
    <row r="7" spans="2:8">
      <c r="B7" s="48" t="s">
        <v>42</v>
      </c>
      <c r="C7" s="14">
        <v>4020000</v>
      </c>
      <c r="F7" s="74">
        <v>5</v>
      </c>
      <c r="G7" s="75">
        <f t="shared" si="0"/>
        <v>804000</v>
      </c>
    </row>
    <row r="8" spans="2:8">
      <c r="B8" s="48" t="s">
        <v>43</v>
      </c>
      <c r="C8" s="14">
        <f>800000*12</f>
        <v>9600000</v>
      </c>
      <c r="F8" s="74">
        <v>5</v>
      </c>
      <c r="G8" s="75">
        <f t="shared" si="0"/>
        <v>1920000</v>
      </c>
    </row>
    <row r="9" spans="2:8">
      <c r="B9" s="48" t="s">
        <v>44</v>
      </c>
      <c r="C9" s="14">
        <v>0</v>
      </c>
      <c r="F9" s="74">
        <v>5</v>
      </c>
      <c r="G9" s="75">
        <f t="shared" si="0"/>
        <v>0</v>
      </c>
    </row>
    <row r="10" spans="2:8">
      <c r="B10" s="48" t="s">
        <v>45</v>
      </c>
      <c r="C10" s="14">
        <v>0</v>
      </c>
      <c r="F10" s="74">
        <v>5</v>
      </c>
      <c r="G10" s="75">
        <f t="shared" si="0"/>
        <v>0</v>
      </c>
    </row>
    <row r="11" spans="2:8">
      <c r="B11" s="48" t="s">
        <v>46</v>
      </c>
      <c r="C11" s="14">
        <v>30500000</v>
      </c>
      <c r="F11" s="74">
        <v>5</v>
      </c>
      <c r="G11" s="75">
        <f t="shared" si="0"/>
        <v>6100000</v>
      </c>
    </row>
    <row r="12" spans="2:8" ht="16.5" thickBot="1">
      <c r="B12" s="76" t="s">
        <v>47</v>
      </c>
      <c r="C12" s="77">
        <f>SUM(C4:C11)</f>
        <v>87520000</v>
      </c>
      <c r="F12" s="74"/>
      <c r="G12" s="75">
        <f>SUM(G5:G11)</f>
        <v>15004000</v>
      </c>
    </row>
    <row r="13" spans="2:8">
      <c r="B13" s="144" t="s">
        <v>48</v>
      </c>
      <c r="C13" s="145"/>
      <c r="D13" s="145"/>
      <c r="E13" s="145"/>
      <c r="F13" s="145"/>
      <c r="G13" s="145"/>
      <c r="H13" s="146"/>
    </row>
    <row r="14" spans="2:8" ht="15.75" thickBot="1">
      <c r="B14" s="147"/>
      <c r="C14" s="148"/>
      <c r="D14" s="148"/>
      <c r="E14" s="148"/>
      <c r="F14" s="148"/>
      <c r="G14" s="148"/>
      <c r="H14" s="149"/>
    </row>
    <row r="15" spans="2:8">
      <c r="B15" s="78"/>
      <c r="C15" s="78"/>
      <c r="D15" s="78"/>
      <c r="E15" s="78"/>
      <c r="F15" s="78"/>
      <c r="G15" s="78"/>
      <c r="H15" s="78"/>
    </row>
    <row r="16" spans="2:8">
      <c r="B16" s="76" t="s">
        <v>49</v>
      </c>
      <c r="E16" s="76" t="s">
        <v>50</v>
      </c>
      <c r="F16" s="38"/>
    </row>
    <row r="17" spans="2:6">
      <c r="C17" s="76" t="s">
        <v>51</v>
      </c>
      <c r="F17" s="76" t="str">
        <f>C17</f>
        <v>VALOR AÑO 1</v>
      </c>
    </row>
    <row r="18" spans="2:6">
      <c r="B18" s="79" t="s">
        <v>52</v>
      </c>
      <c r="C18" s="14">
        <v>85426887</v>
      </c>
      <c r="E18" s="80" t="s">
        <v>53</v>
      </c>
      <c r="F18" s="14">
        <f>5000000*12</f>
        <v>60000000</v>
      </c>
    </row>
    <row r="19" spans="2:6">
      <c r="C19" s="81"/>
      <c r="E19" s="80" t="s">
        <v>54</v>
      </c>
      <c r="F19" s="14">
        <f>2500000*12</f>
        <v>30000000</v>
      </c>
    </row>
    <row r="20" spans="2:6">
      <c r="B20" s="79" t="s">
        <v>55</v>
      </c>
      <c r="C20" s="14">
        <v>0</v>
      </c>
      <c r="E20" s="80" t="s">
        <v>56</v>
      </c>
      <c r="F20" s="14">
        <f>100000*12</f>
        <v>1200000</v>
      </c>
    </row>
    <row r="21" spans="2:6">
      <c r="C21" s="81"/>
      <c r="E21" s="80" t="s">
        <v>57</v>
      </c>
      <c r="F21" s="14">
        <f>150000*12</f>
        <v>1800000</v>
      </c>
    </row>
    <row r="22" spans="2:6">
      <c r="B22" s="79" t="s">
        <v>58</v>
      </c>
      <c r="C22" s="14">
        <v>0</v>
      </c>
      <c r="E22" s="80" t="s">
        <v>59</v>
      </c>
      <c r="F22" s="14">
        <f>1000000*12</f>
        <v>12000000</v>
      </c>
    </row>
    <row r="23" spans="2:6" ht="15.75">
      <c r="B23" s="8" t="s">
        <v>60</v>
      </c>
      <c r="C23" s="77">
        <f>C18+C20+C22</f>
        <v>85426887</v>
      </c>
      <c r="E23" s="80" t="s">
        <v>61</v>
      </c>
      <c r="F23" s="14">
        <f>1000000*12</f>
        <v>12000000</v>
      </c>
    </row>
    <row r="24" spans="2:6">
      <c r="E24" s="80" t="s">
        <v>62</v>
      </c>
      <c r="F24" s="14">
        <f>500000*12</f>
        <v>6000000</v>
      </c>
    </row>
    <row r="25" spans="2:6" ht="24.75">
      <c r="B25" s="80" t="s">
        <v>63</v>
      </c>
      <c r="C25" s="14">
        <v>12000000</v>
      </c>
      <c r="E25" s="101" t="s">
        <v>64</v>
      </c>
      <c r="F25" s="14">
        <f>3000000</f>
        <v>3000000</v>
      </c>
    </row>
    <row r="26" spans="2:6">
      <c r="E26" s="101" t="s">
        <v>65</v>
      </c>
      <c r="F26" s="14">
        <v>0</v>
      </c>
    </row>
    <row r="27" spans="2:6">
      <c r="B27" s="99" t="s">
        <v>66</v>
      </c>
      <c r="C27" s="99"/>
      <c r="E27" s="101" t="s">
        <v>67</v>
      </c>
      <c r="F27" s="14">
        <v>1000000</v>
      </c>
    </row>
    <row r="28" spans="2:6">
      <c r="B28" s="115">
        <f>'1'!G2</f>
        <v>2023</v>
      </c>
      <c r="C28" s="14">
        <v>12000000</v>
      </c>
      <c r="E28" s="101" t="s">
        <v>68</v>
      </c>
      <c r="F28" s="14">
        <v>5000000</v>
      </c>
    </row>
    <row r="29" spans="2:6">
      <c r="B29" s="115">
        <f>'1'!H2</f>
        <v>2024</v>
      </c>
      <c r="C29" s="14">
        <v>12000000</v>
      </c>
      <c r="E29" s="101"/>
      <c r="F29" s="14">
        <v>0</v>
      </c>
    </row>
    <row r="30" spans="2:6">
      <c r="B30" s="115">
        <f>'1'!I2</f>
        <v>2025</v>
      </c>
      <c r="C30" s="14">
        <v>15000000</v>
      </c>
      <c r="E30" s="101"/>
      <c r="F30" s="14">
        <v>0</v>
      </c>
    </row>
    <row r="31" spans="2:6" ht="15.75">
      <c r="B31" s="115">
        <f>'1'!J2</f>
        <v>2026</v>
      </c>
      <c r="C31" s="14">
        <v>15000000</v>
      </c>
      <c r="E31" s="80" t="s">
        <v>69</v>
      </c>
      <c r="F31" s="77">
        <f>SUM(F18:F30)</f>
        <v>132000000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B16" sqref="B16"/>
    </sheetView>
  </sheetViews>
  <sheetFormatPr baseColWidth="10" defaultColWidth="11.42578125" defaultRowHeight="15"/>
  <cols>
    <col min="1" max="1" width="11.42578125" style="8"/>
    <col min="2" max="2" width="39" style="8" bestFit="1" customWidth="1"/>
    <col min="3" max="4" width="18.5703125" style="8" bestFit="1" customWidth="1"/>
    <col min="5" max="5" width="12.85546875" style="8" customWidth="1"/>
    <col min="6" max="6" width="16.85546875" style="8" bestFit="1" customWidth="1"/>
    <col min="7" max="8" width="15.5703125" style="8" bestFit="1" customWidth="1"/>
    <col min="9" max="9" width="17" style="8" bestFit="1" customWidth="1"/>
    <col min="10" max="10" width="16.85546875" style="8" bestFit="1" customWidth="1"/>
    <col min="11" max="16384" width="11.42578125" style="8"/>
  </cols>
  <sheetData>
    <row r="2" spans="2:12" ht="29.25" customHeight="1">
      <c r="B2" s="141" t="s">
        <v>70</v>
      </c>
      <c r="C2" s="141"/>
      <c r="D2" s="141"/>
      <c r="E2" s="141"/>
      <c r="F2" s="141"/>
      <c r="G2" s="141"/>
      <c r="H2" s="141"/>
      <c r="I2" s="141"/>
      <c r="J2" s="141"/>
    </row>
    <row r="3" spans="2:12">
      <c r="F3" s="150" t="s">
        <v>71</v>
      </c>
      <c r="G3" s="150"/>
    </row>
    <row r="4" spans="2:12" ht="15.75">
      <c r="B4" s="16" t="s">
        <v>47</v>
      </c>
      <c r="C4" s="77">
        <f>'2'!C12</f>
        <v>87520000</v>
      </c>
      <c r="F4" s="151">
        <v>0.2</v>
      </c>
      <c r="G4" s="151"/>
      <c r="I4" s="8" t="s">
        <v>72</v>
      </c>
      <c r="J4" s="131">
        <v>5</v>
      </c>
      <c r="L4" s="74">
        <v>1</v>
      </c>
    </row>
    <row r="5" spans="2:12">
      <c r="L5" s="74">
        <v>2</v>
      </c>
    </row>
    <row r="6" spans="2:12" ht="15.75" thickBot="1">
      <c r="B6" s="16" t="s">
        <v>73</v>
      </c>
      <c r="F6" s="140" t="s">
        <v>74</v>
      </c>
      <c r="G6" s="140"/>
      <c r="H6" s="140"/>
      <c r="I6" s="140"/>
      <c r="J6" s="140"/>
      <c r="L6" s="74">
        <v>3</v>
      </c>
    </row>
    <row r="7" spans="2:12">
      <c r="C7" s="82" t="s">
        <v>75</v>
      </c>
      <c r="D7" s="82" t="s">
        <v>76</v>
      </c>
      <c r="E7" s="120"/>
      <c r="F7" s="121" t="s">
        <v>77</v>
      </c>
      <c r="G7" s="121" t="s">
        <v>78</v>
      </c>
      <c r="H7" s="121" t="s">
        <v>79</v>
      </c>
      <c r="I7" s="121" t="s">
        <v>80</v>
      </c>
      <c r="J7" s="122" t="s">
        <v>81</v>
      </c>
      <c r="L7" s="74">
        <v>4</v>
      </c>
    </row>
    <row r="8" spans="2:12">
      <c r="B8" s="48" t="s">
        <v>82</v>
      </c>
      <c r="C8" s="57">
        <v>2</v>
      </c>
      <c r="D8" s="25">
        <f>('1'!B33/12)*C8</f>
        <v>48535000</v>
      </c>
      <c r="E8" s="123" t="s">
        <v>83</v>
      </c>
      <c r="F8" s="124"/>
      <c r="G8" s="124"/>
      <c r="H8" s="124"/>
      <c r="I8" s="124"/>
      <c r="J8" s="125">
        <f>D16</f>
        <v>144292814.5</v>
      </c>
      <c r="L8" s="74">
        <v>5</v>
      </c>
    </row>
    <row r="9" spans="2:12">
      <c r="B9" s="48" t="s">
        <v>84</v>
      </c>
      <c r="C9" s="57">
        <v>2</v>
      </c>
      <c r="D9" s="25">
        <f>('2'!C23/12)*C9</f>
        <v>14237814.5</v>
      </c>
      <c r="E9" s="123">
        <f>'1'!B31</f>
        <v>2022</v>
      </c>
      <c r="F9" s="127">
        <f t="shared" ref="F9:F13" si="0">IF(J8&gt;0,J8,0)</f>
        <v>144292814.5</v>
      </c>
      <c r="G9" s="127">
        <f>F9*$F$4</f>
        <v>28858562.900000002</v>
      </c>
      <c r="H9" s="127">
        <f>IF(J8&lt;1,0,(I9-G9))</f>
        <v>19390025.599333476</v>
      </c>
      <c r="I9" s="127">
        <f>PMT(F4,J4,J8)*-1</f>
        <v>48248588.499333479</v>
      </c>
      <c r="J9" s="128">
        <f>F9-H9</f>
        <v>124902788.90066652</v>
      </c>
    </row>
    <row r="10" spans="2:12">
      <c r="B10" s="48" t="s">
        <v>85</v>
      </c>
      <c r="C10" s="57">
        <v>2</v>
      </c>
      <c r="D10" s="25">
        <f>('2'!C25/12)*C10</f>
        <v>2000000</v>
      </c>
      <c r="E10" s="123">
        <f>'1'!C31</f>
        <v>2023</v>
      </c>
      <c r="F10" s="127">
        <f t="shared" si="0"/>
        <v>124902788.90066652</v>
      </c>
      <c r="G10" s="127">
        <f t="shared" ref="G10:G13" si="1">F10*$F$4</f>
        <v>24980557.780133307</v>
      </c>
      <c r="H10" s="127">
        <f t="shared" ref="H10:H13" si="2">IF(J9&lt;1,0,(I10-G10))</f>
        <v>23268030.719200172</v>
      </c>
      <c r="I10" s="127">
        <f>IF(J9&lt;1,0,(I9*(1+$K$7)))</f>
        <v>48248588.499333479</v>
      </c>
      <c r="J10" s="128">
        <f t="shared" ref="J10:J13" si="3">F10-H10</f>
        <v>101634758.18146634</v>
      </c>
    </row>
    <row r="11" spans="2:12">
      <c r="B11" s="48" t="s">
        <v>86</v>
      </c>
      <c r="C11" s="57">
        <v>2</v>
      </c>
      <c r="D11" s="25">
        <f>('2'!F31/12)*C11</f>
        <v>22000000</v>
      </c>
      <c r="E11" s="123">
        <f>'1'!D31</f>
        <v>2024</v>
      </c>
      <c r="F11" s="127">
        <f t="shared" si="0"/>
        <v>101634758.18146634</v>
      </c>
      <c r="G11" s="127">
        <f t="shared" si="1"/>
        <v>20326951.63629327</v>
      </c>
      <c r="H11" s="127">
        <f t="shared" si="2"/>
        <v>27921636.863040209</v>
      </c>
      <c r="I11" s="127">
        <f t="shared" ref="I11:I13" si="4">IF(J10&lt;1,0,(I10*(1+$K$7)))</f>
        <v>48248588.499333479</v>
      </c>
      <c r="J11" s="128">
        <f t="shared" si="3"/>
        <v>73713121.318426132</v>
      </c>
    </row>
    <row r="12" spans="2:12" ht="15.75">
      <c r="B12" s="83" t="s">
        <v>27</v>
      </c>
      <c r="C12" s="61"/>
      <c r="D12" s="84">
        <f>SUM(D8:D11)</f>
        <v>86772814.5</v>
      </c>
      <c r="E12" s="123">
        <f>'1'!E31</f>
        <v>2025</v>
      </c>
      <c r="F12" s="127">
        <f t="shared" si="0"/>
        <v>73713121.318426132</v>
      </c>
      <c r="G12" s="127">
        <f t="shared" si="1"/>
        <v>14742624.263685226</v>
      </c>
      <c r="H12" s="127">
        <f t="shared" si="2"/>
        <v>33505964.235648252</v>
      </c>
      <c r="I12" s="127">
        <f t="shared" si="4"/>
        <v>48248588.499333479</v>
      </c>
      <c r="J12" s="128">
        <f t="shared" si="3"/>
        <v>40207157.08277788</v>
      </c>
    </row>
    <row r="13" spans="2:12" ht="15.75" thickBot="1">
      <c r="E13" s="126">
        <f>'1'!F31</f>
        <v>2026</v>
      </c>
      <c r="F13" s="129">
        <f t="shared" si="0"/>
        <v>40207157.08277788</v>
      </c>
      <c r="G13" s="129">
        <f t="shared" si="1"/>
        <v>8041431.416555576</v>
      </c>
      <c r="H13" s="129">
        <f t="shared" si="2"/>
        <v>40207157.082777902</v>
      </c>
      <c r="I13" s="129">
        <f t="shared" si="4"/>
        <v>48248588.499333479</v>
      </c>
      <c r="J13" s="130">
        <f t="shared" si="3"/>
        <v>0</v>
      </c>
    </row>
    <row r="14" spans="2:12" ht="15.75">
      <c r="B14" s="48" t="s">
        <v>87</v>
      </c>
      <c r="D14" s="77">
        <f>C4+D12</f>
        <v>174292814.5</v>
      </c>
    </row>
    <row r="15" spans="2:12">
      <c r="B15" s="48" t="s">
        <v>88</v>
      </c>
      <c r="D15" s="58">
        <v>30000000</v>
      </c>
    </row>
    <row r="16" spans="2:12" ht="15.75">
      <c r="B16" s="48" t="s">
        <v>89</v>
      </c>
      <c r="D16" s="85">
        <f>D14-D15</f>
        <v>144292814.5</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50" activePane="bottomRight" state="frozenSplit"/>
      <selection pane="topRight" activeCell="E1" sqref="E1"/>
      <selection pane="bottomLeft" activeCell="A12" sqref="A12"/>
      <selection pane="bottomRight" sqref="A1:G1"/>
    </sheetView>
  </sheetViews>
  <sheetFormatPr baseColWidth="10" defaultColWidth="11.42578125" defaultRowHeight="15"/>
  <cols>
    <col min="1" max="1" width="26.7109375" style="8" customWidth="1"/>
    <col min="2" max="2" width="25.85546875" style="8" bestFit="1" customWidth="1"/>
    <col min="3" max="3" width="21.7109375" style="8" bestFit="1" customWidth="1"/>
    <col min="4" max="7" width="18.42578125" style="8" bestFit="1" customWidth="1"/>
    <col min="8" max="16384" width="11.42578125" style="8"/>
  </cols>
  <sheetData>
    <row r="1" spans="1:7" ht="34.5" customHeight="1">
      <c r="A1" s="152" t="s">
        <v>90</v>
      </c>
      <c r="B1" s="152"/>
      <c r="C1" s="152"/>
      <c r="D1" s="152"/>
      <c r="E1" s="152"/>
      <c r="F1" s="152"/>
      <c r="G1" s="152"/>
    </row>
    <row r="2" spans="1:7" ht="23.25">
      <c r="A2" s="153" t="s">
        <v>91</v>
      </c>
      <c r="B2" s="153"/>
      <c r="C2" s="153"/>
      <c r="D2" s="153"/>
      <c r="E2" s="153"/>
      <c r="F2" s="153"/>
      <c r="G2" s="153"/>
    </row>
    <row r="3" spans="1:7" ht="8.25" customHeight="1">
      <c r="A3" s="59"/>
      <c r="B3" s="59"/>
      <c r="C3" s="59"/>
      <c r="D3" s="59"/>
      <c r="E3" s="59"/>
      <c r="F3" s="59"/>
      <c r="G3" s="59"/>
    </row>
    <row r="4" spans="1:7" ht="15.75">
      <c r="A4" s="154" t="s">
        <v>92</v>
      </c>
      <c r="B4" s="154"/>
      <c r="C4" s="154"/>
      <c r="D4" s="154"/>
      <c r="E4" s="154"/>
      <c r="F4" s="154"/>
      <c r="G4" s="154"/>
    </row>
    <row r="5" spans="1:7" ht="23.25">
      <c r="C5" s="63">
        <f>'1'!B31</f>
        <v>2022</v>
      </c>
      <c r="D5" s="63">
        <f>'1'!C31</f>
        <v>2023</v>
      </c>
      <c r="E5" s="63">
        <f>'1'!D31</f>
        <v>2024</v>
      </c>
      <c r="F5" s="63">
        <f>'1'!E31</f>
        <v>2025</v>
      </c>
      <c r="G5" s="63">
        <f>'1'!F31</f>
        <v>2026</v>
      </c>
    </row>
    <row r="6" spans="1:7">
      <c r="B6" s="8" t="s">
        <v>93</v>
      </c>
      <c r="C6" s="64">
        <f>'1'!B32</f>
        <v>582470000</v>
      </c>
      <c r="D6" s="64">
        <f>'1'!C32</f>
        <v>620942143.5</v>
      </c>
      <c r="E6" s="64">
        <f>'1'!D32</f>
        <v>676112852.94997501</v>
      </c>
      <c r="F6" s="64">
        <f>'1'!E32</f>
        <v>731925968.9609952</v>
      </c>
      <c r="G6" s="64">
        <f>'1'!F32</f>
        <v>812613487.77925539</v>
      </c>
    </row>
    <row r="7" spans="1:7">
      <c r="B7" s="8" t="s">
        <v>94</v>
      </c>
      <c r="C7" s="64">
        <f>'1'!B33</f>
        <v>291210000</v>
      </c>
      <c r="D7" s="64">
        <f>'1'!C33</f>
        <v>308944689.00000006</v>
      </c>
      <c r="E7" s="64">
        <f>'1'!D33</f>
        <v>334123681.15350002</v>
      </c>
      <c r="F7" s="64">
        <f>'1'!E33</f>
        <v>361354761.16751027</v>
      </c>
      <c r="G7" s="64">
        <f>'1'!F33</f>
        <v>401971036.32273847</v>
      </c>
    </row>
    <row r="8" spans="1:7" ht="15.75" thickBot="1">
      <c r="B8" s="65" t="s">
        <v>95</v>
      </c>
      <c r="C8" s="66">
        <f>C6-C7</f>
        <v>291260000</v>
      </c>
      <c r="D8" s="66">
        <f t="shared" ref="D8:G8" si="0">D6-D7</f>
        <v>311997454.49999994</v>
      </c>
      <c r="E8" s="66">
        <f t="shared" si="0"/>
        <v>341989171.79647499</v>
      </c>
      <c r="F8" s="66">
        <f t="shared" si="0"/>
        <v>370571207.79348493</v>
      </c>
      <c r="G8" s="66">
        <f t="shared" si="0"/>
        <v>410642451.45651692</v>
      </c>
    </row>
    <row r="9" spans="1:7" ht="15.75" thickTop="1">
      <c r="B9" s="8" t="s">
        <v>96</v>
      </c>
      <c r="C9" s="64">
        <f>'2'!C23</f>
        <v>85426887</v>
      </c>
      <c r="D9" s="64">
        <f>C9*(1+'1'!Z4)</f>
        <v>88416828.044999987</v>
      </c>
      <c r="E9" s="64">
        <f>D9*(1+'1'!AA4)</f>
        <v>91688250.682664976</v>
      </c>
      <c r="F9" s="64">
        <f>E9*(1+'1'!AB4)</f>
        <v>94530586.453827575</v>
      </c>
      <c r="G9" s="64">
        <f>F9*(1+'1'!AC4)</f>
        <v>97177442.874534756</v>
      </c>
    </row>
    <row r="10" spans="1:7">
      <c r="B10" s="8" t="s">
        <v>97</v>
      </c>
      <c r="C10" s="64">
        <f>'2'!F31</f>
        <v>132000000</v>
      </c>
      <c r="D10" s="64">
        <f>C10*(1+'1'!Z4)</f>
        <v>136620000</v>
      </c>
      <c r="E10" s="64">
        <f>D10*(1+'1'!AA4)</f>
        <v>141674940</v>
      </c>
      <c r="F10" s="64">
        <f>E10*(1+'1'!AB4)</f>
        <v>146066863.13999999</v>
      </c>
      <c r="G10" s="64">
        <f>F10*(1+'1'!AC4)</f>
        <v>150156735.30791998</v>
      </c>
    </row>
    <row r="11" spans="1:7">
      <c r="B11" s="8" t="s">
        <v>98</v>
      </c>
      <c r="C11" s="64">
        <f>'2'!C25</f>
        <v>12000000</v>
      </c>
      <c r="D11" s="64">
        <f>'2'!C28</f>
        <v>12000000</v>
      </c>
      <c r="E11" s="64">
        <f>'2'!C29</f>
        <v>12000000</v>
      </c>
      <c r="F11" s="64">
        <f>'2'!C30</f>
        <v>15000000</v>
      </c>
      <c r="G11" s="64">
        <f>'2'!C31</f>
        <v>15000000</v>
      </c>
    </row>
    <row r="12" spans="1:7">
      <c r="B12" s="8" t="s">
        <v>99</v>
      </c>
      <c r="C12" s="64">
        <f>'2'!G12</f>
        <v>15004000</v>
      </c>
      <c r="D12" s="64">
        <f>C12</f>
        <v>15004000</v>
      </c>
      <c r="E12" s="64">
        <f t="shared" ref="E12:G12" si="1">D12</f>
        <v>15004000</v>
      </c>
      <c r="F12" s="64">
        <f t="shared" si="1"/>
        <v>15004000</v>
      </c>
      <c r="G12" s="64">
        <f t="shared" si="1"/>
        <v>15004000</v>
      </c>
    </row>
    <row r="13" spans="1:7" ht="15.75" thickBot="1">
      <c r="B13" s="65" t="s">
        <v>100</v>
      </c>
      <c r="C13" s="67">
        <f>C8-C9-C10-C11-C12</f>
        <v>46829113</v>
      </c>
      <c r="D13" s="67">
        <f t="shared" ref="D13:G13" si="2">D8-D9-D10-D11-D12</f>
        <v>59956626.454999954</v>
      </c>
      <c r="E13" s="67">
        <f t="shared" si="2"/>
        <v>81621981.113810003</v>
      </c>
      <c r="F13" s="67">
        <f t="shared" si="2"/>
        <v>99969758.199657381</v>
      </c>
      <c r="G13" s="67">
        <f t="shared" si="2"/>
        <v>133304273.27406216</v>
      </c>
    </row>
    <row r="14" spans="1:7" ht="15.75" thickTop="1">
      <c r="B14" s="8" t="s">
        <v>101</v>
      </c>
      <c r="C14" s="64">
        <f>'3'!G9</f>
        <v>28858562.900000002</v>
      </c>
      <c r="D14" s="64">
        <f>'3'!G10</f>
        <v>24980557.780133307</v>
      </c>
      <c r="E14" s="64">
        <f>'3'!G11</f>
        <v>20326951.63629327</v>
      </c>
      <c r="F14" s="64">
        <f>'3'!G12</f>
        <v>14742624.263685226</v>
      </c>
      <c r="G14" s="64">
        <f>'3'!G13</f>
        <v>8041431.416555576</v>
      </c>
    </row>
    <row r="15" spans="1:7" ht="15.75" thickBot="1">
      <c r="B15" s="65" t="s">
        <v>102</v>
      </c>
      <c r="C15" s="67">
        <f>C13-C14</f>
        <v>17970550.099999998</v>
      </c>
      <c r="D15" s="67">
        <f t="shared" ref="D15:G15" si="3">D13-D14</f>
        <v>34976068.674866647</v>
      </c>
      <c r="E15" s="67">
        <f t="shared" si="3"/>
        <v>61295029.477516733</v>
      </c>
      <c r="F15" s="67">
        <f t="shared" si="3"/>
        <v>85227133.935972154</v>
      </c>
      <c r="G15" s="67">
        <f t="shared" si="3"/>
        <v>125262841.85750657</v>
      </c>
    </row>
    <row r="16" spans="1:7" ht="15.75" thickTop="1">
      <c r="B16" s="8" t="s">
        <v>103</v>
      </c>
      <c r="C16" s="68">
        <f>IF(C15*'1'!$AB$7&lt;0,0,C15*'1'!$AB$7)</f>
        <v>6289692.5349999992</v>
      </c>
      <c r="D16" s="68">
        <f>IF(D15*'1'!$AB$7&lt;0,0,D15*'1'!$AB$7)</f>
        <v>12241624.036203325</v>
      </c>
      <c r="E16" s="68">
        <f>IF(E15*'1'!$AB$7&lt;0,0,E15*'1'!$AB$7)</f>
        <v>21453260.317130856</v>
      </c>
      <c r="F16" s="68">
        <f>IF(F15*'1'!$AB$7&lt;0,0,F15*'1'!$AB$7)</f>
        <v>29829496.87759025</v>
      </c>
      <c r="G16" s="68">
        <f>IF(G15*'1'!$AB$7&lt;0,0,G15*'1'!$AB$7)</f>
        <v>43841994.650127299</v>
      </c>
    </row>
    <row r="17" spans="1:8" ht="15.75" thickBot="1">
      <c r="B17" s="69" t="s">
        <v>104</v>
      </c>
      <c r="C17" s="70">
        <f>C15-C16</f>
        <v>11680857.564999998</v>
      </c>
      <c r="D17" s="70">
        <f t="shared" ref="D17:G17" si="4">D15-D16</f>
        <v>22734444.638663322</v>
      </c>
      <c r="E17" s="70">
        <f t="shared" si="4"/>
        <v>39841769.160385877</v>
      </c>
      <c r="F17" s="70">
        <f t="shared" si="4"/>
        <v>55397637.0583819</v>
      </c>
      <c r="G17" s="70">
        <f t="shared" si="4"/>
        <v>81420847.207379282</v>
      </c>
    </row>
    <row r="19" spans="1:8" ht="15.75">
      <c r="A19" s="154" t="s">
        <v>105</v>
      </c>
      <c r="B19" s="154"/>
      <c r="C19" s="154"/>
      <c r="D19" s="154"/>
      <c r="E19" s="154"/>
      <c r="F19" s="154"/>
      <c r="G19" s="154"/>
    </row>
    <row r="20" spans="1:8" ht="23.25">
      <c r="B20" s="71" t="s">
        <v>83</v>
      </c>
      <c r="C20" s="63">
        <f>C5</f>
        <v>2022</v>
      </c>
      <c r="D20" s="63">
        <f>D5</f>
        <v>2023</v>
      </c>
      <c r="E20" s="63">
        <f>E5</f>
        <v>2024</v>
      </c>
      <c r="F20" s="63">
        <f>F5</f>
        <v>2025</v>
      </c>
      <c r="G20" s="63">
        <f>G5</f>
        <v>2026</v>
      </c>
    </row>
    <row r="21" spans="1:8">
      <c r="A21" s="155" t="s">
        <v>106</v>
      </c>
      <c r="B21" s="155"/>
      <c r="C21" s="155"/>
      <c r="D21" s="155"/>
      <c r="E21" s="155"/>
      <c r="F21" s="155"/>
      <c r="G21" s="155"/>
    </row>
    <row r="22" spans="1:8">
      <c r="A22" s="8" t="s">
        <v>107</v>
      </c>
      <c r="B22" s="26">
        <f>B38-B26</f>
        <v>86772814.5</v>
      </c>
      <c r="C22" s="26">
        <f t="shared" ref="C22:G22" si="5">C38-C26</f>
        <v>100357339.0006665</v>
      </c>
      <c r="D22" s="26">
        <f t="shared" si="5"/>
        <v>109098826.85633299</v>
      </c>
      <c r="E22" s="26">
        <f t="shared" si="5"/>
        <v>122500150.79594287</v>
      </c>
      <c r="F22" s="26">
        <f t="shared" si="5"/>
        <v>127930291.01875001</v>
      </c>
      <c r="G22" s="26">
        <f t="shared" si="5"/>
        <v>142762841.85750657</v>
      </c>
    </row>
    <row r="23" spans="1:8">
      <c r="A23" s="8" t="s">
        <v>108</v>
      </c>
      <c r="B23" s="26">
        <f>'2'!C4</f>
        <v>0</v>
      </c>
      <c r="C23" s="26">
        <f>B23</f>
        <v>0</v>
      </c>
      <c r="D23" s="26">
        <f t="shared" ref="D23:G23" si="6">C23</f>
        <v>0</v>
      </c>
      <c r="E23" s="26">
        <f t="shared" si="6"/>
        <v>0</v>
      </c>
      <c r="F23" s="26">
        <f t="shared" si="6"/>
        <v>0</v>
      </c>
      <c r="G23" s="26">
        <f t="shared" si="6"/>
        <v>0</v>
      </c>
      <c r="H23" s="26"/>
    </row>
    <row r="24" spans="1:8">
      <c r="A24" s="8" t="s">
        <v>109</v>
      </c>
      <c r="B24" s="26">
        <f>'2'!C12-'2'!C4</f>
        <v>87520000</v>
      </c>
      <c r="C24" s="26">
        <f>B24</f>
        <v>87520000</v>
      </c>
      <c r="D24" s="26">
        <f t="shared" ref="D24:G24" si="7">C24</f>
        <v>87520000</v>
      </c>
      <c r="E24" s="26">
        <f t="shared" si="7"/>
        <v>87520000</v>
      </c>
      <c r="F24" s="26">
        <f t="shared" si="7"/>
        <v>87520000</v>
      </c>
      <c r="G24" s="26">
        <f t="shared" si="7"/>
        <v>87520000</v>
      </c>
      <c r="H24" s="26"/>
    </row>
    <row r="25" spans="1:8">
      <c r="A25" s="8" t="s">
        <v>110</v>
      </c>
      <c r="B25" s="26">
        <v>0</v>
      </c>
      <c r="C25" s="26">
        <f>C12</f>
        <v>15004000</v>
      </c>
      <c r="D25" s="26">
        <f>D12+C12</f>
        <v>30008000</v>
      </c>
      <c r="E25" s="26">
        <f>E12+D12+C12</f>
        <v>45012000</v>
      </c>
      <c r="F25" s="26">
        <f>F12+E12+D12+C12</f>
        <v>60016000</v>
      </c>
      <c r="G25" s="26">
        <f>F25+G12</f>
        <v>75020000</v>
      </c>
      <c r="H25" s="26"/>
    </row>
    <row r="26" spans="1:8">
      <c r="A26" s="8" t="s">
        <v>111</v>
      </c>
      <c r="B26" s="26">
        <f>B23+(B24-B25)</f>
        <v>87520000</v>
      </c>
      <c r="C26" s="26">
        <f>C23+(C24-C25)</f>
        <v>72516000</v>
      </c>
      <c r="D26" s="26">
        <f t="shared" ref="D26:G26" si="8">D23+(D24-D25)</f>
        <v>57512000</v>
      </c>
      <c r="E26" s="26">
        <f t="shared" si="8"/>
        <v>42508000</v>
      </c>
      <c r="F26" s="26">
        <f t="shared" si="8"/>
        <v>27504000</v>
      </c>
      <c r="G26" s="26">
        <f t="shared" si="8"/>
        <v>12500000</v>
      </c>
      <c r="H26" s="26"/>
    </row>
    <row r="27" spans="1:8" ht="15.75" thickBot="1">
      <c r="A27" s="65" t="s">
        <v>112</v>
      </c>
      <c r="B27" s="72">
        <f>B22+B26</f>
        <v>174292814.5</v>
      </c>
      <c r="C27" s="72">
        <f t="shared" ref="C27:G27" si="9">C22+C26</f>
        <v>172873339.0006665</v>
      </c>
      <c r="D27" s="72">
        <f t="shared" si="9"/>
        <v>166610826.85633299</v>
      </c>
      <c r="E27" s="72">
        <f t="shared" si="9"/>
        <v>165008150.79594287</v>
      </c>
      <c r="F27" s="72">
        <f t="shared" si="9"/>
        <v>155434291.01875001</v>
      </c>
      <c r="G27" s="72">
        <f t="shared" si="9"/>
        <v>155262841.85750657</v>
      </c>
      <c r="H27" s="26"/>
    </row>
    <row r="28" spans="1:8" ht="15.75" thickTop="1">
      <c r="A28" s="155" t="s">
        <v>113</v>
      </c>
      <c r="B28" s="155"/>
      <c r="C28" s="155"/>
      <c r="D28" s="155"/>
      <c r="E28" s="155"/>
      <c r="F28" s="155"/>
      <c r="G28" s="155"/>
    </row>
    <row r="29" spans="1:8">
      <c r="A29" s="8" t="s">
        <v>114</v>
      </c>
      <c r="B29" s="8">
        <v>0</v>
      </c>
      <c r="C29" s="68">
        <f>C16</f>
        <v>6289692.5349999992</v>
      </c>
      <c r="D29" s="68">
        <f>D16</f>
        <v>12241624.036203325</v>
      </c>
      <c r="E29" s="68">
        <f>E16</f>
        <v>21453260.317130856</v>
      </c>
      <c r="F29" s="68">
        <f>F16</f>
        <v>29829496.87759025</v>
      </c>
      <c r="G29" s="68">
        <f>G16</f>
        <v>43841994.650127299</v>
      </c>
    </row>
    <row r="30" spans="1:8">
      <c r="A30" s="8" t="s">
        <v>115</v>
      </c>
      <c r="B30" s="68">
        <f>B29</f>
        <v>0</v>
      </c>
      <c r="C30" s="68">
        <f t="shared" ref="C30:G30" si="10">C29</f>
        <v>6289692.5349999992</v>
      </c>
      <c r="D30" s="68">
        <f t="shared" si="10"/>
        <v>12241624.036203325</v>
      </c>
      <c r="E30" s="68">
        <f t="shared" si="10"/>
        <v>21453260.317130856</v>
      </c>
      <c r="F30" s="68">
        <f t="shared" si="10"/>
        <v>29829496.87759025</v>
      </c>
      <c r="G30" s="68">
        <f t="shared" si="10"/>
        <v>43841994.650127299</v>
      </c>
    </row>
    <row r="31" spans="1:8">
      <c r="A31" s="8" t="s">
        <v>116</v>
      </c>
      <c r="B31" s="25">
        <f>'3'!J8</f>
        <v>144292814.5</v>
      </c>
      <c r="C31" s="25">
        <f>'3'!J9</f>
        <v>124902788.90066652</v>
      </c>
      <c r="D31" s="25">
        <f>'3'!J10</f>
        <v>101634758.18146634</v>
      </c>
      <c r="E31" s="25">
        <f>'3'!J11</f>
        <v>73713121.318426132</v>
      </c>
      <c r="F31" s="25">
        <f>'3'!J12</f>
        <v>40207157.08277788</v>
      </c>
      <c r="G31" s="25">
        <f>'3'!J13</f>
        <v>0</v>
      </c>
    </row>
    <row r="32" spans="1:8" ht="15.75" thickBot="1">
      <c r="A32" s="65" t="s">
        <v>113</v>
      </c>
      <c r="B32" s="72">
        <f>B30+B31</f>
        <v>144292814.5</v>
      </c>
      <c r="C32" s="72">
        <f t="shared" ref="C32:G32" si="11">C30+C31</f>
        <v>131192481.43566652</v>
      </c>
      <c r="D32" s="72">
        <f t="shared" si="11"/>
        <v>113876382.21766967</v>
      </c>
      <c r="E32" s="72">
        <f t="shared" si="11"/>
        <v>95166381.635556996</v>
      </c>
      <c r="F32" s="72">
        <f t="shared" si="11"/>
        <v>70036653.960368127</v>
      </c>
      <c r="G32" s="72">
        <f t="shared" si="11"/>
        <v>43841994.650127299</v>
      </c>
    </row>
    <row r="33" spans="1:7" ht="15.75" thickTop="1">
      <c r="A33" s="155" t="s">
        <v>117</v>
      </c>
      <c r="B33" s="155"/>
      <c r="C33" s="155"/>
      <c r="D33" s="155"/>
      <c r="E33" s="155"/>
      <c r="F33" s="155"/>
      <c r="G33" s="155"/>
    </row>
    <row r="34" spans="1:7">
      <c r="A34" s="8" t="s">
        <v>118</v>
      </c>
      <c r="B34" s="26">
        <f>'3'!D15</f>
        <v>30000000</v>
      </c>
      <c r="C34" s="26">
        <f>B34</f>
        <v>30000000</v>
      </c>
      <c r="D34" s="26">
        <f t="shared" ref="D34:G34" si="12">C34</f>
        <v>30000000</v>
      </c>
      <c r="E34" s="26">
        <f t="shared" si="12"/>
        <v>30000000</v>
      </c>
      <c r="F34" s="26">
        <f t="shared" si="12"/>
        <v>30000000</v>
      </c>
      <c r="G34" s="26">
        <f t="shared" si="12"/>
        <v>30000000</v>
      </c>
    </row>
    <row r="35" spans="1:7">
      <c r="A35" s="8" t="s">
        <v>119</v>
      </c>
      <c r="B35" s="8">
        <v>0</v>
      </c>
      <c r="C35" s="68">
        <f>C17</f>
        <v>11680857.564999998</v>
      </c>
      <c r="D35" s="68">
        <f>D17</f>
        <v>22734444.638663322</v>
      </c>
      <c r="E35" s="68">
        <f>E17</f>
        <v>39841769.160385877</v>
      </c>
      <c r="F35" s="68">
        <f>F17</f>
        <v>55397637.0583819</v>
      </c>
      <c r="G35" s="68">
        <f>G17</f>
        <v>81420847.207379282</v>
      </c>
    </row>
    <row r="36" spans="1:7" ht="15.75" thickBot="1">
      <c r="A36" s="65" t="s">
        <v>120</v>
      </c>
      <c r="B36" s="72">
        <f>B34+B35</f>
        <v>30000000</v>
      </c>
      <c r="C36" s="72">
        <f t="shared" ref="C36:G36" si="13">C34+C35</f>
        <v>41680857.564999998</v>
      </c>
      <c r="D36" s="72">
        <f t="shared" si="13"/>
        <v>52734444.638663322</v>
      </c>
      <c r="E36" s="72">
        <f t="shared" si="13"/>
        <v>69841769.160385877</v>
      </c>
      <c r="F36" s="72">
        <f t="shared" si="13"/>
        <v>85397637.0583819</v>
      </c>
      <c r="G36" s="72">
        <f t="shared" si="13"/>
        <v>111420847.20737928</v>
      </c>
    </row>
    <row r="37" spans="1:7" ht="15.75" thickTop="1"/>
    <row r="38" spans="1:7" ht="15.75" thickBot="1">
      <c r="A38" s="65" t="s">
        <v>121</v>
      </c>
      <c r="B38" s="72">
        <f>B32+B36</f>
        <v>174292814.5</v>
      </c>
      <c r="C38" s="72">
        <f t="shared" ref="C38:G38" si="14">C32+C36</f>
        <v>172873339.0006665</v>
      </c>
      <c r="D38" s="72">
        <f t="shared" si="14"/>
        <v>166610826.85633299</v>
      </c>
      <c r="E38" s="72">
        <f t="shared" si="14"/>
        <v>165008150.79594287</v>
      </c>
      <c r="F38" s="72">
        <f t="shared" si="14"/>
        <v>155434291.01875001</v>
      </c>
      <c r="G38" s="72">
        <f t="shared" si="14"/>
        <v>155262841.85750657</v>
      </c>
    </row>
    <row r="39" spans="1:7" ht="15.75" thickTop="1">
      <c r="A39" s="61" t="s">
        <v>122</v>
      </c>
      <c r="B39" s="73">
        <f>B27-B38</f>
        <v>0</v>
      </c>
      <c r="C39" s="73">
        <f t="shared" ref="C39:G39" si="15">C27-C38</f>
        <v>0</v>
      </c>
      <c r="D39" s="73">
        <f t="shared" si="15"/>
        <v>0</v>
      </c>
      <c r="E39" s="73">
        <f t="shared" si="15"/>
        <v>0</v>
      </c>
      <c r="F39" s="73">
        <f t="shared" si="15"/>
        <v>0</v>
      </c>
      <c r="G39" s="73">
        <f t="shared" si="15"/>
        <v>0</v>
      </c>
    </row>
    <row r="41" spans="1:7" ht="15.75">
      <c r="A41" s="154" t="s">
        <v>123</v>
      </c>
      <c r="B41" s="154"/>
      <c r="C41" s="154"/>
      <c r="D41" s="154"/>
      <c r="E41" s="154"/>
      <c r="F41" s="154"/>
      <c r="G41" s="154"/>
    </row>
    <row r="42" spans="1:7">
      <c r="A42" s="155" t="s">
        <v>124</v>
      </c>
      <c r="B42" s="155"/>
      <c r="C42" s="155"/>
      <c r="D42" s="155"/>
      <c r="E42" s="155"/>
      <c r="F42" s="155"/>
      <c r="G42" s="155"/>
    </row>
    <row r="43" spans="1:7" ht="23.25">
      <c r="A43" s="11"/>
      <c r="B43" s="71" t="s">
        <v>83</v>
      </c>
      <c r="C43" s="63">
        <f>C20</f>
        <v>2022</v>
      </c>
      <c r="D43" s="63">
        <f t="shared" ref="D43:G43" si="16">D20</f>
        <v>2023</v>
      </c>
      <c r="E43" s="63">
        <f t="shared" si="16"/>
        <v>2024</v>
      </c>
      <c r="F43" s="63">
        <f t="shared" si="16"/>
        <v>2025</v>
      </c>
      <c r="G43" s="63">
        <f t="shared" si="16"/>
        <v>2026</v>
      </c>
    </row>
    <row r="44" spans="1:7">
      <c r="A44" s="1" t="s">
        <v>125</v>
      </c>
      <c r="B44" s="2">
        <f>B22</f>
        <v>86772814.5</v>
      </c>
      <c r="C44" s="2">
        <f t="shared" ref="C44:G44" si="17">C22</f>
        <v>100357339.0006665</v>
      </c>
      <c r="D44" s="2">
        <f t="shared" si="17"/>
        <v>109098826.85633299</v>
      </c>
      <c r="E44" s="2">
        <f t="shared" si="17"/>
        <v>122500150.79594287</v>
      </c>
      <c r="F44" s="2">
        <f t="shared" si="17"/>
        <v>127930291.01875001</v>
      </c>
      <c r="G44" s="2">
        <f t="shared" si="17"/>
        <v>142762841.85750657</v>
      </c>
    </row>
    <row r="45" spans="1:7" ht="15.75" thickBot="1">
      <c r="A45" s="1" t="s">
        <v>126</v>
      </c>
      <c r="B45" s="3">
        <f>B29</f>
        <v>0</v>
      </c>
      <c r="C45" s="3">
        <f t="shared" ref="C45:G45" si="18">C29</f>
        <v>6289692.5349999992</v>
      </c>
      <c r="D45" s="3">
        <f t="shared" si="18"/>
        <v>12241624.036203325</v>
      </c>
      <c r="E45" s="3">
        <f t="shared" si="18"/>
        <v>21453260.317130856</v>
      </c>
      <c r="F45" s="3">
        <f t="shared" si="18"/>
        <v>29829496.87759025</v>
      </c>
      <c r="G45" s="3">
        <f t="shared" si="18"/>
        <v>43841994.650127299</v>
      </c>
    </row>
    <row r="46" spans="1:7" ht="15.75" thickTop="1">
      <c r="A46" s="4" t="s">
        <v>127</v>
      </c>
      <c r="B46" s="5">
        <f t="shared" ref="B46:G46" si="19">B44-B45</f>
        <v>86772814.5</v>
      </c>
      <c r="C46" s="5">
        <f t="shared" si="19"/>
        <v>94067646.465666503</v>
      </c>
      <c r="D46" s="5">
        <f t="shared" si="19"/>
        <v>96857202.820129663</v>
      </c>
      <c r="E46" s="5">
        <f t="shared" si="19"/>
        <v>101046890.47881201</v>
      </c>
      <c r="F46" s="5">
        <f t="shared" si="19"/>
        <v>98100794.141159758</v>
      </c>
      <c r="G46" s="5">
        <f t="shared" si="19"/>
        <v>98920847.207379282</v>
      </c>
    </row>
    <row r="47" spans="1:7">
      <c r="A47" s="1"/>
      <c r="B47" s="2"/>
      <c r="C47" s="2"/>
      <c r="D47" s="2"/>
      <c r="E47" s="2"/>
      <c r="F47" s="2"/>
      <c r="G47" s="2"/>
    </row>
    <row r="48" spans="1:7">
      <c r="A48" s="4" t="s">
        <v>128</v>
      </c>
      <c r="B48" s="2">
        <f>B26</f>
        <v>87520000</v>
      </c>
      <c r="C48" s="2">
        <f t="shared" ref="C48:G48" si="20">C26</f>
        <v>72516000</v>
      </c>
      <c r="D48" s="2">
        <f t="shared" si="20"/>
        <v>57512000</v>
      </c>
      <c r="E48" s="2">
        <f t="shared" si="20"/>
        <v>42508000</v>
      </c>
      <c r="F48" s="2">
        <f t="shared" si="20"/>
        <v>27504000</v>
      </c>
      <c r="G48" s="2">
        <f t="shared" si="20"/>
        <v>12500000</v>
      </c>
    </row>
    <row r="49" spans="1:7" ht="15.75" thickBot="1">
      <c r="A49" s="1" t="s">
        <v>129</v>
      </c>
      <c r="B49" s="3">
        <f>B25</f>
        <v>0</v>
      </c>
      <c r="C49" s="3">
        <f t="shared" ref="C49:G49" si="21">C25</f>
        <v>15004000</v>
      </c>
      <c r="D49" s="3">
        <f t="shared" si="21"/>
        <v>30008000</v>
      </c>
      <c r="E49" s="3">
        <f t="shared" si="21"/>
        <v>45012000</v>
      </c>
      <c r="F49" s="3">
        <f t="shared" si="21"/>
        <v>60016000</v>
      </c>
      <c r="G49" s="3">
        <f t="shared" si="21"/>
        <v>75020000</v>
      </c>
    </row>
    <row r="50" spans="1:7" ht="15.75" thickTop="1">
      <c r="A50" s="4" t="s">
        <v>130</v>
      </c>
      <c r="B50" s="5">
        <f t="shared" ref="B50:G50" si="22">B48+B49</f>
        <v>87520000</v>
      </c>
      <c r="C50" s="5">
        <f t="shared" si="22"/>
        <v>87520000</v>
      </c>
      <c r="D50" s="5">
        <f t="shared" si="22"/>
        <v>87520000</v>
      </c>
      <c r="E50" s="5">
        <f t="shared" si="22"/>
        <v>87520000</v>
      </c>
      <c r="F50" s="5">
        <f t="shared" si="22"/>
        <v>87520000</v>
      </c>
      <c r="G50" s="5">
        <f t="shared" si="22"/>
        <v>87520000</v>
      </c>
    </row>
    <row r="51" spans="1:7">
      <c r="A51" s="1"/>
      <c r="B51" s="2"/>
      <c r="C51" s="2"/>
      <c r="D51" s="2"/>
      <c r="E51" s="2"/>
      <c r="F51" s="2"/>
      <c r="G51" s="2"/>
    </row>
    <row r="52" spans="1:7" ht="15.75" thickBot="1">
      <c r="A52" s="12" t="s">
        <v>131</v>
      </c>
      <c r="B52" s="6">
        <f t="shared" ref="B52:G52" si="23">B46+B48</f>
        <v>174292814.5</v>
      </c>
      <c r="C52" s="6">
        <f t="shared" si="23"/>
        <v>166583646.4656665</v>
      </c>
      <c r="D52" s="6">
        <f t="shared" si="23"/>
        <v>154369202.82012966</v>
      </c>
      <c r="E52" s="6">
        <f t="shared" si="23"/>
        <v>143554890.47881201</v>
      </c>
      <c r="F52" s="6">
        <f t="shared" si="23"/>
        <v>125604794.14115976</v>
      </c>
      <c r="G52" s="6">
        <f t="shared" si="23"/>
        <v>111420847.20737928</v>
      </c>
    </row>
    <row r="53" spans="1:7" ht="15.75" thickTop="1">
      <c r="A53" s="7"/>
      <c r="B53" s="2"/>
      <c r="C53" s="2"/>
      <c r="D53" s="2"/>
      <c r="E53" s="2"/>
      <c r="F53" s="2"/>
      <c r="G53" s="2"/>
    </row>
    <row r="54" spans="1:7">
      <c r="A54" s="156" t="s">
        <v>132</v>
      </c>
      <c r="B54" s="156"/>
      <c r="C54" s="156"/>
      <c r="D54" s="156"/>
      <c r="E54" s="156"/>
      <c r="F54" s="156"/>
      <c r="G54" s="156"/>
    </row>
    <row r="55" spans="1:7">
      <c r="A55" s="1" t="s">
        <v>133</v>
      </c>
      <c r="C55" s="9">
        <f>C13</f>
        <v>46829113</v>
      </c>
      <c r="D55" s="9">
        <f t="shared" ref="D55:G55" si="24">D13</f>
        <v>59956626.454999954</v>
      </c>
      <c r="E55" s="9">
        <f t="shared" si="24"/>
        <v>81621981.113810003</v>
      </c>
      <c r="F55" s="9">
        <f t="shared" si="24"/>
        <v>99969758.199657381</v>
      </c>
      <c r="G55" s="9">
        <f t="shared" si="24"/>
        <v>133304273.27406216</v>
      </c>
    </row>
    <row r="56" spans="1:7" ht="15.75" thickBot="1">
      <c r="A56" s="1" t="s">
        <v>134</v>
      </c>
      <c r="C56" s="10">
        <f>C55*'1'!$AB$7</f>
        <v>16390189.549999999</v>
      </c>
      <c r="D56" s="10">
        <f>D55*'1'!$AB$7</f>
        <v>20984819.259249981</v>
      </c>
      <c r="E56" s="10">
        <f>E55*'1'!$AB$7</f>
        <v>28567693.389833499</v>
      </c>
      <c r="F56" s="10">
        <f>F55*'1'!$AB$7</f>
        <v>34989415.36988008</v>
      </c>
      <c r="G56" s="10">
        <f>G55*'1'!$AB$7</f>
        <v>46656495.645921752</v>
      </c>
    </row>
    <row r="57" spans="1:7" ht="15.75" thickTop="1">
      <c r="A57" s="4" t="s">
        <v>135</v>
      </c>
      <c r="C57" s="9">
        <f>C55-C56</f>
        <v>30438923.450000003</v>
      </c>
      <c r="D57" s="9">
        <f>D55-D56</f>
        <v>38971807.195749968</v>
      </c>
      <c r="E57" s="9">
        <f>E55-E56</f>
        <v>53054287.723976508</v>
      </c>
      <c r="F57" s="9">
        <f>F55-F56</f>
        <v>64980342.8297773</v>
      </c>
      <c r="G57" s="9">
        <f>G55-G56</f>
        <v>86647777.628140405</v>
      </c>
    </row>
    <row r="58" spans="1:7" ht="15.75" thickBot="1">
      <c r="A58" s="1" t="s">
        <v>136</v>
      </c>
      <c r="C58" s="10">
        <f>-(C52-B52)</f>
        <v>7709168.0343334973</v>
      </c>
      <c r="D58" s="10">
        <f t="shared" ref="D58:G58" si="25">-(D52-C52)</f>
        <v>12214443.64553684</v>
      </c>
      <c r="E58" s="10">
        <f t="shared" si="25"/>
        <v>10814312.341317654</v>
      </c>
      <c r="F58" s="10">
        <f t="shared" si="25"/>
        <v>17950096.337652251</v>
      </c>
      <c r="G58" s="10">
        <f t="shared" si="25"/>
        <v>14183946.933780476</v>
      </c>
    </row>
    <row r="59" spans="1:7" ht="16.5" thickTop="1" thickBot="1">
      <c r="A59" s="60" t="s">
        <v>137</v>
      </c>
      <c r="B59" s="61"/>
      <c r="C59" s="62">
        <f>SUM(C57:C58)</f>
        <v>38148091.4843335</v>
      </c>
      <c r="D59" s="62">
        <f t="shared" ref="D59:G59" si="26">SUM(D57:D58)</f>
        <v>51186250.841286808</v>
      </c>
      <c r="E59" s="62">
        <f t="shared" si="26"/>
        <v>63868600.065294161</v>
      </c>
      <c r="F59" s="62">
        <f t="shared" si="26"/>
        <v>82930439.167429551</v>
      </c>
      <c r="G59" s="62">
        <f t="shared" si="26"/>
        <v>100831724.56192088</v>
      </c>
    </row>
    <row r="60" spans="1:7" ht="15.75" thickTop="1"/>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topLeftCell="B1" zoomScale="80" zoomScaleNormal="80" workbookViewId="0">
      <selection activeCell="E28" sqref="E28"/>
    </sheetView>
  </sheetViews>
  <sheetFormatPr baseColWidth="10" defaultColWidth="11.42578125" defaultRowHeight="15"/>
  <cols>
    <col min="1" max="1" width="11.42578125" style="8"/>
    <col min="2" max="2" width="32.5703125" style="8" customWidth="1"/>
    <col min="3" max="3" width="24.28515625" style="8" bestFit="1" customWidth="1"/>
    <col min="4" max="4" width="36.28515625" style="8" bestFit="1" customWidth="1"/>
    <col min="5" max="5" width="27.140625" style="8" bestFit="1"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c r="B2" s="141" t="s">
        <v>138</v>
      </c>
      <c r="C2" s="141"/>
      <c r="D2" s="141"/>
      <c r="E2" s="141"/>
      <c r="F2" s="141"/>
      <c r="G2" s="141"/>
      <c r="H2" s="141"/>
    </row>
    <row r="3" spans="2:16" ht="15.75" customHeight="1">
      <c r="B3" s="157" t="s">
        <v>139</v>
      </c>
      <c r="C3" s="157"/>
      <c r="D3" s="157"/>
      <c r="E3" s="158">
        <v>0.12</v>
      </c>
      <c r="F3" s="158"/>
    </row>
    <row r="4" spans="2:16" ht="16.5" customHeight="1">
      <c r="B4" s="157"/>
      <c r="C4" s="157"/>
      <c r="D4" s="157"/>
      <c r="E4" s="158"/>
      <c r="F4" s="158"/>
      <c r="O4" s="103"/>
    </row>
    <row r="5" spans="2:16" ht="16.5" customHeight="1">
      <c r="B5" s="161"/>
      <c r="C5" s="161"/>
      <c r="D5" s="161"/>
      <c r="E5" s="137">
        <v>0.01</v>
      </c>
      <c r="F5" s="137"/>
      <c r="O5" s="103"/>
    </row>
    <row r="6" spans="2:16" ht="15.75" thickBot="1">
      <c r="O6" s="103"/>
      <c r="P6" s="106"/>
    </row>
    <row r="7" spans="2:16" ht="23.25">
      <c r="B7" s="102" t="s">
        <v>140</v>
      </c>
      <c r="C7" s="86" t="s">
        <v>141</v>
      </c>
      <c r="D7" s="87">
        <f>'4'!C20</f>
        <v>2022</v>
      </c>
      <c r="E7" s="87">
        <f>'4'!D20</f>
        <v>2023</v>
      </c>
      <c r="F7" s="87">
        <f>'4'!E20</f>
        <v>2024</v>
      </c>
      <c r="G7" s="87">
        <f>'4'!F20</f>
        <v>2025</v>
      </c>
      <c r="H7" s="88">
        <f>'4'!G20</f>
        <v>2026</v>
      </c>
      <c r="O7" s="103"/>
      <c r="P7" s="105"/>
    </row>
    <row r="8" spans="2:16" ht="19.5" thickBot="1">
      <c r="B8" s="89"/>
      <c r="C8" s="110">
        <f>-'3'!D14</f>
        <v>-174292814.5</v>
      </c>
      <c r="D8" s="110">
        <f>'4'!C59</f>
        <v>38148091.4843335</v>
      </c>
      <c r="E8" s="110">
        <f>'4'!D59</f>
        <v>51186250.841286808</v>
      </c>
      <c r="F8" s="110">
        <f>'4'!E59</f>
        <v>63868600.065294161</v>
      </c>
      <c r="G8" s="110">
        <f>'4'!F59</f>
        <v>82930439.167429551</v>
      </c>
      <c r="H8" s="111">
        <f>'4'!G59</f>
        <v>100831724.56192088</v>
      </c>
      <c r="O8" s="103"/>
      <c r="P8" s="105"/>
    </row>
    <row r="9" spans="2:16" ht="15.75" thickBot="1">
      <c r="C9" s="74">
        <f>C8/(1+$E$3)^0</f>
        <v>-174292814.5</v>
      </c>
      <c r="D9" s="74">
        <f>D8/(1+$E$3)^1</f>
        <v>34060795.968154907</v>
      </c>
      <c r="E9" s="74">
        <f>E8/(1+$E$3)^2</f>
        <v>40805365.785464607</v>
      </c>
      <c r="F9" s="74">
        <f>F8/(1+$E$3)^3</f>
        <v>45460407.981970705</v>
      </c>
      <c r="G9" s="74">
        <f>G8/(1+$E$3)^4</f>
        <v>52703793.340953574</v>
      </c>
      <c r="H9" s="74">
        <f>H8/(1+$E$3)^5</f>
        <v>57214628.424854621</v>
      </c>
      <c r="O9" s="103"/>
      <c r="P9" s="105"/>
    </row>
    <row r="10" spans="2:16" ht="24" thickBot="1">
      <c r="B10" s="30" t="s">
        <v>142</v>
      </c>
      <c r="C10" s="31"/>
      <c r="D10" s="112">
        <f>NPV(E3,D8:H8)+$C$8</f>
        <v>55952177.001398385</v>
      </c>
      <c r="O10" s="103"/>
      <c r="P10" s="105"/>
    </row>
    <row r="11" spans="2:16" ht="27.75" thickBot="1">
      <c r="B11" s="138" t="s">
        <v>143</v>
      </c>
      <c r="C11" s="31"/>
      <c r="D11" s="113">
        <f>IF(ISERROR(IRR(C8:H8)),"NO_APLICA",(IRR(C8:H8)))</f>
        <v>0.22290158999514742</v>
      </c>
      <c r="F11" s="107" t="s">
        <v>144</v>
      </c>
      <c r="G11" s="31"/>
      <c r="H11" s="108">
        <f>IF(ISERROR(-C9/AVERAGE(D9:H9)),"NO_APLICA",(-C9/AVERAGE(D9:H9)))</f>
        <v>3.7849425814533166</v>
      </c>
      <c r="I11" s="109" t="s">
        <v>145</v>
      </c>
      <c r="P11" s="104"/>
    </row>
    <row r="13" spans="2:16" ht="18">
      <c r="B13" s="159" t="s">
        <v>146</v>
      </c>
      <c r="C13" s="159"/>
      <c r="D13" s="159"/>
      <c r="E13" s="159"/>
      <c r="F13" s="159"/>
      <c r="G13" s="159"/>
      <c r="H13" s="159"/>
    </row>
    <row r="14" spans="2:16" ht="36.75">
      <c r="B14" s="90" t="str">
        <f>'1'!B2</f>
        <v>NOMBRE DEL PRODUCTO O SERVICIO</v>
      </c>
      <c r="C14" s="90" t="s">
        <v>147</v>
      </c>
      <c r="D14" s="90" t="s">
        <v>148</v>
      </c>
      <c r="E14" s="90" t="s">
        <v>149</v>
      </c>
      <c r="F14" s="90" t="s">
        <v>150</v>
      </c>
      <c r="H14" s="74"/>
      <c r="I14" s="74"/>
      <c r="J14" s="74" t="s">
        <v>151</v>
      </c>
    </row>
    <row r="15" spans="2:16">
      <c r="B15" s="38" t="str">
        <f>'1'!B3</f>
        <v>15 variadeades de Frutas (Promedio)</v>
      </c>
      <c r="C15" s="91">
        <f>'1'!D3-'1'!D17</f>
        <v>3056</v>
      </c>
      <c r="D15" s="92">
        <f>'1'!F3</f>
        <v>0.52466221436297145</v>
      </c>
      <c r="E15" s="91">
        <f>C15*D15</f>
        <v>1603.3677270932408</v>
      </c>
      <c r="F15" s="93">
        <f t="shared" ref="F15:F24" si="0">$E$28*D15</f>
        <v>36903.408890322178</v>
      </c>
      <c r="G15" s="38" t="s">
        <v>152</v>
      </c>
      <c r="H15" s="75">
        <f>'1'!D3</f>
        <v>6112</v>
      </c>
      <c r="I15" s="94">
        <f t="shared" ref="I15:I24" si="1">$B$35*D15</f>
        <v>73806.817780644356</v>
      </c>
      <c r="J15" s="75">
        <f>'1'!D17</f>
        <v>3056</v>
      </c>
    </row>
    <row r="16" spans="2:16">
      <c r="B16" s="95" t="str">
        <f>'1'!B4</f>
        <v>10 Variedades de Verduras (Promedio)</v>
      </c>
      <c r="C16" s="91">
        <f>'1'!D4-'1'!D18</f>
        <v>2482</v>
      </c>
      <c r="D16" s="92">
        <f>'1'!F4</f>
        <v>0.42603052517726236</v>
      </c>
      <c r="E16" s="91">
        <f t="shared" ref="E16:E24" si="2">C16*D16</f>
        <v>1057.4077634899652</v>
      </c>
      <c r="F16" s="93">
        <f t="shared" si="0"/>
        <v>29965.906139180137</v>
      </c>
      <c r="G16" s="38" t="str">
        <f>G15</f>
        <v>UNIDADES</v>
      </c>
      <c r="H16" s="75">
        <f>'1'!D4</f>
        <v>4963</v>
      </c>
      <c r="I16" s="94">
        <f t="shared" si="1"/>
        <v>59931.812278360274</v>
      </c>
      <c r="J16" s="75">
        <f>'1'!D18</f>
        <v>2481</v>
      </c>
    </row>
    <row r="17" spans="2:10">
      <c r="B17" s="95" t="str">
        <f>'1'!B5</f>
        <v>Servicio de suscripción</v>
      </c>
      <c r="C17" s="91">
        <f>'1'!D5-'1'!D19</f>
        <v>25000</v>
      </c>
      <c r="D17" s="92">
        <f>'1'!F5</f>
        <v>1.7168266176798806E-2</v>
      </c>
      <c r="E17" s="91">
        <f t="shared" si="2"/>
        <v>429.20665441997016</v>
      </c>
      <c r="F17" s="93">
        <f t="shared" si="0"/>
        <v>1207.5722804424797</v>
      </c>
      <c r="G17" s="38" t="str">
        <f t="shared" ref="G17:G24" si="3">G16</f>
        <v>UNIDADES</v>
      </c>
      <c r="H17" s="75">
        <f>'1'!D5</f>
        <v>50000</v>
      </c>
      <c r="I17" s="94">
        <f t="shared" si="1"/>
        <v>2415.1445608849594</v>
      </c>
      <c r="J17" s="75">
        <f>'1'!D19</f>
        <v>25000</v>
      </c>
    </row>
    <row r="18" spans="2:10">
      <c r="B18" s="95" t="str">
        <f>'1'!B6</f>
        <v>Servicio de entrega Normal  - al siguiente dia (Inferior a $50.000)</v>
      </c>
      <c r="C18" s="91">
        <f>'1'!D6-'1'!D20</f>
        <v>3500</v>
      </c>
      <c r="D18" s="92">
        <f>'1'!F6</f>
        <v>1.7305612306213195E-2</v>
      </c>
      <c r="E18" s="91">
        <f t="shared" si="2"/>
        <v>60.569643071746185</v>
      </c>
      <c r="F18" s="93">
        <f t="shared" si="0"/>
        <v>1217.2328586860197</v>
      </c>
      <c r="G18" s="38" t="str">
        <f t="shared" si="3"/>
        <v>UNIDADES</v>
      </c>
      <c r="H18" s="75">
        <f>'1'!D6</f>
        <v>7000</v>
      </c>
      <c r="I18" s="94">
        <f t="shared" si="1"/>
        <v>2434.4657173720393</v>
      </c>
      <c r="J18" s="75">
        <f>'1'!D20</f>
        <v>3500</v>
      </c>
    </row>
    <row r="19" spans="2:10">
      <c r="B19" s="95" t="str">
        <f>'1'!B7</f>
        <v xml:space="preserve">Servicio de entrega express - El mismo dia </v>
      </c>
      <c r="C19" s="91">
        <f>'1'!D7-'1'!D21</f>
        <v>7500</v>
      </c>
      <c r="D19" s="92">
        <f>'1'!F7</f>
        <v>1.4833381976754167E-2</v>
      </c>
      <c r="E19" s="91">
        <f t="shared" si="2"/>
        <v>111.25036482565625</v>
      </c>
      <c r="F19" s="93">
        <f t="shared" si="0"/>
        <v>1043.3424503023025</v>
      </c>
      <c r="G19" s="38" t="str">
        <f t="shared" si="3"/>
        <v>UNIDADES</v>
      </c>
      <c r="H19" s="75">
        <f>'1'!D7</f>
        <v>15000</v>
      </c>
      <c r="I19" s="94">
        <f t="shared" si="1"/>
        <v>2086.684900604605</v>
      </c>
      <c r="J19" s="75">
        <f>'1'!D21</f>
        <v>7500</v>
      </c>
    </row>
    <row r="20" spans="2:10">
      <c r="B20" s="95">
        <f>'1'!B8</f>
        <v>0</v>
      </c>
      <c r="C20" s="91">
        <f>'1'!D8-'1'!D22</f>
        <v>0</v>
      </c>
      <c r="D20" s="92">
        <f>'1'!F8</f>
        <v>0</v>
      </c>
      <c r="E20" s="91">
        <f t="shared" si="2"/>
        <v>0</v>
      </c>
      <c r="F20" s="93">
        <f t="shared" si="0"/>
        <v>0</v>
      </c>
      <c r="G20" s="38" t="str">
        <f t="shared" si="3"/>
        <v>UNIDADES</v>
      </c>
      <c r="H20" s="75">
        <f>'1'!D8</f>
        <v>0</v>
      </c>
      <c r="I20" s="94">
        <f t="shared" si="1"/>
        <v>0</v>
      </c>
      <c r="J20" s="75">
        <f>'1'!D22</f>
        <v>0</v>
      </c>
    </row>
    <row r="21" spans="2:10">
      <c r="B21" s="95">
        <f>'1'!B9</f>
        <v>0</v>
      </c>
      <c r="C21" s="91">
        <f>'1'!D9-'1'!D23</f>
        <v>0</v>
      </c>
      <c r="D21" s="92">
        <f>'1'!F9</f>
        <v>0</v>
      </c>
      <c r="E21" s="91">
        <f t="shared" si="2"/>
        <v>0</v>
      </c>
      <c r="F21" s="93">
        <f t="shared" si="0"/>
        <v>0</v>
      </c>
      <c r="G21" s="38" t="str">
        <f t="shared" si="3"/>
        <v>UNIDADES</v>
      </c>
      <c r="H21" s="75">
        <f>'1'!D9</f>
        <v>0</v>
      </c>
      <c r="I21" s="94">
        <f t="shared" si="1"/>
        <v>0</v>
      </c>
      <c r="J21" s="75">
        <f>'1'!D23</f>
        <v>0</v>
      </c>
    </row>
    <row r="22" spans="2:10">
      <c r="B22" s="95">
        <f>'1'!B10</f>
        <v>0</v>
      </c>
      <c r="C22" s="91">
        <f>'1'!D10-'1'!D24</f>
        <v>0</v>
      </c>
      <c r="D22" s="92">
        <f>'1'!F10</f>
        <v>0</v>
      </c>
      <c r="E22" s="91">
        <f t="shared" si="2"/>
        <v>0</v>
      </c>
      <c r="F22" s="93">
        <f t="shared" si="0"/>
        <v>0</v>
      </c>
      <c r="G22" s="38" t="str">
        <f t="shared" si="3"/>
        <v>UNIDADES</v>
      </c>
      <c r="H22" s="75">
        <f>'1'!D10</f>
        <v>0</v>
      </c>
      <c r="I22" s="94">
        <f t="shared" si="1"/>
        <v>0</v>
      </c>
      <c r="J22" s="75">
        <f>'1'!D24</f>
        <v>0</v>
      </c>
    </row>
    <row r="23" spans="2:10">
      <c r="B23" s="95">
        <f>'1'!B11</f>
        <v>0</v>
      </c>
      <c r="C23" s="91">
        <f>'1'!D11-'1'!D25</f>
        <v>0</v>
      </c>
      <c r="D23" s="92">
        <f>'1'!F11</f>
        <v>0</v>
      </c>
      <c r="E23" s="91">
        <f t="shared" si="2"/>
        <v>0</v>
      </c>
      <c r="F23" s="93">
        <f t="shared" si="0"/>
        <v>0</v>
      </c>
      <c r="G23" s="38" t="str">
        <f t="shared" si="3"/>
        <v>UNIDADES</v>
      </c>
      <c r="H23" s="75">
        <f>'1'!D11</f>
        <v>0</v>
      </c>
      <c r="I23" s="94">
        <f t="shared" si="1"/>
        <v>0</v>
      </c>
      <c r="J23" s="75">
        <f>'1'!D25</f>
        <v>0</v>
      </c>
    </row>
    <row r="24" spans="2:10">
      <c r="B24" s="38">
        <f>'1'!B12</f>
        <v>0</v>
      </c>
      <c r="C24" s="91">
        <f>'1'!D12-'1'!D26</f>
        <v>0</v>
      </c>
      <c r="D24" s="92">
        <f>'1'!F12</f>
        <v>0</v>
      </c>
      <c r="E24" s="91">
        <f t="shared" si="2"/>
        <v>0</v>
      </c>
      <c r="F24" s="93">
        <f t="shared" si="0"/>
        <v>0</v>
      </c>
      <c r="G24" s="38" t="str">
        <f t="shared" si="3"/>
        <v>UNIDADES</v>
      </c>
      <c r="H24" s="75">
        <f>'1'!D12</f>
        <v>0</v>
      </c>
      <c r="I24" s="94">
        <f t="shared" si="1"/>
        <v>0</v>
      </c>
      <c r="J24" s="75">
        <f>'1'!D26</f>
        <v>0</v>
      </c>
    </row>
    <row r="25" spans="2:10" ht="26.25">
      <c r="C25" s="26"/>
      <c r="D25" s="96"/>
      <c r="E25" s="26"/>
      <c r="F25" s="97">
        <f>SUM(F15:F24)</f>
        <v>70337.462618933117</v>
      </c>
      <c r="G25" s="8" t="str">
        <f>G24</f>
        <v>UNIDADES</v>
      </c>
      <c r="H25" s="75"/>
      <c r="I25" s="94"/>
      <c r="J25" s="75"/>
    </row>
    <row r="26" spans="2:10" ht="12.75" customHeight="1">
      <c r="C26" s="26"/>
      <c r="D26" s="96"/>
      <c r="E26" s="26"/>
      <c r="F26" s="97"/>
      <c r="H26" s="75"/>
      <c r="I26" s="94"/>
      <c r="J26" s="75"/>
    </row>
    <row r="27" spans="2:10" ht="21" customHeight="1">
      <c r="B27" s="162" t="s">
        <v>153</v>
      </c>
      <c r="C27" s="162"/>
      <c r="D27" s="162"/>
      <c r="E27" s="98">
        <f>SUM(E15:E24)</f>
        <v>3261.8021529005787</v>
      </c>
      <c r="H27" s="74"/>
      <c r="I27" s="74"/>
      <c r="J27" s="74"/>
    </row>
    <row r="28" spans="2:10" ht="19.5" customHeight="1">
      <c r="B28" s="162" t="s">
        <v>154</v>
      </c>
      <c r="C28" s="162"/>
      <c r="D28" s="162"/>
      <c r="E28" s="97">
        <f>IF(E27=0,0,('2'!C23+'2'!F31+'2'!C25)/'5'!E27)</f>
        <v>70337.462618933117</v>
      </c>
      <c r="F28" s="99" t="s">
        <v>152</v>
      </c>
      <c r="H28" s="100"/>
    </row>
    <row r="29" spans="2:10" ht="26.25">
      <c r="B29" s="162" t="s">
        <v>155</v>
      </c>
      <c r="C29" s="162"/>
      <c r="D29" s="162"/>
      <c r="E29" s="98">
        <f>E49</f>
        <v>458823808.09386086</v>
      </c>
    </row>
    <row r="30" spans="2:10">
      <c r="B30" s="132"/>
      <c r="C30" s="132"/>
      <c r="D30" s="132"/>
      <c r="E30" s="132"/>
      <c r="F30" s="132"/>
      <c r="G30" s="132"/>
    </row>
    <row r="31" spans="2:10" s="74" customFormat="1"/>
    <row r="32" spans="2:10" s="74" customFormat="1">
      <c r="C32" s="74" t="s">
        <v>156</v>
      </c>
      <c r="D32" s="74" t="s">
        <v>157</v>
      </c>
      <c r="E32" s="74" t="s">
        <v>158</v>
      </c>
      <c r="F32" s="74" t="s">
        <v>159</v>
      </c>
    </row>
    <row r="33" spans="2:6" s="74" customFormat="1">
      <c r="B33" s="74">
        <v>0</v>
      </c>
      <c r="C33" s="75">
        <f>'2'!C25+'2'!F31+'2'!C23</f>
        <v>229426887</v>
      </c>
      <c r="D33" s="74">
        <f>0</f>
        <v>0</v>
      </c>
      <c r="E33" s="74">
        <v>0</v>
      </c>
      <c r="F33" s="75">
        <f>C33+E33</f>
        <v>229426887</v>
      </c>
    </row>
    <row r="34" spans="2:6" s="74" customFormat="1">
      <c r="B34" s="94">
        <f>F25</f>
        <v>70337.462618933117</v>
      </c>
      <c r="C34" s="75">
        <f>C33</f>
        <v>229426887</v>
      </c>
      <c r="D34" s="133">
        <f>SUMPRODUCT(F15:F24,H15:H24)</f>
        <v>458823808.09386086</v>
      </c>
      <c r="E34" s="133">
        <f>SUMPRODUCT(F15:F24,J15:J24)</f>
        <v>229396921.09386083</v>
      </c>
      <c r="F34" s="75">
        <f t="shared" ref="F34:F35" si="4">C34+E34</f>
        <v>458823808.09386086</v>
      </c>
    </row>
    <row r="35" spans="2:6" s="74" customFormat="1">
      <c r="B35" s="94">
        <f>B34*2</f>
        <v>140674.92523786623</v>
      </c>
      <c r="C35" s="75">
        <f>C34</f>
        <v>229426887</v>
      </c>
      <c r="D35" s="133">
        <f>SUMPRODUCT(H15:H24,I15:I24)</f>
        <v>917647616.18772173</v>
      </c>
      <c r="E35" s="133">
        <f>SUMPRODUCT(I15:I24,J15:J24)</f>
        <v>458793842.18772167</v>
      </c>
      <c r="F35" s="75">
        <f t="shared" si="4"/>
        <v>688220729.18772173</v>
      </c>
    </row>
    <row r="36" spans="2:6" s="74" customFormat="1">
      <c r="C36" s="75"/>
    </row>
    <row r="37" spans="2:6" s="74" customFormat="1">
      <c r="C37" s="75"/>
    </row>
    <row r="38" spans="2:6" s="74" customFormat="1">
      <c r="C38" s="134" t="s">
        <v>160</v>
      </c>
      <c r="D38" s="74" t="s">
        <v>152</v>
      </c>
      <c r="E38" s="74" t="s">
        <v>161</v>
      </c>
    </row>
    <row r="39" spans="2:6" s="74" customFormat="1">
      <c r="B39" s="74">
        <v>1</v>
      </c>
      <c r="C39" s="75">
        <f>'1'!D3</f>
        <v>6112</v>
      </c>
      <c r="D39" s="94">
        <f>F15</f>
        <v>36903.408890322178</v>
      </c>
      <c r="E39" s="74">
        <f>C39*D39</f>
        <v>225553635.13764915</v>
      </c>
    </row>
    <row r="40" spans="2:6" s="74" customFormat="1">
      <c r="B40" s="74">
        <f>B39+1</f>
        <v>2</v>
      </c>
      <c r="C40" s="75">
        <f>'1'!D4</f>
        <v>4963</v>
      </c>
      <c r="D40" s="94">
        <f t="shared" ref="D40:D48" si="5">F16</f>
        <v>29965.906139180137</v>
      </c>
      <c r="E40" s="74">
        <f t="shared" ref="E40:E48" si="6">C40*D40</f>
        <v>148720792.16875103</v>
      </c>
    </row>
    <row r="41" spans="2:6" s="74" customFormat="1">
      <c r="B41" s="74">
        <f t="shared" ref="B41:B48" si="7">B40+1</f>
        <v>3</v>
      </c>
      <c r="C41" s="75">
        <f>'1'!D5</f>
        <v>50000</v>
      </c>
      <c r="D41" s="94">
        <f t="shared" si="5"/>
        <v>1207.5722804424797</v>
      </c>
      <c r="E41" s="74">
        <f t="shared" si="6"/>
        <v>60378614.022123985</v>
      </c>
    </row>
    <row r="42" spans="2:6" s="74" customFormat="1">
      <c r="B42" s="74">
        <f t="shared" si="7"/>
        <v>4</v>
      </c>
      <c r="C42" s="75">
        <f>'1'!D6</f>
        <v>7000</v>
      </c>
      <c r="D42" s="94">
        <f t="shared" si="5"/>
        <v>1217.2328586860197</v>
      </c>
      <c r="E42" s="74">
        <f t="shared" si="6"/>
        <v>8520630.0108021367</v>
      </c>
    </row>
    <row r="43" spans="2:6" s="74" customFormat="1">
      <c r="B43" s="74">
        <f t="shared" si="7"/>
        <v>5</v>
      </c>
      <c r="C43" s="75">
        <f>'1'!D7</f>
        <v>15000</v>
      </c>
      <c r="D43" s="94">
        <f t="shared" si="5"/>
        <v>1043.3424503023025</v>
      </c>
      <c r="E43" s="74">
        <f t="shared" si="6"/>
        <v>15650136.754534537</v>
      </c>
    </row>
    <row r="44" spans="2:6" s="74" customFormat="1">
      <c r="B44" s="74">
        <f t="shared" si="7"/>
        <v>6</v>
      </c>
      <c r="C44" s="75">
        <f>'1'!D8</f>
        <v>0</v>
      </c>
      <c r="D44" s="94">
        <f t="shared" si="5"/>
        <v>0</v>
      </c>
      <c r="E44" s="74">
        <f t="shared" si="6"/>
        <v>0</v>
      </c>
    </row>
    <row r="45" spans="2:6" s="74" customFormat="1">
      <c r="B45" s="74">
        <f t="shared" si="7"/>
        <v>7</v>
      </c>
      <c r="C45" s="75">
        <f>'1'!D9</f>
        <v>0</v>
      </c>
      <c r="D45" s="94">
        <f t="shared" si="5"/>
        <v>0</v>
      </c>
      <c r="E45" s="74">
        <f t="shared" si="6"/>
        <v>0</v>
      </c>
    </row>
    <row r="46" spans="2:6" s="74" customFormat="1">
      <c r="B46" s="74">
        <f t="shared" si="7"/>
        <v>8</v>
      </c>
      <c r="C46" s="75">
        <f>'1'!D10</f>
        <v>0</v>
      </c>
      <c r="D46" s="94">
        <f t="shared" si="5"/>
        <v>0</v>
      </c>
      <c r="E46" s="74">
        <f t="shared" si="6"/>
        <v>0</v>
      </c>
    </row>
    <row r="47" spans="2:6" s="74" customFormat="1">
      <c r="B47" s="74">
        <f t="shared" si="7"/>
        <v>9</v>
      </c>
      <c r="C47" s="75">
        <f>'1'!D11</f>
        <v>0</v>
      </c>
      <c r="D47" s="94">
        <f t="shared" si="5"/>
        <v>0</v>
      </c>
      <c r="E47" s="74">
        <f t="shared" si="6"/>
        <v>0</v>
      </c>
    </row>
    <row r="48" spans="2:6" s="74" customFormat="1">
      <c r="B48" s="74">
        <f t="shared" si="7"/>
        <v>10</v>
      </c>
      <c r="C48" s="75">
        <f>'1'!D12</f>
        <v>0</v>
      </c>
      <c r="D48" s="94">
        <f t="shared" si="5"/>
        <v>0</v>
      </c>
      <c r="E48" s="74">
        <f t="shared" si="6"/>
        <v>0</v>
      </c>
    </row>
    <row r="49" spans="2:8" s="74" customFormat="1">
      <c r="C49" s="75"/>
      <c r="E49" s="135">
        <f>SUM(E39:E48)</f>
        <v>458823808.09386086</v>
      </c>
    </row>
    <row r="50" spans="2:8" s="74" customFormat="1"/>
    <row r="51" spans="2:8" s="74" customFormat="1">
      <c r="C51" s="75"/>
    </row>
    <row r="52" spans="2:8" s="74" customFormat="1">
      <c r="B52" s="160"/>
      <c r="C52" s="160"/>
      <c r="D52" s="160"/>
      <c r="G52" s="74" t="s">
        <v>162</v>
      </c>
      <c r="H52" s="136">
        <f>'4'!B32/'4'!B27</f>
        <v>0.8278758646128811</v>
      </c>
    </row>
    <row r="53" spans="2:8" s="74" customFormat="1">
      <c r="C53" s="75"/>
      <c r="G53" s="74" t="s">
        <v>163</v>
      </c>
      <c r="H53" s="136">
        <f>'4'!B36/'4'!B27</f>
        <v>0.1721241353871189</v>
      </c>
    </row>
    <row r="54" spans="2:8" s="74" customFormat="1">
      <c r="G54" s="74" t="s">
        <v>164</v>
      </c>
      <c r="H54" s="74">
        <f>'1'!AB7</f>
        <v>0.35</v>
      </c>
    </row>
    <row r="55" spans="2:8" s="74" customFormat="1">
      <c r="G55" s="74" t="s">
        <v>165</v>
      </c>
      <c r="H55" s="136">
        <f>'3'!F4</f>
        <v>0.2</v>
      </c>
    </row>
    <row r="56" spans="2:8" s="74" customFormat="1">
      <c r="G56" s="74" t="s">
        <v>166</v>
      </c>
    </row>
    <row r="57" spans="2:8" s="74" customFormat="1"/>
    <row r="58" spans="2:8" s="74" customFormat="1"/>
    <row r="59" spans="2:8" s="74" customFormat="1"/>
    <row r="60" spans="2:8" s="74" customFormat="1"/>
    <row r="61" spans="2:8" s="74" customFormat="1"/>
    <row r="62" spans="2:8">
      <c r="B62" s="132"/>
      <c r="C62" s="132"/>
      <c r="D62" s="132"/>
      <c r="E62" s="132"/>
      <c r="F62" s="132"/>
      <c r="G62" s="132"/>
    </row>
    <row r="63" spans="2:8">
      <c r="B63" s="132"/>
      <c r="C63" s="132"/>
      <c r="D63" s="132"/>
      <c r="E63" s="132"/>
      <c r="F63" s="132"/>
      <c r="G63" s="132"/>
    </row>
    <row r="64" spans="2:8">
      <c r="B64" s="132"/>
      <c r="C64" s="132"/>
      <c r="D64" s="132"/>
      <c r="E64" s="132"/>
      <c r="F64" s="132"/>
      <c r="G64" s="132"/>
    </row>
    <row r="65" spans="2:7">
      <c r="B65" s="132"/>
      <c r="C65" s="132"/>
      <c r="D65" s="132"/>
      <c r="E65" s="132"/>
      <c r="F65" s="132"/>
      <c r="G65" s="132"/>
    </row>
    <row r="66" spans="2:7">
      <c r="B66" s="132"/>
      <c r="C66" s="132"/>
      <c r="D66" s="132"/>
      <c r="E66" s="132"/>
      <c r="F66" s="132"/>
      <c r="G66" s="132"/>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EE7F58BAD56A542ACB1EDE978366ADD" ma:contentTypeVersion="4" ma:contentTypeDescription="Crear nuevo documento." ma:contentTypeScope="" ma:versionID="eae2fa040312e377833240718e8d7aea">
  <xsd:schema xmlns:xsd="http://www.w3.org/2001/XMLSchema" xmlns:xs="http://www.w3.org/2001/XMLSchema" xmlns:p="http://schemas.microsoft.com/office/2006/metadata/properties" xmlns:ns2="08c3691e-f717-4874-bc95-cb3e4c607461" targetNamespace="http://schemas.microsoft.com/office/2006/metadata/properties" ma:root="true" ma:fieldsID="f092df27f413c9b764e762cf63a4a201" ns2:_="">
    <xsd:import namespace="08c3691e-f717-4874-bc95-cb3e4c60746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c3691e-f717-4874-bc95-cb3e4c6074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E0F7C2-E617-458D-ABF7-8E79878EAC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c3691e-f717-4874-bc95-cb3e4c607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46126D-72FF-43C3-B754-1B03FE5D0211}">
  <ds:schemaRefs>
    <ds:schemaRef ds:uri="http://www.w3.org/XML/1998/namespace"/>
    <ds:schemaRef ds:uri="http://purl.org/dc/terms/"/>
    <ds:schemaRef ds:uri="http://purl.org/dc/dcmitype/"/>
    <ds:schemaRef ds:uri="08c3691e-f717-4874-bc95-cb3e4c60746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7C712E58-D6D2-4C0F-B37A-BDAB77C8B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Matias</cp:lastModifiedBy>
  <cp:revision/>
  <dcterms:created xsi:type="dcterms:W3CDTF">2013-07-30T17:19:59Z</dcterms:created>
  <dcterms:modified xsi:type="dcterms:W3CDTF">2022-09-15T14:33:36Z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0x0101002EE7F58BAD56A542ACB1EDE978366ADD</vt:lpwstr>
  </property>
</Properties>
</file>