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afae\OneDrive\Escritorio\seminario\sustentancion\"/>
    </mc:Choice>
  </mc:AlternateContent>
  <xr:revisionPtr revIDLastSave="0" documentId="13_ncr:1_{26D07A1E-607D-4546-875A-F4C2D9B7CCDF}" xr6:coauthVersionLast="47" xr6:coauthVersionMax="47" xr10:uidLastSave="{00000000-0000-0000-0000-000000000000}"/>
  <bookViews>
    <workbookView xWindow="-120" yWindow="-120" windowWidth="20730" windowHeight="11040" tabRatio="500" activeTab="2" xr2:uid="{00000000-000D-0000-FFFF-FFFF00000000}"/>
  </bookViews>
  <sheets>
    <sheet name="Datos" sheetId="1" r:id="rId1"/>
    <sheet name="Calculo Indice" sheetId="2" r:id="rId2"/>
    <sheet name="Analisis descriptivo" sheetId="3" r:id="rId3"/>
    <sheet name="Calculo Chi_Cuadrado" sheetId="4" r:id="rId4"/>
    <sheet name="Perfiles_Cruzados" sheetId="6" r:id="rId5"/>
    <sheet name="Verificación_Chi_cuadra" sheetId="7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4" i="3" l="1"/>
  <c r="E11" i="2"/>
  <c r="C4" i="7"/>
  <c r="D4" i="7" s="1"/>
  <c r="E4" i="7" s="1"/>
  <c r="B49" i="6"/>
  <c r="E49" i="6" s="1"/>
  <c r="B48" i="6"/>
  <c r="E48" i="6" s="1"/>
  <c r="B47" i="6"/>
  <c r="E47" i="6" s="1"/>
  <c r="B46" i="6"/>
  <c r="E46" i="6" s="1"/>
  <c r="B45" i="6"/>
  <c r="E45" i="6" s="1"/>
  <c r="B44" i="6"/>
  <c r="B39" i="6"/>
  <c r="E39" i="6" s="1"/>
  <c r="B38" i="6"/>
  <c r="B33" i="6"/>
  <c r="E33" i="6" s="1"/>
  <c r="B32" i="6"/>
  <c r="E32" i="6" s="1"/>
  <c r="B31" i="6"/>
  <c r="E31" i="6" s="1"/>
  <c r="B26" i="6"/>
  <c r="E26" i="6" s="1"/>
  <c r="B25" i="6"/>
  <c r="E25" i="6" s="1"/>
  <c r="B24" i="6"/>
  <c r="B19" i="6"/>
  <c r="E19" i="6" s="1"/>
  <c r="B18" i="6"/>
  <c r="E18" i="6" s="1"/>
  <c r="B17" i="6"/>
  <c r="E17" i="6" s="1"/>
  <c r="B16" i="6"/>
  <c r="E16" i="6" s="1"/>
  <c r="B15" i="6"/>
  <c r="E15" i="6" s="1"/>
  <c r="B14" i="6"/>
  <c r="E14" i="6" s="1"/>
  <c r="B13" i="6"/>
  <c r="E13" i="6" s="1"/>
  <c r="B12" i="6"/>
  <c r="E12" i="6" s="1"/>
  <c r="B7" i="6"/>
  <c r="E7" i="6" s="1"/>
  <c r="B6" i="6"/>
  <c r="E6" i="6" s="1"/>
  <c r="B5" i="6"/>
  <c r="B154" i="3"/>
  <c r="C154" i="3" s="1"/>
  <c r="B153" i="3"/>
  <c r="C153" i="3" s="1"/>
  <c r="B152" i="3"/>
  <c r="C152" i="3" s="1"/>
  <c r="B151" i="3"/>
  <c r="C151" i="3" s="1"/>
  <c r="B150" i="3"/>
  <c r="C150" i="3" s="1"/>
  <c r="B146" i="3"/>
  <c r="C146" i="3" s="1"/>
  <c r="B145" i="3"/>
  <c r="C145" i="3" s="1"/>
  <c r="B144" i="3"/>
  <c r="C144" i="3" s="1"/>
  <c r="B143" i="3"/>
  <c r="C143" i="3" s="1"/>
  <c r="B142" i="3"/>
  <c r="C142" i="3" s="1"/>
  <c r="B130" i="3"/>
  <c r="B129" i="3"/>
  <c r="B128" i="3"/>
  <c r="B127" i="3"/>
  <c r="B122" i="3"/>
  <c r="B121" i="3"/>
  <c r="B120" i="3"/>
  <c r="B119" i="3"/>
  <c r="B118" i="3"/>
  <c r="B113" i="3"/>
  <c r="B112" i="3"/>
  <c r="B111" i="3"/>
  <c r="B110" i="3"/>
  <c r="B109" i="3"/>
  <c r="B104" i="3"/>
  <c r="B103" i="3"/>
  <c r="B102" i="3"/>
  <c r="B101" i="3"/>
  <c r="B100" i="3"/>
  <c r="B95" i="3"/>
  <c r="B94" i="3"/>
  <c r="B93" i="3"/>
  <c r="B92" i="3"/>
  <c r="B91" i="3"/>
  <c r="B86" i="3"/>
  <c r="B85" i="3"/>
  <c r="B84" i="3"/>
  <c r="B83" i="3"/>
  <c r="B82" i="3"/>
  <c r="B77" i="3"/>
  <c r="B76" i="3"/>
  <c r="B75" i="3"/>
  <c r="B74" i="3"/>
  <c r="B73" i="3"/>
  <c r="B68" i="3"/>
  <c r="B67" i="3"/>
  <c r="B66" i="3"/>
  <c r="B65" i="3"/>
  <c r="B64" i="3"/>
  <c r="B63" i="3"/>
  <c r="B58" i="3"/>
  <c r="B57" i="3"/>
  <c r="B56" i="3"/>
  <c r="B51" i="3"/>
  <c r="B50" i="3"/>
  <c r="B49" i="3"/>
  <c r="B48" i="3"/>
  <c r="B47" i="3"/>
  <c r="B46" i="3"/>
  <c r="B41" i="3"/>
  <c r="B40" i="3"/>
  <c r="B39" i="3"/>
  <c r="B34" i="3"/>
  <c r="B33" i="3"/>
  <c r="B32" i="3"/>
  <c r="B27" i="3"/>
  <c r="B26" i="3"/>
  <c r="B25" i="3"/>
  <c r="B20" i="3"/>
  <c r="B19" i="3"/>
  <c r="B18" i="3"/>
  <c r="B17" i="3"/>
  <c r="B16" i="3"/>
  <c r="B15" i="3"/>
  <c r="B14" i="3"/>
  <c r="B13" i="3"/>
  <c r="B8" i="3"/>
  <c r="B7" i="3"/>
  <c r="B6" i="3"/>
  <c r="B5" i="3"/>
  <c r="AD66" i="1"/>
  <c r="AC66" i="1"/>
  <c r="AB66" i="1"/>
  <c r="AA66" i="1"/>
  <c r="Z66" i="1"/>
  <c r="Y66" i="1"/>
  <c r="V66" i="1"/>
  <c r="T66" i="1"/>
  <c r="U66" i="1" s="1"/>
  <c r="S66" i="1"/>
  <c r="AD65" i="1"/>
  <c r="AC65" i="1"/>
  <c r="AB65" i="1"/>
  <c r="AA65" i="1"/>
  <c r="Z65" i="1"/>
  <c r="Y65" i="1"/>
  <c r="V65" i="1"/>
  <c r="T65" i="1"/>
  <c r="U65" i="1" s="1"/>
  <c r="S65" i="1"/>
  <c r="AD64" i="1"/>
  <c r="AC64" i="1"/>
  <c r="AB64" i="1"/>
  <c r="AA64" i="1"/>
  <c r="Z64" i="1"/>
  <c r="Y64" i="1"/>
  <c r="V64" i="1"/>
  <c r="T64" i="1"/>
  <c r="U64" i="1" s="1"/>
  <c r="S64" i="1"/>
  <c r="AD63" i="1"/>
  <c r="AC63" i="1"/>
  <c r="AB63" i="1"/>
  <c r="AA63" i="1"/>
  <c r="Z63" i="1"/>
  <c r="Y63" i="1"/>
  <c r="V63" i="1"/>
  <c r="T63" i="1"/>
  <c r="U63" i="1" s="1"/>
  <c r="S63" i="1"/>
  <c r="AD62" i="1"/>
  <c r="AC62" i="1"/>
  <c r="AB62" i="1"/>
  <c r="AA62" i="1"/>
  <c r="Z62" i="1"/>
  <c r="Y62" i="1"/>
  <c r="V62" i="1"/>
  <c r="T62" i="1"/>
  <c r="U62" i="1" s="1"/>
  <c r="S62" i="1"/>
  <c r="AD61" i="1"/>
  <c r="AC61" i="1"/>
  <c r="AB61" i="1"/>
  <c r="AA61" i="1"/>
  <c r="Z61" i="1"/>
  <c r="Y61" i="1"/>
  <c r="V61" i="1"/>
  <c r="T61" i="1"/>
  <c r="U61" i="1" s="1"/>
  <c r="S61" i="1"/>
  <c r="AD60" i="1"/>
  <c r="AC60" i="1"/>
  <c r="AB60" i="1"/>
  <c r="AA60" i="1"/>
  <c r="Z60" i="1"/>
  <c r="Y60" i="1"/>
  <c r="V60" i="1"/>
  <c r="T60" i="1"/>
  <c r="U60" i="1" s="1"/>
  <c r="S60" i="1"/>
  <c r="AD59" i="1"/>
  <c r="AC59" i="1"/>
  <c r="AB59" i="1"/>
  <c r="AA59" i="1"/>
  <c r="Z59" i="1"/>
  <c r="Y59" i="1"/>
  <c r="V59" i="1"/>
  <c r="T59" i="1"/>
  <c r="U59" i="1" s="1"/>
  <c r="S59" i="1"/>
  <c r="AD58" i="1"/>
  <c r="AC58" i="1"/>
  <c r="AB58" i="1"/>
  <c r="AA58" i="1"/>
  <c r="Z58" i="1"/>
  <c r="Y58" i="1"/>
  <c r="V58" i="1"/>
  <c r="T58" i="1"/>
  <c r="U58" i="1" s="1"/>
  <c r="S58" i="1"/>
  <c r="AD57" i="1"/>
  <c r="AC57" i="1"/>
  <c r="AB57" i="1"/>
  <c r="AA57" i="1"/>
  <c r="Z57" i="1"/>
  <c r="Y57" i="1"/>
  <c r="V57" i="1"/>
  <c r="T57" i="1"/>
  <c r="U57" i="1" s="1"/>
  <c r="S57" i="1"/>
  <c r="AD56" i="1"/>
  <c r="AC56" i="1"/>
  <c r="AB56" i="1"/>
  <c r="AA56" i="1"/>
  <c r="Z56" i="1"/>
  <c r="Y56" i="1"/>
  <c r="V56" i="1"/>
  <c r="T56" i="1"/>
  <c r="U56" i="1" s="1"/>
  <c r="S56" i="1"/>
  <c r="AD55" i="1"/>
  <c r="AC55" i="1"/>
  <c r="AB55" i="1"/>
  <c r="AA55" i="1"/>
  <c r="Z55" i="1"/>
  <c r="Y55" i="1"/>
  <c r="V55" i="1"/>
  <c r="T55" i="1"/>
  <c r="U55" i="1" s="1"/>
  <c r="S55" i="1"/>
  <c r="AD54" i="1"/>
  <c r="AC54" i="1"/>
  <c r="AB54" i="1"/>
  <c r="AA54" i="1"/>
  <c r="Z54" i="1"/>
  <c r="Y54" i="1"/>
  <c r="V54" i="1"/>
  <c r="T54" i="1"/>
  <c r="U54" i="1" s="1"/>
  <c r="S54" i="1"/>
  <c r="AD53" i="1"/>
  <c r="AC53" i="1"/>
  <c r="AB53" i="1"/>
  <c r="AA53" i="1"/>
  <c r="Z53" i="1"/>
  <c r="Y53" i="1"/>
  <c r="V53" i="1"/>
  <c r="T53" i="1"/>
  <c r="U53" i="1" s="1"/>
  <c r="S53" i="1"/>
  <c r="AD52" i="1"/>
  <c r="AC52" i="1"/>
  <c r="AB52" i="1"/>
  <c r="AA52" i="1"/>
  <c r="Z52" i="1"/>
  <c r="Y52" i="1"/>
  <c r="V52" i="1"/>
  <c r="T52" i="1"/>
  <c r="U52" i="1" s="1"/>
  <c r="S52" i="1"/>
  <c r="AD51" i="1"/>
  <c r="AC51" i="1"/>
  <c r="AB51" i="1"/>
  <c r="AA51" i="1"/>
  <c r="Z51" i="1"/>
  <c r="Y51" i="1"/>
  <c r="V51" i="1"/>
  <c r="T51" i="1"/>
  <c r="U51" i="1" s="1"/>
  <c r="S51" i="1"/>
  <c r="AD50" i="1"/>
  <c r="AC50" i="1"/>
  <c r="AB50" i="1"/>
  <c r="AA50" i="1"/>
  <c r="Z50" i="1"/>
  <c r="Y50" i="1"/>
  <c r="V50" i="1"/>
  <c r="T50" i="1"/>
  <c r="U50" i="1" s="1"/>
  <c r="S50" i="1"/>
  <c r="AD49" i="1"/>
  <c r="AC49" i="1"/>
  <c r="AB49" i="1"/>
  <c r="AA49" i="1"/>
  <c r="Z49" i="1"/>
  <c r="Y49" i="1"/>
  <c r="V49" i="1"/>
  <c r="T49" i="1"/>
  <c r="U49" i="1" s="1"/>
  <c r="S49" i="1"/>
  <c r="AD48" i="1"/>
  <c r="AC48" i="1"/>
  <c r="AB48" i="1"/>
  <c r="AA48" i="1"/>
  <c r="Z48" i="1"/>
  <c r="Y48" i="1"/>
  <c r="V48" i="1"/>
  <c r="T48" i="1"/>
  <c r="U48" i="1" s="1"/>
  <c r="S48" i="1"/>
  <c r="AD47" i="1"/>
  <c r="AC47" i="1"/>
  <c r="AB47" i="1"/>
  <c r="AA47" i="1"/>
  <c r="Z47" i="1"/>
  <c r="Y47" i="1"/>
  <c r="V47" i="1"/>
  <c r="T47" i="1"/>
  <c r="U47" i="1" s="1"/>
  <c r="S47" i="1"/>
  <c r="AD46" i="1"/>
  <c r="AC46" i="1"/>
  <c r="AB46" i="1"/>
  <c r="AA46" i="1"/>
  <c r="Z46" i="1"/>
  <c r="Y46" i="1"/>
  <c r="V46" i="1"/>
  <c r="T46" i="1"/>
  <c r="U46" i="1" s="1"/>
  <c r="S46" i="1"/>
  <c r="AD45" i="1"/>
  <c r="AC45" i="1"/>
  <c r="AB45" i="1"/>
  <c r="AA45" i="1"/>
  <c r="Z45" i="1"/>
  <c r="Y45" i="1"/>
  <c r="V45" i="1"/>
  <c r="T45" i="1"/>
  <c r="U45" i="1" s="1"/>
  <c r="S45" i="1"/>
  <c r="AD44" i="1"/>
  <c r="AC44" i="1"/>
  <c r="AB44" i="1"/>
  <c r="AA44" i="1"/>
  <c r="Z44" i="1"/>
  <c r="Y44" i="1"/>
  <c r="V44" i="1"/>
  <c r="T44" i="1"/>
  <c r="U44" i="1" s="1"/>
  <c r="S44" i="1"/>
  <c r="AD43" i="1"/>
  <c r="AC43" i="1"/>
  <c r="AB43" i="1"/>
  <c r="AA43" i="1"/>
  <c r="Z43" i="1"/>
  <c r="Y43" i="1"/>
  <c r="V43" i="1"/>
  <c r="T43" i="1"/>
  <c r="U43" i="1" s="1"/>
  <c r="S43" i="1"/>
  <c r="AD42" i="1"/>
  <c r="AC42" i="1"/>
  <c r="AB42" i="1"/>
  <c r="AA42" i="1"/>
  <c r="Z42" i="1"/>
  <c r="Y42" i="1"/>
  <c r="V42" i="1"/>
  <c r="T42" i="1"/>
  <c r="U42" i="1" s="1"/>
  <c r="S42" i="1"/>
  <c r="AD41" i="1"/>
  <c r="AC41" i="1"/>
  <c r="AB41" i="1"/>
  <c r="AA41" i="1"/>
  <c r="Z41" i="1"/>
  <c r="Y41" i="1"/>
  <c r="V41" i="1"/>
  <c r="T41" i="1"/>
  <c r="U41" i="1" s="1"/>
  <c r="S41" i="1"/>
  <c r="AD40" i="1"/>
  <c r="AC40" i="1"/>
  <c r="AB40" i="1"/>
  <c r="AA40" i="1"/>
  <c r="Z40" i="1"/>
  <c r="Y40" i="1"/>
  <c r="V40" i="1"/>
  <c r="T40" i="1"/>
  <c r="U40" i="1" s="1"/>
  <c r="S40" i="1"/>
  <c r="W40" i="1" s="1"/>
  <c r="X40" i="1" s="1"/>
  <c r="AD39" i="1"/>
  <c r="AC39" i="1"/>
  <c r="AB39" i="1"/>
  <c r="AA39" i="1"/>
  <c r="Z39" i="1"/>
  <c r="Y39" i="1"/>
  <c r="V39" i="1"/>
  <c r="T39" i="1"/>
  <c r="U39" i="1" s="1"/>
  <c r="S39" i="1"/>
  <c r="W39" i="1" s="1"/>
  <c r="AD38" i="1"/>
  <c r="AC38" i="1"/>
  <c r="AB38" i="1"/>
  <c r="AA38" i="1"/>
  <c r="Z38" i="1"/>
  <c r="Y38" i="1"/>
  <c r="V38" i="1"/>
  <c r="T38" i="1"/>
  <c r="U38" i="1" s="1"/>
  <c r="S38" i="1"/>
  <c r="AD37" i="1"/>
  <c r="AC37" i="1"/>
  <c r="AB37" i="1"/>
  <c r="AA37" i="1"/>
  <c r="Z37" i="1"/>
  <c r="Y37" i="1"/>
  <c r="V37" i="1"/>
  <c r="T37" i="1"/>
  <c r="U37" i="1" s="1"/>
  <c r="S37" i="1"/>
  <c r="AD36" i="1"/>
  <c r="AC36" i="1"/>
  <c r="AB36" i="1"/>
  <c r="AA36" i="1"/>
  <c r="Z36" i="1"/>
  <c r="Y36" i="1"/>
  <c r="V36" i="1"/>
  <c r="T36" i="1"/>
  <c r="U36" i="1" s="1"/>
  <c r="S36" i="1"/>
  <c r="AD35" i="1"/>
  <c r="AC35" i="1"/>
  <c r="AB35" i="1"/>
  <c r="AA35" i="1"/>
  <c r="Z35" i="1"/>
  <c r="Y35" i="1"/>
  <c r="V35" i="1"/>
  <c r="T35" i="1"/>
  <c r="U35" i="1" s="1"/>
  <c r="S35" i="1"/>
  <c r="AD34" i="1"/>
  <c r="AC34" i="1"/>
  <c r="AB34" i="1"/>
  <c r="AA34" i="1"/>
  <c r="Z34" i="1"/>
  <c r="Y34" i="1"/>
  <c r="V34" i="1"/>
  <c r="T34" i="1"/>
  <c r="U34" i="1" s="1"/>
  <c r="S34" i="1"/>
  <c r="AD33" i="1"/>
  <c r="AC33" i="1"/>
  <c r="AB33" i="1"/>
  <c r="AA33" i="1"/>
  <c r="Z33" i="1"/>
  <c r="Y33" i="1"/>
  <c r="V33" i="1"/>
  <c r="T33" i="1"/>
  <c r="U33" i="1" s="1"/>
  <c r="S33" i="1"/>
  <c r="AD32" i="1"/>
  <c r="AC32" i="1"/>
  <c r="AB32" i="1"/>
  <c r="AA32" i="1"/>
  <c r="Z32" i="1"/>
  <c r="Y32" i="1"/>
  <c r="V32" i="1"/>
  <c r="T32" i="1"/>
  <c r="U32" i="1" s="1"/>
  <c r="S32" i="1"/>
  <c r="AD31" i="1"/>
  <c r="AC31" i="1"/>
  <c r="AB31" i="1"/>
  <c r="AA31" i="1"/>
  <c r="Z31" i="1"/>
  <c r="Y31" i="1"/>
  <c r="V31" i="1"/>
  <c r="T31" i="1"/>
  <c r="U31" i="1" s="1"/>
  <c r="S31" i="1"/>
  <c r="AD30" i="1"/>
  <c r="AC30" i="1"/>
  <c r="AB30" i="1"/>
  <c r="AA30" i="1"/>
  <c r="Z30" i="1"/>
  <c r="Y30" i="1"/>
  <c r="V30" i="1"/>
  <c r="T30" i="1"/>
  <c r="U30" i="1" s="1"/>
  <c r="S30" i="1"/>
  <c r="AD29" i="1"/>
  <c r="AC29" i="1"/>
  <c r="AB29" i="1"/>
  <c r="AA29" i="1"/>
  <c r="Z29" i="1"/>
  <c r="Y29" i="1"/>
  <c r="V29" i="1"/>
  <c r="T29" i="1"/>
  <c r="U29" i="1" s="1"/>
  <c r="S29" i="1"/>
  <c r="AD28" i="1"/>
  <c r="AC28" i="1"/>
  <c r="AB28" i="1"/>
  <c r="AA28" i="1"/>
  <c r="Z28" i="1"/>
  <c r="Y28" i="1"/>
  <c r="V28" i="1"/>
  <c r="T28" i="1"/>
  <c r="U28" i="1" s="1"/>
  <c r="S28" i="1"/>
  <c r="W28" i="1" s="1"/>
  <c r="X28" i="1" s="1"/>
  <c r="AD27" i="1"/>
  <c r="AC27" i="1"/>
  <c r="AB27" i="1"/>
  <c r="AA27" i="1"/>
  <c r="Z27" i="1"/>
  <c r="Y27" i="1"/>
  <c r="V27" i="1"/>
  <c r="T27" i="1"/>
  <c r="U27" i="1" s="1"/>
  <c r="S27" i="1"/>
  <c r="AD26" i="1"/>
  <c r="AC26" i="1"/>
  <c r="AB26" i="1"/>
  <c r="AA26" i="1"/>
  <c r="Z26" i="1"/>
  <c r="Y26" i="1"/>
  <c r="V26" i="1"/>
  <c r="T26" i="1"/>
  <c r="U26" i="1" s="1"/>
  <c r="S26" i="1"/>
  <c r="AD25" i="1"/>
  <c r="AC25" i="1"/>
  <c r="AB25" i="1"/>
  <c r="AA25" i="1"/>
  <c r="Z25" i="1"/>
  <c r="Y25" i="1"/>
  <c r="V25" i="1"/>
  <c r="T25" i="1"/>
  <c r="U25" i="1" s="1"/>
  <c r="S25" i="1"/>
  <c r="AD24" i="1"/>
  <c r="AC24" i="1"/>
  <c r="AB24" i="1"/>
  <c r="AA24" i="1"/>
  <c r="Z24" i="1"/>
  <c r="Y24" i="1"/>
  <c r="V24" i="1"/>
  <c r="T24" i="1"/>
  <c r="U24" i="1" s="1"/>
  <c r="S24" i="1"/>
  <c r="AD23" i="1"/>
  <c r="AC23" i="1"/>
  <c r="AB23" i="1"/>
  <c r="AA23" i="1"/>
  <c r="Z23" i="1"/>
  <c r="Y23" i="1"/>
  <c r="V23" i="1"/>
  <c r="T23" i="1"/>
  <c r="U23" i="1" s="1"/>
  <c r="S23" i="1"/>
  <c r="AD22" i="1"/>
  <c r="AC22" i="1"/>
  <c r="AB22" i="1"/>
  <c r="AA22" i="1"/>
  <c r="Z22" i="1"/>
  <c r="Y22" i="1"/>
  <c r="V22" i="1"/>
  <c r="T22" i="1"/>
  <c r="U22" i="1" s="1"/>
  <c r="S22" i="1"/>
  <c r="AD21" i="1"/>
  <c r="AC21" i="1"/>
  <c r="AB21" i="1"/>
  <c r="AA21" i="1"/>
  <c r="Z21" i="1"/>
  <c r="Y21" i="1"/>
  <c r="V21" i="1"/>
  <c r="T21" i="1"/>
  <c r="U21" i="1" s="1"/>
  <c r="S21" i="1"/>
  <c r="AD20" i="1"/>
  <c r="AC20" i="1"/>
  <c r="AB20" i="1"/>
  <c r="AA20" i="1"/>
  <c r="Z20" i="1"/>
  <c r="Y20" i="1"/>
  <c r="V20" i="1"/>
  <c r="T20" i="1"/>
  <c r="U20" i="1" s="1"/>
  <c r="S20" i="1"/>
  <c r="AD19" i="1"/>
  <c r="AC19" i="1"/>
  <c r="AB19" i="1"/>
  <c r="AA19" i="1"/>
  <c r="Z19" i="1"/>
  <c r="Y19" i="1"/>
  <c r="V19" i="1"/>
  <c r="T19" i="1"/>
  <c r="U19" i="1" s="1"/>
  <c r="S19" i="1"/>
  <c r="AD18" i="1"/>
  <c r="AC18" i="1"/>
  <c r="AB18" i="1"/>
  <c r="AA18" i="1"/>
  <c r="Z18" i="1"/>
  <c r="Y18" i="1"/>
  <c r="V18" i="1"/>
  <c r="T18" i="1"/>
  <c r="U18" i="1" s="1"/>
  <c r="S18" i="1"/>
  <c r="AD17" i="1"/>
  <c r="AC17" i="1"/>
  <c r="AB17" i="1"/>
  <c r="AA17" i="1"/>
  <c r="Z17" i="1"/>
  <c r="Y17" i="1"/>
  <c r="V17" i="1"/>
  <c r="T17" i="1"/>
  <c r="U17" i="1" s="1"/>
  <c r="S17" i="1"/>
  <c r="AD16" i="1"/>
  <c r="AC16" i="1"/>
  <c r="AB16" i="1"/>
  <c r="AA16" i="1"/>
  <c r="Z16" i="1"/>
  <c r="Y16" i="1"/>
  <c r="V16" i="1"/>
  <c r="T16" i="1"/>
  <c r="U16" i="1" s="1"/>
  <c r="S16" i="1"/>
  <c r="AD15" i="1"/>
  <c r="AC15" i="1"/>
  <c r="AB15" i="1"/>
  <c r="AA15" i="1"/>
  <c r="Z15" i="1"/>
  <c r="Y15" i="1"/>
  <c r="V15" i="1"/>
  <c r="T15" i="1"/>
  <c r="U15" i="1" s="1"/>
  <c r="S15" i="1"/>
  <c r="AD14" i="1"/>
  <c r="AC14" i="1"/>
  <c r="AB14" i="1"/>
  <c r="AA14" i="1"/>
  <c r="Z14" i="1"/>
  <c r="Y14" i="1"/>
  <c r="V14" i="1"/>
  <c r="T14" i="1"/>
  <c r="U14" i="1" s="1"/>
  <c r="S14" i="1"/>
  <c r="AD13" i="1"/>
  <c r="AC13" i="1"/>
  <c r="AB13" i="1"/>
  <c r="AA13" i="1"/>
  <c r="Z13" i="1"/>
  <c r="Y13" i="1"/>
  <c r="V13" i="1"/>
  <c r="T13" i="1"/>
  <c r="U13" i="1" s="1"/>
  <c r="S13" i="1"/>
  <c r="AD12" i="1"/>
  <c r="AC12" i="1"/>
  <c r="AB12" i="1"/>
  <c r="AA12" i="1"/>
  <c r="Z12" i="1"/>
  <c r="Y12" i="1"/>
  <c r="V12" i="1"/>
  <c r="T12" i="1"/>
  <c r="U12" i="1" s="1"/>
  <c r="S12" i="1"/>
  <c r="AD11" i="1"/>
  <c r="AC11" i="1"/>
  <c r="AB11" i="1"/>
  <c r="AA11" i="1"/>
  <c r="Z11" i="1"/>
  <c r="Y11" i="1"/>
  <c r="V11" i="1"/>
  <c r="T11" i="1"/>
  <c r="U11" i="1" s="1"/>
  <c r="S11" i="1"/>
  <c r="AD10" i="1"/>
  <c r="AC10" i="1"/>
  <c r="AB10" i="1"/>
  <c r="AA10" i="1"/>
  <c r="Z10" i="1"/>
  <c r="Y10" i="1"/>
  <c r="V10" i="1"/>
  <c r="T10" i="1"/>
  <c r="U10" i="1" s="1"/>
  <c r="S10" i="1"/>
  <c r="AD9" i="1"/>
  <c r="AC9" i="1"/>
  <c r="AB9" i="1"/>
  <c r="AA9" i="1"/>
  <c r="Z9" i="1"/>
  <c r="Y9" i="1"/>
  <c r="V9" i="1"/>
  <c r="T9" i="1"/>
  <c r="U9" i="1" s="1"/>
  <c r="S9" i="1"/>
  <c r="AD8" i="1"/>
  <c r="AC8" i="1"/>
  <c r="AB8" i="1"/>
  <c r="AA8" i="1"/>
  <c r="Z8" i="1"/>
  <c r="Y8" i="1"/>
  <c r="V8" i="1"/>
  <c r="T8" i="1"/>
  <c r="U8" i="1" s="1"/>
  <c r="S8" i="1"/>
  <c r="AD7" i="1"/>
  <c r="AC7" i="1"/>
  <c r="AB7" i="1"/>
  <c r="AA7" i="1"/>
  <c r="Z7" i="1"/>
  <c r="Y7" i="1"/>
  <c r="V7" i="1"/>
  <c r="T7" i="1"/>
  <c r="U7" i="1" s="1"/>
  <c r="S7" i="1"/>
  <c r="AD6" i="1"/>
  <c r="AC6" i="1"/>
  <c r="AB6" i="1"/>
  <c r="AA6" i="1"/>
  <c r="Z6" i="1"/>
  <c r="Y6" i="1"/>
  <c r="V6" i="1"/>
  <c r="T6" i="1"/>
  <c r="U6" i="1" s="1"/>
  <c r="S6" i="1"/>
  <c r="AD5" i="1"/>
  <c r="AC5" i="1"/>
  <c r="AB5" i="1"/>
  <c r="AA5" i="1"/>
  <c r="Z5" i="1"/>
  <c r="Y5" i="1"/>
  <c r="V5" i="1"/>
  <c r="T5" i="1"/>
  <c r="U5" i="1" s="1"/>
  <c r="S5" i="1"/>
  <c r="AD4" i="1"/>
  <c r="AC4" i="1"/>
  <c r="AB4" i="1"/>
  <c r="AA4" i="1"/>
  <c r="Z4" i="1"/>
  <c r="Y4" i="1"/>
  <c r="V4" i="1"/>
  <c r="T4" i="1"/>
  <c r="U4" i="1" s="1"/>
  <c r="S4" i="1"/>
  <c r="AD3" i="1"/>
  <c r="AC3" i="1"/>
  <c r="AB3" i="1"/>
  <c r="AA3" i="1"/>
  <c r="Z3" i="1"/>
  <c r="Y3" i="1"/>
  <c r="V3" i="1"/>
  <c r="T3" i="1"/>
  <c r="U3" i="1" s="1"/>
  <c r="S3" i="1"/>
  <c r="B9" i="3" l="1"/>
  <c r="C8" i="3" s="1"/>
  <c r="B8" i="6"/>
  <c r="W11" i="1"/>
  <c r="X11" i="1" s="1"/>
  <c r="W35" i="1"/>
  <c r="X35" i="1" s="1"/>
  <c r="B42" i="3"/>
  <c r="C41" i="3" s="1"/>
  <c r="W56" i="1"/>
  <c r="X56" i="1" s="1"/>
  <c r="W61" i="1"/>
  <c r="X61" i="1" s="1"/>
  <c r="W43" i="1"/>
  <c r="X43" i="1" s="1"/>
  <c r="W51" i="1"/>
  <c r="X51" i="1" s="1"/>
  <c r="W22" i="1"/>
  <c r="X22" i="1" s="1"/>
  <c r="W59" i="1"/>
  <c r="X59" i="1" s="1"/>
  <c r="W10" i="1"/>
  <c r="X10" i="1" s="1"/>
  <c r="W34" i="1"/>
  <c r="X34" i="1" s="1"/>
  <c r="B123" i="3"/>
  <c r="C118" i="3" s="1"/>
  <c r="W13" i="1"/>
  <c r="W33" i="1"/>
  <c r="X33" i="1" s="1"/>
  <c r="B40" i="6"/>
  <c r="W25" i="1"/>
  <c r="X25" i="1" s="1"/>
  <c r="B78" i="3"/>
  <c r="C76" i="3" s="1"/>
  <c r="W48" i="1"/>
  <c r="X48" i="1" s="1"/>
  <c r="D158" i="3"/>
  <c r="W19" i="1"/>
  <c r="X19" i="1" s="1"/>
  <c r="W23" i="1"/>
  <c r="X23" i="1" s="1"/>
  <c r="W31" i="1"/>
  <c r="X31" i="1" s="1"/>
  <c r="W60" i="1"/>
  <c r="X60" i="1" s="1"/>
  <c r="W37" i="1"/>
  <c r="X37" i="1" s="1"/>
  <c r="W45" i="1"/>
  <c r="X45" i="1" s="1"/>
  <c r="W49" i="1"/>
  <c r="X49" i="1" s="1"/>
  <c r="W57" i="1"/>
  <c r="X57" i="1" s="1"/>
  <c r="W55" i="1"/>
  <c r="X55" i="1" s="1"/>
  <c r="W15" i="1"/>
  <c r="X15" i="1" s="1"/>
  <c r="W4" i="1"/>
  <c r="C158" i="3"/>
  <c r="W18" i="1"/>
  <c r="X18" i="1" s="1"/>
  <c r="W32" i="1"/>
  <c r="X32" i="1" s="1"/>
  <c r="W38" i="1"/>
  <c r="X38" i="1" s="1"/>
  <c r="W54" i="1"/>
  <c r="X54" i="1" s="1"/>
  <c r="W5" i="1"/>
  <c r="W24" i="1"/>
  <c r="X24" i="1" s="1"/>
  <c r="W47" i="1"/>
  <c r="X47" i="1" s="1"/>
  <c r="W63" i="1"/>
  <c r="C26" i="6" s="1"/>
  <c r="D26" i="6" s="1"/>
  <c r="E5" i="6"/>
  <c r="B34" i="6"/>
  <c r="W9" i="1"/>
  <c r="X9" i="1" s="1"/>
  <c r="W14" i="1"/>
  <c r="X14" i="1" s="1"/>
  <c r="W17" i="1"/>
  <c r="X17" i="1" s="1"/>
  <c r="W27" i="1"/>
  <c r="X27" i="1" s="1"/>
  <c r="W12" i="1"/>
  <c r="X12" i="1" s="1"/>
  <c r="W29" i="1"/>
  <c r="X29" i="1" s="1"/>
  <c r="W44" i="1"/>
  <c r="X44" i="1" s="1"/>
  <c r="W26" i="1"/>
  <c r="X26" i="1" s="1"/>
  <c r="W42" i="1"/>
  <c r="X42" i="1" s="1"/>
  <c r="E38" i="6"/>
  <c r="W21" i="1"/>
  <c r="X21" i="1" s="1"/>
  <c r="C73" i="3"/>
  <c r="W6" i="1"/>
  <c r="X6" i="1" s="1"/>
  <c r="W16" i="1"/>
  <c r="X16" i="1" s="1"/>
  <c r="W20" i="1"/>
  <c r="X20" i="1" s="1"/>
  <c r="W30" i="1"/>
  <c r="X30" i="1" s="1"/>
  <c r="D25" i="2"/>
  <c r="W66" i="1"/>
  <c r="X66" i="1" s="1"/>
  <c r="B27" i="6"/>
  <c r="B35" i="3"/>
  <c r="C33" i="3" s="1"/>
  <c r="E24" i="6"/>
  <c r="C159" i="3"/>
  <c r="E159" i="3"/>
  <c r="D159" i="3"/>
  <c r="D24" i="2"/>
  <c r="W3" i="1"/>
  <c r="X39" i="1"/>
  <c r="X5" i="1"/>
  <c r="X4" i="1"/>
  <c r="X13" i="1"/>
  <c r="B28" i="3"/>
  <c r="C27" i="3" s="1"/>
  <c r="W62" i="1"/>
  <c r="X62" i="1" s="1"/>
  <c r="W41" i="1"/>
  <c r="X41" i="1" s="1"/>
  <c r="B59" i="3"/>
  <c r="C56" i="3" s="1"/>
  <c r="B20" i="6"/>
  <c r="B114" i="3"/>
  <c r="W8" i="1"/>
  <c r="W46" i="1"/>
  <c r="X46" i="1" s="1"/>
  <c r="W52" i="1"/>
  <c r="X52" i="1" s="1"/>
  <c r="W65" i="1"/>
  <c r="X65" i="1" s="1"/>
  <c r="B131" i="3"/>
  <c r="C128" i="3" s="1"/>
  <c r="B52" i="3"/>
  <c r="C49" i="3" s="1"/>
  <c r="W53" i="1"/>
  <c r="X53" i="1" s="1"/>
  <c r="E158" i="3"/>
  <c r="D23" i="2"/>
  <c r="W7" i="1"/>
  <c r="W64" i="1"/>
  <c r="X64" i="1" s="1"/>
  <c r="W58" i="1"/>
  <c r="X58" i="1" s="1"/>
  <c r="B105" i="3"/>
  <c r="C100" i="3" s="1"/>
  <c r="E160" i="3"/>
  <c r="W36" i="1"/>
  <c r="W50" i="1"/>
  <c r="X50" i="1" s="1"/>
  <c r="B21" i="3"/>
  <c r="C14" i="3" s="1"/>
  <c r="B69" i="3"/>
  <c r="C68" i="3" s="1"/>
  <c r="B87" i="3"/>
  <c r="C85" i="3" s="1"/>
  <c r="B96" i="3"/>
  <c r="C95" i="3" s="1"/>
  <c r="D160" i="3"/>
  <c r="C160" i="3"/>
  <c r="B50" i="6"/>
  <c r="E44" i="6"/>
  <c r="C48" i="3" l="1"/>
  <c r="C39" i="3"/>
  <c r="C5" i="3"/>
  <c r="C6" i="3"/>
  <c r="C7" i="3"/>
  <c r="C34" i="3"/>
  <c r="C40" i="3"/>
  <c r="C77" i="3"/>
  <c r="C74" i="3"/>
  <c r="C75" i="3"/>
  <c r="C119" i="3"/>
  <c r="D93" i="4"/>
  <c r="D65" i="4"/>
  <c r="C36" i="4"/>
  <c r="X63" i="1"/>
  <c r="C120" i="3"/>
  <c r="C122" i="3"/>
  <c r="D36" i="4"/>
  <c r="C104" i="3"/>
  <c r="C102" i="3"/>
  <c r="C121" i="3"/>
  <c r="C37" i="4"/>
  <c r="C32" i="3"/>
  <c r="C18" i="3"/>
  <c r="C15" i="3"/>
  <c r="B18" i="2"/>
  <c r="C50" i="3"/>
  <c r="C13" i="3"/>
  <c r="C20" i="3"/>
  <c r="C24" i="6"/>
  <c r="D24" i="6" s="1"/>
  <c r="C15" i="6"/>
  <c r="D15" i="6" s="1"/>
  <c r="C46" i="6"/>
  <c r="D46" i="6" s="1"/>
  <c r="C9" i="3"/>
  <c r="C32" i="6"/>
  <c r="D32" i="6" s="1"/>
  <c r="C48" i="6"/>
  <c r="D48" i="6" s="1"/>
  <c r="C47" i="6"/>
  <c r="D47" i="6" s="1"/>
  <c r="X7" i="1"/>
  <c r="C38" i="6"/>
  <c r="D38" i="6" s="1"/>
  <c r="C49" i="6"/>
  <c r="D49" i="6" s="1"/>
  <c r="C65" i="4"/>
  <c r="C130" i="3"/>
  <c r="C129" i="3"/>
  <c r="C25" i="3"/>
  <c r="C5" i="6"/>
  <c r="D5" i="6" s="1"/>
  <c r="C42" i="3"/>
  <c r="C45" i="6"/>
  <c r="D45" i="6" s="1"/>
  <c r="C83" i="3"/>
  <c r="C86" i="3"/>
  <c r="C82" i="3"/>
  <c r="C84" i="3"/>
  <c r="B36" i="4"/>
  <c r="C6" i="6"/>
  <c r="D6" i="6" s="1"/>
  <c r="C50" i="6"/>
  <c r="D161" i="3"/>
  <c r="C39" i="6"/>
  <c r="D39" i="6" s="1"/>
  <c r="C7" i="6"/>
  <c r="D7" i="6" s="1"/>
  <c r="C25" i="6"/>
  <c r="D25" i="6" s="1"/>
  <c r="B21" i="2"/>
  <c r="B20" i="2"/>
  <c r="C40" i="6"/>
  <c r="E161" i="3"/>
  <c r="C20" i="6"/>
  <c r="C161" i="3"/>
  <c r="B19" i="2"/>
  <c r="C27" i="6"/>
  <c r="B17" i="2"/>
  <c r="C33" i="6"/>
  <c r="D33" i="6" s="1"/>
  <c r="C8" i="6"/>
  <c r="X3" i="1"/>
  <c r="C44" i="6"/>
  <c r="D44" i="6" s="1"/>
  <c r="C12" i="6"/>
  <c r="D12" i="6" s="1"/>
  <c r="C34" i="6"/>
  <c r="B22" i="2"/>
  <c r="C8" i="4"/>
  <c r="B93" i="4"/>
  <c r="C67" i="3"/>
  <c r="C66" i="3"/>
  <c r="C63" i="3"/>
  <c r="B65" i="4"/>
  <c r="C26" i="3"/>
  <c r="C17" i="3"/>
  <c r="D37" i="4"/>
  <c r="D8" i="4"/>
  <c r="C14" i="6"/>
  <c r="D14" i="6" s="1"/>
  <c r="C93" i="3"/>
  <c r="C58" i="3"/>
  <c r="C57" i="3"/>
  <c r="C17" i="6"/>
  <c r="D17" i="6" s="1"/>
  <c r="C111" i="3"/>
  <c r="C110" i="3"/>
  <c r="C109" i="3"/>
  <c r="C113" i="3"/>
  <c r="C64" i="3"/>
  <c r="C103" i="3"/>
  <c r="C101" i="3"/>
  <c r="B37" i="4"/>
  <c r="C16" i="6"/>
  <c r="D16" i="6" s="1"/>
  <c r="C91" i="3"/>
  <c r="X36" i="1"/>
  <c r="C31" i="6"/>
  <c r="D31" i="6" s="1"/>
  <c r="C19" i="6"/>
  <c r="D19" i="6" s="1"/>
  <c r="C94" i="3"/>
  <c r="C112" i="3"/>
  <c r="B8" i="4"/>
  <c r="C92" i="3"/>
  <c r="X8" i="1"/>
  <c r="C18" i="6"/>
  <c r="D18" i="6" s="1"/>
  <c r="C93" i="4"/>
  <c r="C16" i="3"/>
  <c r="C19" i="3"/>
  <c r="C47" i="3"/>
  <c r="C46" i="3"/>
  <c r="C51" i="3"/>
  <c r="C127" i="3"/>
  <c r="C65" i="3"/>
  <c r="C13" i="6"/>
  <c r="D13" i="6" s="1"/>
  <c r="C78" i="3" l="1"/>
  <c r="C10" i="2"/>
  <c r="C123" i="3"/>
  <c r="C9" i="4"/>
  <c r="C35" i="3"/>
  <c r="C105" i="3"/>
  <c r="B63" i="4"/>
  <c r="C147" i="4"/>
  <c r="C63" i="4"/>
  <c r="C21" i="3"/>
  <c r="C120" i="4"/>
  <c r="D63" i="4"/>
  <c r="D147" i="4"/>
  <c r="E65" i="4"/>
  <c r="C87" i="3"/>
  <c r="E36" i="4"/>
  <c r="C28" i="3"/>
  <c r="C131" i="3"/>
  <c r="C52" i="3"/>
  <c r="C69" i="3"/>
  <c r="D148" i="4"/>
  <c r="C148" i="4"/>
  <c r="B148" i="4"/>
  <c r="C91" i="4"/>
  <c r="D9" i="4"/>
  <c r="E37" i="4"/>
  <c r="B120" i="4"/>
  <c r="B136" i="3"/>
  <c r="B135" i="3"/>
  <c r="B137" i="3"/>
  <c r="C7" i="4"/>
  <c r="C12" i="2"/>
  <c r="C11" i="2"/>
  <c r="C35" i="4"/>
  <c r="C146" i="4"/>
  <c r="B146" i="4"/>
  <c r="B121" i="4"/>
  <c r="D64" i="4"/>
  <c r="B7" i="4"/>
  <c r="B64" i="4"/>
  <c r="B35" i="4"/>
  <c r="D35" i="4"/>
  <c r="D121" i="4"/>
  <c r="B92" i="4"/>
  <c r="D92" i="4"/>
  <c r="C64" i="4"/>
  <c r="C92" i="4"/>
  <c r="D7" i="4"/>
  <c r="C121" i="4"/>
  <c r="D146" i="4"/>
  <c r="D120" i="4"/>
  <c r="E8" i="4"/>
  <c r="B91" i="4"/>
  <c r="D91" i="4"/>
  <c r="E93" i="4"/>
  <c r="B9" i="4"/>
  <c r="C114" i="3"/>
  <c r="C96" i="3"/>
  <c r="B147" i="4"/>
  <c r="C59" i="3"/>
  <c r="E63" i="4" l="1"/>
  <c r="C66" i="4"/>
  <c r="C149" i="4"/>
  <c r="C94" i="4"/>
  <c r="C13" i="2"/>
  <c r="D10" i="2" s="1"/>
  <c r="E148" i="4"/>
  <c r="E146" i="4"/>
  <c r="B149" i="4"/>
  <c r="C38" i="4"/>
  <c r="D10" i="4"/>
  <c r="B94" i="4"/>
  <c r="E91" i="4"/>
  <c r="D38" i="4"/>
  <c r="C10" i="4"/>
  <c r="E9" i="4"/>
  <c r="D94" i="4"/>
  <c r="E35" i="4"/>
  <c r="B38" i="4"/>
  <c r="E92" i="4"/>
  <c r="E147" i="4"/>
  <c r="E64" i="4"/>
  <c r="B138" i="3"/>
  <c r="C136" i="3" s="1"/>
  <c r="B66" i="4"/>
  <c r="D66" i="4"/>
  <c r="D122" i="4"/>
  <c r="E7" i="4"/>
  <c r="B10" i="4"/>
  <c r="E121" i="4"/>
  <c r="C122" i="4"/>
  <c r="D149" i="4"/>
  <c r="E120" i="4"/>
  <c r="B122" i="4"/>
  <c r="E66" i="4" l="1"/>
  <c r="D12" i="2"/>
  <c r="D11" i="2"/>
  <c r="D70" i="4"/>
  <c r="D77" i="4" s="1"/>
  <c r="C70" i="4"/>
  <c r="C77" i="4" s="1"/>
  <c r="C72" i="4"/>
  <c r="C79" i="4" s="1"/>
  <c r="B72" i="4"/>
  <c r="D72" i="4"/>
  <c r="D79" i="4" s="1"/>
  <c r="B70" i="4"/>
  <c r="C135" i="3"/>
  <c r="E149" i="4"/>
  <c r="B154" i="4" s="1"/>
  <c r="D153" i="4"/>
  <c r="D160" i="4" s="1"/>
  <c r="C153" i="4"/>
  <c r="C160" i="4" s="1"/>
  <c r="C137" i="3"/>
  <c r="B71" i="4"/>
  <c r="D71" i="4"/>
  <c r="D78" i="4" s="1"/>
  <c r="C71" i="4"/>
  <c r="C78" i="4" s="1"/>
  <c r="E94" i="4"/>
  <c r="B98" i="4" s="1"/>
  <c r="E122" i="4"/>
  <c r="C127" i="4" s="1"/>
  <c r="C133" i="4" s="1"/>
  <c r="E10" i="4"/>
  <c r="B15" i="4" s="1"/>
  <c r="E38" i="4"/>
  <c r="C44" i="4" s="1"/>
  <c r="C51" i="4" s="1"/>
  <c r="C43" i="4" l="1"/>
  <c r="C50" i="4" s="1"/>
  <c r="B42" i="4"/>
  <c r="C42" i="4"/>
  <c r="C49" i="4" s="1"/>
  <c r="D42" i="4"/>
  <c r="D49" i="4" s="1"/>
  <c r="D13" i="2"/>
  <c r="B14" i="4"/>
  <c r="C14" i="4"/>
  <c r="C21" i="4" s="1"/>
  <c r="D127" i="4"/>
  <c r="D133" i="4" s="1"/>
  <c r="B126" i="4"/>
  <c r="B132" i="4" s="1"/>
  <c r="C126" i="4"/>
  <c r="C132" i="4" s="1"/>
  <c r="C15" i="4"/>
  <c r="C22" i="4" s="1"/>
  <c r="D15" i="4"/>
  <c r="D22" i="4" s="1"/>
  <c r="B22" i="4"/>
  <c r="B161" i="4"/>
  <c r="B153" i="4"/>
  <c r="B100" i="4"/>
  <c r="C100" i="4"/>
  <c r="C107" i="4" s="1"/>
  <c r="E72" i="4"/>
  <c r="B79" i="4"/>
  <c r="B105" i="4"/>
  <c r="B21" i="4"/>
  <c r="C98" i="4"/>
  <c r="C105" i="4" s="1"/>
  <c r="D98" i="4"/>
  <c r="D105" i="4" s="1"/>
  <c r="B16" i="4"/>
  <c r="E70" i="4"/>
  <c r="B84" i="4"/>
  <c r="B86" i="4" s="1"/>
  <c r="B77" i="4"/>
  <c r="D14" i="4"/>
  <c r="D21" i="4" s="1"/>
  <c r="C16" i="4"/>
  <c r="C23" i="4" s="1"/>
  <c r="E71" i="4"/>
  <c r="B78" i="4"/>
  <c r="E78" i="4" s="1"/>
  <c r="B44" i="4"/>
  <c r="B43" i="4"/>
  <c r="D44" i="4"/>
  <c r="D51" i="4" s="1"/>
  <c r="D43" i="4"/>
  <c r="D50" i="4" s="1"/>
  <c r="C99" i="4"/>
  <c r="C106" i="4" s="1"/>
  <c r="C138" i="3"/>
  <c r="D126" i="4"/>
  <c r="D132" i="4" s="1"/>
  <c r="C155" i="4"/>
  <c r="C162" i="4" s="1"/>
  <c r="B99" i="4"/>
  <c r="C154" i="4"/>
  <c r="C161" i="4" s="1"/>
  <c r="D155" i="4"/>
  <c r="D162" i="4" s="1"/>
  <c r="B127" i="4"/>
  <c r="D154" i="4"/>
  <c r="D161" i="4" s="1"/>
  <c r="B155" i="4"/>
  <c r="D99" i="4"/>
  <c r="D106" i="4" s="1"/>
  <c r="B49" i="4"/>
  <c r="D16" i="4"/>
  <c r="D23" i="4" s="1"/>
  <c r="D100" i="4"/>
  <c r="D107" i="4" s="1"/>
  <c r="E22" i="4" l="1"/>
  <c r="B56" i="4"/>
  <c r="B58" i="4" s="1"/>
  <c r="E42" i="4"/>
  <c r="E15" i="4"/>
  <c r="E126" i="4"/>
  <c r="E14" i="4"/>
  <c r="B138" i="4"/>
  <c r="B140" i="4" s="1"/>
  <c r="E155" i="4"/>
  <c r="B162" i="4"/>
  <c r="E162" i="4" s="1"/>
  <c r="E132" i="4"/>
  <c r="E16" i="4"/>
  <c r="B23" i="4"/>
  <c r="E23" i="4" s="1"/>
  <c r="E100" i="4"/>
  <c r="B107" i="4"/>
  <c r="E107" i="4" s="1"/>
  <c r="B28" i="4"/>
  <c r="B30" i="4" s="1"/>
  <c r="E161" i="4"/>
  <c r="E127" i="4"/>
  <c r="B133" i="4"/>
  <c r="E133" i="4" s="1"/>
  <c r="E44" i="4"/>
  <c r="C3" i="7"/>
  <c r="D3" i="7" s="1"/>
  <c r="E3" i="7" s="1"/>
  <c r="B51" i="4"/>
  <c r="E51" i="4" s="1"/>
  <c r="E99" i="4"/>
  <c r="B106" i="4"/>
  <c r="C5" i="7"/>
  <c r="D5" i="7" s="1"/>
  <c r="E5" i="7" s="1"/>
  <c r="E105" i="4"/>
  <c r="E154" i="4"/>
  <c r="E49" i="4"/>
  <c r="E79" i="4"/>
  <c r="E43" i="4"/>
  <c r="B50" i="4"/>
  <c r="E50" i="4" s="1"/>
  <c r="E21" i="4"/>
  <c r="B112" i="4"/>
  <c r="B114" i="4" s="1"/>
  <c r="C2" i="7"/>
  <c r="D2" i="7" s="1"/>
  <c r="E2" i="7" s="1"/>
  <c r="E153" i="4"/>
  <c r="B160" i="4"/>
  <c r="B167" i="4"/>
  <c r="B169" i="4" s="1"/>
  <c r="B82" i="4"/>
  <c r="E77" i="4"/>
  <c r="E98" i="4"/>
  <c r="B54" i="4" l="1"/>
  <c r="B110" i="4"/>
  <c r="E160" i="4"/>
  <c r="B165" i="4"/>
  <c r="B26" i="4"/>
  <c r="E106" i="4"/>
  <c r="B136" i="4"/>
</calcChain>
</file>

<file path=xl/sharedStrings.xml><?xml version="1.0" encoding="utf-8"?>
<sst xmlns="http://schemas.openxmlformats.org/spreadsheetml/2006/main" count="1640" uniqueCount="273">
  <si>
    <t>ID</t>
  </si>
  <si>
    <t>Edad</t>
  </si>
  <si>
    <t>Estudios</t>
  </si>
  <si>
    <t>Género</t>
  </si>
  <si>
    <t>Antigüedad</t>
  </si>
  <si>
    <t>Cargo</t>
  </si>
  <si>
    <t>Producto</t>
  </si>
  <si>
    <t>Q7 Medio
Frecuente</t>
  </si>
  <si>
    <t>Q8 Medios
Digitales</t>
  </si>
  <si>
    <t>Q9 Razón
Efectivo</t>
  </si>
  <si>
    <t>Q10
Frecuencia</t>
  </si>
  <si>
    <t>Q11
Proporción</t>
  </si>
  <si>
    <t>Q12
Intención</t>
  </si>
  <si>
    <t>Q13
Seguridad</t>
  </si>
  <si>
    <t>Q14
Costos</t>
  </si>
  <si>
    <t>Q15
Recursos</t>
  </si>
  <si>
    <t>Q16
Facilidad</t>
  </si>
  <si>
    <t>Q17
Ingresos</t>
  </si>
  <si>
    <t>Nivel
Adopción</t>
  </si>
  <si>
    <t>Cat
Seguridad</t>
  </si>
  <si>
    <t>Cat
Costos</t>
  </si>
  <si>
    <t>Cat
Facilidad</t>
  </si>
  <si>
    <t>Cat
Ingresos</t>
  </si>
  <si>
    <t>Cat Q9
Costos</t>
  </si>
  <si>
    <t>Cat Q15
Infraestr.</t>
  </si>
  <si>
    <t>55 años o más</t>
  </si>
  <si>
    <t>Sin estudios formales</t>
  </si>
  <si>
    <t>Mujer</t>
  </si>
  <si>
    <t>Más de 10 años</t>
  </si>
  <si>
    <t>Empleado / Administrador</t>
  </si>
  <si>
    <t>Frutas y verduras</t>
  </si>
  <si>
    <t>Todas las anteriores</t>
  </si>
  <si>
    <t>Billeteras digitales (Nequi, Daviplata u otras);Transferencia bancaria;Pagos con tarjeta débito o crédito (datáfono);</t>
  </si>
  <si>
    <t xml:space="preserve">Es más rápido al momento de cobrar  </t>
  </si>
  <si>
    <t>Siempre</t>
  </si>
  <si>
    <t>Más digital que efectivo</t>
  </si>
  <si>
    <t>Probable</t>
  </si>
  <si>
    <t>Muy Alta</t>
  </si>
  <si>
    <t>Muy probable</t>
  </si>
  <si>
    <t>Teléfono inteligente;Datáfono;</t>
  </si>
  <si>
    <t>Moderada</t>
  </si>
  <si>
    <t>De $750.000 a $1.500.000</t>
  </si>
  <si>
    <t>Primaria incompleta</t>
  </si>
  <si>
    <t>Dueño / Propietario</t>
  </si>
  <si>
    <t>Billeteras digitales (Nequi, Daviplata u otras);</t>
  </si>
  <si>
    <t>A veces</t>
  </si>
  <si>
    <t>Más efectivo que digital</t>
  </si>
  <si>
    <t>Improbable</t>
  </si>
  <si>
    <t>Baja</t>
  </si>
  <si>
    <t>Teléfono inteligente;</t>
  </si>
  <si>
    <t>Muy difícil</t>
  </si>
  <si>
    <t>De $200.000 a $300.000</t>
  </si>
  <si>
    <t>35 a 54 años</t>
  </si>
  <si>
    <t>Técnico o Tecnólogo</t>
  </si>
  <si>
    <t>Hombre</t>
  </si>
  <si>
    <t>Billeteras digitales (Nequi, Daviplata u otras);Transferencia bancaria;Pagos con tarjeta débito o crédito (datáfono);Códigos QR;Todos por igual;</t>
  </si>
  <si>
    <t>No genera costos adicionales (comisiones, retenciones, internet)</t>
  </si>
  <si>
    <t>Media</t>
  </si>
  <si>
    <t>Teléfono inteligente;Conexión a internet;</t>
  </si>
  <si>
    <t>Muy fácil</t>
  </si>
  <si>
    <t>Más de $1.500.000</t>
  </si>
  <si>
    <t>Bachillerato completo (Media)</t>
  </si>
  <si>
    <t>Billeteras digitales (Nequi, Daviplata u otras);Transferencia bancaria;Códigos QR;</t>
  </si>
  <si>
    <t>Ambos por igual (50/50)</t>
  </si>
  <si>
    <t>Fácil</t>
  </si>
  <si>
    <t>Restaurante / Comidas preparadas</t>
  </si>
  <si>
    <t>Billeteras digitales (Nequi, Daviplata u otras);Transferencia bancaria;</t>
  </si>
  <si>
    <t>No tengo conocimiento suficiente sobre cómo usarlos</t>
  </si>
  <si>
    <t>Universitario</t>
  </si>
  <si>
    <t>Casi siempre</t>
  </si>
  <si>
    <t>Ninguno de los anteriores;</t>
  </si>
  <si>
    <t>Datáfono;Conexión a internet;</t>
  </si>
  <si>
    <t>18 a 34 años</t>
  </si>
  <si>
    <t>Bachillerato incompleto (Secundaria)</t>
  </si>
  <si>
    <t>Transferencia bancaria;</t>
  </si>
  <si>
    <t>Mis clientes me lo piden o lo prefieren</t>
  </si>
  <si>
    <t>Alta</t>
  </si>
  <si>
    <t>Teléfono inteligente;Conexión a internet;Datáfono;</t>
  </si>
  <si>
    <t>2 a 10 años</t>
  </si>
  <si>
    <t>Abarrotes / víveres</t>
  </si>
  <si>
    <t>Carnes o pescados</t>
  </si>
  <si>
    <t>Billeteras digitales (Nequi, Daviplata u otras);Transferencia bancaria;Todos por igual;</t>
  </si>
  <si>
    <t>Moderadamente probable</t>
  </si>
  <si>
    <t>Difícil</t>
  </si>
  <si>
    <t>De $300.000 a $750.000</t>
  </si>
  <si>
    <t>Nunca</t>
  </si>
  <si>
    <t>Todo o casi todo en efectivo</t>
  </si>
  <si>
    <t>Muy improbable</t>
  </si>
  <si>
    <t>Muy Baja</t>
  </si>
  <si>
    <t>Primaria completa</t>
  </si>
  <si>
    <t>Todos por igual;</t>
  </si>
  <si>
    <t>Billeteras digitales (Nequi, Daviplata u otras);Pagos con tarjeta débito o crédito (datáfono);Transferencia bancaria;</t>
  </si>
  <si>
    <t>Flores</t>
  </si>
  <si>
    <t>Efectivo</t>
  </si>
  <si>
    <t>No confío en los pagos digitales</t>
  </si>
  <si>
    <t>Billeteras digitales (Nequi, Daviplata u otras);Códigos QR;</t>
  </si>
  <si>
    <t>Postgrado (Especialización, Maestría, Doctorado)</t>
  </si>
  <si>
    <t>Menos de 2 años</t>
  </si>
  <si>
    <t>Otro</t>
  </si>
  <si>
    <t>Billeteras digitales (Nequi, Daviplata u otras);Códigos QR;Pagos con tarjeta débito o crédito (datáfono);</t>
  </si>
  <si>
    <t>Pagos digitales</t>
  </si>
  <si>
    <t>Transferencia bancaria;Billeteras digitales (Nequi, Daviplata u otras);</t>
  </si>
  <si>
    <t>Todo o casi todo digital</t>
  </si>
  <si>
    <t>Conexión a internet;Teléfono inteligente;</t>
  </si>
  <si>
    <t>Billeteras digitales (Nequi, Daviplata u otras);Pagos con tarjeta débito o crédito (datáfono);Códigos QR;</t>
  </si>
  <si>
    <t>Billeteras digitales (Nequi, Daviplata u otras);Transferencia bancaria;Códigos QR;Todos por igual;</t>
  </si>
  <si>
    <t>Billeteras digitales (Nequi, Daviplata u otras);Transferencia bancaria;Códigos QR;Pagos con tarjeta débito o crédito (datáfono);</t>
  </si>
  <si>
    <t>Conexión a internet;Datáfono;Teléfono inteligente;</t>
  </si>
  <si>
    <t>Pagos con tarjeta débito o crédito (datáfono);</t>
  </si>
  <si>
    <t>No cuento con la tecnología necesaria (datáfono, internet, celular)</t>
  </si>
  <si>
    <t>Datáfono;Teléfono inteligente;Conexión a internet;</t>
  </si>
  <si>
    <t>Teléfono inteligente;Datáfono;Conexión a internet;</t>
  </si>
  <si>
    <t>Prefiero no responder</t>
  </si>
  <si>
    <t>Billeteras digitales (Nequi, Daviplata u otras);Transferencia bancaria;Pagos con tarjeta débito o crédito (datáfono);Códigos QR;</t>
  </si>
  <si>
    <t>Dimensión</t>
  </si>
  <si>
    <t>Pregunta</t>
  </si>
  <si>
    <t>Escala</t>
  </si>
  <si>
    <t>Codificación</t>
  </si>
  <si>
    <t>D1 Frecuencia</t>
  </si>
  <si>
    <t>Q10 — ¿Qué tan seguido recibe pagos digitales?</t>
  </si>
  <si>
    <t>Likert 1–5</t>
  </si>
  <si>
    <t>Nunca=1 / Casi nunca=2 / A veces=3 / Casi siempre=4 / Siempre=5</t>
  </si>
  <si>
    <t>D2 Diversidad</t>
  </si>
  <si>
    <t>Q8 — Medios digitales aceptados (selección múltiple)</t>
  </si>
  <si>
    <t>0 medios=1 / 1=2 / 2=3 / 3=4 / 4 o más=5</t>
  </si>
  <si>
    <t>D3 Intención</t>
  </si>
  <si>
    <t>Q12 — ¿Estaría dispuesto a usar más pagos digitales?</t>
  </si>
  <si>
    <t>Muy improbable=1 / Improbable=2 / Mod. probable=3 / Probable=4 / Muy probable=5</t>
  </si>
  <si>
    <t>Clasificación del Índice IA</t>
  </si>
  <si>
    <t>Rango IA</t>
  </si>
  <si>
    <t>Nivel</t>
  </si>
  <si>
    <t>n</t>
  </si>
  <si>
    <t>%</t>
  </si>
  <si>
    <t>1.0 – 2.4</t>
  </si>
  <si>
    <t>2.5 – 3.4</t>
  </si>
  <si>
    <t>3.5 – 5.0</t>
  </si>
  <si>
    <t>TOTAL</t>
  </si>
  <si>
    <t>Estadísticas Descriptivas del IA</t>
  </si>
  <si>
    <t>Estadístico</t>
  </si>
  <si>
    <t>Valor</t>
  </si>
  <si>
    <t>Dim.</t>
  </si>
  <si>
    <t>Promedio por dimensión</t>
  </si>
  <si>
    <t>Media IA</t>
  </si>
  <si>
    <t>Mediana IA</t>
  </si>
  <si>
    <t>Desv. Estándar</t>
  </si>
  <si>
    <t>Mínimo</t>
  </si>
  <si>
    <t>Máximo</t>
  </si>
  <si>
    <t>Q1 — Rango de Edad</t>
  </si>
  <si>
    <t>Categoría</t>
  </si>
  <si>
    <t>Prefiero no decir</t>
  </si>
  <si>
    <t>Q2 — Nivel de Estudios</t>
  </si>
  <si>
    <t>Q3 — Género</t>
  </si>
  <si>
    <t>Q4 — Antigüedad</t>
  </si>
  <si>
    <t>Q5 — Cargo</t>
  </si>
  <si>
    <t>Ayudante ocasional</t>
  </si>
  <si>
    <t>Q6 — Tipo de Producto</t>
  </si>
  <si>
    <t>Q7 — Medio de Pago más Frecuente</t>
  </si>
  <si>
    <t>Q9 — Razón Principal para Mantener Efectivo</t>
  </si>
  <si>
    <t>Es más rápido al momento de cobrar</t>
  </si>
  <si>
    <t>Q10 — Frecuencia de Pagos Digitales</t>
  </si>
  <si>
    <t>Casi nunca</t>
  </si>
  <si>
    <t>Q11 — Proporción Digital / Efectivo</t>
  </si>
  <si>
    <t>Q12 — Intención de Continuidad</t>
  </si>
  <si>
    <t>Q13 — Percepción de Seguridad</t>
  </si>
  <si>
    <t>Q14 — Percepción de Costos Adicionales</t>
  </si>
  <si>
    <t>Q16 — Facilidad de Uso Tecnológico</t>
  </si>
  <si>
    <t>Q17 — Ingresos Diarios (COP)</t>
  </si>
  <si>
    <t>Nivel de Adopción IA</t>
  </si>
  <si>
    <t>Q8 — Medios Digitales Aceptados (selección múltiple)</t>
  </si>
  <si>
    <t>Opción (selección múltiple — un comerciante puede marcar varias)</t>
  </si>
  <si>
    <t>%
sobre 64</t>
  </si>
  <si>
    <t>Billeteras digitales (Nequi, Daviplata u otras)</t>
  </si>
  <si>
    <t>Transferencia bancaria</t>
  </si>
  <si>
    <t>Pagos con tarjeta débito o crédito (datáfono)</t>
  </si>
  <si>
    <t>Códigos QR</t>
  </si>
  <si>
    <t>Todos por igual</t>
  </si>
  <si>
    <t>Q15 — Recursos Tecnológicos en el Negocio (selección múltiple)</t>
  </si>
  <si>
    <t>Teléfono inteligente</t>
  </si>
  <si>
    <t>Conexión a internet</t>
  </si>
  <si>
    <t>Datáfono</t>
  </si>
  <si>
    <t>Código QR</t>
  </si>
  <si>
    <t>Ninguno de los anteriores</t>
  </si>
  <si>
    <t>MEDIDAS DE TENDENCIA CENTRAL — Variables Likert codificadas (escala 1–5)</t>
  </si>
  <si>
    <t>Variable</t>
  </si>
  <si>
    <t>Referencia
en Datos</t>
  </si>
  <si>
    <t>Mediana</t>
  </si>
  <si>
    <t>Moda</t>
  </si>
  <si>
    <t>D1 — Frecuencia pagos digitales (Q10)</t>
  </si>
  <si>
    <t>S3:S66</t>
  </si>
  <si>
    <t>D2 — Diversidad medios digitales (Q8)</t>
  </si>
  <si>
    <t>U3:U66</t>
  </si>
  <si>
    <t>D3 — Intención continuidad (Q12)</t>
  </si>
  <si>
    <t>V3:V66</t>
  </si>
  <si>
    <t>IA — Índice de Adopción</t>
  </si>
  <si>
    <t>W3:W66</t>
  </si>
  <si>
    <t>H₀: Las variables son independientes  |  H₁: Existe asociación  |  α = 0.05</t>
  </si>
  <si>
    <t>Variable: Seguridad Percibida (Q13)  vs  Nivel de Adopción</t>
  </si>
  <si>
    <t>OBSERVADAS (O)</t>
  </si>
  <si>
    <t>Adop.
Baja</t>
  </si>
  <si>
    <t>Adop.
Media</t>
  </si>
  <si>
    <t>Adop.
Alta</t>
  </si>
  <si>
    <t>Total
fila</t>
  </si>
  <si>
    <t>Total col.</t>
  </si>
  <si>
    <t>ESPERADAS (E)  =  (Total fila × Total col.) / Total general</t>
  </si>
  <si>
    <t>Seguridad Percibida (Q13)</t>
  </si>
  <si>
    <t>Esp.
Baja</t>
  </si>
  <si>
    <t>Esp.
Media</t>
  </si>
  <si>
    <t>Esp.
Alta</t>
  </si>
  <si>
    <t>(O − E)² / E  (contribución al χ² por celda)</t>
  </si>
  <si>
    <t>Suma fila</t>
  </si>
  <si>
    <t>RESULTADOS</t>
  </si>
  <si>
    <t>χ²  =  Σ(O−E)²/E</t>
  </si>
  <si>
    <t>Grados de libertad (gl)</t>
  </si>
  <si>
    <t>p-valor  =  CHITEST(O, E)</t>
  </si>
  <si>
    <t>α</t>
  </si>
  <si>
    <t>Decisión</t>
  </si>
  <si>
    <t>Variable: Costos Operativos (Q14)  vs  Nivel de Adopción</t>
  </si>
  <si>
    <t>Costos Operativos (Q14)</t>
  </si>
  <si>
    <t>Variable: Facilidad Tecnológica (Q16)  vs  Nivel de Adopción</t>
  </si>
  <si>
    <t>Facilidad Tecnológica (Q16)</t>
  </si>
  <si>
    <t>Variable: Volumen de Ingresos (Q17)  vs  Nivel de Adopción</t>
  </si>
  <si>
    <t>Alto</t>
  </si>
  <si>
    <t>Medio</t>
  </si>
  <si>
    <t>Bajo</t>
  </si>
  <si>
    <t>Volumen de Ingresos (Q17)</t>
  </si>
  <si>
    <t>━━━━━━━━━━━━━━━━━━━━━━━━━━━━━━━━━━━━━━━━━━━━━━━━━━━━━━━━━━━━━━━━━━━━━━━━━━━━━━━━</t>
  </si>
  <si>
    <t>Variable: Costos Operativos — Q9: Razón principal para mantener el efectivo (ítem 9)  vs  Nivel de Adopción</t>
  </si>
  <si>
    <t>Categorización: 'Costo como razón' = seleccionó 'No genera costos adicionales'. 'Otra razón' = cualquier otra respuesta.</t>
  </si>
  <si>
    <t>Costo como razón</t>
  </si>
  <si>
    <t>Otra razón</t>
  </si>
  <si>
    <t>Costos Operativos — Q9: Razón principal para mantener el efectivo (ítem 9)</t>
  </si>
  <si>
    <t>Grados de libertad</t>
  </si>
  <si>
    <t>p-valor  (CHITEST)</t>
  </si>
  <si>
    <t>Variable: Alfabetización e Infraestructura — Q15: Recursos tecnológicos disponibles (ítem 15)  vs  Nivel de Adopción</t>
  </si>
  <si>
    <t>Categorización: 'Con recursos completos' = tiene datáfono o QR. 'Con recursos básicos' = solo teléfono/internet. 'Sin recursos' = ninguno.</t>
  </si>
  <si>
    <t>Con recursos completos</t>
  </si>
  <si>
    <t>Con recursos básicos</t>
  </si>
  <si>
    <t>Sin recursos</t>
  </si>
  <si>
    <t>Alfabetización e Infraestructura — Q15: Recursos tecnológicos disponibles (ítem 15)</t>
  </si>
  <si>
    <t>Grupo</t>
  </si>
  <si>
    <t>IA Promedio</t>
  </si>
  <si>
    <t>IA por Rango de Edad (Q1)</t>
  </si>
  <si>
    <t>Nivel Predominante</t>
  </si>
  <si>
    <t>% del total</t>
  </si>
  <si>
    <t>TOTAL / Promedio general</t>
  </si>
  <si>
    <t>IA por Nivel Educativo (Q2)</t>
  </si>
  <si>
    <t>IA por Género (Q3)</t>
  </si>
  <si>
    <t>IA por Antigüedad en la Plaza (Q4)</t>
  </si>
  <si>
    <t>IA por Cargo (Q5)</t>
  </si>
  <si>
    <t>IA por Tipo de Producto (Q6)</t>
  </si>
  <si>
    <t>Variable Independiente</t>
  </si>
  <si>
    <t>Total
celdas</t>
  </si>
  <si>
    <t>Celdas E≥5
(revisar en Chi_Cuadrado)</t>
  </si>
  <si>
    <t>% celdas
E≥5</t>
  </si>
  <si>
    <t>Supuesto
cumplido</t>
  </si>
  <si>
    <t>Reagrupación en 3 categorías (Alta/Media/Baja) aplicada</t>
  </si>
  <si>
    <t>Q9 (Costos ítem 9) y Q15 (Infraestructura ítem 15): ver tablas esperadas al final de hoja Chi_Cuadrado para verificación de E≥5.</t>
  </si>
  <si>
    <t>Datos encuenta paloquemado</t>
  </si>
  <si>
    <t>Calculo de dimensiones</t>
  </si>
  <si>
    <t>D1
Frecuencia(1-5)</t>
  </si>
  <si>
    <t xml:space="preserve">#
Medios aceptados </t>
  </si>
  <si>
    <t>D2
Diversidad(1-5)</t>
  </si>
  <si>
    <t>D3
Intención(1-5)</t>
  </si>
  <si>
    <t>Indice de adopcion</t>
  </si>
  <si>
    <t>Conteo  1–5</t>
  </si>
  <si>
    <t>Cantidad de encuestas</t>
  </si>
  <si>
    <t>%
( sobre N 64)</t>
  </si>
  <si>
    <t xml:space="preserve"> los porcentajes no suman 100% porque cada comerciante pudo seleccionar más de una opción.</t>
  </si>
  <si>
    <t>Paso ejecutado</t>
  </si>
  <si>
    <t xml:space="preserve"> ÍNDICE DE ADOPCIÓN </t>
  </si>
  <si>
    <t xml:space="preserve"> FRECUENCIAS Y PORCENTAJES</t>
  </si>
  <si>
    <t xml:space="preserve"> CHI-CUADRADO (χ²)</t>
  </si>
  <si>
    <t xml:space="preserve"> ÍNDICE DE ADOPCIÓN GRUPO DEMOGRÁFICO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</si>
</sst>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"/>
    <numFmt numFmtId="166" formatCode="0.00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1F3864"/>
      </patternFill>
    </fill>
    <fill>
      <patternFill patternType="solid">
        <fgColor theme="4" tint="0.59999389629810485"/>
        <bgColor rgb="FF1F3864"/>
      </patternFill>
    </fill>
    <fill>
      <patternFill patternType="solid">
        <fgColor rgb="FFFF0000"/>
        <bgColor rgb="FF1F3864"/>
      </patternFill>
    </fill>
    <fill>
      <patternFill patternType="solid">
        <fgColor rgb="FF92D050"/>
        <bgColor rgb="FF33333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/>
    <xf numFmtId="166" fontId="5" fillId="0" borderId="1" xfId="0" applyNumberFormat="1" applyFont="1" applyBorder="1" applyAlignment="1">
      <alignment horizontal="center" vertical="center"/>
    </xf>
    <xf numFmtId="10" fontId="9" fillId="2" borderId="0" xfId="0" applyNumberFormat="1" applyFont="1" applyFill="1"/>
    <xf numFmtId="164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CE4D6"/>
      <rgbColor rgb="FF4472C4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F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6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baseColWidth="10" defaultColWidth="8.7109375" defaultRowHeight="15" x14ac:dyDescent="0.25"/>
  <cols>
    <col min="1" max="1" width="4" customWidth="1"/>
    <col min="2" max="2" width="12" customWidth="1"/>
    <col min="3" max="3" width="20" customWidth="1"/>
    <col min="4" max="4" width="10" customWidth="1"/>
    <col min="5" max="5" width="13" customWidth="1"/>
    <col min="6" max="8" width="18" customWidth="1"/>
    <col min="9" max="9" width="35" customWidth="1"/>
    <col min="10" max="10" width="32" customWidth="1"/>
    <col min="11" max="11" width="13" customWidth="1"/>
    <col min="12" max="12" width="18" customWidth="1"/>
    <col min="13" max="13" width="13" customWidth="1"/>
    <col min="14" max="15" width="11" customWidth="1"/>
    <col min="16" max="16" width="25" customWidth="1"/>
    <col min="17" max="17" width="11" customWidth="1"/>
    <col min="18" max="18" width="16" customWidth="1"/>
    <col min="19" max="19" width="13.5703125" customWidth="1"/>
    <col min="20" max="20" width="14.5703125" customWidth="1"/>
    <col min="21" max="21" width="14.42578125" customWidth="1"/>
    <col min="22" max="22" width="8" customWidth="1"/>
    <col min="23" max="23" width="7" customWidth="1"/>
    <col min="24" max="24" width="11" customWidth="1"/>
    <col min="25" max="28" width="10" customWidth="1"/>
    <col min="29" max="29" width="15" customWidth="1"/>
    <col min="30" max="30" width="35.7109375" customWidth="1"/>
  </cols>
  <sheetData>
    <row r="1" spans="1:30" ht="15.75" thickBot="1" x14ac:dyDescent="0.3">
      <c r="A1" s="63" t="s">
        <v>257</v>
      </c>
      <c r="B1" s="64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3" t="s">
        <v>258</v>
      </c>
      <c r="T1" s="64"/>
      <c r="U1" s="64"/>
      <c r="V1" s="65"/>
      <c r="W1" s="1"/>
      <c r="X1" s="1"/>
      <c r="Y1" s="1"/>
      <c r="Z1" s="1"/>
      <c r="AA1" s="1"/>
      <c r="AB1" s="1"/>
      <c r="AC1" s="1"/>
      <c r="AD1" s="1"/>
    </row>
    <row r="2" spans="1:30" ht="36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4" t="s">
        <v>259</v>
      </c>
      <c r="T2" s="4" t="s">
        <v>260</v>
      </c>
      <c r="U2" s="4" t="s">
        <v>261</v>
      </c>
      <c r="V2" s="4" t="s">
        <v>262</v>
      </c>
      <c r="W2" s="5" t="s">
        <v>263</v>
      </c>
      <c r="X2" s="5" t="s">
        <v>18</v>
      </c>
      <c r="Y2" s="6" t="s">
        <v>19</v>
      </c>
      <c r="Z2" s="6" t="s">
        <v>20</v>
      </c>
      <c r="AA2" s="6" t="s">
        <v>21</v>
      </c>
      <c r="AB2" s="6" t="s">
        <v>22</v>
      </c>
      <c r="AC2" s="6" t="s">
        <v>23</v>
      </c>
      <c r="AD2" s="6" t="s">
        <v>24</v>
      </c>
    </row>
    <row r="3" spans="1:30" ht="25.5" customHeight="1" x14ac:dyDescent="0.25">
      <c r="A3" s="7">
        <v>2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34</v>
      </c>
      <c r="L3" s="8" t="s">
        <v>35</v>
      </c>
      <c r="M3" s="8" t="s">
        <v>36</v>
      </c>
      <c r="N3" s="8" t="s">
        <v>37</v>
      </c>
      <c r="O3" s="8" t="s">
        <v>38</v>
      </c>
      <c r="P3" s="8" t="s">
        <v>39</v>
      </c>
      <c r="Q3" s="8" t="s">
        <v>40</v>
      </c>
      <c r="R3" s="8" t="s">
        <v>41</v>
      </c>
      <c r="S3" s="9">
        <f t="shared" ref="S3:S34" si="0">IF(K3="Siempre",5,IF(K3="Casi siempre",4,IF(K3="A veces",3,IF(K3="Casi nunca",2,IF(K3="Nunca",1,0)))))</f>
        <v>5</v>
      </c>
      <c r="T3" s="9">
        <f t="shared" ref="T3:T34" si="1">MAX(0,LEN(I3)-LEN(SUBSTITUTE(I3,";",""))-IF(ISNUMBER(SEARCH("Todos por igual",I3)),1,0)-IF(ISNUMBER(SEARCH("Ninguno",I3)),1,0))</f>
        <v>3</v>
      </c>
      <c r="U3" s="9">
        <f t="shared" ref="U3:U34" si="2">IF(T3=0,1,IF(T3=1,2,IF(T3=2,3,IF(T3=3,4,5))))</f>
        <v>4</v>
      </c>
      <c r="V3" s="9">
        <f t="shared" ref="V3:V34" si="3">IF(M3="Muy probable",5,IF(M3="Probable",4,IF(M3="Moderadamente probable",3,IF(M3="Improbable",2,IF(M3="Muy improbable",1,0)))))</f>
        <v>4</v>
      </c>
      <c r="W3" s="10">
        <f t="shared" ref="W3:W34" si="4">ROUND((S3+U3+V3)/3,2)</f>
        <v>4.33</v>
      </c>
      <c r="X3" s="11" t="str">
        <f t="shared" ref="X3:X34" si="5">IF(W3&lt;=2.4,"Baja",IF(W3&lt;=3.4,"Media","Alta"))</f>
        <v>Alta</v>
      </c>
      <c r="Y3" s="9" t="str">
        <f t="shared" ref="Y3:Y34" si="6">IF(OR(N3="Muy Alta",N3="Alta"),"Alta",IF(N3="Media","Media","Baja"))</f>
        <v>Alta</v>
      </c>
      <c r="Z3" s="9" t="str">
        <f t="shared" ref="Z3:Z34" si="7">IF(OR(O3="Muy probable",O3="Probable"),"Alta",IF(O3="Moderadamente probable","Media","Baja"))</f>
        <v>Alta</v>
      </c>
      <c r="AA3" s="9" t="str">
        <f t="shared" ref="AA3:AA34" si="8">IF(OR(Q3="Muy fácil",Q3="Fácil"),"Alta",IF(Q3="Moderada","Media","Baja"))</f>
        <v>Media</v>
      </c>
      <c r="AB3" s="9" t="str">
        <f t="shared" ref="AB3:AB34" si="9">IF(OR(R3="De $200.000 a $300.000",R3="De $300.000 a $750.000"),"Bajo",IF(R3="De $750.000 a $1.500.000","Medio","Alto"))</f>
        <v>Medio</v>
      </c>
      <c r="AC3" s="9" t="str">
        <f t="shared" ref="AC3:AC34" si="10">IF(J3="No genera costos adicionales (comisiones, retenciones, internet)","Costo como razón","Otra razón")</f>
        <v>Otra razón</v>
      </c>
      <c r="AD3" s="9" t="str">
        <f t="shared" ref="AD3:AD34" si="11">IF(ISNUMBER(SEARCH("Ninguno",P3)),"Sin recursos",IF(OR(ISNUMBER(SEARCH("Datáfono",P3)),ISNUMBER(SEARCH("Código QR",P3))),"Con recursos completos","Con recursos básicos"))</f>
        <v>Con recursos completos</v>
      </c>
    </row>
    <row r="4" spans="1:30" ht="25.5" customHeight="1" x14ac:dyDescent="0.25">
      <c r="A4" s="7">
        <v>3</v>
      </c>
      <c r="B4" s="8" t="s">
        <v>25</v>
      </c>
      <c r="C4" s="8" t="s">
        <v>42</v>
      </c>
      <c r="D4" s="8" t="s">
        <v>27</v>
      </c>
      <c r="E4" s="8" t="s">
        <v>28</v>
      </c>
      <c r="F4" s="8" t="s">
        <v>43</v>
      </c>
      <c r="G4" s="8" t="s">
        <v>30</v>
      </c>
      <c r="H4" s="8" t="s">
        <v>31</v>
      </c>
      <c r="I4" s="8" t="s">
        <v>44</v>
      </c>
      <c r="J4" s="8" t="s">
        <v>33</v>
      </c>
      <c r="K4" s="8" t="s">
        <v>45</v>
      </c>
      <c r="L4" s="8" t="s">
        <v>46</v>
      </c>
      <c r="M4" s="8" t="s">
        <v>47</v>
      </c>
      <c r="N4" s="8" t="s">
        <v>48</v>
      </c>
      <c r="O4" s="8" t="s">
        <v>38</v>
      </c>
      <c r="P4" s="8" t="s">
        <v>49</v>
      </c>
      <c r="Q4" s="8" t="s">
        <v>50</v>
      </c>
      <c r="R4" s="8" t="s">
        <v>51</v>
      </c>
      <c r="S4" s="9">
        <f t="shared" si="0"/>
        <v>3</v>
      </c>
      <c r="T4" s="9">
        <f t="shared" si="1"/>
        <v>1</v>
      </c>
      <c r="U4" s="9">
        <f t="shared" si="2"/>
        <v>2</v>
      </c>
      <c r="V4" s="9">
        <f t="shared" si="3"/>
        <v>2</v>
      </c>
      <c r="W4" s="10">
        <f t="shared" si="4"/>
        <v>2.33</v>
      </c>
      <c r="X4" s="11" t="str">
        <f t="shared" si="5"/>
        <v>Baja</v>
      </c>
      <c r="Y4" s="9" t="str">
        <f t="shared" si="6"/>
        <v>Baja</v>
      </c>
      <c r="Z4" s="9" t="str">
        <f t="shared" si="7"/>
        <v>Alta</v>
      </c>
      <c r="AA4" s="9" t="str">
        <f t="shared" si="8"/>
        <v>Baja</v>
      </c>
      <c r="AB4" s="9" t="str">
        <f t="shared" si="9"/>
        <v>Bajo</v>
      </c>
      <c r="AC4" s="9" t="str">
        <f t="shared" si="10"/>
        <v>Otra razón</v>
      </c>
      <c r="AD4" s="9" t="str">
        <f t="shared" si="11"/>
        <v>Con recursos básicos</v>
      </c>
    </row>
    <row r="5" spans="1:30" ht="25.5" customHeight="1" x14ac:dyDescent="0.25">
      <c r="A5" s="7">
        <v>4</v>
      </c>
      <c r="B5" s="8" t="s">
        <v>52</v>
      </c>
      <c r="C5" s="8" t="s">
        <v>53</v>
      </c>
      <c r="D5" s="8" t="s">
        <v>54</v>
      </c>
      <c r="E5" s="8" t="s">
        <v>28</v>
      </c>
      <c r="F5" s="8" t="s">
        <v>29</v>
      </c>
      <c r="G5" s="8" t="s">
        <v>30</v>
      </c>
      <c r="H5" s="8" t="s">
        <v>31</v>
      </c>
      <c r="I5" s="8" t="s">
        <v>55</v>
      </c>
      <c r="J5" s="8" t="s">
        <v>56</v>
      </c>
      <c r="K5" s="8" t="s">
        <v>34</v>
      </c>
      <c r="L5" s="8" t="s">
        <v>46</v>
      </c>
      <c r="M5" s="8" t="s">
        <v>38</v>
      </c>
      <c r="N5" s="8" t="s">
        <v>57</v>
      </c>
      <c r="O5" s="8" t="s">
        <v>38</v>
      </c>
      <c r="P5" s="8" t="s">
        <v>58</v>
      </c>
      <c r="Q5" s="8" t="s">
        <v>59</v>
      </c>
      <c r="R5" s="8" t="s">
        <v>60</v>
      </c>
      <c r="S5" s="9">
        <f t="shared" si="0"/>
        <v>5</v>
      </c>
      <c r="T5" s="9">
        <f t="shared" si="1"/>
        <v>4</v>
      </c>
      <c r="U5" s="9">
        <f t="shared" si="2"/>
        <v>5</v>
      </c>
      <c r="V5" s="9">
        <f t="shared" si="3"/>
        <v>5</v>
      </c>
      <c r="W5" s="10">
        <f t="shared" si="4"/>
        <v>5</v>
      </c>
      <c r="X5" s="11" t="str">
        <f t="shared" si="5"/>
        <v>Alta</v>
      </c>
      <c r="Y5" s="9" t="str">
        <f t="shared" si="6"/>
        <v>Media</v>
      </c>
      <c r="Z5" s="9" t="str">
        <f t="shared" si="7"/>
        <v>Alta</v>
      </c>
      <c r="AA5" s="9" t="str">
        <f t="shared" si="8"/>
        <v>Alta</v>
      </c>
      <c r="AB5" s="9" t="str">
        <f t="shared" si="9"/>
        <v>Alto</v>
      </c>
      <c r="AC5" s="9" t="str">
        <f t="shared" si="10"/>
        <v>Costo como razón</v>
      </c>
      <c r="AD5" s="9" t="str">
        <f t="shared" si="11"/>
        <v>Con recursos básicos</v>
      </c>
    </row>
    <row r="6" spans="1:30" ht="25.5" customHeight="1" x14ac:dyDescent="0.25">
      <c r="A6" s="7">
        <v>5</v>
      </c>
      <c r="B6" s="8" t="s">
        <v>52</v>
      </c>
      <c r="C6" s="8" t="s">
        <v>61</v>
      </c>
      <c r="D6" s="8" t="s">
        <v>54</v>
      </c>
      <c r="E6" s="8" t="s">
        <v>28</v>
      </c>
      <c r="F6" s="8" t="s">
        <v>43</v>
      </c>
      <c r="G6" s="8" t="s">
        <v>30</v>
      </c>
      <c r="H6" s="8" t="s">
        <v>31</v>
      </c>
      <c r="I6" s="8" t="s">
        <v>62</v>
      </c>
      <c r="J6" s="8" t="s">
        <v>33</v>
      </c>
      <c r="K6" s="8" t="s">
        <v>45</v>
      </c>
      <c r="L6" s="8" t="s">
        <v>63</v>
      </c>
      <c r="M6" s="8" t="s">
        <v>36</v>
      </c>
      <c r="N6" s="8" t="s">
        <v>57</v>
      </c>
      <c r="O6" s="8" t="s">
        <v>36</v>
      </c>
      <c r="P6" s="8" t="s">
        <v>58</v>
      </c>
      <c r="Q6" s="8" t="s">
        <v>64</v>
      </c>
      <c r="R6" s="8" t="s">
        <v>41</v>
      </c>
      <c r="S6" s="9">
        <f t="shared" si="0"/>
        <v>3</v>
      </c>
      <c r="T6" s="9">
        <f t="shared" si="1"/>
        <v>3</v>
      </c>
      <c r="U6" s="9">
        <f t="shared" si="2"/>
        <v>4</v>
      </c>
      <c r="V6" s="9">
        <f t="shared" si="3"/>
        <v>4</v>
      </c>
      <c r="W6" s="10">
        <f t="shared" si="4"/>
        <v>3.67</v>
      </c>
      <c r="X6" s="11" t="str">
        <f t="shared" si="5"/>
        <v>Alta</v>
      </c>
      <c r="Y6" s="9" t="str">
        <f t="shared" si="6"/>
        <v>Media</v>
      </c>
      <c r="Z6" s="9" t="str">
        <f t="shared" si="7"/>
        <v>Alta</v>
      </c>
      <c r="AA6" s="9" t="str">
        <f t="shared" si="8"/>
        <v>Alta</v>
      </c>
      <c r="AB6" s="9" t="str">
        <f t="shared" si="9"/>
        <v>Medio</v>
      </c>
      <c r="AC6" s="9" t="str">
        <f t="shared" si="10"/>
        <v>Otra razón</v>
      </c>
      <c r="AD6" s="9" t="str">
        <f t="shared" si="11"/>
        <v>Con recursos básicos</v>
      </c>
    </row>
    <row r="7" spans="1:30" ht="25.5" customHeight="1" x14ac:dyDescent="0.25">
      <c r="A7" s="7">
        <v>6</v>
      </c>
      <c r="B7" s="8" t="s">
        <v>25</v>
      </c>
      <c r="C7" s="8" t="s">
        <v>61</v>
      </c>
      <c r="D7" s="8" t="s">
        <v>27</v>
      </c>
      <c r="E7" s="8" t="s">
        <v>28</v>
      </c>
      <c r="F7" s="8" t="s">
        <v>29</v>
      </c>
      <c r="G7" s="8" t="s">
        <v>65</v>
      </c>
      <c r="H7" s="8" t="s">
        <v>31</v>
      </c>
      <c r="I7" s="8" t="s">
        <v>66</v>
      </c>
      <c r="J7" s="8" t="s">
        <v>67</v>
      </c>
      <c r="K7" s="8" t="s">
        <v>34</v>
      </c>
      <c r="L7" s="8" t="s">
        <v>46</v>
      </c>
      <c r="M7" s="8" t="s">
        <v>38</v>
      </c>
      <c r="N7" s="8" t="s">
        <v>48</v>
      </c>
      <c r="O7" s="8" t="s">
        <v>38</v>
      </c>
      <c r="P7" s="8" t="s">
        <v>58</v>
      </c>
      <c r="Q7" s="8" t="s">
        <v>40</v>
      </c>
      <c r="R7" s="8" t="s">
        <v>60</v>
      </c>
      <c r="S7" s="9">
        <f t="shared" si="0"/>
        <v>5</v>
      </c>
      <c r="T7" s="9">
        <f t="shared" si="1"/>
        <v>2</v>
      </c>
      <c r="U7" s="9">
        <f t="shared" si="2"/>
        <v>3</v>
      </c>
      <c r="V7" s="9">
        <f t="shared" si="3"/>
        <v>5</v>
      </c>
      <c r="W7" s="10">
        <f t="shared" si="4"/>
        <v>4.33</v>
      </c>
      <c r="X7" s="11" t="str">
        <f t="shared" si="5"/>
        <v>Alta</v>
      </c>
      <c r="Y7" s="9" t="str">
        <f t="shared" si="6"/>
        <v>Baja</v>
      </c>
      <c r="Z7" s="9" t="str">
        <f t="shared" si="7"/>
        <v>Alta</v>
      </c>
      <c r="AA7" s="9" t="str">
        <f t="shared" si="8"/>
        <v>Media</v>
      </c>
      <c r="AB7" s="9" t="str">
        <f t="shared" si="9"/>
        <v>Alto</v>
      </c>
      <c r="AC7" s="9" t="str">
        <f t="shared" si="10"/>
        <v>Otra razón</v>
      </c>
      <c r="AD7" s="9" t="str">
        <f t="shared" si="11"/>
        <v>Con recursos básicos</v>
      </c>
    </row>
    <row r="8" spans="1:30" ht="25.5" customHeight="1" x14ac:dyDescent="0.25">
      <c r="A8" s="7">
        <v>7</v>
      </c>
      <c r="B8" s="8" t="s">
        <v>25</v>
      </c>
      <c r="C8" s="8" t="s">
        <v>68</v>
      </c>
      <c r="D8" s="8" t="s">
        <v>27</v>
      </c>
      <c r="E8" s="8" t="s">
        <v>28</v>
      </c>
      <c r="F8" s="8" t="s">
        <v>29</v>
      </c>
      <c r="G8" s="8" t="s">
        <v>65</v>
      </c>
      <c r="H8" s="8" t="s">
        <v>31</v>
      </c>
      <c r="I8" s="8" t="s">
        <v>62</v>
      </c>
      <c r="J8" s="8" t="s">
        <v>56</v>
      </c>
      <c r="K8" s="8" t="s">
        <v>69</v>
      </c>
      <c r="L8" s="8" t="s">
        <v>35</v>
      </c>
      <c r="M8" s="8" t="s">
        <v>38</v>
      </c>
      <c r="N8" s="8" t="s">
        <v>48</v>
      </c>
      <c r="O8" s="8" t="s">
        <v>38</v>
      </c>
      <c r="P8" s="8" t="s">
        <v>70</v>
      </c>
      <c r="Q8" s="8" t="s">
        <v>59</v>
      </c>
      <c r="R8" s="8" t="s">
        <v>60</v>
      </c>
      <c r="S8" s="9">
        <f t="shared" si="0"/>
        <v>4</v>
      </c>
      <c r="T8" s="9">
        <f t="shared" si="1"/>
        <v>3</v>
      </c>
      <c r="U8" s="9">
        <f t="shared" si="2"/>
        <v>4</v>
      </c>
      <c r="V8" s="9">
        <f t="shared" si="3"/>
        <v>5</v>
      </c>
      <c r="W8" s="10">
        <f t="shared" si="4"/>
        <v>4.33</v>
      </c>
      <c r="X8" s="11" t="str">
        <f t="shared" si="5"/>
        <v>Alta</v>
      </c>
      <c r="Y8" s="9" t="str">
        <f t="shared" si="6"/>
        <v>Baja</v>
      </c>
      <c r="Z8" s="9" t="str">
        <f t="shared" si="7"/>
        <v>Alta</v>
      </c>
      <c r="AA8" s="9" t="str">
        <f t="shared" si="8"/>
        <v>Alta</v>
      </c>
      <c r="AB8" s="9" t="str">
        <f t="shared" si="9"/>
        <v>Alto</v>
      </c>
      <c r="AC8" s="9" t="str">
        <f t="shared" si="10"/>
        <v>Costo como razón</v>
      </c>
      <c r="AD8" s="9" t="str">
        <f t="shared" si="11"/>
        <v>Sin recursos</v>
      </c>
    </row>
    <row r="9" spans="1:30" ht="25.5" customHeight="1" x14ac:dyDescent="0.25">
      <c r="A9" s="7">
        <v>8</v>
      </c>
      <c r="B9" s="8" t="s">
        <v>52</v>
      </c>
      <c r="C9" s="8" t="s">
        <v>61</v>
      </c>
      <c r="D9" s="8" t="s">
        <v>27</v>
      </c>
      <c r="E9" s="8" t="s">
        <v>28</v>
      </c>
      <c r="F9" s="8" t="s">
        <v>43</v>
      </c>
      <c r="G9" s="8" t="s">
        <v>30</v>
      </c>
      <c r="H9" s="8" t="s">
        <v>31</v>
      </c>
      <c r="I9" s="8" t="s">
        <v>55</v>
      </c>
      <c r="J9" s="8" t="s">
        <v>56</v>
      </c>
      <c r="K9" s="8" t="s">
        <v>34</v>
      </c>
      <c r="L9" s="8" t="s">
        <v>63</v>
      </c>
      <c r="M9" s="8" t="s">
        <v>38</v>
      </c>
      <c r="N9" s="8" t="s">
        <v>57</v>
      </c>
      <c r="O9" s="8" t="s">
        <v>38</v>
      </c>
      <c r="P9" s="8" t="s">
        <v>71</v>
      </c>
      <c r="Q9" s="8" t="s">
        <v>59</v>
      </c>
      <c r="R9" s="8" t="s">
        <v>41</v>
      </c>
      <c r="S9" s="9">
        <f t="shared" si="0"/>
        <v>5</v>
      </c>
      <c r="T9" s="9">
        <f t="shared" si="1"/>
        <v>4</v>
      </c>
      <c r="U9" s="9">
        <f t="shared" si="2"/>
        <v>5</v>
      </c>
      <c r="V9" s="9">
        <f t="shared" si="3"/>
        <v>5</v>
      </c>
      <c r="W9" s="10">
        <f t="shared" si="4"/>
        <v>5</v>
      </c>
      <c r="X9" s="11" t="str">
        <f t="shared" si="5"/>
        <v>Alta</v>
      </c>
      <c r="Y9" s="9" t="str">
        <f t="shared" si="6"/>
        <v>Media</v>
      </c>
      <c r="Z9" s="9" t="str">
        <f t="shared" si="7"/>
        <v>Alta</v>
      </c>
      <c r="AA9" s="9" t="str">
        <f t="shared" si="8"/>
        <v>Alta</v>
      </c>
      <c r="AB9" s="9" t="str">
        <f t="shared" si="9"/>
        <v>Medio</v>
      </c>
      <c r="AC9" s="9" t="str">
        <f t="shared" si="10"/>
        <v>Costo como razón</v>
      </c>
      <c r="AD9" s="9" t="str">
        <f t="shared" si="11"/>
        <v>Con recursos completos</v>
      </c>
    </row>
    <row r="10" spans="1:30" ht="25.5" customHeight="1" x14ac:dyDescent="0.25">
      <c r="A10" s="7">
        <v>9</v>
      </c>
      <c r="B10" s="8" t="s">
        <v>72</v>
      </c>
      <c r="C10" s="8" t="s">
        <v>73</v>
      </c>
      <c r="D10" s="8" t="s">
        <v>54</v>
      </c>
      <c r="E10" s="8" t="s">
        <v>28</v>
      </c>
      <c r="F10" s="8" t="s">
        <v>29</v>
      </c>
      <c r="G10" s="8" t="s">
        <v>30</v>
      </c>
      <c r="H10" s="8" t="s">
        <v>31</v>
      </c>
      <c r="I10" s="8" t="s">
        <v>74</v>
      </c>
      <c r="J10" s="8" t="s">
        <v>75</v>
      </c>
      <c r="K10" s="8" t="s">
        <v>34</v>
      </c>
      <c r="L10" s="8" t="s">
        <v>63</v>
      </c>
      <c r="M10" s="8" t="s">
        <v>38</v>
      </c>
      <c r="N10" s="8" t="s">
        <v>76</v>
      </c>
      <c r="O10" s="8" t="s">
        <v>38</v>
      </c>
      <c r="P10" s="8" t="s">
        <v>58</v>
      </c>
      <c r="Q10" s="8" t="s">
        <v>59</v>
      </c>
      <c r="R10" s="8" t="s">
        <v>60</v>
      </c>
      <c r="S10" s="9">
        <f t="shared" si="0"/>
        <v>5</v>
      </c>
      <c r="T10" s="9">
        <f t="shared" si="1"/>
        <v>1</v>
      </c>
      <c r="U10" s="9">
        <f t="shared" si="2"/>
        <v>2</v>
      </c>
      <c r="V10" s="9">
        <f t="shared" si="3"/>
        <v>5</v>
      </c>
      <c r="W10" s="10">
        <f t="shared" si="4"/>
        <v>4</v>
      </c>
      <c r="X10" s="11" t="str">
        <f t="shared" si="5"/>
        <v>Alta</v>
      </c>
      <c r="Y10" s="9" t="str">
        <f t="shared" si="6"/>
        <v>Alta</v>
      </c>
      <c r="Z10" s="9" t="str">
        <f t="shared" si="7"/>
        <v>Alta</v>
      </c>
      <c r="AA10" s="9" t="str">
        <f t="shared" si="8"/>
        <v>Alta</v>
      </c>
      <c r="AB10" s="9" t="str">
        <f t="shared" si="9"/>
        <v>Alto</v>
      </c>
      <c r="AC10" s="9" t="str">
        <f t="shared" si="10"/>
        <v>Otra razón</v>
      </c>
      <c r="AD10" s="9" t="str">
        <f t="shared" si="11"/>
        <v>Con recursos básicos</v>
      </c>
    </row>
    <row r="11" spans="1:30" ht="25.5" customHeight="1" x14ac:dyDescent="0.25">
      <c r="A11" s="7">
        <v>10</v>
      </c>
      <c r="B11" s="8" t="s">
        <v>52</v>
      </c>
      <c r="C11" s="8" t="s">
        <v>73</v>
      </c>
      <c r="D11" s="8" t="s">
        <v>54</v>
      </c>
      <c r="E11" s="8" t="s">
        <v>28</v>
      </c>
      <c r="F11" s="8" t="s">
        <v>29</v>
      </c>
      <c r="G11" s="8" t="s">
        <v>30</v>
      </c>
      <c r="H11" s="8" t="s">
        <v>31</v>
      </c>
      <c r="I11" s="8" t="s">
        <v>66</v>
      </c>
      <c r="J11" s="8" t="s">
        <v>75</v>
      </c>
      <c r="K11" s="8" t="s">
        <v>34</v>
      </c>
      <c r="L11" s="8" t="s">
        <v>35</v>
      </c>
      <c r="M11" s="8" t="s">
        <v>38</v>
      </c>
      <c r="N11" s="8" t="s">
        <v>76</v>
      </c>
      <c r="O11" s="8" t="s">
        <v>38</v>
      </c>
      <c r="P11" s="8" t="s">
        <v>77</v>
      </c>
      <c r="Q11" s="8" t="s">
        <v>64</v>
      </c>
      <c r="R11" s="8" t="s">
        <v>60</v>
      </c>
      <c r="S11" s="9">
        <f t="shared" si="0"/>
        <v>5</v>
      </c>
      <c r="T11" s="9">
        <f t="shared" si="1"/>
        <v>2</v>
      </c>
      <c r="U11" s="9">
        <f t="shared" si="2"/>
        <v>3</v>
      </c>
      <c r="V11" s="9">
        <f t="shared" si="3"/>
        <v>5</v>
      </c>
      <c r="W11" s="10">
        <f t="shared" si="4"/>
        <v>4.33</v>
      </c>
      <c r="X11" s="11" t="str">
        <f t="shared" si="5"/>
        <v>Alta</v>
      </c>
      <c r="Y11" s="9" t="str">
        <f t="shared" si="6"/>
        <v>Alta</v>
      </c>
      <c r="Z11" s="9" t="str">
        <f t="shared" si="7"/>
        <v>Alta</v>
      </c>
      <c r="AA11" s="9" t="str">
        <f t="shared" si="8"/>
        <v>Alta</v>
      </c>
      <c r="AB11" s="9" t="str">
        <f t="shared" si="9"/>
        <v>Alto</v>
      </c>
      <c r="AC11" s="9" t="str">
        <f t="shared" si="10"/>
        <v>Otra razón</v>
      </c>
      <c r="AD11" s="9" t="str">
        <f t="shared" si="11"/>
        <v>Con recursos completos</v>
      </c>
    </row>
    <row r="12" spans="1:30" ht="25.5" customHeight="1" x14ac:dyDescent="0.25">
      <c r="A12" s="7">
        <v>11</v>
      </c>
      <c r="B12" s="8" t="s">
        <v>72</v>
      </c>
      <c r="C12" s="8" t="s">
        <v>68</v>
      </c>
      <c r="D12" s="8" t="s">
        <v>27</v>
      </c>
      <c r="E12" s="8" t="s">
        <v>78</v>
      </c>
      <c r="F12" s="8" t="s">
        <v>43</v>
      </c>
      <c r="G12" s="8" t="s">
        <v>79</v>
      </c>
      <c r="H12" s="8" t="s">
        <v>31</v>
      </c>
      <c r="I12" s="8" t="s">
        <v>44</v>
      </c>
      <c r="J12" s="8" t="s">
        <v>75</v>
      </c>
      <c r="K12" s="8" t="s">
        <v>34</v>
      </c>
      <c r="L12" s="8" t="s">
        <v>35</v>
      </c>
      <c r="M12" s="8" t="s">
        <v>38</v>
      </c>
      <c r="N12" s="8" t="s">
        <v>57</v>
      </c>
      <c r="O12" s="8" t="s">
        <v>38</v>
      </c>
      <c r="P12" s="8" t="s">
        <v>77</v>
      </c>
      <c r="Q12" s="8" t="s">
        <v>59</v>
      </c>
      <c r="R12" s="8" t="s">
        <v>60</v>
      </c>
      <c r="S12" s="9">
        <f t="shared" si="0"/>
        <v>5</v>
      </c>
      <c r="T12" s="9">
        <f t="shared" si="1"/>
        <v>1</v>
      </c>
      <c r="U12" s="9">
        <f t="shared" si="2"/>
        <v>2</v>
      </c>
      <c r="V12" s="9">
        <f t="shared" si="3"/>
        <v>5</v>
      </c>
      <c r="W12" s="10">
        <f t="shared" si="4"/>
        <v>4</v>
      </c>
      <c r="X12" s="11" t="str">
        <f t="shared" si="5"/>
        <v>Alta</v>
      </c>
      <c r="Y12" s="9" t="str">
        <f t="shared" si="6"/>
        <v>Media</v>
      </c>
      <c r="Z12" s="9" t="str">
        <f t="shared" si="7"/>
        <v>Alta</v>
      </c>
      <c r="AA12" s="9" t="str">
        <f t="shared" si="8"/>
        <v>Alta</v>
      </c>
      <c r="AB12" s="9" t="str">
        <f t="shared" si="9"/>
        <v>Alto</v>
      </c>
      <c r="AC12" s="9" t="str">
        <f t="shared" si="10"/>
        <v>Otra razón</v>
      </c>
      <c r="AD12" s="9" t="str">
        <f t="shared" si="11"/>
        <v>Con recursos completos</v>
      </c>
    </row>
    <row r="13" spans="1:30" ht="25.5" customHeight="1" x14ac:dyDescent="0.25">
      <c r="A13" s="7">
        <v>12</v>
      </c>
      <c r="B13" s="8" t="s">
        <v>52</v>
      </c>
      <c r="C13" s="8" t="s">
        <v>68</v>
      </c>
      <c r="D13" s="8" t="s">
        <v>54</v>
      </c>
      <c r="E13" s="8" t="s">
        <v>78</v>
      </c>
      <c r="F13" s="8" t="s">
        <v>29</v>
      </c>
      <c r="G13" s="8" t="s">
        <v>80</v>
      </c>
      <c r="H13" s="8" t="s">
        <v>31</v>
      </c>
      <c r="I13" s="8" t="s">
        <v>44</v>
      </c>
      <c r="J13" s="8" t="s">
        <v>56</v>
      </c>
      <c r="K13" s="8" t="s">
        <v>69</v>
      </c>
      <c r="L13" s="8" t="s">
        <v>46</v>
      </c>
      <c r="M13" s="8" t="s">
        <v>47</v>
      </c>
      <c r="N13" s="8" t="s">
        <v>57</v>
      </c>
      <c r="O13" s="8" t="s">
        <v>38</v>
      </c>
      <c r="P13" s="8" t="s">
        <v>77</v>
      </c>
      <c r="Q13" s="8" t="s">
        <v>64</v>
      </c>
      <c r="R13" s="8" t="s">
        <v>41</v>
      </c>
      <c r="S13" s="9">
        <f t="shared" si="0"/>
        <v>4</v>
      </c>
      <c r="T13" s="9">
        <f t="shared" si="1"/>
        <v>1</v>
      </c>
      <c r="U13" s="9">
        <f t="shared" si="2"/>
        <v>2</v>
      </c>
      <c r="V13" s="9">
        <f t="shared" si="3"/>
        <v>2</v>
      </c>
      <c r="W13" s="10">
        <f t="shared" si="4"/>
        <v>2.67</v>
      </c>
      <c r="X13" s="11" t="str">
        <f t="shared" si="5"/>
        <v>Media</v>
      </c>
      <c r="Y13" s="9" t="str">
        <f t="shared" si="6"/>
        <v>Media</v>
      </c>
      <c r="Z13" s="9" t="str">
        <f t="shared" si="7"/>
        <v>Alta</v>
      </c>
      <c r="AA13" s="9" t="str">
        <f t="shared" si="8"/>
        <v>Alta</v>
      </c>
      <c r="AB13" s="9" t="str">
        <f t="shared" si="9"/>
        <v>Medio</v>
      </c>
      <c r="AC13" s="9" t="str">
        <f t="shared" si="10"/>
        <v>Costo como razón</v>
      </c>
      <c r="AD13" s="9" t="str">
        <f t="shared" si="11"/>
        <v>Con recursos completos</v>
      </c>
    </row>
    <row r="14" spans="1:30" ht="25.5" customHeight="1" x14ac:dyDescent="0.25">
      <c r="A14" s="7">
        <v>13</v>
      </c>
      <c r="B14" s="8" t="s">
        <v>72</v>
      </c>
      <c r="C14" s="8" t="s">
        <v>68</v>
      </c>
      <c r="D14" s="8" t="s">
        <v>54</v>
      </c>
      <c r="E14" s="8" t="s">
        <v>78</v>
      </c>
      <c r="F14" s="8" t="s">
        <v>29</v>
      </c>
      <c r="G14" s="8" t="s">
        <v>79</v>
      </c>
      <c r="H14" s="8" t="s">
        <v>31</v>
      </c>
      <c r="I14" s="8" t="s">
        <v>44</v>
      </c>
      <c r="J14" s="8" t="s">
        <v>56</v>
      </c>
      <c r="K14" s="8" t="s">
        <v>34</v>
      </c>
      <c r="L14" s="8" t="s">
        <v>63</v>
      </c>
      <c r="M14" s="8" t="s">
        <v>47</v>
      </c>
      <c r="N14" s="8" t="s">
        <v>37</v>
      </c>
      <c r="O14" s="8" t="s">
        <v>38</v>
      </c>
      <c r="P14" s="8" t="s">
        <v>58</v>
      </c>
      <c r="Q14" s="8" t="s">
        <v>59</v>
      </c>
      <c r="R14" s="8" t="s">
        <v>60</v>
      </c>
      <c r="S14" s="9">
        <f t="shared" si="0"/>
        <v>5</v>
      </c>
      <c r="T14" s="9">
        <f t="shared" si="1"/>
        <v>1</v>
      </c>
      <c r="U14" s="9">
        <f t="shared" si="2"/>
        <v>2</v>
      </c>
      <c r="V14" s="9">
        <f t="shared" si="3"/>
        <v>2</v>
      </c>
      <c r="W14" s="10">
        <f t="shared" si="4"/>
        <v>3</v>
      </c>
      <c r="X14" s="11" t="str">
        <f t="shared" si="5"/>
        <v>Media</v>
      </c>
      <c r="Y14" s="9" t="str">
        <f t="shared" si="6"/>
        <v>Alta</v>
      </c>
      <c r="Z14" s="9" t="str">
        <f t="shared" si="7"/>
        <v>Alta</v>
      </c>
      <c r="AA14" s="9" t="str">
        <f t="shared" si="8"/>
        <v>Alta</v>
      </c>
      <c r="AB14" s="9" t="str">
        <f t="shared" si="9"/>
        <v>Alto</v>
      </c>
      <c r="AC14" s="9" t="str">
        <f t="shared" si="10"/>
        <v>Costo como razón</v>
      </c>
      <c r="AD14" s="9" t="str">
        <f t="shared" si="11"/>
        <v>Con recursos básicos</v>
      </c>
    </row>
    <row r="15" spans="1:30" ht="25.5" customHeight="1" x14ac:dyDescent="0.25">
      <c r="A15" s="7">
        <v>14</v>
      </c>
      <c r="B15" s="8" t="s">
        <v>25</v>
      </c>
      <c r="C15" s="8" t="s">
        <v>68</v>
      </c>
      <c r="D15" s="8" t="s">
        <v>54</v>
      </c>
      <c r="E15" s="8" t="s">
        <v>28</v>
      </c>
      <c r="F15" s="8" t="s">
        <v>29</v>
      </c>
      <c r="G15" s="8" t="s">
        <v>79</v>
      </c>
      <c r="H15" s="8" t="s">
        <v>31</v>
      </c>
      <c r="I15" s="8" t="s">
        <v>81</v>
      </c>
      <c r="J15" s="8" t="s">
        <v>33</v>
      </c>
      <c r="K15" s="8" t="s">
        <v>34</v>
      </c>
      <c r="L15" s="8" t="s">
        <v>63</v>
      </c>
      <c r="M15" s="8" t="s">
        <v>82</v>
      </c>
      <c r="N15" s="8" t="s">
        <v>48</v>
      </c>
      <c r="O15" s="8" t="s">
        <v>36</v>
      </c>
      <c r="P15" s="8" t="s">
        <v>77</v>
      </c>
      <c r="Q15" s="8" t="s">
        <v>40</v>
      </c>
      <c r="R15" s="8" t="s">
        <v>60</v>
      </c>
      <c r="S15" s="9">
        <f t="shared" si="0"/>
        <v>5</v>
      </c>
      <c r="T15" s="9">
        <f t="shared" si="1"/>
        <v>2</v>
      </c>
      <c r="U15" s="9">
        <f t="shared" si="2"/>
        <v>3</v>
      </c>
      <c r="V15" s="9">
        <f t="shared" si="3"/>
        <v>3</v>
      </c>
      <c r="W15" s="10">
        <f t="shared" si="4"/>
        <v>3.67</v>
      </c>
      <c r="X15" s="11" t="str">
        <f t="shared" si="5"/>
        <v>Alta</v>
      </c>
      <c r="Y15" s="9" t="str">
        <f t="shared" si="6"/>
        <v>Baja</v>
      </c>
      <c r="Z15" s="9" t="str">
        <f t="shared" si="7"/>
        <v>Alta</v>
      </c>
      <c r="AA15" s="9" t="str">
        <f t="shared" si="8"/>
        <v>Media</v>
      </c>
      <c r="AB15" s="9" t="str">
        <f t="shared" si="9"/>
        <v>Alto</v>
      </c>
      <c r="AC15" s="9" t="str">
        <f t="shared" si="10"/>
        <v>Otra razón</v>
      </c>
      <c r="AD15" s="9" t="str">
        <f t="shared" si="11"/>
        <v>Con recursos completos</v>
      </c>
    </row>
    <row r="16" spans="1:30" ht="25.5" customHeight="1" x14ac:dyDescent="0.25">
      <c r="A16" s="7">
        <v>15</v>
      </c>
      <c r="B16" s="8" t="s">
        <v>25</v>
      </c>
      <c r="C16" s="8" t="s">
        <v>26</v>
      </c>
      <c r="D16" s="8" t="s">
        <v>27</v>
      </c>
      <c r="E16" s="8" t="s">
        <v>28</v>
      </c>
      <c r="F16" s="8" t="s">
        <v>43</v>
      </c>
      <c r="G16" s="8" t="s">
        <v>30</v>
      </c>
      <c r="H16" s="8" t="s">
        <v>31</v>
      </c>
      <c r="I16" s="8" t="s">
        <v>44</v>
      </c>
      <c r="J16" s="8" t="s">
        <v>75</v>
      </c>
      <c r="K16" s="8" t="s">
        <v>45</v>
      </c>
      <c r="L16" s="8" t="s">
        <v>46</v>
      </c>
      <c r="M16" s="8" t="s">
        <v>47</v>
      </c>
      <c r="N16" s="8" t="s">
        <v>57</v>
      </c>
      <c r="O16" s="8" t="s">
        <v>36</v>
      </c>
      <c r="P16" s="8" t="s">
        <v>70</v>
      </c>
      <c r="Q16" s="8" t="s">
        <v>83</v>
      </c>
      <c r="R16" s="8" t="s">
        <v>84</v>
      </c>
      <c r="S16" s="9">
        <f t="shared" si="0"/>
        <v>3</v>
      </c>
      <c r="T16" s="9">
        <f t="shared" si="1"/>
        <v>1</v>
      </c>
      <c r="U16" s="9">
        <f t="shared" si="2"/>
        <v>2</v>
      </c>
      <c r="V16" s="9">
        <f t="shared" si="3"/>
        <v>2</v>
      </c>
      <c r="W16" s="10">
        <f t="shared" si="4"/>
        <v>2.33</v>
      </c>
      <c r="X16" s="11" t="str">
        <f t="shared" si="5"/>
        <v>Baja</v>
      </c>
      <c r="Y16" s="9" t="str">
        <f t="shared" si="6"/>
        <v>Media</v>
      </c>
      <c r="Z16" s="9" t="str">
        <f t="shared" si="7"/>
        <v>Alta</v>
      </c>
      <c r="AA16" s="9" t="str">
        <f t="shared" si="8"/>
        <v>Baja</v>
      </c>
      <c r="AB16" s="9" t="str">
        <f t="shared" si="9"/>
        <v>Bajo</v>
      </c>
      <c r="AC16" s="9" t="str">
        <f t="shared" si="10"/>
        <v>Otra razón</v>
      </c>
      <c r="AD16" s="9" t="str">
        <f t="shared" si="11"/>
        <v>Sin recursos</v>
      </c>
    </row>
    <row r="17" spans="1:30" ht="25.5" customHeight="1" x14ac:dyDescent="0.25">
      <c r="A17" s="7">
        <v>16</v>
      </c>
      <c r="B17" s="8" t="s">
        <v>72</v>
      </c>
      <c r="C17" s="8" t="s">
        <v>73</v>
      </c>
      <c r="D17" s="8" t="s">
        <v>27</v>
      </c>
      <c r="E17" s="8" t="s">
        <v>78</v>
      </c>
      <c r="F17" s="8" t="s">
        <v>29</v>
      </c>
      <c r="G17" s="8" t="s">
        <v>65</v>
      </c>
      <c r="H17" s="8" t="s">
        <v>31</v>
      </c>
      <c r="I17" s="8" t="s">
        <v>44</v>
      </c>
      <c r="J17" s="8" t="s">
        <v>33</v>
      </c>
      <c r="K17" s="8" t="s">
        <v>45</v>
      </c>
      <c r="L17" s="8" t="s">
        <v>46</v>
      </c>
      <c r="M17" s="8" t="s">
        <v>82</v>
      </c>
      <c r="N17" s="8" t="s">
        <v>37</v>
      </c>
      <c r="O17" s="8" t="s">
        <v>36</v>
      </c>
      <c r="P17" s="8" t="s">
        <v>58</v>
      </c>
      <c r="Q17" s="8" t="s">
        <v>64</v>
      </c>
      <c r="R17" s="8" t="s">
        <v>60</v>
      </c>
      <c r="S17" s="9">
        <f t="shared" si="0"/>
        <v>3</v>
      </c>
      <c r="T17" s="9">
        <f t="shared" si="1"/>
        <v>1</v>
      </c>
      <c r="U17" s="9">
        <f t="shared" si="2"/>
        <v>2</v>
      </c>
      <c r="V17" s="9">
        <f t="shared" si="3"/>
        <v>3</v>
      </c>
      <c r="W17" s="10">
        <f t="shared" si="4"/>
        <v>2.67</v>
      </c>
      <c r="X17" s="11" t="str">
        <f t="shared" si="5"/>
        <v>Media</v>
      </c>
      <c r="Y17" s="9" t="str">
        <f t="shared" si="6"/>
        <v>Alta</v>
      </c>
      <c r="Z17" s="9" t="str">
        <f t="shared" si="7"/>
        <v>Alta</v>
      </c>
      <c r="AA17" s="9" t="str">
        <f t="shared" si="8"/>
        <v>Alta</v>
      </c>
      <c r="AB17" s="9" t="str">
        <f t="shared" si="9"/>
        <v>Alto</v>
      </c>
      <c r="AC17" s="9" t="str">
        <f t="shared" si="10"/>
        <v>Otra razón</v>
      </c>
      <c r="AD17" s="9" t="str">
        <f t="shared" si="11"/>
        <v>Con recursos básicos</v>
      </c>
    </row>
    <row r="18" spans="1:30" ht="25.5" customHeight="1" x14ac:dyDescent="0.25">
      <c r="A18" s="7">
        <v>17</v>
      </c>
      <c r="B18" s="8" t="s">
        <v>25</v>
      </c>
      <c r="C18" s="8" t="s">
        <v>61</v>
      </c>
      <c r="D18" s="8" t="s">
        <v>27</v>
      </c>
      <c r="E18" s="8" t="s">
        <v>78</v>
      </c>
      <c r="F18" s="8" t="s">
        <v>29</v>
      </c>
      <c r="G18" s="8" t="s">
        <v>65</v>
      </c>
      <c r="H18" s="8" t="s">
        <v>31</v>
      </c>
      <c r="I18" s="8" t="s">
        <v>44</v>
      </c>
      <c r="J18" s="8" t="s">
        <v>33</v>
      </c>
      <c r="K18" s="8" t="s">
        <v>85</v>
      </c>
      <c r="L18" s="8" t="s">
        <v>86</v>
      </c>
      <c r="M18" s="8" t="s">
        <v>87</v>
      </c>
      <c r="N18" s="8" t="s">
        <v>88</v>
      </c>
      <c r="O18" s="8" t="s">
        <v>38</v>
      </c>
      <c r="P18" s="8" t="s">
        <v>49</v>
      </c>
      <c r="Q18" s="8" t="s">
        <v>83</v>
      </c>
      <c r="R18" s="8" t="s">
        <v>60</v>
      </c>
      <c r="S18" s="9">
        <f t="shared" si="0"/>
        <v>1</v>
      </c>
      <c r="T18" s="9">
        <f t="shared" si="1"/>
        <v>1</v>
      </c>
      <c r="U18" s="9">
        <f t="shared" si="2"/>
        <v>2</v>
      </c>
      <c r="V18" s="9">
        <f t="shared" si="3"/>
        <v>1</v>
      </c>
      <c r="W18" s="10">
        <f t="shared" si="4"/>
        <v>1.33</v>
      </c>
      <c r="X18" s="11" t="str">
        <f t="shared" si="5"/>
        <v>Baja</v>
      </c>
      <c r="Y18" s="9" t="str">
        <f t="shared" si="6"/>
        <v>Baja</v>
      </c>
      <c r="Z18" s="9" t="str">
        <f t="shared" si="7"/>
        <v>Alta</v>
      </c>
      <c r="AA18" s="9" t="str">
        <f t="shared" si="8"/>
        <v>Baja</v>
      </c>
      <c r="AB18" s="9" t="str">
        <f t="shared" si="9"/>
        <v>Alto</v>
      </c>
      <c r="AC18" s="9" t="str">
        <f t="shared" si="10"/>
        <v>Otra razón</v>
      </c>
      <c r="AD18" s="9" t="str">
        <f t="shared" si="11"/>
        <v>Con recursos básicos</v>
      </c>
    </row>
    <row r="19" spans="1:30" ht="25.5" customHeight="1" x14ac:dyDescent="0.25">
      <c r="A19" s="7">
        <v>18</v>
      </c>
      <c r="B19" s="8" t="s">
        <v>52</v>
      </c>
      <c r="C19" s="8" t="s">
        <v>61</v>
      </c>
      <c r="D19" s="8" t="s">
        <v>54</v>
      </c>
      <c r="E19" s="8" t="s">
        <v>28</v>
      </c>
      <c r="F19" s="8" t="s">
        <v>29</v>
      </c>
      <c r="G19" s="8" t="s">
        <v>80</v>
      </c>
      <c r="H19" s="8" t="s">
        <v>31</v>
      </c>
      <c r="I19" s="8" t="s">
        <v>66</v>
      </c>
      <c r="J19" s="8" t="s">
        <v>56</v>
      </c>
      <c r="K19" s="8" t="s">
        <v>34</v>
      </c>
      <c r="L19" s="8" t="s">
        <v>63</v>
      </c>
      <c r="M19" s="8" t="s">
        <v>38</v>
      </c>
      <c r="N19" s="8" t="s">
        <v>37</v>
      </c>
      <c r="O19" s="8" t="s">
        <v>38</v>
      </c>
      <c r="P19" s="8" t="s">
        <v>49</v>
      </c>
      <c r="Q19" s="8" t="s">
        <v>64</v>
      </c>
      <c r="R19" s="8" t="s">
        <v>60</v>
      </c>
      <c r="S19" s="9">
        <f t="shared" si="0"/>
        <v>5</v>
      </c>
      <c r="T19" s="9">
        <f t="shared" si="1"/>
        <v>2</v>
      </c>
      <c r="U19" s="9">
        <f t="shared" si="2"/>
        <v>3</v>
      </c>
      <c r="V19" s="9">
        <f t="shared" si="3"/>
        <v>5</v>
      </c>
      <c r="W19" s="10">
        <f t="shared" si="4"/>
        <v>4.33</v>
      </c>
      <c r="X19" s="11" t="str">
        <f t="shared" si="5"/>
        <v>Alta</v>
      </c>
      <c r="Y19" s="9" t="str">
        <f t="shared" si="6"/>
        <v>Alta</v>
      </c>
      <c r="Z19" s="9" t="str">
        <f t="shared" si="7"/>
        <v>Alta</v>
      </c>
      <c r="AA19" s="9" t="str">
        <f t="shared" si="8"/>
        <v>Alta</v>
      </c>
      <c r="AB19" s="9" t="str">
        <f t="shared" si="9"/>
        <v>Alto</v>
      </c>
      <c r="AC19" s="9" t="str">
        <f t="shared" si="10"/>
        <v>Costo como razón</v>
      </c>
      <c r="AD19" s="9" t="str">
        <f t="shared" si="11"/>
        <v>Con recursos básicos</v>
      </c>
    </row>
    <row r="20" spans="1:30" ht="25.5" customHeight="1" x14ac:dyDescent="0.25">
      <c r="A20" s="7">
        <v>19</v>
      </c>
      <c r="B20" s="8" t="s">
        <v>25</v>
      </c>
      <c r="C20" s="8" t="s">
        <v>89</v>
      </c>
      <c r="D20" s="8" t="s">
        <v>27</v>
      </c>
      <c r="E20" s="8" t="s">
        <v>28</v>
      </c>
      <c r="F20" s="8" t="s">
        <v>43</v>
      </c>
      <c r="G20" s="8" t="s">
        <v>30</v>
      </c>
      <c r="H20" s="8" t="s">
        <v>31</v>
      </c>
      <c r="I20" s="8" t="s">
        <v>44</v>
      </c>
      <c r="J20" s="8" t="s">
        <v>33</v>
      </c>
      <c r="K20" s="8" t="s">
        <v>69</v>
      </c>
      <c r="L20" s="8" t="s">
        <v>35</v>
      </c>
      <c r="M20" s="8" t="s">
        <v>82</v>
      </c>
      <c r="N20" s="8" t="s">
        <v>57</v>
      </c>
      <c r="O20" s="8" t="s">
        <v>36</v>
      </c>
      <c r="P20" s="8" t="s">
        <v>49</v>
      </c>
      <c r="Q20" s="8" t="s">
        <v>64</v>
      </c>
      <c r="R20" s="8" t="s">
        <v>41</v>
      </c>
      <c r="S20" s="9">
        <f t="shared" si="0"/>
        <v>4</v>
      </c>
      <c r="T20" s="9">
        <f t="shared" si="1"/>
        <v>1</v>
      </c>
      <c r="U20" s="9">
        <f t="shared" si="2"/>
        <v>2</v>
      </c>
      <c r="V20" s="9">
        <f t="shared" si="3"/>
        <v>3</v>
      </c>
      <c r="W20" s="10">
        <f t="shared" si="4"/>
        <v>3</v>
      </c>
      <c r="X20" s="11" t="str">
        <f t="shared" si="5"/>
        <v>Media</v>
      </c>
      <c r="Y20" s="9" t="str">
        <f t="shared" si="6"/>
        <v>Media</v>
      </c>
      <c r="Z20" s="9" t="str">
        <f t="shared" si="7"/>
        <v>Alta</v>
      </c>
      <c r="AA20" s="9" t="str">
        <f t="shared" si="8"/>
        <v>Alta</v>
      </c>
      <c r="AB20" s="9" t="str">
        <f t="shared" si="9"/>
        <v>Medio</v>
      </c>
      <c r="AC20" s="9" t="str">
        <f t="shared" si="10"/>
        <v>Otra razón</v>
      </c>
      <c r="AD20" s="9" t="str">
        <f t="shared" si="11"/>
        <v>Con recursos básicos</v>
      </c>
    </row>
    <row r="21" spans="1:30" ht="25.5" customHeight="1" x14ac:dyDescent="0.25">
      <c r="A21" s="7">
        <v>20</v>
      </c>
      <c r="B21" s="8" t="s">
        <v>52</v>
      </c>
      <c r="C21" s="8" t="s">
        <v>61</v>
      </c>
      <c r="D21" s="8" t="s">
        <v>54</v>
      </c>
      <c r="E21" s="8" t="s">
        <v>78</v>
      </c>
      <c r="F21" s="8" t="s">
        <v>29</v>
      </c>
      <c r="G21" s="8" t="s">
        <v>79</v>
      </c>
      <c r="H21" s="8" t="s">
        <v>31</v>
      </c>
      <c r="I21" s="8" t="s">
        <v>66</v>
      </c>
      <c r="J21" s="8" t="s">
        <v>56</v>
      </c>
      <c r="K21" s="8" t="s">
        <v>69</v>
      </c>
      <c r="L21" s="8" t="s">
        <v>63</v>
      </c>
      <c r="M21" s="8" t="s">
        <v>38</v>
      </c>
      <c r="N21" s="8" t="s">
        <v>37</v>
      </c>
      <c r="O21" s="8" t="s">
        <v>38</v>
      </c>
      <c r="P21" s="8" t="s">
        <v>58</v>
      </c>
      <c r="Q21" s="8" t="s">
        <v>40</v>
      </c>
      <c r="R21" s="8" t="s">
        <v>41</v>
      </c>
      <c r="S21" s="9">
        <f t="shared" si="0"/>
        <v>4</v>
      </c>
      <c r="T21" s="9">
        <f t="shared" si="1"/>
        <v>2</v>
      </c>
      <c r="U21" s="9">
        <f t="shared" si="2"/>
        <v>3</v>
      </c>
      <c r="V21" s="9">
        <f t="shared" si="3"/>
        <v>5</v>
      </c>
      <c r="W21" s="10">
        <f t="shared" si="4"/>
        <v>4</v>
      </c>
      <c r="X21" s="11" t="str">
        <f t="shared" si="5"/>
        <v>Alta</v>
      </c>
      <c r="Y21" s="9" t="str">
        <f t="shared" si="6"/>
        <v>Alta</v>
      </c>
      <c r="Z21" s="9" t="str">
        <f t="shared" si="7"/>
        <v>Alta</v>
      </c>
      <c r="AA21" s="9" t="str">
        <f t="shared" si="8"/>
        <v>Media</v>
      </c>
      <c r="AB21" s="9" t="str">
        <f t="shared" si="9"/>
        <v>Medio</v>
      </c>
      <c r="AC21" s="9" t="str">
        <f t="shared" si="10"/>
        <v>Costo como razón</v>
      </c>
      <c r="AD21" s="9" t="str">
        <f t="shared" si="11"/>
        <v>Con recursos básicos</v>
      </c>
    </row>
    <row r="22" spans="1:30" ht="25.5" customHeight="1" x14ac:dyDescent="0.25">
      <c r="A22" s="7">
        <v>21</v>
      </c>
      <c r="B22" s="8" t="s">
        <v>25</v>
      </c>
      <c r="C22" s="8" t="s">
        <v>53</v>
      </c>
      <c r="D22" s="8" t="s">
        <v>54</v>
      </c>
      <c r="E22" s="8" t="s">
        <v>28</v>
      </c>
      <c r="F22" s="8" t="s">
        <v>43</v>
      </c>
      <c r="G22" s="8" t="s">
        <v>80</v>
      </c>
      <c r="H22" s="8" t="s">
        <v>31</v>
      </c>
      <c r="I22" s="8" t="s">
        <v>90</v>
      </c>
      <c r="J22" s="8" t="s">
        <v>56</v>
      </c>
      <c r="K22" s="8" t="s">
        <v>69</v>
      </c>
      <c r="L22" s="8" t="s">
        <v>63</v>
      </c>
      <c r="M22" s="8" t="s">
        <v>36</v>
      </c>
      <c r="N22" s="8" t="s">
        <v>76</v>
      </c>
      <c r="O22" s="8" t="s">
        <v>38</v>
      </c>
      <c r="P22" s="8" t="s">
        <v>77</v>
      </c>
      <c r="Q22" s="8" t="s">
        <v>59</v>
      </c>
      <c r="R22" s="8" t="s">
        <v>60</v>
      </c>
      <c r="S22" s="9">
        <f t="shared" si="0"/>
        <v>4</v>
      </c>
      <c r="T22" s="9">
        <f t="shared" si="1"/>
        <v>0</v>
      </c>
      <c r="U22" s="9">
        <f t="shared" si="2"/>
        <v>1</v>
      </c>
      <c r="V22" s="9">
        <f t="shared" si="3"/>
        <v>4</v>
      </c>
      <c r="W22" s="10">
        <f t="shared" si="4"/>
        <v>3</v>
      </c>
      <c r="X22" s="11" t="str">
        <f t="shared" si="5"/>
        <v>Media</v>
      </c>
      <c r="Y22" s="9" t="str">
        <f t="shared" si="6"/>
        <v>Alta</v>
      </c>
      <c r="Z22" s="9" t="str">
        <f t="shared" si="7"/>
        <v>Alta</v>
      </c>
      <c r="AA22" s="9" t="str">
        <f t="shared" si="8"/>
        <v>Alta</v>
      </c>
      <c r="AB22" s="9" t="str">
        <f t="shared" si="9"/>
        <v>Alto</v>
      </c>
      <c r="AC22" s="9" t="str">
        <f t="shared" si="10"/>
        <v>Costo como razón</v>
      </c>
      <c r="AD22" s="9" t="str">
        <f t="shared" si="11"/>
        <v>Con recursos completos</v>
      </c>
    </row>
    <row r="23" spans="1:30" ht="25.5" customHeight="1" x14ac:dyDescent="0.25">
      <c r="A23" s="7">
        <v>22</v>
      </c>
      <c r="B23" s="8" t="s">
        <v>25</v>
      </c>
      <c r="C23" s="8" t="s">
        <v>73</v>
      </c>
      <c r="D23" s="8" t="s">
        <v>27</v>
      </c>
      <c r="E23" s="8" t="s">
        <v>78</v>
      </c>
      <c r="F23" s="8" t="s">
        <v>29</v>
      </c>
      <c r="G23" s="8" t="s">
        <v>79</v>
      </c>
      <c r="H23" s="8" t="s">
        <v>31</v>
      </c>
      <c r="I23" s="8" t="s">
        <v>44</v>
      </c>
      <c r="J23" s="8" t="s">
        <v>75</v>
      </c>
      <c r="K23" s="8" t="s">
        <v>34</v>
      </c>
      <c r="L23" s="8" t="s">
        <v>35</v>
      </c>
      <c r="M23" s="8" t="s">
        <v>38</v>
      </c>
      <c r="N23" s="8" t="s">
        <v>57</v>
      </c>
      <c r="O23" s="8" t="s">
        <v>38</v>
      </c>
      <c r="P23" s="8" t="s">
        <v>58</v>
      </c>
      <c r="Q23" s="8" t="s">
        <v>64</v>
      </c>
      <c r="R23" s="8" t="s">
        <v>60</v>
      </c>
      <c r="S23" s="9">
        <f t="shared" si="0"/>
        <v>5</v>
      </c>
      <c r="T23" s="9">
        <f t="shared" si="1"/>
        <v>1</v>
      </c>
      <c r="U23" s="9">
        <f t="shared" si="2"/>
        <v>2</v>
      </c>
      <c r="V23" s="9">
        <f t="shared" si="3"/>
        <v>5</v>
      </c>
      <c r="W23" s="10">
        <f t="shared" si="4"/>
        <v>4</v>
      </c>
      <c r="X23" s="11" t="str">
        <f t="shared" si="5"/>
        <v>Alta</v>
      </c>
      <c r="Y23" s="9" t="str">
        <f t="shared" si="6"/>
        <v>Media</v>
      </c>
      <c r="Z23" s="9" t="str">
        <f t="shared" si="7"/>
        <v>Alta</v>
      </c>
      <c r="AA23" s="9" t="str">
        <f t="shared" si="8"/>
        <v>Alta</v>
      </c>
      <c r="AB23" s="9" t="str">
        <f t="shared" si="9"/>
        <v>Alto</v>
      </c>
      <c r="AC23" s="9" t="str">
        <f t="shared" si="10"/>
        <v>Otra razón</v>
      </c>
      <c r="AD23" s="9" t="str">
        <f t="shared" si="11"/>
        <v>Con recursos básicos</v>
      </c>
    </row>
    <row r="24" spans="1:30" ht="25.5" customHeight="1" x14ac:dyDescent="0.25">
      <c r="A24" s="7">
        <v>23</v>
      </c>
      <c r="B24" s="8" t="s">
        <v>72</v>
      </c>
      <c r="C24" s="8" t="s">
        <v>53</v>
      </c>
      <c r="D24" s="8" t="s">
        <v>54</v>
      </c>
      <c r="E24" s="8" t="s">
        <v>78</v>
      </c>
      <c r="F24" s="8" t="s">
        <v>29</v>
      </c>
      <c r="G24" s="8" t="s">
        <v>30</v>
      </c>
      <c r="H24" s="8" t="s">
        <v>31</v>
      </c>
      <c r="I24" s="8" t="s">
        <v>32</v>
      </c>
      <c r="J24" s="8" t="s">
        <v>33</v>
      </c>
      <c r="K24" s="8" t="s">
        <v>69</v>
      </c>
      <c r="L24" s="8" t="s">
        <v>46</v>
      </c>
      <c r="M24" s="8" t="s">
        <v>82</v>
      </c>
      <c r="N24" s="8" t="s">
        <v>57</v>
      </c>
      <c r="O24" s="8" t="s">
        <v>38</v>
      </c>
      <c r="P24" s="8" t="s">
        <v>49</v>
      </c>
      <c r="Q24" s="8" t="s">
        <v>40</v>
      </c>
      <c r="R24" s="8" t="s">
        <v>84</v>
      </c>
      <c r="S24" s="9">
        <f t="shared" si="0"/>
        <v>4</v>
      </c>
      <c r="T24" s="9">
        <f t="shared" si="1"/>
        <v>3</v>
      </c>
      <c r="U24" s="9">
        <f t="shared" si="2"/>
        <v>4</v>
      </c>
      <c r="V24" s="9">
        <f t="shared" si="3"/>
        <v>3</v>
      </c>
      <c r="W24" s="10">
        <f t="shared" si="4"/>
        <v>3.67</v>
      </c>
      <c r="X24" s="11" t="str">
        <f t="shared" si="5"/>
        <v>Alta</v>
      </c>
      <c r="Y24" s="9" t="str">
        <f t="shared" si="6"/>
        <v>Media</v>
      </c>
      <c r="Z24" s="9" t="str">
        <f t="shared" si="7"/>
        <v>Alta</v>
      </c>
      <c r="AA24" s="9" t="str">
        <f t="shared" si="8"/>
        <v>Media</v>
      </c>
      <c r="AB24" s="9" t="str">
        <f t="shared" si="9"/>
        <v>Bajo</v>
      </c>
      <c r="AC24" s="9" t="str">
        <f t="shared" si="10"/>
        <v>Otra razón</v>
      </c>
      <c r="AD24" s="9" t="str">
        <f t="shared" si="11"/>
        <v>Con recursos básicos</v>
      </c>
    </row>
    <row r="25" spans="1:30" ht="25.5" customHeight="1" x14ac:dyDescent="0.25">
      <c r="A25" s="7">
        <v>24</v>
      </c>
      <c r="B25" s="8" t="s">
        <v>25</v>
      </c>
      <c r="C25" s="8" t="s">
        <v>89</v>
      </c>
      <c r="D25" s="8" t="s">
        <v>54</v>
      </c>
      <c r="E25" s="8" t="s">
        <v>78</v>
      </c>
      <c r="F25" s="8" t="s">
        <v>29</v>
      </c>
      <c r="G25" s="8" t="s">
        <v>79</v>
      </c>
      <c r="H25" s="8" t="s">
        <v>31</v>
      </c>
      <c r="I25" s="8" t="s">
        <v>91</v>
      </c>
      <c r="J25" s="8" t="s">
        <v>33</v>
      </c>
      <c r="K25" s="8" t="s">
        <v>69</v>
      </c>
      <c r="L25" s="8" t="s">
        <v>63</v>
      </c>
      <c r="M25" s="8" t="s">
        <v>36</v>
      </c>
      <c r="N25" s="8" t="s">
        <v>76</v>
      </c>
      <c r="O25" s="8" t="s">
        <v>38</v>
      </c>
      <c r="P25" s="8" t="s">
        <v>49</v>
      </c>
      <c r="Q25" s="8" t="s">
        <v>40</v>
      </c>
      <c r="R25" s="8" t="s">
        <v>84</v>
      </c>
      <c r="S25" s="9">
        <f t="shared" si="0"/>
        <v>4</v>
      </c>
      <c r="T25" s="9">
        <f t="shared" si="1"/>
        <v>3</v>
      </c>
      <c r="U25" s="9">
        <f t="shared" si="2"/>
        <v>4</v>
      </c>
      <c r="V25" s="9">
        <f t="shared" si="3"/>
        <v>4</v>
      </c>
      <c r="W25" s="10">
        <f t="shared" si="4"/>
        <v>4</v>
      </c>
      <c r="X25" s="11" t="str">
        <f t="shared" si="5"/>
        <v>Alta</v>
      </c>
      <c r="Y25" s="9" t="str">
        <f t="shared" si="6"/>
        <v>Alta</v>
      </c>
      <c r="Z25" s="9" t="str">
        <f t="shared" si="7"/>
        <v>Alta</v>
      </c>
      <c r="AA25" s="9" t="str">
        <f t="shared" si="8"/>
        <v>Media</v>
      </c>
      <c r="AB25" s="9" t="str">
        <f t="shared" si="9"/>
        <v>Bajo</v>
      </c>
      <c r="AC25" s="9" t="str">
        <f t="shared" si="10"/>
        <v>Otra razón</v>
      </c>
      <c r="AD25" s="9" t="str">
        <f t="shared" si="11"/>
        <v>Con recursos básicos</v>
      </c>
    </row>
    <row r="26" spans="1:30" ht="25.5" customHeight="1" x14ac:dyDescent="0.25">
      <c r="A26" s="7">
        <v>25</v>
      </c>
      <c r="B26" s="8" t="s">
        <v>25</v>
      </c>
      <c r="C26" s="8" t="s">
        <v>26</v>
      </c>
      <c r="D26" s="8" t="s">
        <v>27</v>
      </c>
      <c r="E26" s="8" t="s">
        <v>28</v>
      </c>
      <c r="F26" s="8" t="s">
        <v>43</v>
      </c>
      <c r="G26" s="8" t="s">
        <v>92</v>
      </c>
      <c r="H26" s="8" t="s">
        <v>93</v>
      </c>
      <c r="I26" s="8" t="s">
        <v>90</v>
      </c>
      <c r="J26" s="8" t="s">
        <v>33</v>
      </c>
      <c r="K26" s="8" t="s">
        <v>85</v>
      </c>
      <c r="L26" s="8" t="s">
        <v>86</v>
      </c>
      <c r="M26" s="8" t="s">
        <v>87</v>
      </c>
      <c r="N26" s="8" t="s">
        <v>88</v>
      </c>
      <c r="O26" s="8" t="s">
        <v>87</v>
      </c>
      <c r="P26" s="8" t="s">
        <v>70</v>
      </c>
      <c r="Q26" s="8" t="s">
        <v>50</v>
      </c>
      <c r="R26" s="8" t="s">
        <v>51</v>
      </c>
      <c r="S26" s="9">
        <f t="shared" si="0"/>
        <v>1</v>
      </c>
      <c r="T26" s="9">
        <f t="shared" si="1"/>
        <v>0</v>
      </c>
      <c r="U26" s="9">
        <f t="shared" si="2"/>
        <v>1</v>
      </c>
      <c r="V26" s="9">
        <f t="shared" si="3"/>
        <v>1</v>
      </c>
      <c r="W26" s="10">
        <f t="shared" si="4"/>
        <v>1</v>
      </c>
      <c r="X26" s="11" t="str">
        <f t="shared" si="5"/>
        <v>Baja</v>
      </c>
      <c r="Y26" s="9" t="str">
        <f t="shared" si="6"/>
        <v>Baja</v>
      </c>
      <c r="Z26" s="9" t="str">
        <f t="shared" si="7"/>
        <v>Baja</v>
      </c>
      <c r="AA26" s="9" t="str">
        <f t="shared" si="8"/>
        <v>Baja</v>
      </c>
      <c r="AB26" s="9" t="str">
        <f t="shared" si="9"/>
        <v>Bajo</v>
      </c>
      <c r="AC26" s="9" t="str">
        <f t="shared" si="10"/>
        <v>Otra razón</v>
      </c>
      <c r="AD26" s="9" t="str">
        <f t="shared" si="11"/>
        <v>Sin recursos</v>
      </c>
    </row>
    <row r="27" spans="1:30" ht="25.5" customHeight="1" x14ac:dyDescent="0.25">
      <c r="A27" s="7">
        <v>26</v>
      </c>
      <c r="B27" s="8" t="s">
        <v>25</v>
      </c>
      <c r="C27" s="8" t="s">
        <v>61</v>
      </c>
      <c r="D27" s="8" t="s">
        <v>54</v>
      </c>
      <c r="E27" s="8" t="s">
        <v>78</v>
      </c>
      <c r="F27" s="8" t="s">
        <v>29</v>
      </c>
      <c r="G27" s="8" t="s">
        <v>30</v>
      </c>
      <c r="H27" s="8" t="s">
        <v>31</v>
      </c>
      <c r="I27" s="8" t="s">
        <v>44</v>
      </c>
      <c r="J27" s="8" t="s">
        <v>56</v>
      </c>
      <c r="K27" s="8" t="s">
        <v>69</v>
      </c>
      <c r="L27" s="8" t="s">
        <v>63</v>
      </c>
      <c r="M27" s="8" t="s">
        <v>36</v>
      </c>
      <c r="N27" s="8" t="s">
        <v>57</v>
      </c>
      <c r="O27" s="8" t="s">
        <v>36</v>
      </c>
      <c r="P27" s="8" t="s">
        <v>49</v>
      </c>
      <c r="Q27" s="8" t="s">
        <v>40</v>
      </c>
      <c r="R27" s="8" t="s">
        <v>41</v>
      </c>
      <c r="S27" s="9">
        <f t="shared" si="0"/>
        <v>4</v>
      </c>
      <c r="T27" s="9">
        <f t="shared" si="1"/>
        <v>1</v>
      </c>
      <c r="U27" s="9">
        <f t="shared" si="2"/>
        <v>2</v>
      </c>
      <c r="V27" s="9">
        <f t="shared" si="3"/>
        <v>4</v>
      </c>
      <c r="W27" s="10">
        <f t="shared" si="4"/>
        <v>3.33</v>
      </c>
      <c r="X27" s="11" t="str">
        <f t="shared" si="5"/>
        <v>Media</v>
      </c>
      <c r="Y27" s="9" t="str">
        <f t="shared" si="6"/>
        <v>Media</v>
      </c>
      <c r="Z27" s="9" t="str">
        <f t="shared" si="7"/>
        <v>Alta</v>
      </c>
      <c r="AA27" s="9" t="str">
        <f t="shared" si="8"/>
        <v>Media</v>
      </c>
      <c r="AB27" s="9" t="str">
        <f t="shared" si="9"/>
        <v>Medio</v>
      </c>
      <c r="AC27" s="9" t="str">
        <f t="shared" si="10"/>
        <v>Costo como razón</v>
      </c>
      <c r="AD27" s="9" t="str">
        <f t="shared" si="11"/>
        <v>Con recursos básicos</v>
      </c>
    </row>
    <row r="28" spans="1:30" ht="25.5" customHeight="1" x14ac:dyDescent="0.25">
      <c r="A28" s="7">
        <v>27</v>
      </c>
      <c r="B28" s="8" t="s">
        <v>72</v>
      </c>
      <c r="C28" s="8" t="s">
        <v>61</v>
      </c>
      <c r="D28" s="8" t="s">
        <v>54</v>
      </c>
      <c r="E28" s="8" t="s">
        <v>78</v>
      </c>
      <c r="F28" s="8" t="s">
        <v>29</v>
      </c>
      <c r="G28" s="8" t="s">
        <v>79</v>
      </c>
      <c r="H28" s="8" t="s">
        <v>31</v>
      </c>
      <c r="I28" s="8" t="s">
        <v>66</v>
      </c>
      <c r="J28" s="8" t="s">
        <v>75</v>
      </c>
      <c r="K28" s="8" t="s">
        <v>34</v>
      </c>
      <c r="L28" s="8" t="s">
        <v>35</v>
      </c>
      <c r="M28" s="8" t="s">
        <v>36</v>
      </c>
      <c r="N28" s="8" t="s">
        <v>76</v>
      </c>
      <c r="O28" s="8" t="s">
        <v>38</v>
      </c>
      <c r="P28" s="8" t="s">
        <v>49</v>
      </c>
      <c r="Q28" s="8" t="s">
        <v>64</v>
      </c>
      <c r="R28" s="8" t="s">
        <v>60</v>
      </c>
      <c r="S28" s="9">
        <f t="shared" si="0"/>
        <v>5</v>
      </c>
      <c r="T28" s="9">
        <f t="shared" si="1"/>
        <v>2</v>
      </c>
      <c r="U28" s="9">
        <f t="shared" si="2"/>
        <v>3</v>
      </c>
      <c r="V28" s="9">
        <f t="shared" si="3"/>
        <v>4</v>
      </c>
      <c r="W28" s="10">
        <f t="shared" si="4"/>
        <v>4</v>
      </c>
      <c r="X28" s="11" t="str">
        <f t="shared" si="5"/>
        <v>Alta</v>
      </c>
      <c r="Y28" s="9" t="str">
        <f t="shared" si="6"/>
        <v>Alta</v>
      </c>
      <c r="Z28" s="9" t="str">
        <f t="shared" si="7"/>
        <v>Alta</v>
      </c>
      <c r="AA28" s="9" t="str">
        <f t="shared" si="8"/>
        <v>Alta</v>
      </c>
      <c r="AB28" s="9" t="str">
        <f t="shared" si="9"/>
        <v>Alto</v>
      </c>
      <c r="AC28" s="9" t="str">
        <f t="shared" si="10"/>
        <v>Otra razón</v>
      </c>
      <c r="AD28" s="9" t="str">
        <f t="shared" si="11"/>
        <v>Con recursos básicos</v>
      </c>
    </row>
    <row r="29" spans="1:30" ht="25.5" customHeight="1" x14ac:dyDescent="0.25">
      <c r="A29" s="7">
        <v>28</v>
      </c>
      <c r="B29" s="8" t="s">
        <v>25</v>
      </c>
      <c r="C29" s="8" t="s">
        <v>89</v>
      </c>
      <c r="D29" s="8" t="s">
        <v>27</v>
      </c>
      <c r="E29" s="8" t="s">
        <v>28</v>
      </c>
      <c r="F29" s="8" t="s">
        <v>43</v>
      </c>
      <c r="G29" s="8" t="s">
        <v>92</v>
      </c>
      <c r="H29" s="8" t="s">
        <v>31</v>
      </c>
      <c r="I29" s="8" t="s">
        <v>44</v>
      </c>
      <c r="J29" s="8" t="s">
        <v>56</v>
      </c>
      <c r="K29" s="8" t="s">
        <v>45</v>
      </c>
      <c r="L29" s="8" t="s">
        <v>63</v>
      </c>
      <c r="M29" s="8" t="s">
        <v>82</v>
      </c>
      <c r="N29" s="8" t="s">
        <v>57</v>
      </c>
      <c r="O29" s="8" t="s">
        <v>36</v>
      </c>
      <c r="P29" s="8" t="s">
        <v>70</v>
      </c>
      <c r="Q29" s="8" t="s">
        <v>50</v>
      </c>
      <c r="R29" s="8" t="s">
        <v>84</v>
      </c>
      <c r="S29" s="9">
        <f t="shared" si="0"/>
        <v>3</v>
      </c>
      <c r="T29" s="9">
        <f t="shared" si="1"/>
        <v>1</v>
      </c>
      <c r="U29" s="9">
        <f t="shared" si="2"/>
        <v>2</v>
      </c>
      <c r="V29" s="9">
        <f t="shared" si="3"/>
        <v>3</v>
      </c>
      <c r="W29" s="10">
        <f t="shared" si="4"/>
        <v>2.67</v>
      </c>
      <c r="X29" s="11" t="str">
        <f t="shared" si="5"/>
        <v>Media</v>
      </c>
      <c r="Y29" s="9" t="str">
        <f t="shared" si="6"/>
        <v>Media</v>
      </c>
      <c r="Z29" s="9" t="str">
        <f t="shared" si="7"/>
        <v>Alta</v>
      </c>
      <c r="AA29" s="9" t="str">
        <f t="shared" si="8"/>
        <v>Baja</v>
      </c>
      <c r="AB29" s="9" t="str">
        <f t="shared" si="9"/>
        <v>Bajo</v>
      </c>
      <c r="AC29" s="9" t="str">
        <f t="shared" si="10"/>
        <v>Costo como razón</v>
      </c>
      <c r="AD29" s="9" t="str">
        <f t="shared" si="11"/>
        <v>Sin recursos</v>
      </c>
    </row>
    <row r="30" spans="1:30" ht="25.5" customHeight="1" x14ac:dyDescent="0.25">
      <c r="A30" s="7">
        <v>29</v>
      </c>
      <c r="B30" s="8" t="s">
        <v>52</v>
      </c>
      <c r="C30" s="8" t="s">
        <v>73</v>
      </c>
      <c r="D30" s="8" t="s">
        <v>54</v>
      </c>
      <c r="E30" s="8" t="s">
        <v>78</v>
      </c>
      <c r="F30" s="8" t="s">
        <v>43</v>
      </c>
      <c r="G30" s="8" t="s">
        <v>65</v>
      </c>
      <c r="H30" s="8" t="s">
        <v>31</v>
      </c>
      <c r="I30" s="8" t="s">
        <v>66</v>
      </c>
      <c r="J30" s="8" t="s">
        <v>33</v>
      </c>
      <c r="K30" s="8" t="s">
        <v>69</v>
      </c>
      <c r="L30" s="8" t="s">
        <v>63</v>
      </c>
      <c r="M30" s="8" t="s">
        <v>36</v>
      </c>
      <c r="N30" s="8" t="s">
        <v>57</v>
      </c>
      <c r="O30" s="8" t="s">
        <v>38</v>
      </c>
      <c r="P30" s="8" t="s">
        <v>49</v>
      </c>
      <c r="Q30" s="8" t="s">
        <v>64</v>
      </c>
      <c r="R30" s="8" t="s">
        <v>41</v>
      </c>
      <c r="S30" s="9">
        <f t="shared" si="0"/>
        <v>4</v>
      </c>
      <c r="T30" s="9">
        <f t="shared" si="1"/>
        <v>2</v>
      </c>
      <c r="U30" s="9">
        <f t="shared" si="2"/>
        <v>3</v>
      </c>
      <c r="V30" s="9">
        <f t="shared" si="3"/>
        <v>4</v>
      </c>
      <c r="W30" s="10">
        <f t="shared" si="4"/>
        <v>3.67</v>
      </c>
      <c r="X30" s="11" t="str">
        <f t="shared" si="5"/>
        <v>Alta</v>
      </c>
      <c r="Y30" s="9" t="str">
        <f t="shared" si="6"/>
        <v>Media</v>
      </c>
      <c r="Z30" s="9" t="str">
        <f t="shared" si="7"/>
        <v>Alta</v>
      </c>
      <c r="AA30" s="9" t="str">
        <f t="shared" si="8"/>
        <v>Alta</v>
      </c>
      <c r="AB30" s="9" t="str">
        <f t="shared" si="9"/>
        <v>Medio</v>
      </c>
      <c r="AC30" s="9" t="str">
        <f t="shared" si="10"/>
        <v>Otra razón</v>
      </c>
      <c r="AD30" s="9" t="str">
        <f t="shared" si="11"/>
        <v>Con recursos básicos</v>
      </c>
    </row>
    <row r="31" spans="1:30" ht="25.5" customHeight="1" x14ac:dyDescent="0.25">
      <c r="A31" s="7">
        <v>30</v>
      </c>
      <c r="B31" s="8" t="s">
        <v>52</v>
      </c>
      <c r="C31" s="8" t="s">
        <v>89</v>
      </c>
      <c r="D31" s="8" t="s">
        <v>27</v>
      </c>
      <c r="E31" s="8" t="s">
        <v>28</v>
      </c>
      <c r="F31" s="8" t="s">
        <v>29</v>
      </c>
      <c r="G31" s="8" t="s">
        <v>92</v>
      </c>
      <c r="H31" s="8" t="s">
        <v>31</v>
      </c>
      <c r="I31" s="8" t="s">
        <v>66</v>
      </c>
      <c r="J31" s="8" t="s">
        <v>75</v>
      </c>
      <c r="K31" s="8" t="s">
        <v>69</v>
      </c>
      <c r="L31" s="8" t="s">
        <v>63</v>
      </c>
      <c r="M31" s="8" t="s">
        <v>36</v>
      </c>
      <c r="N31" s="8" t="s">
        <v>57</v>
      </c>
      <c r="O31" s="8" t="s">
        <v>38</v>
      </c>
      <c r="P31" s="8" t="s">
        <v>49</v>
      </c>
      <c r="Q31" s="8" t="s">
        <v>40</v>
      </c>
      <c r="R31" s="8" t="s">
        <v>41</v>
      </c>
      <c r="S31" s="9">
        <f t="shared" si="0"/>
        <v>4</v>
      </c>
      <c r="T31" s="9">
        <f t="shared" si="1"/>
        <v>2</v>
      </c>
      <c r="U31" s="9">
        <f t="shared" si="2"/>
        <v>3</v>
      </c>
      <c r="V31" s="9">
        <f t="shared" si="3"/>
        <v>4</v>
      </c>
      <c r="W31" s="10">
        <f t="shared" si="4"/>
        <v>3.67</v>
      </c>
      <c r="X31" s="11" t="str">
        <f t="shared" si="5"/>
        <v>Alta</v>
      </c>
      <c r="Y31" s="9" t="str">
        <f t="shared" si="6"/>
        <v>Media</v>
      </c>
      <c r="Z31" s="9" t="str">
        <f t="shared" si="7"/>
        <v>Alta</v>
      </c>
      <c r="AA31" s="9" t="str">
        <f t="shared" si="8"/>
        <v>Media</v>
      </c>
      <c r="AB31" s="9" t="str">
        <f t="shared" si="9"/>
        <v>Medio</v>
      </c>
      <c r="AC31" s="9" t="str">
        <f t="shared" si="10"/>
        <v>Otra razón</v>
      </c>
      <c r="AD31" s="9" t="str">
        <f t="shared" si="11"/>
        <v>Con recursos básicos</v>
      </c>
    </row>
    <row r="32" spans="1:30" ht="25.5" customHeight="1" x14ac:dyDescent="0.25">
      <c r="A32" s="7">
        <v>31</v>
      </c>
      <c r="B32" s="8" t="s">
        <v>72</v>
      </c>
      <c r="C32" s="8" t="s">
        <v>53</v>
      </c>
      <c r="D32" s="8" t="s">
        <v>54</v>
      </c>
      <c r="E32" s="8" t="s">
        <v>78</v>
      </c>
      <c r="F32" s="8" t="s">
        <v>29</v>
      </c>
      <c r="G32" s="8" t="s">
        <v>92</v>
      </c>
      <c r="H32" s="8" t="s">
        <v>93</v>
      </c>
      <c r="I32" s="8" t="s">
        <v>90</v>
      </c>
      <c r="J32" s="8" t="s">
        <v>94</v>
      </c>
      <c r="K32" s="8" t="s">
        <v>85</v>
      </c>
      <c r="L32" s="8" t="s">
        <v>86</v>
      </c>
      <c r="M32" s="8" t="s">
        <v>87</v>
      </c>
      <c r="N32" s="8" t="s">
        <v>48</v>
      </c>
      <c r="O32" s="8" t="s">
        <v>47</v>
      </c>
      <c r="P32" s="8" t="s">
        <v>70</v>
      </c>
      <c r="Q32" s="8" t="s">
        <v>83</v>
      </c>
      <c r="R32" s="8" t="s">
        <v>84</v>
      </c>
      <c r="S32" s="9">
        <f t="shared" si="0"/>
        <v>1</v>
      </c>
      <c r="T32" s="9">
        <f t="shared" si="1"/>
        <v>0</v>
      </c>
      <c r="U32" s="9">
        <f t="shared" si="2"/>
        <v>1</v>
      </c>
      <c r="V32" s="9">
        <f t="shared" si="3"/>
        <v>1</v>
      </c>
      <c r="W32" s="10">
        <f t="shared" si="4"/>
        <v>1</v>
      </c>
      <c r="X32" s="11" t="str">
        <f t="shared" si="5"/>
        <v>Baja</v>
      </c>
      <c r="Y32" s="9" t="str">
        <f t="shared" si="6"/>
        <v>Baja</v>
      </c>
      <c r="Z32" s="9" t="str">
        <f t="shared" si="7"/>
        <v>Baja</v>
      </c>
      <c r="AA32" s="9" t="str">
        <f t="shared" si="8"/>
        <v>Baja</v>
      </c>
      <c r="AB32" s="9" t="str">
        <f t="shared" si="9"/>
        <v>Bajo</v>
      </c>
      <c r="AC32" s="9" t="str">
        <f t="shared" si="10"/>
        <v>Otra razón</v>
      </c>
      <c r="AD32" s="9" t="str">
        <f t="shared" si="11"/>
        <v>Sin recursos</v>
      </c>
    </row>
    <row r="33" spans="1:30" ht="25.5" customHeight="1" x14ac:dyDescent="0.25">
      <c r="A33" s="7">
        <v>32</v>
      </c>
      <c r="B33" s="8" t="s">
        <v>25</v>
      </c>
      <c r="C33" s="8" t="s">
        <v>26</v>
      </c>
      <c r="D33" s="8" t="s">
        <v>27</v>
      </c>
      <c r="E33" s="8" t="s">
        <v>28</v>
      </c>
      <c r="F33" s="8" t="s">
        <v>43</v>
      </c>
      <c r="G33" s="8" t="s">
        <v>30</v>
      </c>
      <c r="H33" s="8" t="s">
        <v>93</v>
      </c>
      <c r="I33" s="8" t="s">
        <v>90</v>
      </c>
      <c r="J33" s="8" t="s">
        <v>94</v>
      </c>
      <c r="K33" s="8" t="s">
        <v>85</v>
      </c>
      <c r="L33" s="8" t="s">
        <v>86</v>
      </c>
      <c r="M33" s="8" t="s">
        <v>87</v>
      </c>
      <c r="N33" s="8" t="s">
        <v>48</v>
      </c>
      <c r="O33" s="8" t="s">
        <v>38</v>
      </c>
      <c r="P33" s="8" t="s">
        <v>70</v>
      </c>
      <c r="Q33" s="8" t="s">
        <v>50</v>
      </c>
      <c r="R33" s="8" t="s">
        <v>84</v>
      </c>
      <c r="S33" s="9">
        <f t="shared" si="0"/>
        <v>1</v>
      </c>
      <c r="T33" s="9">
        <f t="shared" si="1"/>
        <v>0</v>
      </c>
      <c r="U33" s="9">
        <f t="shared" si="2"/>
        <v>1</v>
      </c>
      <c r="V33" s="9">
        <f t="shared" si="3"/>
        <v>1</v>
      </c>
      <c r="W33" s="10">
        <f t="shared" si="4"/>
        <v>1</v>
      </c>
      <c r="X33" s="11" t="str">
        <f t="shared" si="5"/>
        <v>Baja</v>
      </c>
      <c r="Y33" s="9" t="str">
        <f t="shared" si="6"/>
        <v>Baja</v>
      </c>
      <c r="Z33" s="9" t="str">
        <f t="shared" si="7"/>
        <v>Alta</v>
      </c>
      <c r="AA33" s="9" t="str">
        <f t="shared" si="8"/>
        <v>Baja</v>
      </c>
      <c r="AB33" s="9" t="str">
        <f t="shared" si="9"/>
        <v>Bajo</v>
      </c>
      <c r="AC33" s="9" t="str">
        <f t="shared" si="10"/>
        <v>Otra razón</v>
      </c>
      <c r="AD33" s="9" t="str">
        <f t="shared" si="11"/>
        <v>Sin recursos</v>
      </c>
    </row>
    <row r="34" spans="1:30" ht="25.5" customHeight="1" x14ac:dyDescent="0.25">
      <c r="A34" s="7">
        <v>33</v>
      </c>
      <c r="B34" s="8" t="s">
        <v>52</v>
      </c>
      <c r="C34" s="8" t="s">
        <v>61</v>
      </c>
      <c r="D34" s="8" t="s">
        <v>27</v>
      </c>
      <c r="E34" s="8" t="s">
        <v>78</v>
      </c>
      <c r="F34" s="8" t="s">
        <v>29</v>
      </c>
      <c r="G34" s="8" t="s">
        <v>80</v>
      </c>
      <c r="H34" s="8" t="s">
        <v>31</v>
      </c>
      <c r="I34" s="8" t="s">
        <v>32</v>
      </c>
      <c r="J34" s="8" t="s">
        <v>75</v>
      </c>
      <c r="K34" s="8" t="s">
        <v>69</v>
      </c>
      <c r="L34" s="8" t="s">
        <v>46</v>
      </c>
      <c r="M34" s="8" t="s">
        <v>38</v>
      </c>
      <c r="N34" s="8" t="s">
        <v>76</v>
      </c>
      <c r="O34" s="8" t="s">
        <v>36</v>
      </c>
      <c r="P34" s="8" t="s">
        <v>77</v>
      </c>
      <c r="Q34" s="8" t="s">
        <v>64</v>
      </c>
      <c r="R34" s="8" t="s">
        <v>60</v>
      </c>
      <c r="S34" s="9">
        <f t="shared" si="0"/>
        <v>4</v>
      </c>
      <c r="T34" s="9">
        <f t="shared" si="1"/>
        <v>3</v>
      </c>
      <c r="U34" s="9">
        <f t="shared" si="2"/>
        <v>4</v>
      </c>
      <c r="V34" s="9">
        <f t="shared" si="3"/>
        <v>5</v>
      </c>
      <c r="W34" s="10">
        <f t="shared" si="4"/>
        <v>4.33</v>
      </c>
      <c r="X34" s="11" t="str">
        <f t="shared" si="5"/>
        <v>Alta</v>
      </c>
      <c r="Y34" s="9" t="str">
        <f t="shared" si="6"/>
        <v>Alta</v>
      </c>
      <c r="Z34" s="9" t="str">
        <f t="shared" si="7"/>
        <v>Alta</v>
      </c>
      <c r="AA34" s="9" t="str">
        <f t="shared" si="8"/>
        <v>Alta</v>
      </c>
      <c r="AB34" s="9" t="str">
        <f t="shared" si="9"/>
        <v>Alto</v>
      </c>
      <c r="AC34" s="9" t="str">
        <f t="shared" si="10"/>
        <v>Otra razón</v>
      </c>
      <c r="AD34" s="9" t="str">
        <f t="shared" si="11"/>
        <v>Con recursos completos</v>
      </c>
    </row>
    <row r="35" spans="1:30" ht="25.5" customHeight="1" x14ac:dyDescent="0.25">
      <c r="A35" s="7">
        <v>34</v>
      </c>
      <c r="B35" s="8" t="s">
        <v>52</v>
      </c>
      <c r="C35" s="8" t="s">
        <v>26</v>
      </c>
      <c r="D35" s="8" t="s">
        <v>54</v>
      </c>
      <c r="E35" s="8" t="s">
        <v>78</v>
      </c>
      <c r="F35" s="8" t="s">
        <v>29</v>
      </c>
      <c r="G35" s="8" t="s">
        <v>92</v>
      </c>
      <c r="H35" s="8" t="s">
        <v>31</v>
      </c>
      <c r="I35" s="8" t="s">
        <v>95</v>
      </c>
      <c r="J35" s="8" t="s">
        <v>33</v>
      </c>
      <c r="K35" s="8" t="s">
        <v>45</v>
      </c>
      <c r="L35" s="8" t="s">
        <v>63</v>
      </c>
      <c r="M35" s="8" t="s">
        <v>38</v>
      </c>
      <c r="N35" s="8" t="s">
        <v>76</v>
      </c>
      <c r="O35" s="8" t="s">
        <v>82</v>
      </c>
      <c r="P35" s="8" t="s">
        <v>58</v>
      </c>
      <c r="Q35" s="8" t="s">
        <v>64</v>
      </c>
      <c r="R35" s="8" t="s">
        <v>84</v>
      </c>
      <c r="S35" s="9">
        <f t="shared" ref="S35:S66" si="12">IF(K35="Siempre",5,IF(K35="Casi siempre",4,IF(K35="A veces",3,IF(K35="Casi nunca",2,IF(K35="Nunca",1,0)))))</f>
        <v>3</v>
      </c>
      <c r="T35" s="9">
        <f t="shared" ref="T35:T66" si="13">MAX(0,LEN(I35)-LEN(SUBSTITUTE(I35,";",""))-IF(ISNUMBER(SEARCH("Todos por igual",I35)),1,0)-IF(ISNUMBER(SEARCH("Ninguno",I35)),1,0))</f>
        <v>2</v>
      </c>
      <c r="U35" s="9">
        <f t="shared" ref="U35:U66" si="14">IF(T35=0,1,IF(T35=1,2,IF(T35=2,3,IF(T35=3,4,5))))</f>
        <v>3</v>
      </c>
      <c r="V35" s="9">
        <f t="shared" ref="V35:V66" si="15">IF(M35="Muy probable",5,IF(M35="Probable",4,IF(M35="Moderadamente probable",3,IF(M35="Improbable",2,IF(M35="Muy improbable",1,0)))))</f>
        <v>5</v>
      </c>
      <c r="W35" s="10">
        <f t="shared" ref="W35:W66" si="16">ROUND((S35+U35+V35)/3,2)</f>
        <v>3.67</v>
      </c>
      <c r="X35" s="11" t="str">
        <f t="shared" ref="X35:X66" si="17">IF(W35&lt;=2.4,"Baja",IF(W35&lt;=3.4,"Media","Alta"))</f>
        <v>Alta</v>
      </c>
      <c r="Y35" s="9" t="str">
        <f t="shared" ref="Y35:Y66" si="18">IF(OR(N35="Muy Alta",N35="Alta"),"Alta",IF(N35="Media","Media","Baja"))</f>
        <v>Alta</v>
      </c>
      <c r="Z35" s="9" t="str">
        <f t="shared" ref="Z35:Z66" si="19">IF(OR(O35="Muy probable",O35="Probable"),"Alta",IF(O35="Moderadamente probable","Media","Baja"))</f>
        <v>Media</v>
      </c>
      <c r="AA35" s="9" t="str">
        <f t="shared" ref="AA35:AA66" si="20">IF(OR(Q35="Muy fácil",Q35="Fácil"),"Alta",IF(Q35="Moderada","Media","Baja"))</f>
        <v>Alta</v>
      </c>
      <c r="AB35" s="9" t="str">
        <f t="shared" ref="AB35:AB66" si="21">IF(OR(R35="De $200.000 a $300.000",R35="De $300.000 a $750.000"),"Bajo",IF(R35="De $750.000 a $1.500.000","Medio","Alto"))</f>
        <v>Bajo</v>
      </c>
      <c r="AC35" s="9" t="str">
        <f t="shared" ref="AC35:AC66" si="22">IF(J35="No genera costos adicionales (comisiones, retenciones, internet)","Costo como razón","Otra razón")</f>
        <v>Otra razón</v>
      </c>
      <c r="AD35" s="9" t="str">
        <f t="shared" ref="AD35:AD66" si="23">IF(ISNUMBER(SEARCH("Ninguno",P35)),"Sin recursos",IF(OR(ISNUMBER(SEARCH("Datáfono",P35)),ISNUMBER(SEARCH("Código QR",P35))),"Con recursos completos","Con recursos básicos"))</f>
        <v>Con recursos básicos</v>
      </c>
    </row>
    <row r="36" spans="1:30" ht="25.5" customHeight="1" x14ac:dyDescent="0.25">
      <c r="A36" s="7">
        <v>35</v>
      </c>
      <c r="B36" s="8" t="s">
        <v>72</v>
      </c>
      <c r="C36" s="8" t="s">
        <v>96</v>
      </c>
      <c r="D36" s="8" t="s">
        <v>54</v>
      </c>
      <c r="E36" s="8" t="s">
        <v>97</v>
      </c>
      <c r="F36" s="8" t="s">
        <v>29</v>
      </c>
      <c r="G36" s="8" t="s">
        <v>80</v>
      </c>
      <c r="H36" s="8" t="s">
        <v>31</v>
      </c>
      <c r="I36" s="8" t="s">
        <v>95</v>
      </c>
      <c r="J36" s="8" t="s">
        <v>56</v>
      </c>
      <c r="K36" s="8" t="s">
        <v>45</v>
      </c>
      <c r="L36" s="8" t="s">
        <v>46</v>
      </c>
      <c r="M36" s="8" t="s">
        <v>82</v>
      </c>
      <c r="N36" s="8" t="s">
        <v>76</v>
      </c>
      <c r="O36" s="8" t="s">
        <v>36</v>
      </c>
      <c r="P36" s="8" t="s">
        <v>49</v>
      </c>
      <c r="Q36" s="8" t="s">
        <v>59</v>
      </c>
      <c r="R36" s="8" t="s">
        <v>41</v>
      </c>
      <c r="S36" s="9">
        <f t="shared" si="12"/>
        <v>3</v>
      </c>
      <c r="T36" s="9">
        <f t="shared" si="13"/>
        <v>2</v>
      </c>
      <c r="U36" s="9">
        <f t="shared" si="14"/>
        <v>3</v>
      </c>
      <c r="V36" s="9">
        <f t="shared" si="15"/>
        <v>3</v>
      </c>
      <c r="W36" s="10">
        <f t="shared" si="16"/>
        <v>3</v>
      </c>
      <c r="X36" s="11" t="str">
        <f t="shared" si="17"/>
        <v>Media</v>
      </c>
      <c r="Y36" s="9" t="str">
        <f t="shared" si="18"/>
        <v>Alta</v>
      </c>
      <c r="Z36" s="9" t="str">
        <f t="shared" si="19"/>
        <v>Alta</v>
      </c>
      <c r="AA36" s="9" t="str">
        <f t="shared" si="20"/>
        <v>Alta</v>
      </c>
      <c r="AB36" s="9" t="str">
        <f t="shared" si="21"/>
        <v>Medio</v>
      </c>
      <c r="AC36" s="9" t="str">
        <f t="shared" si="22"/>
        <v>Costo como razón</v>
      </c>
      <c r="AD36" s="9" t="str">
        <f t="shared" si="23"/>
        <v>Con recursos básicos</v>
      </c>
    </row>
    <row r="37" spans="1:30" ht="25.5" customHeight="1" x14ac:dyDescent="0.25">
      <c r="A37" s="7">
        <v>36</v>
      </c>
      <c r="B37" s="8" t="s">
        <v>52</v>
      </c>
      <c r="C37" s="8" t="s">
        <v>26</v>
      </c>
      <c r="D37" s="8" t="s">
        <v>54</v>
      </c>
      <c r="E37" s="8" t="s">
        <v>78</v>
      </c>
      <c r="F37" s="8" t="s">
        <v>43</v>
      </c>
      <c r="G37" s="8" t="s">
        <v>92</v>
      </c>
      <c r="H37" s="8" t="s">
        <v>31</v>
      </c>
      <c r="I37" s="8" t="s">
        <v>44</v>
      </c>
      <c r="J37" s="8" t="s">
        <v>33</v>
      </c>
      <c r="K37" s="8" t="s">
        <v>45</v>
      </c>
      <c r="L37" s="8" t="s">
        <v>46</v>
      </c>
      <c r="M37" s="8" t="s">
        <v>47</v>
      </c>
      <c r="N37" s="8" t="s">
        <v>57</v>
      </c>
      <c r="O37" s="8" t="s">
        <v>38</v>
      </c>
      <c r="P37" s="8" t="s">
        <v>58</v>
      </c>
      <c r="Q37" s="8" t="s">
        <v>83</v>
      </c>
      <c r="R37" s="8" t="s">
        <v>51</v>
      </c>
      <c r="S37" s="9">
        <f t="shared" si="12"/>
        <v>3</v>
      </c>
      <c r="T37" s="9">
        <f t="shared" si="13"/>
        <v>1</v>
      </c>
      <c r="U37" s="9">
        <f t="shared" si="14"/>
        <v>2</v>
      </c>
      <c r="V37" s="9">
        <f t="shared" si="15"/>
        <v>2</v>
      </c>
      <c r="W37" s="10">
        <f t="shared" si="16"/>
        <v>2.33</v>
      </c>
      <c r="X37" s="11" t="str">
        <f t="shared" si="17"/>
        <v>Baja</v>
      </c>
      <c r="Y37" s="9" t="str">
        <f t="shared" si="18"/>
        <v>Media</v>
      </c>
      <c r="Z37" s="9" t="str">
        <f t="shared" si="19"/>
        <v>Alta</v>
      </c>
      <c r="AA37" s="9" t="str">
        <f t="shared" si="20"/>
        <v>Baja</v>
      </c>
      <c r="AB37" s="9" t="str">
        <f t="shared" si="21"/>
        <v>Bajo</v>
      </c>
      <c r="AC37" s="9" t="str">
        <f t="shared" si="22"/>
        <v>Otra razón</v>
      </c>
      <c r="AD37" s="9" t="str">
        <f t="shared" si="23"/>
        <v>Con recursos básicos</v>
      </c>
    </row>
    <row r="38" spans="1:30" ht="25.5" customHeight="1" x14ac:dyDescent="0.25">
      <c r="A38" s="7">
        <v>37</v>
      </c>
      <c r="B38" s="8" t="s">
        <v>72</v>
      </c>
      <c r="C38" s="8" t="s">
        <v>42</v>
      </c>
      <c r="D38" s="8" t="s">
        <v>27</v>
      </c>
      <c r="E38" s="8" t="s">
        <v>97</v>
      </c>
      <c r="F38" s="8" t="s">
        <v>29</v>
      </c>
      <c r="G38" s="8" t="s">
        <v>92</v>
      </c>
      <c r="H38" s="8" t="s">
        <v>93</v>
      </c>
      <c r="I38" s="8" t="s">
        <v>44</v>
      </c>
      <c r="J38" s="8" t="s">
        <v>33</v>
      </c>
      <c r="K38" s="8" t="s">
        <v>45</v>
      </c>
      <c r="L38" s="8" t="s">
        <v>46</v>
      </c>
      <c r="M38" s="8" t="s">
        <v>82</v>
      </c>
      <c r="N38" s="8" t="s">
        <v>57</v>
      </c>
      <c r="O38" s="8" t="s">
        <v>36</v>
      </c>
      <c r="P38" s="8" t="s">
        <v>49</v>
      </c>
      <c r="Q38" s="8" t="s">
        <v>40</v>
      </c>
      <c r="R38" s="8" t="s">
        <v>51</v>
      </c>
      <c r="S38" s="9">
        <f t="shared" si="12"/>
        <v>3</v>
      </c>
      <c r="T38" s="9">
        <f t="shared" si="13"/>
        <v>1</v>
      </c>
      <c r="U38" s="9">
        <f t="shared" si="14"/>
        <v>2</v>
      </c>
      <c r="V38" s="9">
        <f t="shared" si="15"/>
        <v>3</v>
      </c>
      <c r="W38" s="10">
        <f t="shared" si="16"/>
        <v>2.67</v>
      </c>
      <c r="X38" s="11" t="str">
        <f t="shared" si="17"/>
        <v>Media</v>
      </c>
      <c r="Y38" s="9" t="str">
        <f t="shared" si="18"/>
        <v>Media</v>
      </c>
      <c r="Z38" s="9" t="str">
        <f t="shared" si="19"/>
        <v>Alta</v>
      </c>
      <c r="AA38" s="9" t="str">
        <f t="shared" si="20"/>
        <v>Media</v>
      </c>
      <c r="AB38" s="9" t="str">
        <f t="shared" si="21"/>
        <v>Bajo</v>
      </c>
      <c r="AC38" s="9" t="str">
        <f t="shared" si="22"/>
        <v>Otra razón</v>
      </c>
      <c r="AD38" s="9" t="str">
        <f t="shared" si="23"/>
        <v>Con recursos básicos</v>
      </c>
    </row>
    <row r="39" spans="1:30" ht="25.5" customHeight="1" x14ac:dyDescent="0.25">
      <c r="A39" s="7">
        <v>38</v>
      </c>
      <c r="B39" s="8" t="s">
        <v>72</v>
      </c>
      <c r="C39" s="8" t="s">
        <v>61</v>
      </c>
      <c r="D39" s="8" t="s">
        <v>54</v>
      </c>
      <c r="E39" s="8" t="s">
        <v>78</v>
      </c>
      <c r="F39" s="8" t="s">
        <v>43</v>
      </c>
      <c r="G39" s="8" t="s">
        <v>98</v>
      </c>
      <c r="H39" s="8" t="s">
        <v>31</v>
      </c>
      <c r="I39" s="8" t="s">
        <v>99</v>
      </c>
      <c r="J39" s="8" t="s">
        <v>75</v>
      </c>
      <c r="K39" s="8" t="s">
        <v>34</v>
      </c>
      <c r="L39" s="8" t="s">
        <v>63</v>
      </c>
      <c r="M39" s="8" t="s">
        <v>36</v>
      </c>
      <c r="N39" s="8" t="s">
        <v>57</v>
      </c>
      <c r="O39" s="8" t="s">
        <v>82</v>
      </c>
      <c r="P39" s="8" t="s">
        <v>77</v>
      </c>
      <c r="Q39" s="8" t="s">
        <v>40</v>
      </c>
      <c r="R39" s="8" t="s">
        <v>84</v>
      </c>
      <c r="S39" s="9">
        <f t="shared" si="12"/>
        <v>5</v>
      </c>
      <c r="T39" s="9">
        <f t="shared" si="13"/>
        <v>3</v>
      </c>
      <c r="U39" s="9">
        <f t="shared" si="14"/>
        <v>4</v>
      </c>
      <c r="V39" s="9">
        <f t="shared" si="15"/>
        <v>4</v>
      </c>
      <c r="W39" s="10">
        <f t="shared" si="16"/>
        <v>4.33</v>
      </c>
      <c r="X39" s="11" t="str">
        <f t="shared" si="17"/>
        <v>Alta</v>
      </c>
      <c r="Y39" s="9" t="str">
        <f t="shared" si="18"/>
        <v>Media</v>
      </c>
      <c r="Z39" s="9" t="str">
        <f t="shared" si="19"/>
        <v>Media</v>
      </c>
      <c r="AA39" s="9" t="str">
        <f t="shared" si="20"/>
        <v>Media</v>
      </c>
      <c r="AB39" s="9" t="str">
        <f t="shared" si="21"/>
        <v>Bajo</v>
      </c>
      <c r="AC39" s="9" t="str">
        <f t="shared" si="22"/>
        <v>Otra razón</v>
      </c>
      <c r="AD39" s="9" t="str">
        <f t="shared" si="23"/>
        <v>Con recursos completos</v>
      </c>
    </row>
    <row r="40" spans="1:30" ht="25.5" customHeight="1" x14ac:dyDescent="0.25">
      <c r="A40" s="7">
        <v>39</v>
      </c>
      <c r="B40" s="8" t="s">
        <v>72</v>
      </c>
      <c r="C40" s="8" t="s">
        <v>53</v>
      </c>
      <c r="D40" s="8" t="s">
        <v>27</v>
      </c>
      <c r="E40" s="8" t="s">
        <v>97</v>
      </c>
      <c r="F40" s="8" t="s">
        <v>29</v>
      </c>
      <c r="G40" s="8" t="s">
        <v>65</v>
      </c>
      <c r="H40" s="8" t="s">
        <v>100</v>
      </c>
      <c r="I40" s="8" t="s">
        <v>101</v>
      </c>
      <c r="J40" s="8" t="s">
        <v>33</v>
      </c>
      <c r="K40" s="8" t="s">
        <v>69</v>
      </c>
      <c r="L40" s="8" t="s">
        <v>63</v>
      </c>
      <c r="M40" s="8" t="s">
        <v>82</v>
      </c>
      <c r="N40" s="8" t="s">
        <v>57</v>
      </c>
      <c r="O40" s="8" t="s">
        <v>82</v>
      </c>
      <c r="P40" s="8" t="s">
        <v>77</v>
      </c>
      <c r="Q40" s="8" t="s">
        <v>64</v>
      </c>
      <c r="R40" s="8" t="s">
        <v>84</v>
      </c>
      <c r="S40" s="9">
        <f t="shared" si="12"/>
        <v>4</v>
      </c>
      <c r="T40" s="9">
        <f t="shared" si="13"/>
        <v>2</v>
      </c>
      <c r="U40" s="9">
        <f t="shared" si="14"/>
        <v>3</v>
      </c>
      <c r="V40" s="9">
        <f t="shared" si="15"/>
        <v>3</v>
      </c>
      <c r="W40" s="10">
        <f t="shared" si="16"/>
        <v>3.33</v>
      </c>
      <c r="X40" s="11" t="str">
        <f t="shared" si="17"/>
        <v>Media</v>
      </c>
      <c r="Y40" s="9" t="str">
        <f t="shared" si="18"/>
        <v>Media</v>
      </c>
      <c r="Z40" s="9" t="str">
        <f t="shared" si="19"/>
        <v>Media</v>
      </c>
      <c r="AA40" s="9" t="str">
        <f t="shared" si="20"/>
        <v>Alta</v>
      </c>
      <c r="AB40" s="9" t="str">
        <f t="shared" si="21"/>
        <v>Bajo</v>
      </c>
      <c r="AC40" s="9" t="str">
        <f t="shared" si="22"/>
        <v>Otra razón</v>
      </c>
      <c r="AD40" s="9" t="str">
        <f t="shared" si="23"/>
        <v>Con recursos completos</v>
      </c>
    </row>
    <row r="41" spans="1:30" ht="25.5" customHeight="1" x14ac:dyDescent="0.25">
      <c r="A41" s="7">
        <v>40</v>
      </c>
      <c r="B41" s="8" t="s">
        <v>72</v>
      </c>
      <c r="C41" s="8" t="s">
        <v>68</v>
      </c>
      <c r="D41" s="8" t="s">
        <v>27</v>
      </c>
      <c r="E41" s="8" t="s">
        <v>97</v>
      </c>
      <c r="F41" s="8" t="s">
        <v>29</v>
      </c>
      <c r="G41" s="8" t="s">
        <v>98</v>
      </c>
      <c r="H41" s="8" t="s">
        <v>100</v>
      </c>
      <c r="I41" s="8" t="s">
        <v>90</v>
      </c>
      <c r="J41" s="8" t="s">
        <v>56</v>
      </c>
      <c r="K41" s="8" t="s">
        <v>34</v>
      </c>
      <c r="L41" s="8" t="s">
        <v>63</v>
      </c>
      <c r="M41" s="8" t="s">
        <v>82</v>
      </c>
      <c r="N41" s="8" t="s">
        <v>57</v>
      </c>
      <c r="O41" s="8" t="s">
        <v>82</v>
      </c>
      <c r="P41" s="8" t="s">
        <v>77</v>
      </c>
      <c r="Q41" s="8" t="s">
        <v>59</v>
      </c>
      <c r="R41" s="8" t="s">
        <v>84</v>
      </c>
      <c r="S41" s="9">
        <f t="shared" si="12"/>
        <v>5</v>
      </c>
      <c r="T41" s="9">
        <f t="shared" si="13"/>
        <v>0</v>
      </c>
      <c r="U41" s="9">
        <f t="shared" si="14"/>
        <v>1</v>
      </c>
      <c r="V41" s="9">
        <f t="shared" si="15"/>
        <v>3</v>
      </c>
      <c r="W41" s="10">
        <f t="shared" si="16"/>
        <v>3</v>
      </c>
      <c r="X41" s="11" t="str">
        <f t="shared" si="17"/>
        <v>Media</v>
      </c>
      <c r="Y41" s="9" t="str">
        <f t="shared" si="18"/>
        <v>Media</v>
      </c>
      <c r="Z41" s="9" t="str">
        <f t="shared" si="19"/>
        <v>Media</v>
      </c>
      <c r="AA41" s="9" t="str">
        <f t="shared" si="20"/>
        <v>Alta</v>
      </c>
      <c r="AB41" s="9" t="str">
        <f t="shared" si="21"/>
        <v>Bajo</v>
      </c>
      <c r="AC41" s="9" t="str">
        <f t="shared" si="22"/>
        <v>Costo como razón</v>
      </c>
      <c r="AD41" s="9" t="str">
        <f t="shared" si="23"/>
        <v>Con recursos completos</v>
      </c>
    </row>
    <row r="42" spans="1:30" ht="25.5" customHeight="1" x14ac:dyDescent="0.25">
      <c r="A42" s="7">
        <v>41</v>
      </c>
      <c r="B42" s="8" t="s">
        <v>72</v>
      </c>
      <c r="C42" s="8" t="s">
        <v>53</v>
      </c>
      <c r="D42" s="8" t="s">
        <v>27</v>
      </c>
      <c r="E42" s="8" t="s">
        <v>97</v>
      </c>
      <c r="F42" s="8" t="s">
        <v>29</v>
      </c>
      <c r="G42" s="8" t="s">
        <v>92</v>
      </c>
      <c r="H42" s="8" t="s">
        <v>31</v>
      </c>
      <c r="I42" s="8" t="s">
        <v>74</v>
      </c>
      <c r="J42" s="8" t="s">
        <v>33</v>
      </c>
      <c r="K42" s="8" t="s">
        <v>69</v>
      </c>
      <c r="L42" s="8" t="s">
        <v>102</v>
      </c>
      <c r="M42" s="8" t="s">
        <v>36</v>
      </c>
      <c r="N42" s="8" t="s">
        <v>76</v>
      </c>
      <c r="O42" s="8" t="s">
        <v>82</v>
      </c>
      <c r="P42" s="8" t="s">
        <v>77</v>
      </c>
      <c r="Q42" s="8" t="s">
        <v>64</v>
      </c>
      <c r="R42" s="8" t="s">
        <v>84</v>
      </c>
      <c r="S42" s="9">
        <f t="shared" si="12"/>
        <v>4</v>
      </c>
      <c r="T42" s="9">
        <f t="shared" si="13"/>
        <v>1</v>
      </c>
      <c r="U42" s="9">
        <f t="shared" si="14"/>
        <v>2</v>
      </c>
      <c r="V42" s="9">
        <f t="shared" si="15"/>
        <v>4</v>
      </c>
      <c r="W42" s="10">
        <f t="shared" si="16"/>
        <v>3.33</v>
      </c>
      <c r="X42" s="11" t="str">
        <f t="shared" si="17"/>
        <v>Media</v>
      </c>
      <c r="Y42" s="9" t="str">
        <f t="shared" si="18"/>
        <v>Alta</v>
      </c>
      <c r="Z42" s="9" t="str">
        <f t="shared" si="19"/>
        <v>Media</v>
      </c>
      <c r="AA42" s="9" t="str">
        <f t="shared" si="20"/>
        <v>Alta</v>
      </c>
      <c r="AB42" s="9" t="str">
        <f t="shared" si="21"/>
        <v>Bajo</v>
      </c>
      <c r="AC42" s="9" t="str">
        <f t="shared" si="22"/>
        <v>Otra razón</v>
      </c>
      <c r="AD42" s="9" t="str">
        <f t="shared" si="23"/>
        <v>Con recursos completos</v>
      </c>
    </row>
    <row r="43" spans="1:30" ht="25.5" customHeight="1" x14ac:dyDescent="0.25">
      <c r="A43" s="7">
        <v>42</v>
      </c>
      <c r="B43" s="8" t="s">
        <v>72</v>
      </c>
      <c r="C43" s="8" t="s">
        <v>61</v>
      </c>
      <c r="D43" s="8" t="s">
        <v>27</v>
      </c>
      <c r="E43" s="8" t="s">
        <v>97</v>
      </c>
      <c r="F43" s="8" t="s">
        <v>29</v>
      </c>
      <c r="G43" s="8" t="s">
        <v>98</v>
      </c>
      <c r="H43" s="8" t="s">
        <v>31</v>
      </c>
      <c r="I43" s="8" t="s">
        <v>44</v>
      </c>
      <c r="J43" s="8" t="s">
        <v>75</v>
      </c>
      <c r="K43" s="8" t="s">
        <v>45</v>
      </c>
      <c r="L43" s="8" t="s">
        <v>63</v>
      </c>
      <c r="M43" s="8" t="s">
        <v>38</v>
      </c>
      <c r="N43" s="8" t="s">
        <v>57</v>
      </c>
      <c r="O43" s="8" t="s">
        <v>38</v>
      </c>
      <c r="P43" s="8" t="s">
        <v>103</v>
      </c>
      <c r="Q43" s="8" t="s">
        <v>64</v>
      </c>
      <c r="R43" s="8" t="s">
        <v>60</v>
      </c>
      <c r="S43" s="9">
        <f t="shared" si="12"/>
        <v>3</v>
      </c>
      <c r="T43" s="9">
        <f t="shared" si="13"/>
        <v>1</v>
      </c>
      <c r="U43" s="9">
        <f t="shared" si="14"/>
        <v>2</v>
      </c>
      <c r="V43" s="9">
        <f t="shared" si="15"/>
        <v>5</v>
      </c>
      <c r="W43" s="10">
        <f t="shared" si="16"/>
        <v>3.33</v>
      </c>
      <c r="X43" s="11" t="str">
        <f t="shared" si="17"/>
        <v>Media</v>
      </c>
      <c r="Y43" s="9" t="str">
        <f t="shared" si="18"/>
        <v>Media</v>
      </c>
      <c r="Z43" s="9" t="str">
        <f t="shared" si="19"/>
        <v>Alta</v>
      </c>
      <c r="AA43" s="9" t="str">
        <f t="shared" si="20"/>
        <v>Alta</v>
      </c>
      <c r="AB43" s="9" t="str">
        <f t="shared" si="21"/>
        <v>Alto</v>
      </c>
      <c r="AC43" s="9" t="str">
        <f t="shared" si="22"/>
        <v>Otra razón</v>
      </c>
      <c r="AD43" s="9" t="str">
        <f t="shared" si="23"/>
        <v>Con recursos básicos</v>
      </c>
    </row>
    <row r="44" spans="1:30" ht="25.5" customHeight="1" x14ac:dyDescent="0.25">
      <c r="A44" s="7">
        <v>43</v>
      </c>
      <c r="B44" s="8" t="s">
        <v>25</v>
      </c>
      <c r="C44" s="8" t="s">
        <v>42</v>
      </c>
      <c r="D44" s="8" t="s">
        <v>54</v>
      </c>
      <c r="E44" s="8" t="s">
        <v>28</v>
      </c>
      <c r="F44" s="8" t="s">
        <v>29</v>
      </c>
      <c r="G44" s="8" t="s">
        <v>30</v>
      </c>
      <c r="H44" s="8" t="s">
        <v>100</v>
      </c>
      <c r="I44" s="8" t="s">
        <v>95</v>
      </c>
      <c r="J44" s="8" t="s">
        <v>33</v>
      </c>
      <c r="K44" s="8" t="s">
        <v>69</v>
      </c>
      <c r="L44" s="8" t="s">
        <v>46</v>
      </c>
      <c r="M44" s="8" t="s">
        <v>87</v>
      </c>
      <c r="N44" s="8" t="s">
        <v>48</v>
      </c>
      <c r="O44" s="8" t="s">
        <v>38</v>
      </c>
      <c r="P44" s="8" t="s">
        <v>58</v>
      </c>
      <c r="Q44" s="8" t="s">
        <v>50</v>
      </c>
      <c r="R44" s="8" t="s">
        <v>51</v>
      </c>
      <c r="S44" s="9">
        <f t="shared" si="12"/>
        <v>4</v>
      </c>
      <c r="T44" s="9">
        <f t="shared" si="13"/>
        <v>2</v>
      </c>
      <c r="U44" s="9">
        <f t="shared" si="14"/>
        <v>3</v>
      </c>
      <c r="V44" s="9">
        <f t="shared" si="15"/>
        <v>1</v>
      </c>
      <c r="W44" s="10">
        <f t="shared" si="16"/>
        <v>2.67</v>
      </c>
      <c r="X44" s="11" t="str">
        <f t="shared" si="17"/>
        <v>Media</v>
      </c>
      <c r="Y44" s="9" t="str">
        <f t="shared" si="18"/>
        <v>Baja</v>
      </c>
      <c r="Z44" s="9" t="str">
        <f t="shared" si="19"/>
        <v>Alta</v>
      </c>
      <c r="AA44" s="9" t="str">
        <f t="shared" si="20"/>
        <v>Baja</v>
      </c>
      <c r="AB44" s="9" t="str">
        <f t="shared" si="21"/>
        <v>Bajo</v>
      </c>
      <c r="AC44" s="9" t="str">
        <f t="shared" si="22"/>
        <v>Otra razón</v>
      </c>
      <c r="AD44" s="9" t="str">
        <f t="shared" si="23"/>
        <v>Con recursos básicos</v>
      </c>
    </row>
    <row r="45" spans="1:30" ht="25.5" customHeight="1" x14ac:dyDescent="0.25">
      <c r="A45" s="7">
        <v>44</v>
      </c>
      <c r="B45" s="8" t="s">
        <v>52</v>
      </c>
      <c r="C45" s="8" t="s">
        <v>61</v>
      </c>
      <c r="D45" s="8" t="s">
        <v>27</v>
      </c>
      <c r="E45" s="8" t="s">
        <v>28</v>
      </c>
      <c r="F45" s="8" t="s">
        <v>43</v>
      </c>
      <c r="G45" s="8" t="s">
        <v>30</v>
      </c>
      <c r="H45" s="8" t="s">
        <v>31</v>
      </c>
      <c r="I45" s="8" t="s">
        <v>104</v>
      </c>
      <c r="J45" s="8" t="s">
        <v>75</v>
      </c>
      <c r="K45" s="8" t="s">
        <v>45</v>
      </c>
      <c r="L45" s="8" t="s">
        <v>63</v>
      </c>
      <c r="M45" s="8" t="s">
        <v>87</v>
      </c>
      <c r="N45" s="8" t="s">
        <v>57</v>
      </c>
      <c r="O45" s="8" t="s">
        <v>36</v>
      </c>
      <c r="P45" s="8" t="s">
        <v>103</v>
      </c>
      <c r="Q45" s="8" t="s">
        <v>83</v>
      </c>
      <c r="R45" s="8" t="s">
        <v>84</v>
      </c>
      <c r="S45" s="9">
        <f t="shared" si="12"/>
        <v>3</v>
      </c>
      <c r="T45" s="9">
        <f t="shared" si="13"/>
        <v>3</v>
      </c>
      <c r="U45" s="9">
        <f t="shared" si="14"/>
        <v>4</v>
      </c>
      <c r="V45" s="9">
        <f t="shared" si="15"/>
        <v>1</v>
      </c>
      <c r="W45" s="10">
        <f t="shared" si="16"/>
        <v>2.67</v>
      </c>
      <c r="X45" s="11" t="str">
        <f t="shared" si="17"/>
        <v>Media</v>
      </c>
      <c r="Y45" s="9" t="str">
        <f t="shared" si="18"/>
        <v>Media</v>
      </c>
      <c r="Z45" s="9" t="str">
        <f t="shared" si="19"/>
        <v>Alta</v>
      </c>
      <c r="AA45" s="9" t="str">
        <f t="shared" si="20"/>
        <v>Baja</v>
      </c>
      <c r="AB45" s="9" t="str">
        <f t="shared" si="21"/>
        <v>Bajo</v>
      </c>
      <c r="AC45" s="9" t="str">
        <f t="shared" si="22"/>
        <v>Otra razón</v>
      </c>
      <c r="AD45" s="9" t="str">
        <f t="shared" si="23"/>
        <v>Con recursos básicos</v>
      </c>
    </row>
    <row r="46" spans="1:30" ht="25.5" customHeight="1" x14ac:dyDescent="0.25">
      <c r="A46" s="7">
        <v>45</v>
      </c>
      <c r="B46" s="8" t="s">
        <v>25</v>
      </c>
      <c r="C46" s="8" t="s">
        <v>89</v>
      </c>
      <c r="D46" s="8" t="s">
        <v>54</v>
      </c>
      <c r="E46" s="8" t="s">
        <v>28</v>
      </c>
      <c r="F46" s="8" t="s">
        <v>43</v>
      </c>
      <c r="G46" s="8" t="s">
        <v>30</v>
      </c>
      <c r="H46" s="8" t="s">
        <v>31</v>
      </c>
      <c r="I46" s="8" t="s">
        <v>44</v>
      </c>
      <c r="J46" s="8" t="s">
        <v>75</v>
      </c>
      <c r="K46" s="8" t="s">
        <v>69</v>
      </c>
      <c r="L46" s="8" t="s">
        <v>63</v>
      </c>
      <c r="M46" s="8" t="s">
        <v>82</v>
      </c>
      <c r="N46" s="8" t="s">
        <v>48</v>
      </c>
      <c r="O46" s="8" t="s">
        <v>38</v>
      </c>
      <c r="P46" s="8" t="s">
        <v>58</v>
      </c>
      <c r="Q46" s="8" t="s">
        <v>40</v>
      </c>
      <c r="R46" s="8" t="s">
        <v>84</v>
      </c>
      <c r="S46" s="9">
        <f t="shared" si="12"/>
        <v>4</v>
      </c>
      <c r="T46" s="9">
        <f t="shared" si="13"/>
        <v>1</v>
      </c>
      <c r="U46" s="9">
        <f t="shared" si="14"/>
        <v>2</v>
      </c>
      <c r="V46" s="9">
        <f t="shared" si="15"/>
        <v>3</v>
      </c>
      <c r="W46" s="10">
        <f t="shared" si="16"/>
        <v>3</v>
      </c>
      <c r="X46" s="11" t="str">
        <f t="shared" si="17"/>
        <v>Media</v>
      </c>
      <c r="Y46" s="9" t="str">
        <f t="shared" si="18"/>
        <v>Baja</v>
      </c>
      <c r="Z46" s="9" t="str">
        <f t="shared" si="19"/>
        <v>Alta</v>
      </c>
      <c r="AA46" s="9" t="str">
        <f t="shared" si="20"/>
        <v>Media</v>
      </c>
      <c r="AB46" s="9" t="str">
        <f t="shared" si="21"/>
        <v>Bajo</v>
      </c>
      <c r="AC46" s="9" t="str">
        <f t="shared" si="22"/>
        <v>Otra razón</v>
      </c>
      <c r="AD46" s="9" t="str">
        <f t="shared" si="23"/>
        <v>Con recursos básicos</v>
      </c>
    </row>
    <row r="47" spans="1:30" ht="25.5" customHeight="1" x14ac:dyDescent="0.25">
      <c r="A47" s="7">
        <v>46</v>
      </c>
      <c r="B47" s="8" t="s">
        <v>25</v>
      </c>
      <c r="C47" s="8" t="s">
        <v>26</v>
      </c>
      <c r="D47" s="8" t="s">
        <v>27</v>
      </c>
      <c r="E47" s="8" t="s">
        <v>28</v>
      </c>
      <c r="F47" s="8" t="s">
        <v>43</v>
      </c>
      <c r="G47" s="8" t="s">
        <v>79</v>
      </c>
      <c r="H47" s="8" t="s">
        <v>100</v>
      </c>
      <c r="I47" s="8" t="s">
        <v>105</v>
      </c>
      <c r="J47" s="8" t="s">
        <v>33</v>
      </c>
      <c r="K47" s="8" t="s">
        <v>45</v>
      </c>
      <c r="L47" s="8" t="s">
        <v>63</v>
      </c>
      <c r="M47" s="8" t="s">
        <v>82</v>
      </c>
      <c r="N47" s="8" t="s">
        <v>48</v>
      </c>
      <c r="O47" s="8" t="s">
        <v>38</v>
      </c>
      <c r="P47" s="8" t="s">
        <v>77</v>
      </c>
      <c r="Q47" s="8" t="s">
        <v>64</v>
      </c>
      <c r="R47" s="8" t="s">
        <v>41</v>
      </c>
      <c r="S47" s="9">
        <f t="shared" si="12"/>
        <v>3</v>
      </c>
      <c r="T47" s="9">
        <f t="shared" si="13"/>
        <v>3</v>
      </c>
      <c r="U47" s="9">
        <f t="shared" si="14"/>
        <v>4</v>
      </c>
      <c r="V47" s="9">
        <f t="shared" si="15"/>
        <v>3</v>
      </c>
      <c r="W47" s="10">
        <f t="shared" si="16"/>
        <v>3.33</v>
      </c>
      <c r="X47" s="11" t="str">
        <f t="shared" si="17"/>
        <v>Media</v>
      </c>
      <c r="Y47" s="9" t="str">
        <f t="shared" si="18"/>
        <v>Baja</v>
      </c>
      <c r="Z47" s="9" t="str">
        <f t="shared" si="19"/>
        <v>Alta</v>
      </c>
      <c r="AA47" s="9" t="str">
        <f t="shared" si="20"/>
        <v>Alta</v>
      </c>
      <c r="AB47" s="9" t="str">
        <f t="shared" si="21"/>
        <v>Medio</v>
      </c>
      <c r="AC47" s="9" t="str">
        <f t="shared" si="22"/>
        <v>Otra razón</v>
      </c>
      <c r="AD47" s="9" t="str">
        <f t="shared" si="23"/>
        <v>Con recursos completos</v>
      </c>
    </row>
    <row r="48" spans="1:30" ht="25.5" customHeight="1" x14ac:dyDescent="0.25">
      <c r="A48" s="7">
        <v>47</v>
      </c>
      <c r="B48" s="8" t="s">
        <v>52</v>
      </c>
      <c r="C48" s="8" t="s">
        <v>53</v>
      </c>
      <c r="D48" s="8" t="s">
        <v>54</v>
      </c>
      <c r="E48" s="8" t="s">
        <v>78</v>
      </c>
      <c r="F48" s="8" t="s">
        <v>43</v>
      </c>
      <c r="G48" s="8" t="s">
        <v>98</v>
      </c>
      <c r="H48" s="8" t="s">
        <v>31</v>
      </c>
      <c r="I48" s="8" t="s">
        <v>44</v>
      </c>
      <c r="J48" s="8" t="s">
        <v>33</v>
      </c>
      <c r="K48" s="8" t="s">
        <v>34</v>
      </c>
      <c r="L48" s="8" t="s">
        <v>63</v>
      </c>
      <c r="M48" s="8" t="s">
        <v>47</v>
      </c>
      <c r="N48" s="8" t="s">
        <v>57</v>
      </c>
      <c r="O48" s="8" t="s">
        <v>38</v>
      </c>
      <c r="P48" s="8" t="s">
        <v>58</v>
      </c>
      <c r="Q48" s="8" t="s">
        <v>64</v>
      </c>
      <c r="R48" s="8" t="s">
        <v>41</v>
      </c>
      <c r="S48" s="9">
        <f t="shared" si="12"/>
        <v>5</v>
      </c>
      <c r="T48" s="9">
        <f t="shared" si="13"/>
        <v>1</v>
      </c>
      <c r="U48" s="9">
        <f t="shared" si="14"/>
        <v>2</v>
      </c>
      <c r="V48" s="9">
        <f t="shared" si="15"/>
        <v>2</v>
      </c>
      <c r="W48" s="10">
        <f t="shared" si="16"/>
        <v>3</v>
      </c>
      <c r="X48" s="11" t="str">
        <f t="shared" si="17"/>
        <v>Media</v>
      </c>
      <c r="Y48" s="9" t="str">
        <f t="shared" si="18"/>
        <v>Media</v>
      </c>
      <c r="Z48" s="9" t="str">
        <f t="shared" si="19"/>
        <v>Alta</v>
      </c>
      <c r="AA48" s="9" t="str">
        <f t="shared" si="20"/>
        <v>Alta</v>
      </c>
      <c r="AB48" s="9" t="str">
        <f t="shared" si="21"/>
        <v>Medio</v>
      </c>
      <c r="AC48" s="9" t="str">
        <f t="shared" si="22"/>
        <v>Otra razón</v>
      </c>
      <c r="AD48" s="9" t="str">
        <f t="shared" si="23"/>
        <v>Con recursos básicos</v>
      </c>
    </row>
    <row r="49" spans="1:30" ht="25.5" customHeight="1" x14ac:dyDescent="0.25">
      <c r="A49" s="7">
        <v>48</v>
      </c>
      <c r="B49" s="8" t="s">
        <v>52</v>
      </c>
      <c r="C49" s="8" t="s">
        <v>53</v>
      </c>
      <c r="D49" s="8" t="s">
        <v>27</v>
      </c>
      <c r="E49" s="8" t="s">
        <v>97</v>
      </c>
      <c r="F49" s="8" t="s">
        <v>43</v>
      </c>
      <c r="G49" s="8" t="s">
        <v>65</v>
      </c>
      <c r="H49" s="8" t="s">
        <v>31</v>
      </c>
      <c r="I49" s="8" t="s">
        <v>62</v>
      </c>
      <c r="J49" s="8" t="s">
        <v>94</v>
      </c>
      <c r="K49" s="8" t="s">
        <v>69</v>
      </c>
      <c r="L49" s="8" t="s">
        <v>46</v>
      </c>
      <c r="M49" s="8" t="s">
        <v>82</v>
      </c>
      <c r="N49" s="8" t="s">
        <v>57</v>
      </c>
      <c r="O49" s="8" t="s">
        <v>82</v>
      </c>
      <c r="P49" s="8" t="s">
        <v>58</v>
      </c>
      <c r="Q49" s="8" t="s">
        <v>64</v>
      </c>
      <c r="R49" s="8" t="s">
        <v>51</v>
      </c>
      <c r="S49" s="9">
        <f t="shared" si="12"/>
        <v>4</v>
      </c>
      <c r="T49" s="9">
        <f t="shared" si="13"/>
        <v>3</v>
      </c>
      <c r="U49" s="9">
        <f t="shared" si="14"/>
        <v>4</v>
      </c>
      <c r="V49" s="9">
        <f t="shared" si="15"/>
        <v>3</v>
      </c>
      <c r="W49" s="10">
        <f t="shared" si="16"/>
        <v>3.67</v>
      </c>
      <c r="X49" s="11" t="str">
        <f t="shared" si="17"/>
        <v>Alta</v>
      </c>
      <c r="Y49" s="9" t="str">
        <f t="shared" si="18"/>
        <v>Media</v>
      </c>
      <c r="Z49" s="9" t="str">
        <f t="shared" si="19"/>
        <v>Media</v>
      </c>
      <c r="AA49" s="9" t="str">
        <f t="shared" si="20"/>
        <v>Alta</v>
      </c>
      <c r="AB49" s="9" t="str">
        <f t="shared" si="21"/>
        <v>Bajo</v>
      </c>
      <c r="AC49" s="9" t="str">
        <f t="shared" si="22"/>
        <v>Otra razón</v>
      </c>
      <c r="AD49" s="9" t="str">
        <f t="shared" si="23"/>
        <v>Con recursos básicos</v>
      </c>
    </row>
    <row r="50" spans="1:30" ht="25.5" customHeight="1" x14ac:dyDescent="0.25">
      <c r="A50" s="7">
        <v>49</v>
      </c>
      <c r="B50" s="8" t="s">
        <v>52</v>
      </c>
      <c r="C50" s="8" t="s">
        <v>61</v>
      </c>
      <c r="D50" s="8" t="s">
        <v>27</v>
      </c>
      <c r="E50" s="8" t="s">
        <v>28</v>
      </c>
      <c r="F50" s="8" t="s">
        <v>43</v>
      </c>
      <c r="G50" s="8" t="s">
        <v>98</v>
      </c>
      <c r="H50" s="8" t="s">
        <v>31</v>
      </c>
      <c r="I50" s="8" t="s">
        <v>44</v>
      </c>
      <c r="J50" s="8" t="s">
        <v>94</v>
      </c>
      <c r="K50" s="8" t="s">
        <v>69</v>
      </c>
      <c r="L50" s="8" t="s">
        <v>46</v>
      </c>
      <c r="M50" s="8" t="s">
        <v>82</v>
      </c>
      <c r="N50" s="8" t="s">
        <v>57</v>
      </c>
      <c r="O50" s="8" t="s">
        <v>47</v>
      </c>
      <c r="P50" s="8" t="s">
        <v>58</v>
      </c>
      <c r="Q50" s="8" t="s">
        <v>83</v>
      </c>
      <c r="R50" s="8" t="s">
        <v>41</v>
      </c>
      <c r="S50" s="9">
        <f t="shared" si="12"/>
        <v>4</v>
      </c>
      <c r="T50" s="9">
        <f t="shared" si="13"/>
        <v>1</v>
      </c>
      <c r="U50" s="9">
        <f t="shared" si="14"/>
        <v>2</v>
      </c>
      <c r="V50" s="9">
        <f t="shared" si="15"/>
        <v>3</v>
      </c>
      <c r="W50" s="10">
        <f t="shared" si="16"/>
        <v>3</v>
      </c>
      <c r="X50" s="11" t="str">
        <f t="shared" si="17"/>
        <v>Media</v>
      </c>
      <c r="Y50" s="9" t="str">
        <f t="shared" si="18"/>
        <v>Media</v>
      </c>
      <c r="Z50" s="9" t="str">
        <f t="shared" si="19"/>
        <v>Baja</v>
      </c>
      <c r="AA50" s="9" t="str">
        <f t="shared" si="20"/>
        <v>Baja</v>
      </c>
      <c r="AB50" s="9" t="str">
        <f t="shared" si="21"/>
        <v>Medio</v>
      </c>
      <c r="AC50" s="9" t="str">
        <f t="shared" si="22"/>
        <v>Otra razón</v>
      </c>
      <c r="AD50" s="9" t="str">
        <f t="shared" si="23"/>
        <v>Con recursos básicos</v>
      </c>
    </row>
    <row r="51" spans="1:30" ht="25.5" customHeight="1" x14ac:dyDescent="0.25">
      <c r="A51" s="7">
        <v>50</v>
      </c>
      <c r="B51" s="8" t="s">
        <v>72</v>
      </c>
      <c r="C51" s="8" t="s">
        <v>61</v>
      </c>
      <c r="D51" s="8" t="s">
        <v>27</v>
      </c>
      <c r="E51" s="8" t="s">
        <v>78</v>
      </c>
      <c r="F51" s="8" t="s">
        <v>29</v>
      </c>
      <c r="G51" s="8" t="s">
        <v>80</v>
      </c>
      <c r="H51" s="8" t="s">
        <v>31</v>
      </c>
      <c r="I51" s="8" t="s">
        <v>44</v>
      </c>
      <c r="J51" s="8" t="s">
        <v>33</v>
      </c>
      <c r="K51" s="8" t="s">
        <v>45</v>
      </c>
      <c r="L51" s="8" t="s">
        <v>46</v>
      </c>
      <c r="M51" s="8" t="s">
        <v>87</v>
      </c>
      <c r="N51" s="8" t="s">
        <v>48</v>
      </c>
      <c r="O51" s="8" t="s">
        <v>38</v>
      </c>
      <c r="P51" s="8" t="s">
        <v>58</v>
      </c>
      <c r="Q51" s="8" t="s">
        <v>40</v>
      </c>
      <c r="R51" s="8" t="s">
        <v>84</v>
      </c>
      <c r="S51" s="9">
        <f t="shared" si="12"/>
        <v>3</v>
      </c>
      <c r="T51" s="9">
        <f t="shared" si="13"/>
        <v>1</v>
      </c>
      <c r="U51" s="9">
        <f t="shared" si="14"/>
        <v>2</v>
      </c>
      <c r="V51" s="9">
        <f t="shared" si="15"/>
        <v>1</v>
      </c>
      <c r="W51" s="10">
        <f t="shared" si="16"/>
        <v>2</v>
      </c>
      <c r="X51" s="11" t="str">
        <f t="shared" si="17"/>
        <v>Baja</v>
      </c>
      <c r="Y51" s="9" t="str">
        <f t="shared" si="18"/>
        <v>Baja</v>
      </c>
      <c r="Z51" s="9" t="str">
        <f t="shared" si="19"/>
        <v>Alta</v>
      </c>
      <c r="AA51" s="9" t="str">
        <f t="shared" si="20"/>
        <v>Media</v>
      </c>
      <c r="AB51" s="9" t="str">
        <f t="shared" si="21"/>
        <v>Bajo</v>
      </c>
      <c r="AC51" s="9" t="str">
        <f t="shared" si="22"/>
        <v>Otra razón</v>
      </c>
      <c r="AD51" s="9" t="str">
        <f t="shared" si="23"/>
        <v>Con recursos básicos</v>
      </c>
    </row>
    <row r="52" spans="1:30" ht="25.5" customHeight="1" x14ac:dyDescent="0.25">
      <c r="A52" s="7">
        <v>51</v>
      </c>
      <c r="B52" s="8" t="s">
        <v>52</v>
      </c>
      <c r="C52" s="8" t="s">
        <v>42</v>
      </c>
      <c r="D52" s="8" t="s">
        <v>54</v>
      </c>
      <c r="E52" s="8" t="s">
        <v>28</v>
      </c>
      <c r="F52" s="8" t="s">
        <v>29</v>
      </c>
      <c r="G52" s="8" t="s">
        <v>80</v>
      </c>
      <c r="H52" s="8" t="s">
        <v>31</v>
      </c>
      <c r="I52" s="8" t="s">
        <v>106</v>
      </c>
      <c r="J52" s="8" t="s">
        <v>33</v>
      </c>
      <c r="K52" s="8" t="s">
        <v>45</v>
      </c>
      <c r="L52" s="8" t="s">
        <v>63</v>
      </c>
      <c r="M52" s="8" t="s">
        <v>47</v>
      </c>
      <c r="N52" s="8" t="s">
        <v>57</v>
      </c>
      <c r="O52" s="8" t="s">
        <v>36</v>
      </c>
      <c r="P52" s="8" t="s">
        <v>77</v>
      </c>
      <c r="Q52" s="8" t="s">
        <v>40</v>
      </c>
      <c r="R52" s="8" t="s">
        <v>84</v>
      </c>
      <c r="S52" s="9">
        <f t="shared" si="12"/>
        <v>3</v>
      </c>
      <c r="T52" s="9">
        <f t="shared" si="13"/>
        <v>4</v>
      </c>
      <c r="U52" s="9">
        <f t="shared" si="14"/>
        <v>5</v>
      </c>
      <c r="V52" s="9">
        <f t="shared" si="15"/>
        <v>2</v>
      </c>
      <c r="W52" s="10">
        <f t="shared" si="16"/>
        <v>3.33</v>
      </c>
      <c r="X52" s="11" t="str">
        <f t="shared" si="17"/>
        <v>Media</v>
      </c>
      <c r="Y52" s="9" t="str">
        <f t="shared" si="18"/>
        <v>Media</v>
      </c>
      <c r="Z52" s="9" t="str">
        <f t="shared" si="19"/>
        <v>Alta</v>
      </c>
      <c r="AA52" s="9" t="str">
        <f t="shared" si="20"/>
        <v>Media</v>
      </c>
      <c r="AB52" s="9" t="str">
        <f t="shared" si="21"/>
        <v>Bajo</v>
      </c>
      <c r="AC52" s="9" t="str">
        <f t="shared" si="22"/>
        <v>Otra razón</v>
      </c>
      <c r="AD52" s="9" t="str">
        <f t="shared" si="23"/>
        <v>Con recursos completos</v>
      </c>
    </row>
    <row r="53" spans="1:30" ht="25.5" customHeight="1" x14ac:dyDescent="0.25">
      <c r="A53" s="7">
        <v>52</v>
      </c>
      <c r="B53" s="8" t="s">
        <v>52</v>
      </c>
      <c r="C53" s="8" t="s">
        <v>68</v>
      </c>
      <c r="D53" s="8" t="s">
        <v>27</v>
      </c>
      <c r="E53" s="8" t="s">
        <v>78</v>
      </c>
      <c r="F53" s="8" t="s">
        <v>29</v>
      </c>
      <c r="G53" s="8" t="s">
        <v>98</v>
      </c>
      <c r="H53" s="8" t="s">
        <v>31</v>
      </c>
      <c r="I53" s="8" t="s">
        <v>32</v>
      </c>
      <c r="J53" s="8" t="s">
        <v>75</v>
      </c>
      <c r="K53" s="8" t="s">
        <v>69</v>
      </c>
      <c r="L53" s="8" t="s">
        <v>63</v>
      </c>
      <c r="M53" s="8" t="s">
        <v>36</v>
      </c>
      <c r="N53" s="8" t="s">
        <v>57</v>
      </c>
      <c r="O53" s="8" t="s">
        <v>38</v>
      </c>
      <c r="P53" s="8" t="s">
        <v>58</v>
      </c>
      <c r="Q53" s="8" t="s">
        <v>64</v>
      </c>
      <c r="R53" s="8" t="s">
        <v>41</v>
      </c>
      <c r="S53" s="9">
        <f t="shared" si="12"/>
        <v>4</v>
      </c>
      <c r="T53" s="9">
        <f t="shared" si="13"/>
        <v>3</v>
      </c>
      <c r="U53" s="9">
        <f t="shared" si="14"/>
        <v>4</v>
      </c>
      <c r="V53" s="9">
        <f t="shared" si="15"/>
        <v>4</v>
      </c>
      <c r="W53" s="10">
        <f t="shared" si="16"/>
        <v>4</v>
      </c>
      <c r="X53" s="11" t="str">
        <f t="shared" si="17"/>
        <v>Alta</v>
      </c>
      <c r="Y53" s="9" t="str">
        <f t="shared" si="18"/>
        <v>Media</v>
      </c>
      <c r="Z53" s="9" t="str">
        <f t="shared" si="19"/>
        <v>Alta</v>
      </c>
      <c r="AA53" s="9" t="str">
        <f t="shared" si="20"/>
        <v>Alta</v>
      </c>
      <c r="AB53" s="9" t="str">
        <f t="shared" si="21"/>
        <v>Medio</v>
      </c>
      <c r="AC53" s="9" t="str">
        <f t="shared" si="22"/>
        <v>Otra razón</v>
      </c>
      <c r="AD53" s="9" t="str">
        <f t="shared" si="23"/>
        <v>Con recursos básicos</v>
      </c>
    </row>
    <row r="54" spans="1:30" ht="25.5" customHeight="1" x14ac:dyDescent="0.25">
      <c r="A54" s="7">
        <v>53</v>
      </c>
      <c r="B54" s="8" t="s">
        <v>52</v>
      </c>
      <c r="C54" s="8" t="s">
        <v>68</v>
      </c>
      <c r="D54" s="8" t="s">
        <v>27</v>
      </c>
      <c r="E54" s="8" t="s">
        <v>28</v>
      </c>
      <c r="F54" s="8" t="s">
        <v>43</v>
      </c>
      <c r="G54" s="8" t="s">
        <v>98</v>
      </c>
      <c r="H54" s="8" t="s">
        <v>31</v>
      </c>
      <c r="I54" s="8" t="s">
        <v>44</v>
      </c>
      <c r="J54" s="8" t="s">
        <v>75</v>
      </c>
      <c r="K54" s="8" t="s">
        <v>45</v>
      </c>
      <c r="L54" s="8" t="s">
        <v>63</v>
      </c>
      <c r="M54" s="8" t="s">
        <v>38</v>
      </c>
      <c r="N54" s="8" t="s">
        <v>37</v>
      </c>
      <c r="O54" s="8" t="s">
        <v>47</v>
      </c>
      <c r="P54" s="8" t="s">
        <v>107</v>
      </c>
      <c r="Q54" s="8" t="s">
        <v>59</v>
      </c>
      <c r="R54" s="8" t="s">
        <v>60</v>
      </c>
      <c r="S54" s="9">
        <f t="shared" si="12"/>
        <v>3</v>
      </c>
      <c r="T54" s="9">
        <f t="shared" si="13"/>
        <v>1</v>
      </c>
      <c r="U54" s="9">
        <f t="shared" si="14"/>
        <v>2</v>
      </c>
      <c r="V54" s="9">
        <f t="shared" si="15"/>
        <v>5</v>
      </c>
      <c r="W54" s="10">
        <f t="shared" si="16"/>
        <v>3.33</v>
      </c>
      <c r="X54" s="11" t="str">
        <f t="shared" si="17"/>
        <v>Media</v>
      </c>
      <c r="Y54" s="9" t="str">
        <f t="shared" si="18"/>
        <v>Alta</v>
      </c>
      <c r="Z54" s="9" t="str">
        <f t="shared" si="19"/>
        <v>Baja</v>
      </c>
      <c r="AA54" s="9" t="str">
        <f t="shared" si="20"/>
        <v>Alta</v>
      </c>
      <c r="AB54" s="9" t="str">
        <f t="shared" si="21"/>
        <v>Alto</v>
      </c>
      <c r="AC54" s="9" t="str">
        <f t="shared" si="22"/>
        <v>Otra razón</v>
      </c>
      <c r="AD54" s="9" t="str">
        <f t="shared" si="23"/>
        <v>Con recursos completos</v>
      </c>
    </row>
    <row r="55" spans="1:30" ht="25.5" customHeight="1" x14ac:dyDescent="0.25">
      <c r="A55" s="7">
        <v>54</v>
      </c>
      <c r="B55" s="8" t="s">
        <v>72</v>
      </c>
      <c r="C55" s="8" t="s">
        <v>68</v>
      </c>
      <c r="D55" s="8" t="s">
        <v>54</v>
      </c>
      <c r="E55" s="8" t="s">
        <v>78</v>
      </c>
      <c r="F55" s="8" t="s">
        <v>29</v>
      </c>
      <c r="G55" s="8" t="s">
        <v>80</v>
      </c>
      <c r="H55" s="8" t="s">
        <v>31</v>
      </c>
      <c r="I55" s="8" t="s">
        <v>108</v>
      </c>
      <c r="J55" s="8" t="s">
        <v>33</v>
      </c>
      <c r="K55" s="8" t="s">
        <v>34</v>
      </c>
      <c r="L55" s="8" t="s">
        <v>35</v>
      </c>
      <c r="M55" s="8" t="s">
        <v>38</v>
      </c>
      <c r="N55" s="8" t="s">
        <v>57</v>
      </c>
      <c r="O55" s="8" t="s">
        <v>38</v>
      </c>
      <c r="P55" s="8" t="s">
        <v>77</v>
      </c>
      <c r="Q55" s="8" t="s">
        <v>59</v>
      </c>
      <c r="R55" s="8" t="s">
        <v>60</v>
      </c>
      <c r="S55" s="9">
        <f t="shared" si="12"/>
        <v>5</v>
      </c>
      <c r="T55" s="9">
        <f t="shared" si="13"/>
        <v>1</v>
      </c>
      <c r="U55" s="9">
        <f t="shared" si="14"/>
        <v>2</v>
      </c>
      <c r="V55" s="9">
        <f t="shared" si="15"/>
        <v>5</v>
      </c>
      <c r="W55" s="10">
        <f t="shared" si="16"/>
        <v>4</v>
      </c>
      <c r="X55" s="11" t="str">
        <f t="shared" si="17"/>
        <v>Alta</v>
      </c>
      <c r="Y55" s="9" t="str">
        <f t="shared" si="18"/>
        <v>Media</v>
      </c>
      <c r="Z55" s="9" t="str">
        <f t="shared" si="19"/>
        <v>Alta</v>
      </c>
      <c r="AA55" s="9" t="str">
        <f t="shared" si="20"/>
        <v>Alta</v>
      </c>
      <c r="AB55" s="9" t="str">
        <f t="shared" si="21"/>
        <v>Alto</v>
      </c>
      <c r="AC55" s="9" t="str">
        <f t="shared" si="22"/>
        <v>Otra razón</v>
      </c>
      <c r="AD55" s="9" t="str">
        <f t="shared" si="23"/>
        <v>Con recursos completos</v>
      </c>
    </row>
    <row r="56" spans="1:30" ht="25.5" customHeight="1" x14ac:dyDescent="0.25">
      <c r="A56" s="7">
        <v>55</v>
      </c>
      <c r="B56" s="8" t="s">
        <v>25</v>
      </c>
      <c r="C56" s="8" t="s">
        <v>61</v>
      </c>
      <c r="D56" s="8" t="s">
        <v>27</v>
      </c>
      <c r="E56" s="8" t="s">
        <v>78</v>
      </c>
      <c r="F56" s="8" t="s">
        <v>43</v>
      </c>
      <c r="G56" s="8" t="s">
        <v>98</v>
      </c>
      <c r="H56" s="8" t="s">
        <v>31</v>
      </c>
      <c r="I56" s="8" t="s">
        <v>44</v>
      </c>
      <c r="J56" s="8" t="s">
        <v>109</v>
      </c>
      <c r="K56" s="8" t="s">
        <v>45</v>
      </c>
      <c r="L56" s="8" t="s">
        <v>46</v>
      </c>
      <c r="M56" s="8" t="s">
        <v>38</v>
      </c>
      <c r="N56" s="8" t="s">
        <v>48</v>
      </c>
      <c r="O56" s="8" t="s">
        <v>38</v>
      </c>
      <c r="P56" s="8" t="s">
        <v>58</v>
      </c>
      <c r="Q56" s="8" t="s">
        <v>83</v>
      </c>
      <c r="R56" s="8" t="s">
        <v>51</v>
      </c>
      <c r="S56" s="9">
        <f t="shared" si="12"/>
        <v>3</v>
      </c>
      <c r="T56" s="9">
        <f t="shared" si="13"/>
        <v>1</v>
      </c>
      <c r="U56" s="9">
        <f t="shared" si="14"/>
        <v>2</v>
      </c>
      <c r="V56" s="9">
        <f t="shared" si="15"/>
        <v>5</v>
      </c>
      <c r="W56" s="10">
        <f t="shared" si="16"/>
        <v>3.33</v>
      </c>
      <c r="X56" s="11" t="str">
        <f t="shared" si="17"/>
        <v>Media</v>
      </c>
      <c r="Y56" s="9" t="str">
        <f t="shared" si="18"/>
        <v>Baja</v>
      </c>
      <c r="Z56" s="9" t="str">
        <f t="shared" si="19"/>
        <v>Alta</v>
      </c>
      <c r="AA56" s="9" t="str">
        <f t="shared" si="20"/>
        <v>Baja</v>
      </c>
      <c r="AB56" s="9" t="str">
        <f t="shared" si="21"/>
        <v>Bajo</v>
      </c>
      <c r="AC56" s="9" t="str">
        <f t="shared" si="22"/>
        <v>Otra razón</v>
      </c>
      <c r="AD56" s="9" t="str">
        <f t="shared" si="23"/>
        <v>Con recursos básicos</v>
      </c>
    </row>
    <row r="57" spans="1:30" ht="25.5" customHeight="1" x14ac:dyDescent="0.25">
      <c r="A57" s="7">
        <v>56</v>
      </c>
      <c r="B57" s="8" t="s">
        <v>72</v>
      </c>
      <c r="C57" s="8" t="s">
        <v>53</v>
      </c>
      <c r="D57" s="8" t="s">
        <v>54</v>
      </c>
      <c r="E57" s="8" t="s">
        <v>97</v>
      </c>
      <c r="F57" s="8" t="s">
        <v>43</v>
      </c>
      <c r="G57" s="8" t="s">
        <v>92</v>
      </c>
      <c r="H57" s="8" t="s">
        <v>31</v>
      </c>
      <c r="I57" s="8" t="s">
        <v>74</v>
      </c>
      <c r="J57" s="8" t="s">
        <v>67</v>
      </c>
      <c r="K57" s="8" t="s">
        <v>45</v>
      </c>
      <c r="L57" s="8" t="s">
        <v>35</v>
      </c>
      <c r="M57" s="8" t="s">
        <v>38</v>
      </c>
      <c r="N57" s="8" t="s">
        <v>57</v>
      </c>
      <c r="O57" s="8" t="s">
        <v>47</v>
      </c>
      <c r="P57" s="8" t="s">
        <v>77</v>
      </c>
      <c r="Q57" s="8" t="s">
        <v>64</v>
      </c>
      <c r="R57" s="8" t="s">
        <v>41</v>
      </c>
      <c r="S57" s="9">
        <f t="shared" si="12"/>
        <v>3</v>
      </c>
      <c r="T57" s="9">
        <f t="shared" si="13"/>
        <v>1</v>
      </c>
      <c r="U57" s="9">
        <f t="shared" si="14"/>
        <v>2</v>
      </c>
      <c r="V57" s="9">
        <f t="shared" si="15"/>
        <v>5</v>
      </c>
      <c r="W57" s="10">
        <f t="shared" si="16"/>
        <v>3.33</v>
      </c>
      <c r="X57" s="11" t="str">
        <f t="shared" si="17"/>
        <v>Media</v>
      </c>
      <c r="Y57" s="9" t="str">
        <f t="shared" si="18"/>
        <v>Media</v>
      </c>
      <c r="Z57" s="9" t="str">
        <f t="shared" si="19"/>
        <v>Baja</v>
      </c>
      <c r="AA57" s="9" t="str">
        <f t="shared" si="20"/>
        <v>Alta</v>
      </c>
      <c r="AB57" s="9" t="str">
        <f t="shared" si="21"/>
        <v>Medio</v>
      </c>
      <c r="AC57" s="9" t="str">
        <f t="shared" si="22"/>
        <v>Otra razón</v>
      </c>
      <c r="AD57" s="9" t="str">
        <f t="shared" si="23"/>
        <v>Con recursos completos</v>
      </c>
    </row>
    <row r="58" spans="1:30" ht="25.5" customHeight="1" x14ac:dyDescent="0.25">
      <c r="A58" s="7">
        <v>57</v>
      </c>
      <c r="B58" s="8" t="s">
        <v>72</v>
      </c>
      <c r="C58" s="8" t="s">
        <v>61</v>
      </c>
      <c r="D58" s="8" t="s">
        <v>54</v>
      </c>
      <c r="E58" s="8" t="s">
        <v>78</v>
      </c>
      <c r="F58" s="8" t="s">
        <v>43</v>
      </c>
      <c r="G58" s="8" t="s">
        <v>30</v>
      </c>
      <c r="H58" s="8" t="s">
        <v>31</v>
      </c>
      <c r="I58" s="8" t="s">
        <v>62</v>
      </c>
      <c r="J58" s="8" t="s">
        <v>56</v>
      </c>
      <c r="K58" s="8" t="s">
        <v>69</v>
      </c>
      <c r="L58" s="8" t="s">
        <v>46</v>
      </c>
      <c r="M58" s="8" t="s">
        <v>82</v>
      </c>
      <c r="N58" s="8" t="s">
        <v>76</v>
      </c>
      <c r="O58" s="8" t="s">
        <v>38</v>
      </c>
      <c r="P58" s="8" t="s">
        <v>58</v>
      </c>
      <c r="Q58" s="8" t="s">
        <v>64</v>
      </c>
      <c r="R58" s="8" t="s">
        <v>84</v>
      </c>
      <c r="S58" s="9">
        <f t="shared" si="12"/>
        <v>4</v>
      </c>
      <c r="T58" s="9">
        <f t="shared" si="13"/>
        <v>3</v>
      </c>
      <c r="U58" s="9">
        <f t="shared" si="14"/>
        <v>4</v>
      </c>
      <c r="V58" s="9">
        <f t="shared" si="15"/>
        <v>3</v>
      </c>
      <c r="W58" s="10">
        <f t="shared" si="16"/>
        <v>3.67</v>
      </c>
      <c r="X58" s="11" t="str">
        <f t="shared" si="17"/>
        <v>Alta</v>
      </c>
      <c r="Y58" s="9" t="str">
        <f t="shared" si="18"/>
        <v>Alta</v>
      </c>
      <c r="Z58" s="9" t="str">
        <f t="shared" si="19"/>
        <v>Alta</v>
      </c>
      <c r="AA58" s="9" t="str">
        <f t="shared" si="20"/>
        <v>Alta</v>
      </c>
      <c r="AB58" s="9" t="str">
        <f t="shared" si="21"/>
        <v>Bajo</v>
      </c>
      <c r="AC58" s="9" t="str">
        <f t="shared" si="22"/>
        <v>Costo como razón</v>
      </c>
      <c r="AD58" s="9" t="str">
        <f t="shared" si="23"/>
        <v>Con recursos básicos</v>
      </c>
    </row>
    <row r="59" spans="1:30" ht="25.5" customHeight="1" x14ac:dyDescent="0.25">
      <c r="A59" s="7">
        <v>58</v>
      </c>
      <c r="B59" s="8" t="s">
        <v>72</v>
      </c>
      <c r="C59" s="8" t="s">
        <v>68</v>
      </c>
      <c r="D59" s="8" t="s">
        <v>27</v>
      </c>
      <c r="E59" s="8" t="s">
        <v>78</v>
      </c>
      <c r="F59" s="8" t="s">
        <v>43</v>
      </c>
      <c r="G59" s="8" t="s">
        <v>30</v>
      </c>
      <c r="H59" s="8" t="s">
        <v>31</v>
      </c>
      <c r="I59" s="8" t="s">
        <v>44</v>
      </c>
      <c r="J59" s="8" t="s">
        <v>75</v>
      </c>
      <c r="K59" s="8" t="s">
        <v>34</v>
      </c>
      <c r="L59" s="8" t="s">
        <v>63</v>
      </c>
      <c r="M59" s="8" t="s">
        <v>38</v>
      </c>
      <c r="N59" s="8" t="s">
        <v>57</v>
      </c>
      <c r="O59" s="8" t="s">
        <v>38</v>
      </c>
      <c r="P59" s="8" t="s">
        <v>77</v>
      </c>
      <c r="Q59" s="8" t="s">
        <v>59</v>
      </c>
      <c r="R59" s="8" t="s">
        <v>51</v>
      </c>
      <c r="S59" s="9">
        <f t="shared" si="12"/>
        <v>5</v>
      </c>
      <c r="T59" s="9">
        <f t="shared" si="13"/>
        <v>1</v>
      </c>
      <c r="U59" s="9">
        <f t="shared" si="14"/>
        <v>2</v>
      </c>
      <c r="V59" s="9">
        <f t="shared" si="15"/>
        <v>5</v>
      </c>
      <c r="W59" s="10">
        <f t="shared" si="16"/>
        <v>4</v>
      </c>
      <c r="X59" s="11" t="str">
        <f t="shared" si="17"/>
        <v>Alta</v>
      </c>
      <c r="Y59" s="9" t="str">
        <f t="shared" si="18"/>
        <v>Media</v>
      </c>
      <c r="Z59" s="9" t="str">
        <f t="shared" si="19"/>
        <v>Alta</v>
      </c>
      <c r="AA59" s="9" t="str">
        <f t="shared" si="20"/>
        <v>Alta</v>
      </c>
      <c r="AB59" s="9" t="str">
        <f t="shared" si="21"/>
        <v>Bajo</v>
      </c>
      <c r="AC59" s="9" t="str">
        <f t="shared" si="22"/>
        <v>Otra razón</v>
      </c>
      <c r="AD59" s="9" t="str">
        <f t="shared" si="23"/>
        <v>Con recursos completos</v>
      </c>
    </row>
    <row r="60" spans="1:30" ht="25.5" customHeight="1" x14ac:dyDescent="0.25">
      <c r="A60" s="7">
        <v>59</v>
      </c>
      <c r="B60" s="8" t="s">
        <v>72</v>
      </c>
      <c r="C60" s="8" t="s">
        <v>53</v>
      </c>
      <c r="D60" s="8" t="s">
        <v>54</v>
      </c>
      <c r="E60" s="8" t="s">
        <v>97</v>
      </c>
      <c r="F60" s="8" t="s">
        <v>43</v>
      </c>
      <c r="G60" s="8" t="s">
        <v>92</v>
      </c>
      <c r="H60" s="8" t="s">
        <v>31</v>
      </c>
      <c r="I60" s="8" t="s">
        <v>55</v>
      </c>
      <c r="J60" s="8" t="s">
        <v>56</v>
      </c>
      <c r="K60" s="8" t="s">
        <v>69</v>
      </c>
      <c r="L60" s="8" t="s">
        <v>63</v>
      </c>
      <c r="M60" s="8" t="s">
        <v>47</v>
      </c>
      <c r="N60" s="8" t="s">
        <v>76</v>
      </c>
      <c r="O60" s="8" t="s">
        <v>36</v>
      </c>
      <c r="P60" s="8" t="s">
        <v>110</v>
      </c>
      <c r="Q60" s="8" t="s">
        <v>64</v>
      </c>
      <c r="R60" s="8" t="s">
        <v>84</v>
      </c>
      <c r="S60" s="9">
        <f t="shared" si="12"/>
        <v>4</v>
      </c>
      <c r="T60" s="9">
        <f t="shared" si="13"/>
        <v>4</v>
      </c>
      <c r="U60" s="9">
        <f t="shared" si="14"/>
        <v>5</v>
      </c>
      <c r="V60" s="9">
        <f t="shared" si="15"/>
        <v>2</v>
      </c>
      <c r="W60" s="10">
        <f t="shared" si="16"/>
        <v>3.67</v>
      </c>
      <c r="X60" s="11" t="str">
        <f t="shared" si="17"/>
        <v>Alta</v>
      </c>
      <c r="Y60" s="9" t="str">
        <f t="shared" si="18"/>
        <v>Alta</v>
      </c>
      <c r="Z60" s="9" t="str">
        <f t="shared" si="19"/>
        <v>Alta</v>
      </c>
      <c r="AA60" s="9" t="str">
        <f t="shared" si="20"/>
        <v>Alta</v>
      </c>
      <c r="AB60" s="9" t="str">
        <f t="shared" si="21"/>
        <v>Bajo</v>
      </c>
      <c r="AC60" s="9" t="str">
        <f t="shared" si="22"/>
        <v>Costo como razón</v>
      </c>
      <c r="AD60" s="9" t="str">
        <f t="shared" si="23"/>
        <v>Con recursos completos</v>
      </c>
    </row>
    <row r="61" spans="1:30" ht="25.5" customHeight="1" x14ac:dyDescent="0.25">
      <c r="A61" s="7">
        <v>60</v>
      </c>
      <c r="B61" s="8" t="s">
        <v>52</v>
      </c>
      <c r="C61" s="8" t="s">
        <v>61</v>
      </c>
      <c r="D61" s="8" t="s">
        <v>27</v>
      </c>
      <c r="E61" s="8" t="s">
        <v>28</v>
      </c>
      <c r="F61" s="8" t="s">
        <v>43</v>
      </c>
      <c r="G61" s="8" t="s">
        <v>98</v>
      </c>
      <c r="H61" s="8" t="s">
        <v>31</v>
      </c>
      <c r="I61" s="8" t="s">
        <v>44</v>
      </c>
      <c r="J61" s="8" t="s">
        <v>56</v>
      </c>
      <c r="K61" s="8" t="s">
        <v>45</v>
      </c>
      <c r="L61" s="8" t="s">
        <v>63</v>
      </c>
      <c r="M61" s="8" t="s">
        <v>47</v>
      </c>
      <c r="N61" s="8" t="s">
        <v>48</v>
      </c>
      <c r="O61" s="8" t="s">
        <v>38</v>
      </c>
      <c r="P61" s="8" t="s">
        <v>58</v>
      </c>
      <c r="Q61" s="8" t="s">
        <v>40</v>
      </c>
      <c r="R61" s="8" t="s">
        <v>84</v>
      </c>
      <c r="S61" s="9">
        <f t="shared" si="12"/>
        <v>3</v>
      </c>
      <c r="T61" s="9">
        <f t="shared" si="13"/>
        <v>1</v>
      </c>
      <c r="U61" s="9">
        <f t="shared" si="14"/>
        <v>2</v>
      </c>
      <c r="V61" s="9">
        <f t="shared" si="15"/>
        <v>2</v>
      </c>
      <c r="W61" s="10">
        <f t="shared" si="16"/>
        <v>2.33</v>
      </c>
      <c r="X61" s="11" t="str">
        <f t="shared" si="17"/>
        <v>Baja</v>
      </c>
      <c r="Y61" s="9" t="str">
        <f t="shared" si="18"/>
        <v>Baja</v>
      </c>
      <c r="Z61" s="9" t="str">
        <f t="shared" si="19"/>
        <v>Alta</v>
      </c>
      <c r="AA61" s="9" t="str">
        <f t="shared" si="20"/>
        <v>Media</v>
      </c>
      <c r="AB61" s="9" t="str">
        <f t="shared" si="21"/>
        <v>Bajo</v>
      </c>
      <c r="AC61" s="9" t="str">
        <f t="shared" si="22"/>
        <v>Costo como razón</v>
      </c>
      <c r="AD61" s="9" t="str">
        <f t="shared" si="23"/>
        <v>Con recursos básicos</v>
      </c>
    </row>
    <row r="62" spans="1:30" ht="25.5" customHeight="1" x14ac:dyDescent="0.25">
      <c r="A62" s="7">
        <v>61</v>
      </c>
      <c r="B62" s="8" t="s">
        <v>72</v>
      </c>
      <c r="C62" s="8" t="s">
        <v>68</v>
      </c>
      <c r="D62" s="8" t="s">
        <v>54</v>
      </c>
      <c r="E62" s="8" t="s">
        <v>78</v>
      </c>
      <c r="F62" s="8" t="s">
        <v>43</v>
      </c>
      <c r="G62" s="8" t="s">
        <v>92</v>
      </c>
      <c r="H62" s="8" t="s">
        <v>31</v>
      </c>
      <c r="I62" s="8" t="s">
        <v>74</v>
      </c>
      <c r="J62" s="8" t="s">
        <v>75</v>
      </c>
      <c r="K62" s="8" t="s">
        <v>69</v>
      </c>
      <c r="L62" s="8" t="s">
        <v>63</v>
      </c>
      <c r="M62" s="8" t="s">
        <v>38</v>
      </c>
      <c r="N62" s="8" t="s">
        <v>37</v>
      </c>
      <c r="O62" s="8" t="s">
        <v>38</v>
      </c>
      <c r="P62" s="8" t="s">
        <v>111</v>
      </c>
      <c r="Q62" s="8" t="s">
        <v>59</v>
      </c>
      <c r="R62" s="8" t="s">
        <v>84</v>
      </c>
      <c r="S62" s="9">
        <f t="shared" si="12"/>
        <v>4</v>
      </c>
      <c r="T62" s="9">
        <f t="shared" si="13"/>
        <v>1</v>
      </c>
      <c r="U62" s="9">
        <f t="shared" si="14"/>
        <v>2</v>
      </c>
      <c r="V62" s="9">
        <f t="shared" si="15"/>
        <v>5</v>
      </c>
      <c r="W62" s="10">
        <f t="shared" si="16"/>
        <v>3.67</v>
      </c>
      <c r="X62" s="11" t="str">
        <f t="shared" si="17"/>
        <v>Alta</v>
      </c>
      <c r="Y62" s="9" t="str">
        <f t="shared" si="18"/>
        <v>Alta</v>
      </c>
      <c r="Z62" s="9" t="str">
        <f t="shared" si="19"/>
        <v>Alta</v>
      </c>
      <c r="AA62" s="9" t="str">
        <f t="shared" si="20"/>
        <v>Alta</v>
      </c>
      <c r="AB62" s="9" t="str">
        <f t="shared" si="21"/>
        <v>Bajo</v>
      </c>
      <c r="AC62" s="9" t="str">
        <f t="shared" si="22"/>
        <v>Otra razón</v>
      </c>
      <c r="AD62" s="9" t="str">
        <f t="shared" si="23"/>
        <v>Con recursos completos</v>
      </c>
    </row>
    <row r="63" spans="1:30" ht="25.5" customHeight="1" x14ac:dyDescent="0.25">
      <c r="A63" s="7">
        <v>62</v>
      </c>
      <c r="B63" s="8" t="s">
        <v>25</v>
      </c>
      <c r="C63" s="8" t="s">
        <v>26</v>
      </c>
      <c r="D63" s="8" t="s">
        <v>112</v>
      </c>
      <c r="E63" s="8" t="s">
        <v>28</v>
      </c>
      <c r="F63" s="8" t="s">
        <v>29</v>
      </c>
      <c r="G63" s="8" t="s">
        <v>79</v>
      </c>
      <c r="H63" s="8" t="s">
        <v>31</v>
      </c>
      <c r="I63" s="8" t="s">
        <v>113</v>
      </c>
      <c r="J63" s="8" t="s">
        <v>33</v>
      </c>
      <c r="K63" s="8" t="s">
        <v>69</v>
      </c>
      <c r="L63" s="8" t="s">
        <v>35</v>
      </c>
      <c r="M63" s="8" t="s">
        <v>36</v>
      </c>
      <c r="N63" s="8" t="s">
        <v>76</v>
      </c>
      <c r="O63" s="8" t="s">
        <v>38</v>
      </c>
      <c r="P63" s="8" t="s">
        <v>77</v>
      </c>
      <c r="Q63" s="8" t="s">
        <v>59</v>
      </c>
      <c r="R63" s="8" t="s">
        <v>41</v>
      </c>
      <c r="S63" s="9">
        <f t="shared" si="12"/>
        <v>4</v>
      </c>
      <c r="T63" s="9">
        <f t="shared" si="13"/>
        <v>4</v>
      </c>
      <c r="U63" s="9">
        <f t="shared" si="14"/>
        <v>5</v>
      </c>
      <c r="V63" s="9">
        <f t="shared" si="15"/>
        <v>4</v>
      </c>
      <c r="W63" s="10">
        <f t="shared" si="16"/>
        <v>4.33</v>
      </c>
      <c r="X63" s="11" t="str">
        <f t="shared" si="17"/>
        <v>Alta</v>
      </c>
      <c r="Y63" s="9" t="str">
        <f t="shared" si="18"/>
        <v>Alta</v>
      </c>
      <c r="Z63" s="9" t="str">
        <f t="shared" si="19"/>
        <v>Alta</v>
      </c>
      <c r="AA63" s="9" t="str">
        <f t="shared" si="20"/>
        <v>Alta</v>
      </c>
      <c r="AB63" s="9" t="str">
        <f t="shared" si="21"/>
        <v>Medio</v>
      </c>
      <c r="AC63" s="9" t="str">
        <f t="shared" si="22"/>
        <v>Otra razón</v>
      </c>
      <c r="AD63" s="9" t="str">
        <f t="shared" si="23"/>
        <v>Con recursos completos</v>
      </c>
    </row>
    <row r="64" spans="1:30" ht="25.5" customHeight="1" x14ac:dyDescent="0.25">
      <c r="A64" s="7">
        <v>63</v>
      </c>
      <c r="B64" s="8" t="s">
        <v>52</v>
      </c>
      <c r="C64" s="8" t="s">
        <v>61</v>
      </c>
      <c r="D64" s="8" t="s">
        <v>54</v>
      </c>
      <c r="E64" s="8" t="s">
        <v>28</v>
      </c>
      <c r="F64" s="8" t="s">
        <v>43</v>
      </c>
      <c r="G64" s="8" t="s">
        <v>30</v>
      </c>
      <c r="H64" s="8" t="s">
        <v>31</v>
      </c>
      <c r="I64" s="8" t="s">
        <v>44</v>
      </c>
      <c r="J64" s="8" t="s">
        <v>56</v>
      </c>
      <c r="K64" s="8" t="s">
        <v>34</v>
      </c>
      <c r="L64" s="8" t="s">
        <v>46</v>
      </c>
      <c r="M64" s="8" t="s">
        <v>87</v>
      </c>
      <c r="N64" s="8" t="s">
        <v>88</v>
      </c>
      <c r="O64" s="8" t="s">
        <v>38</v>
      </c>
      <c r="P64" s="8" t="s">
        <v>58</v>
      </c>
      <c r="Q64" s="8" t="s">
        <v>40</v>
      </c>
      <c r="R64" s="8" t="s">
        <v>51</v>
      </c>
      <c r="S64" s="9">
        <f t="shared" si="12"/>
        <v>5</v>
      </c>
      <c r="T64" s="9">
        <f t="shared" si="13"/>
        <v>1</v>
      </c>
      <c r="U64" s="9">
        <f t="shared" si="14"/>
        <v>2</v>
      </c>
      <c r="V64" s="9">
        <f t="shared" si="15"/>
        <v>1</v>
      </c>
      <c r="W64" s="10">
        <f t="shared" si="16"/>
        <v>2.67</v>
      </c>
      <c r="X64" s="11" t="str">
        <f t="shared" si="17"/>
        <v>Media</v>
      </c>
      <c r="Y64" s="9" t="str">
        <f t="shared" si="18"/>
        <v>Baja</v>
      </c>
      <c r="Z64" s="9" t="str">
        <f t="shared" si="19"/>
        <v>Alta</v>
      </c>
      <c r="AA64" s="9" t="str">
        <f t="shared" si="20"/>
        <v>Media</v>
      </c>
      <c r="AB64" s="9" t="str">
        <f t="shared" si="21"/>
        <v>Bajo</v>
      </c>
      <c r="AC64" s="9" t="str">
        <f t="shared" si="22"/>
        <v>Costo como razón</v>
      </c>
      <c r="AD64" s="9" t="str">
        <f t="shared" si="23"/>
        <v>Con recursos básicos</v>
      </c>
    </row>
    <row r="65" spans="1:30" ht="25.5" customHeight="1" x14ac:dyDescent="0.25">
      <c r="A65" s="7">
        <v>64</v>
      </c>
      <c r="B65" s="8" t="s">
        <v>72</v>
      </c>
      <c r="C65" s="8" t="s">
        <v>53</v>
      </c>
      <c r="D65" s="8" t="s">
        <v>27</v>
      </c>
      <c r="E65" s="8" t="s">
        <v>28</v>
      </c>
      <c r="F65" s="8" t="s">
        <v>29</v>
      </c>
      <c r="G65" s="8" t="s">
        <v>80</v>
      </c>
      <c r="H65" s="8" t="s">
        <v>31</v>
      </c>
      <c r="I65" s="8" t="s">
        <v>44</v>
      </c>
      <c r="J65" s="8" t="s">
        <v>33</v>
      </c>
      <c r="K65" s="8" t="s">
        <v>45</v>
      </c>
      <c r="L65" s="8" t="s">
        <v>46</v>
      </c>
      <c r="M65" s="8" t="s">
        <v>47</v>
      </c>
      <c r="N65" s="8" t="s">
        <v>57</v>
      </c>
      <c r="O65" s="8" t="s">
        <v>82</v>
      </c>
      <c r="P65" s="8" t="s">
        <v>58</v>
      </c>
      <c r="Q65" s="8" t="s">
        <v>40</v>
      </c>
      <c r="R65" s="8" t="s">
        <v>84</v>
      </c>
      <c r="S65" s="9">
        <f t="shared" si="12"/>
        <v>3</v>
      </c>
      <c r="T65" s="9">
        <f t="shared" si="13"/>
        <v>1</v>
      </c>
      <c r="U65" s="9">
        <f t="shared" si="14"/>
        <v>2</v>
      </c>
      <c r="V65" s="9">
        <f t="shared" si="15"/>
        <v>2</v>
      </c>
      <c r="W65" s="10">
        <f t="shared" si="16"/>
        <v>2.33</v>
      </c>
      <c r="X65" s="11" t="str">
        <f t="shared" si="17"/>
        <v>Baja</v>
      </c>
      <c r="Y65" s="9" t="str">
        <f t="shared" si="18"/>
        <v>Media</v>
      </c>
      <c r="Z65" s="9" t="str">
        <f t="shared" si="19"/>
        <v>Media</v>
      </c>
      <c r="AA65" s="9" t="str">
        <f t="shared" si="20"/>
        <v>Media</v>
      </c>
      <c r="AB65" s="9" t="str">
        <f t="shared" si="21"/>
        <v>Bajo</v>
      </c>
      <c r="AC65" s="9" t="str">
        <f t="shared" si="22"/>
        <v>Otra razón</v>
      </c>
      <c r="AD65" s="9" t="str">
        <f t="shared" si="23"/>
        <v>Con recursos básicos</v>
      </c>
    </row>
    <row r="66" spans="1:30" ht="25.5" customHeight="1" x14ac:dyDescent="0.25">
      <c r="A66" s="7">
        <v>65</v>
      </c>
      <c r="B66" s="8" t="s">
        <v>72</v>
      </c>
      <c r="C66" s="8" t="s">
        <v>68</v>
      </c>
      <c r="D66" s="8" t="s">
        <v>27</v>
      </c>
      <c r="E66" s="8" t="s">
        <v>78</v>
      </c>
      <c r="F66" s="8" t="s">
        <v>29</v>
      </c>
      <c r="G66" s="8" t="s">
        <v>79</v>
      </c>
      <c r="H66" s="8" t="s">
        <v>31</v>
      </c>
      <c r="I66" s="8" t="s">
        <v>44</v>
      </c>
      <c r="J66" s="8" t="s">
        <v>33</v>
      </c>
      <c r="K66" s="8" t="s">
        <v>69</v>
      </c>
      <c r="L66" s="8" t="s">
        <v>35</v>
      </c>
      <c r="M66" s="8" t="s">
        <v>47</v>
      </c>
      <c r="N66" s="8" t="s">
        <v>48</v>
      </c>
      <c r="O66" s="8" t="s">
        <v>38</v>
      </c>
      <c r="P66" s="8" t="s">
        <v>58</v>
      </c>
      <c r="Q66" s="8" t="s">
        <v>40</v>
      </c>
      <c r="R66" s="8" t="s">
        <v>84</v>
      </c>
      <c r="S66" s="9">
        <f t="shared" si="12"/>
        <v>4</v>
      </c>
      <c r="T66" s="9">
        <f t="shared" si="13"/>
        <v>1</v>
      </c>
      <c r="U66" s="9">
        <f t="shared" si="14"/>
        <v>2</v>
      </c>
      <c r="V66" s="9">
        <f t="shared" si="15"/>
        <v>2</v>
      </c>
      <c r="W66" s="10">
        <f t="shared" si="16"/>
        <v>2.67</v>
      </c>
      <c r="X66" s="11" t="str">
        <f t="shared" si="17"/>
        <v>Media</v>
      </c>
      <c r="Y66" s="9" t="str">
        <f t="shared" si="18"/>
        <v>Baja</v>
      </c>
      <c r="Z66" s="9" t="str">
        <f t="shared" si="19"/>
        <v>Alta</v>
      </c>
      <c r="AA66" s="9" t="str">
        <f t="shared" si="20"/>
        <v>Media</v>
      </c>
      <c r="AB66" s="9" t="str">
        <f t="shared" si="21"/>
        <v>Bajo</v>
      </c>
      <c r="AC66" s="9" t="str">
        <f t="shared" si="22"/>
        <v>Otra razón</v>
      </c>
      <c r="AD66" s="9" t="str">
        <f t="shared" si="23"/>
        <v>Con recursos básicos</v>
      </c>
    </row>
  </sheetData>
  <mergeCells count="2">
    <mergeCell ref="A1:C1"/>
    <mergeCell ref="S1:V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showGridLines="0" zoomScale="70" zoomScaleNormal="70" workbookViewId="0">
      <selection activeCell="A8" sqref="A8:D13"/>
    </sheetView>
  </sheetViews>
  <sheetFormatPr baseColWidth="10" defaultColWidth="8.7109375" defaultRowHeight="15" x14ac:dyDescent="0.25"/>
  <cols>
    <col min="1" max="1" width="28" style="1" customWidth="1"/>
    <col min="2" max="2" width="73.7109375" style="1" customWidth="1"/>
    <col min="3" max="3" width="16" style="1" customWidth="1"/>
    <col min="4" max="4" width="84.140625" style="1" customWidth="1"/>
    <col min="5" max="16384" width="8.7109375" style="1"/>
  </cols>
  <sheetData>
    <row r="1" spans="1:5" ht="15" customHeight="1" thickBot="1" x14ac:dyDescent="0.3">
      <c r="A1" s="66" t="s">
        <v>269</v>
      </c>
      <c r="B1" s="67"/>
      <c r="C1" s="67"/>
      <c r="D1" s="68"/>
    </row>
    <row r="3" spans="1:5" ht="15" customHeight="1" x14ac:dyDescent="0.25">
      <c r="A3" s="3" t="s">
        <v>114</v>
      </c>
      <c r="B3" s="3" t="s">
        <v>115</v>
      </c>
      <c r="C3" s="3" t="s">
        <v>116</v>
      </c>
      <c r="D3" s="3" t="s">
        <v>117</v>
      </c>
    </row>
    <row r="4" spans="1:5" ht="15" customHeight="1" x14ac:dyDescent="0.25">
      <c r="A4" s="8" t="s">
        <v>118</v>
      </c>
      <c r="B4" s="8" t="s">
        <v>119</v>
      </c>
      <c r="C4" s="8" t="s">
        <v>120</v>
      </c>
      <c r="D4" s="8" t="s">
        <v>121</v>
      </c>
    </row>
    <row r="5" spans="1:5" ht="15" customHeight="1" x14ac:dyDescent="0.25">
      <c r="A5" s="8" t="s">
        <v>122</v>
      </c>
      <c r="B5" s="8" t="s">
        <v>123</v>
      </c>
      <c r="C5" s="8" t="s">
        <v>264</v>
      </c>
      <c r="D5" s="8" t="s">
        <v>124</v>
      </c>
    </row>
    <row r="6" spans="1:5" ht="15" customHeight="1" x14ac:dyDescent="0.25">
      <c r="A6" s="8" t="s">
        <v>125</v>
      </c>
      <c r="B6" s="8" t="s">
        <v>126</v>
      </c>
      <c r="C6" s="8" t="s">
        <v>120</v>
      </c>
      <c r="D6" s="8" t="s">
        <v>127</v>
      </c>
    </row>
    <row r="8" spans="1:5" ht="15" customHeight="1" x14ac:dyDescent="0.25">
      <c r="A8" s="69" t="s">
        <v>128</v>
      </c>
      <c r="B8" s="69"/>
      <c r="C8" s="69"/>
      <c r="D8" s="69"/>
    </row>
    <row r="9" spans="1:5" ht="15" customHeight="1" x14ac:dyDescent="0.25">
      <c r="A9" s="3" t="s">
        <v>129</v>
      </c>
      <c r="B9" s="3" t="s">
        <v>130</v>
      </c>
      <c r="C9" s="3" t="s">
        <v>131</v>
      </c>
      <c r="D9" s="3" t="s">
        <v>132</v>
      </c>
    </row>
    <row r="10" spans="1:5" ht="15" customHeight="1" x14ac:dyDescent="0.25">
      <c r="A10" s="12" t="s">
        <v>133</v>
      </c>
      <c r="B10" s="12" t="s">
        <v>48</v>
      </c>
      <c r="C10" s="11">
        <f>COUNTIF(Datos!X3:X66,"Baja")</f>
        <v>10</v>
      </c>
      <c r="D10" s="13">
        <f>C10/C13</f>
        <v>0.15625</v>
      </c>
    </row>
    <row r="11" spans="1:5" ht="15" customHeight="1" x14ac:dyDescent="0.25">
      <c r="A11" s="12" t="s">
        <v>134</v>
      </c>
      <c r="B11" s="12" t="s">
        <v>57</v>
      </c>
      <c r="C11" s="11">
        <f>COUNTIF(Datos!X3:X66,"Media")</f>
        <v>25</v>
      </c>
      <c r="D11" s="13">
        <f>C11/C13</f>
        <v>0.390625</v>
      </c>
      <c r="E11" s="85">
        <f>+D11+D12</f>
        <v>0.84375</v>
      </c>
    </row>
    <row r="12" spans="1:5" ht="15" customHeight="1" x14ac:dyDescent="0.25">
      <c r="A12" s="12" t="s">
        <v>135</v>
      </c>
      <c r="B12" s="12" t="s">
        <v>76</v>
      </c>
      <c r="C12" s="11">
        <f>COUNTIF(Datos!X3:X66,"Alta")</f>
        <v>29</v>
      </c>
      <c r="D12" s="13">
        <f>C12/C13</f>
        <v>0.453125</v>
      </c>
    </row>
    <row r="13" spans="1:5" ht="15" customHeight="1" x14ac:dyDescent="0.25">
      <c r="A13" s="14" t="s">
        <v>136</v>
      </c>
      <c r="C13" s="15">
        <f>SUM(C10:C12)</f>
        <v>64</v>
      </c>
      <c r="D13" s="16">
        <f>SUM(D10:D12)</f>
        <v>1</v>
      </c>
    </row>
    <row r="15" spans="1:5" ht="15" customHeight="1" x14ac:dyDescent="0.25">
      <c r="A15" s="69" t="s">
        <v>137</v>
      </c>
      <c r="B15" s="69"/>
      <c r="C15" s="69"/>
      <c r="D15" s="69"/>
    </row>
    <row r="16" spans="1:5" ht="15" customHeight="1" x14ac:dyDescent="0.25">
      <c r="A16" s="3" t="s">
        <v>138</v>
      </c>
      <c r="B16" s="3" t="s">
        <v>139</v>
      </c>
      <c r="C16" s="3" t="s">
        <v>140</v>
      </c>
      <c r="D16" s="3" t="s">
        <v>141</v>
      </c>
    </row>
    <row r="17" spans="1:4" ht="15" customHeight="1" x14ac:dyDescent="0.25">
      <c r="A17" s="17" t="s">
        <v>265</v>
      </c>
      <c r="B17" s="10">
        <f>COUNT(Datos!W3:W66)</f>
        <v>64</v>
      </c>
      <c r="C17" s="8"/>
      <c r="D17" s="7"/>
    </row>
    <row r="18" spans="1:4" ht="15" customHeight="1" x14ac:dyDescent="0.25">
      <c r="A18" s="83" t="s">
        <v>142</v>
      </c>
      <c r="B18" s="84">
        <f>AVERAGE(Datos!W3:W66)</f>
        <v>3.2914062500000005</v>
      </c>
      <c r="C18" s="8"/>
      <c r="D18" s="7"/>
    </row>
    <row r="19" spans="1:4" ht="15" customHeight="1" x14ac:dyDescent="0.25">
      <c r="A19" s="17" t="s">
        <v>143</v>
      </c>
      <c r="B19" s="10">
        <f>MEDIAN(Datos!W3:W66)</f>
        <v>3.33</v>
      </c>
      <c r="C19" s="8"/>
      <c r="D19" s="7"/>
    </row>
    <row r="20" spans="1:4" ht="15" customHeight="1" x14ac:dyDescent="0.25">
      <c r="A20" s="17" t="s">
        <v>144</v>
      </c>
      <c r="B20" s="10">
        <f>STDEV(Datos!W3:W66)</f>
        <v>0.89167377333616227</v>
      </c>
      <c r="C20" s="8"/>
      <c r="D20" s="7"/>
    </row>
    <row r="21" spans="1:4" ht="15" customHeight="1" x14ac:dyDescent="0.25">
      <c r="A21" s="17" t="s">
        <v>145</v>
      </c>
      <c r="B21" s="10">
        <f>MIN(Datos!W3:W66)</f>
        <v>1</v>
      </c>
      <c r="C21" s="8"/>
      <c r="D21" s="7"/>
    </row>
    <row r="22" spans="1:4" ht="15" customHeight="1" x14ac:dyDescent="0.25">
      <c r="A22" s="17" t="s">
        <v>146</v>
      </c>
      <c r="B22" s="18">
        <f>MAX(Datos!W3:W66)</f>
        <v>5</v>
      </c>
      <c r="C22" s="8"/>
      <c r="D22" s="7"/>
    </row>
    <row r="23" spans="1:4" ht="15" customHeight="1" x14ac:dyDescent="0.25">
      <c r="A23" s="19"/>
      <c r="B23" s="20"/>
      <c r="C23" s="17" t="s">
        <v>118</v>
      </c>
      <c r="D23" s="10">
        <f>AVERAGE(Datos!S3:S66)</f>
        <v>3.796875</v>
      </c>
    </row>
    <row r="24" spans="1:4" ht="15" customHeight="1" x14ac:dyDescent="0.25">
      <c r="A24" s="19"/>
      <c r="B24" s="20"/>
      <c r="C24" s="17" t="s">
        <v>122</v>
      </c>
      <c r="D24" s="10">
        <f>AVERAGE(Datos!U3:U66)</f>
        <v>2.71875</v>
      </c>
    </row>
    <row r="25" spans="1:4" ht="15" customHeight="1" x14ac:dyDescent="0.25">
      <c r="A25" s="19"/>
      <c r="B25" s="20"/>
      <c r="C25" s="17" t="s">
        <v>125</v>
      </c>
      <c r="D25" s="10">
        <f>AVERAGE(Datos!V3:V66)</f>
        <v>3.359375</v>
      </c>
    </row>
  </sheetData>
  <mergeCells count="3">
    <mergeCell ref="A1:D1"/>
    <mergeCell ref="A8:D8"/>
    <mergeCell ref="A15:D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1"/>
  <sheetViews>
    <sheetView showGridLines="0" tabSelected="1" topLeftCell="A103" zoomScaleNormal="100" workbookViewId="0">
      <selection activeCell="C112" sqref="C112"/>
    </sheetView>
  </sheetViews>
  <sheetFormatPr baseColWidth="10" defaultColWidth="8.7109375" defaultRowHeight="15" x14ac:dyDescent="0.25"/>
  <cols>
    <col min="1" max="1" width="50" style="24" customWidth="1"/>
    <col min="2" max="2" width="8" style="24" customWidth="1"/>
    <col min="3" max="3" width="12.42578125" style="24" customWidth="1"/>
    <col min="4" max="4" width="46.140625" style="24" customWidth="1"/>
    <col min="5" max="5" width="10" style="24" customWidth="1"/>
    <col min="6" max="16384" width="8.7109375" style="24"/>
  </cols>
  <sheetData>
    <row r="1" spans="1:4" ht="15" customHeight="1" x14ac:dyDescent="0.25">
      <c r="A1" s="70" t="s">
        <v>270</v>
      </c>
      <c r="B1" s="70"/>
      <c r="C1" s="70"/>
      <c r="D1" s="71"/>
    </row>
    <row r="3" spans="1:4" ht="15" customHeight="1" x14ac:dyDescent="0.25">
      <c r="A3" s="39" t="s">
        <v>147</v>
      </c>
      <c r="B3" s="39"/>
      <c r="C3" s="39"/>
      <c r="D3" s="40"/>
    </row>
    <row r="4" spans="1:4" ht="15" customHeight="1" x14ac:dyDescent="0.25">
      <c r="A4" s="3" t="s">
        <v>148</v>
      </c>
      <c r="B4" s="3" t="s">
        <v>131</v>
      </c>
      <c r="C4" s="3" t="s">
        <v>132</v>
      </c>
    </row>
    <row r="5" spans="1:4" ht="15" customHeight="1" x14ac:dyDescent="0.25">
      <c r="A5" s="25" t="s">
        <v>72</v>
      </c>
      <c r="B5" s="9">
        <f>COUNTIF(Datos!B3:B66,"18 a 34 años")</f>
        <v>23</v>
      </c>
      <c r="C5" s="42">
        <f>IFERROR(B5/$B$9,0)</f>
        <v>0.359375</v>
      </c>
    </row>
    <row r="6" spans="1:4" ht="15" customHeight="1" x14ac:dyDescent="0.25">
      <c r="A6" s="25" t="s">
        <v>52</v>
      </c>
      <c r="B6" s="9">
        <f>COUNTIF(Datos!B3:B66,"35 a 54 años")</f>
        <v>21</v>
      </c>
      <c r="C6" s="42">
        <f>IFERROR(B6/$B$9,0)</f>
        <v>0.328125</v>
      </c>
    </row>
    <row r="7" spans="1:4" ht="15" customHeight="1" x14ac:dyDescent="0.25">
      <c r="A7" s="25" t="s">
        <v>25</v>
      </c>
      <c r="B7" s="9">
        <f>COUNTIF(Datos!B3:B66,"55 años o más")</f>
        <v>20</v>
      </c>
      <c r="C7" s="42">
        <f>IFERROR(B7/$B$9,0)</f>
        <v>0.3125</v>
      </c>
    </row>
    <row r="8" spans="1:4" ht="15" customHeight="1" x14ac:dyDescent="0.25">
      <c r="A8" s="25" t="s">
        <v>149</v>
      </c>
      <c r="B8" s="9">
        <f>COUNTIF(Datos!B3:B66,"Prefiero no decir")</f>
        <v>0</v>
      </c>
      <c r="C8" s="42">
        <f>IFERROR(B8/$B$9,0)</f>
        <v>0</v>
      </c>
    </row>
    <row r="9" spans="1:4" ht="15" customHeight="1" x14ac:dyDescent="0.25">
      <c r="A9" s="14" t="s">
        <v>136</v>
      </c>
      <c r="B9" s="21">
        <f>SUM(B5:B8)</f>
        <v>64</v>
      </c>
      <c r="C9" s="43">
        <f>SUM(C5:C8)</f>
        <v>1</v>
      </c>
    </row>
    <row r="11" spans="1:4" ht="15" customHeight="1" x14ac:dyDescent="0.25">
      <c r="A11" s="72" t="s">
        <v>150</v>
      </c>
      <c r="B11" s="72"/>
      <c r="C11" s="72"/>
      <c r="D11" s="40"/>
    </row>
    <row r="12" spans="1:4" ht="15" customHeight="1" x14ac:dyDescent="0.25">
      <c r="A12" s="3" t="s">
        <v>148</v>
      </c>
      <c r="B12" s="3" t="s">
        <v>131</v>
      </c>
      <c r="C12" s="3" t="s">
        <v>132</v>
      </c>
    </row>
    <row r="13" spans="1:4" ht="15" customHeight="1" x14ac:dyDescent="0.25">
      <c r="A13" s="25" t="s">
        <v>26</v>
      </c>
      <c r="B13" s="9">
        <f>COUNTIF(Datos!C3:C66,"Sin estudios formales")</f>
        <v>8</v>
      </c>
      <c r="C13" s="13">
        <f t="shared" ref="C13:C20" si="0">IFERROR(B13/$B$21,0)</f>
        <v>0.125</v>
      </c>
    </row>
    <row r="14" spans="1:4" ht="15" customHeight="1" x14ac:dyDescent="0.25">
      <c r="A14" s="25" t="s">
        <v>42</v>
      </c>
      <c r="B14" s="9">
        <f>COUNTIF(Datos!C3:C66,"Primaria incompleta")</f>
        <v>4</v>
      </c>
      <c r="C14" s="13">
        <f t="shared" si="0"/>
        <v>6.25E-2</v>
      </c>
    </row>
    <row r="15" spans="1:4" ht="15" customHeight="1" x14ac:dyDescent="0.25">
      <c r="A15" s="25" t="s">
        <v>89</v>
      </c>
      <c r="B15" s="9">
        <f>COUNTIF(Datos!C3:C66,"Primaria completa")</f>
        <v>5</v>
      </c>
      <c r="C15" s="13">
        <f t="shared" si="0"/>
        <v>7.8125E-2</v>
      </c>
    </row>
    <row r="16" spans="1:4" ht="15" customHeight="1" x14ac:dyDescent="0.25">
      <c r="A16" s="25" t="s">
        <v>73</v>
      </c>
      <c r="B16" s="9">
        <f>COUNTIF(Datos!C3:C66,"Bachillerato incompleto (Secundaria)")</f>
        <v>5</v>
      </c>
      <c r="C16" s="13">
        <f t="shared" si="0"/>
        <v>7.8125E-2</v>
      </c>
    </row>
    <row r="17" spans="1:4" ht="15" customHeight="1" x14ac:dyDescent="0.25">
      <c r="A17" s="25" t="s">
        <v>61</v>
      </c>
      <c r="B17" s="9">
        <f>COUNTIF(Datos!C3:C66,"Bachillerato completo (Media)")</f>
        <v>18</v>
      </c>
      <c r="C17" s="13">
        <f t="shared" si="0"/>
        <v>0.28125</v>
      </c>
    </row>
    <row r="18" spans="1:4" ht="15" customHeight="1" x14ac:dyDescent="0.25">
      <c r="A18" s="25" t="s">
        <v>53</v>
      </c>
      <c r="B18" s="9">
        <f>COUNTIF(Datos!C3:C66,"Técnico o Tecnólogo")</f>
        <v>11</v>
      </c>
      <c r="C18" s="13">
        <f t="shared" si="0"/>
        <v>0.171875</v>
      </c>
    </row>
    <row r="19" spans="1:4" ht="15" customHeight="1" x14ac:dyDescent="0.25">
      <c r="A19" s="25" t="s">
        <v>68</v>
      </c>
      <c r="B19" s="9">
        <f>COUNTIF(Datos!C3:C66,"Universitario")</f>
        <v>12</v>
      </c>
      <c r="C19" s="13">
        <f t="shared" si="0"/>
        <v>0.1875</v>
      </c>
    </row>
    <row r="20" spans="1:4" ht="15" customHeight="1" x14ac:dyDescent="0.25">
      <c r="A20" s="25" t="s">
        <v>96</v>
      </c>
      <c r="B20" s="9">
        <f>COUNTIF(Datos!C3:C66,"Postgrado (Especialización, Maestría, Doctorado)")</f>
        <v>1</v>
      </c>
      <c r="C20" s="13">
        <f t="shared" si="0"/>
        <v>1.5625E-2</v>
      </c>
    </row>
    <row r="21" spans="1:4" ht="15" customHeight="1" x14ac:dyDescent="0.25">
      <c r="A21" s="23" t="s">
        <v>136</v>
      </c>
      <c r="B21" s="21">
        <f>SUM(B13:B20)</f>
        <v>64</v>
      </c>
      <c r="C21" s="22">
        <f>SUM(C13:C20)</f>
        <v>1</v>
      </c>
    </row>
    <row r="23" spans="1:4" ht="15" customHeight="1" x14ac:dyDescent="0.25">
      <c r="A23" s="73" t="s">
        <v>151</v>
      </c>
      <c r="B23" s="74"/>
      <c r="C23" s="74"/>
      <c r="D23" s="40"/>
    </row>
    <row r="24" spans="1:4" ht="15" customHeight="1" x14ac:dyDescent="0.25">
      <c r="A24" s="3" t="s">
        <v>148</v>
      </c>
      <c r="B24" s="3" t="s">
        <v>131</v>
      </c>
      <c r="C24" s="3" t="s">
        <v>132</v>
      </c>
    </row>
    <row r="25" spans="1:4" ht="15" customHeight="1" x14ac:dyDescent="0.25">
      <c r="A25" s="25" t="s">
        <v>54</v>
      </c>
      <c r="B25" s="9">
        <f>COUNTIF(Datos!D3:D66,"Hombre")</f>
        <v>30</v>
      </c>
      <c r="C25" s="13">
        <f>IFERROR(B25/$B$28,0)</f>
        <v>0.46875</v>
      </c>
    </row>
    <row r="26" spans="1:4" ht="15" customHeight="1" x14ac:dyDescent="0.25">
      <c r="A26" s="25" t="s">
        <v>27</v>
      </c>
      <c r="B26" s="9">
        <f>COUNTIF(Datos!D3:D66,"Mujer")</f>
        <v>33</v>
      </c>
      <c r="C26" s="13">
        <f>IFERROR(B26/$B$28,0)</f>
        <v>0.515625</v>
      </c>
    </row>
    <row r="27" spans="1:4" ht="15" customHeight="1" x14ac:dyDescent="0.25">
      <c r="A27" s="25" t="s">
        <v>112</v>
      </c>
      <c r="B27" s="9">
        <f>COUNTIF(Datos!D3:D66,"Prefiero no responder")</f>
        <v>1</v>
      </c>
      <c r="C27" s="13">
        <f>IFERROR(B27/$B$28,0)</f>
        <v>1.5625E-2</v>
      </c>
    </row>
    <row r="28" spans="1:4" ht="15" customHeight="1" x14ac:dyDescent="0.25">
      <c r="A28" s="23" t="s">
        <v>136</v>
      </c>
      <c r="B28" s="21">
        <f>SUM(B25:B27)</f>
        <v>64</v>
      </c>
      <c r="C28" s="22">
        <f>SUM(C25:C27)</f>
        <v>1</v>
      </c>
    </row>
    <row r="30" spans="1:4" ht="15" customHeight="1" x14ac:dyDescent="0.25">
      <c r="A30" s="75" t="s">
        <v>152</v>
      </c>
      <c r="B30" s="75"/>
      <c r="C30" s="75"/>
      <c r="D30" s="40"/>
    </row>
    <row r="31" spans="1:4" ht="15" customHeight="1" x14ac:dyDescent="0.25">
      <c r="A31" s="2" t="s">
        <v>148</v>
      </c>
      <c r="B31" s="2" t="s">
        <v>131</v>
      </c>
      <c r="C31" s="2" t="s">
        <v>132</v>
      </c>
    </row>
    <row r="32" spans="1:4" ht="15" customHeight="1" x14ac:dyDescent="0.25">
      <c r="A32" s="25" t="s">
        <v>97</v>
      </c>
      <c r="B32" s="9">
        <f>COUNTIF(Datos!E3:E66,"Menos de 2 años")</f>
        <v>9</v>
      </c>
      <c r="C32" s="13">
        <f>IFERROR(B32/$B$35,0)</f>
        <v>0.140625</v>
      </c>
    </row>
    <row r="33" spans="1:4" ht="15" customHeight="1" x14ac:dyDescent="0.25">
      <c r="A33" s="25" t="s">
        <v>78</v>
      </c>
      <c r="B33" s="9">
        <f>COUNTIF(Datos!E3:E66,"2 a 10 años")</f>
        <v>26</v>
      </c>
      <c r="C33" s="13">
        <f>IFERROR(B33/$B$35,0)</f>
        <v>0.40625</v>
      </c>
    </row>
    <row r="34" spans="1:4" ht="15" customHeight="1" x14ac:dyDescent="0.25">
      <c r="A34" s="25" t="s">
        <v>28</v>
      </c>
      <c r="B34" s="9">
        <f>COUNTIF(Datos!E3:E66,"Más de 10 años")</f>
        <v>29</v>
      </c>
      <c r="C34" s="13">
        <f>IFERROR(B34/$B$35,0)</f>
        <v>0.453125</v>
      </c>
    </row>
    <row r="35" spans="1:4" ht="15" customHeight="1" x14ac:dyDescent="0.25">
      <c r="A35" s="14" t="s">
        <v>136</v>
      </c>
      <c r="B35" s="21">
        <f>SUM(B32:B34)</f>
        <v>64</v>
      </c>
      <c r="C35" s="22">
        <f>SUM(C32:C34)</f>
        <v>1</v>
      </c>
    </row>
    <row r="37" spans="1:4" ht="15" customHeight="1" x14ac:dyDescent="0.25">
      <c r="A37" s="76" t="s">
        <v>153</v>
      </c>
      <c r="B37" s="77"/>
      <c r="C37" s="77"/>
      <c r="D37" s="40"/>
    </row>
    <row r="38" spans="1:4" ht="15" customHeight="1" x14ac:dyDescent="0.25">
      <c r="A38" s="23" t="s">
        <v>148</v>
      </c>
      <c r="B38" s="23" t="s">
        <v>131</v>
      </c>
      <c r="C38" s="23" t="s">
        <v>132</v>
      </c>
    </row>
    <row r="39" spans="1:4" ht="15" customHeight="1" x14ac:dyDescent="0.25">
      <c r="A39" s="25" t="s">
        <v>43</v>
      </c>
      <c r="B39" s="9">
        <f>COUNTIF(Datos!F3:F66,"Dueño / Propietario")</f>
        <v>28</v>
      </c>
      <c r="C39" s="13">
        <f>IFERROR(B39/$B$42,0)</f>
        <v>0.4375</v>
      </c>
    </row>
    <row r="40" spans="1:4" ht="15" customHeight="1" x14ac:dyDescent="0.25">
      <c r="A40" s="25" t="s">
        <v>29</v>
      </c>
      <c r="B40" s="9">
        <f>COUNTIF(Datos!F3:F66,"Empleado / Administrador")</f>
        <v>36</v>
      </c>
      <c r="C40" s="13">
        <f>IFERROR(B40/$B$42,0)</f>
        <v>0.5625</v>
      </c>
    </row>
    <row r="41" spans="1:4" ht="15" customHeight="1" x14ac:dyDescent="0.25">
      <c r="A41" s="25" t="s">
        <v>154</v>
      </c>
      <c r="B41" s="9">
        <f>COUNTIF(Datos!F3:F66,"Ayudante ocasional")</f>
        <v>0</v>
      </c>
      <c r="C41" s="13">
        <f>IFERROR(B41/$B$42,0)</f>
        <v>0</v>
      </c>
    </row>
    <row r="42" spans="1:4" ht="15" customHeight="1" x14ac:dyDescent="0.25">
      <c r="A42" s="23" t="s">
        <v>136</v>
      </c>
      <c r="B42" s="21">
        <f>SUM(B39:B41)</f>
        <v>64</v>
      </c>
      <c r="C42" s="22">
        <f>SUM(C39:C41)</f>
        <v>1</v>
      </c>
    </row>
    <row r="44" spans="1:4" ht="15" customHeight="1" x14ac:dyDescent="0.25">
      <c r="A44" s="76" t="s">
        <v>155</v>
      </c>
      <c r="B44" s="77"/>
      <c r="C44" s="77"/>
      <c r="D44" s="40"/>
    </row>
    <row r="45" spans="1:4" ht="15" customHeight="1" x14ac:dyDescent="0.25">
      <c r="A45" s="23" t="s">
        <v>148</v>
      </c>
      <c r="B45" s="23" t="s">
        <v>131</v>
      </c>
      <c r="C45" s="23" t="s">
        <v>132</v>
      </c>
    </row>
    <row r="46" spans="1:4" ht="15" customHeight="1" x14ac:dyDescent="0.25">
      <c r="A46" s="25" t="s">
        <v>30</v>
      </c>
      <c r="B46" s="9">
        <f>COUNTIF(Datos!G3:G66,"Frutas y verduras")</f>
        <v>18</v>
      </c>
      <c r="C46" s="13">
        <f t="shared" ref="C46:C51" si="1">IFERROR(B46/$B$52,0)</f>
        <v>0.28125</v>
      </c>
    </row>
    <row r="47" spans="1:4" ht="15" customHeight="1" x14ac:dyDescent="0.25">
      <c r="A47" s="25" t="s">
        <v>80</v>
      </c>
      <c r="B47" s="9">
        <f>COUNTIF(Datos!G3:G66,"Carnes o pescados")</f>
        <v>9</v>
      </c>
      <c r="C47" s="13">
        <f t="shared" si="1"/>
        <v>0.140625</v>
      </c>
    </row>
    <row r="48" spans="1:4" ht="15" customHeight="1" x14ac:dyDescent="0.25">
      <c r="A48" s="25" t="s">
        <v>79</v>
      </c>
      <c r="B48" s="9">
        <f>COUNTIF(Datos!G3:G66,"Abarrotes / víveres")</f>
        <v>10</v>
      </c>
      <c r="C48" s="13">
        <f t="shared" si="1"/>
        <v>0.15625</v>
      </c>
    </row>
    <row r="49" spans="1:4" ht="15" customHeight="1" x14ac:dyDescent="0.25">
      <c r="A49" s="25" t="s">
        <v>65</v>
      </c>
      <c r="B49" s="9">
        <f>COUNTIF(Datos!G3:G66,"Restaurante / Comidas preparadas")</f>
        <v>7</v>
      </c>
      <c r="C49" s="13">
        <f t="shared" si="1"/>
        <v>0.109375</v>
      </c>
    </row>
    <row r="50" spans="1:4" ht="15" customHeight="1" x14ac:dyDescent="0.25">
      <c r="A50" s="25" t="s">
        <v>92</v>
      </c>
      <c r="B50" s="9">
        <f>COUNTIF(Datos!G3:G66,"Flores")</f>
        <v>11</v>
      </c>
      <c r="C50" s="13">
        <f t="shared" si="1"/>
        <v>0.171875</v>
      </c>
    </row>
    <row r="51" spans="1:4" ht="15" customHeight="1" x14ac:dyDescent="0.25">
      <c r="A51" s="25" t="s">
        <v>98</v>
      </c>
      <c r="B51" s="9">
        <f>COUNTIF(Datos!G3:G66,"Otro")</f>
        <v>9</v>
      </c>
      <c r="C51" s="13">
        <f t="shared" si="1"/>
        <v>0.140625</v>
      </c>
    </row>
    <row r="52" spans="1:4" ht="15" customHeight="1" x14ac:dyDescent="0.25">
      <c r="A52" s="23" t="s">
        <v>136</v>
      </c>
      <c r="B52" s="21">
        <f>SUM(B46:B51)</f>
        <v>64</v>
      </c>
      <c r="C52" s="22">
        <f>SUM(C46:C51)</f>
        <v>1</v>
      </c>
    </row>
    <row r="54" spans="1:4" ht="15" customHeight="1" x14ac:dyDescent="0.25">
      <c r="A54" s="78" t="s">
        <v>156</v>
      </c>
      <c r="B54" s="78"/>
      <c r="C54" s="78"/>
      <c r="D54" s="40"/>
    </row>
    <row r="55" spans="1:4" ht="15" customHeight="1" x14ac:dyDescent="0.25">
      <c r="A55" s="41" t="s">
        <v>148</v>
      </c>
      <c r="B55" s="41" t="s">
        <v>131</v>
      </c>
      <c r="C55" s="41" t="s">
        <v>132</v>
      </c>
    </row>
    <row r="56" spans="1:4" ht="15" customHeight="1" x14ac:dyDescent="0.25">
      <c r="A56" s="25" t="s">
        <v>100</v>
      </c>
      <c r="B56" s="9">
        <f>COUNTIF(Datos!H3:H66,"Pagos digitales")</f>
        <v>4</v>
      </c>
      <c r="C56" s="13">
        <f>IFERROR(B56/$B$59,0)</f>
        <v>6.25E-2</v>
      </c>
    </row>
    <row r="57" spans="1:4" ht="15" customHeight="1" x14ac:dyDescent="0.25">
      <c r="A57" s="25" t="s">
        <v>93</v>
      </c>
      <c r="B57" s="9">
        <f>COUNTIF(Datos!H3:H66,"Efectivo")</f>
        <v>4</v>
      </c>
      <c r="C57" s="13">
        <f>IFERROR(B57/$B$59,0)</f>
        <v>6.25E-2</v>
      </c>
    </row>
    <row r="58" spans="1:4" ht="15" customHeight="1" x14ac:dyDescent="0.25">
      <c r="A58" s="25" t="s">
        <v>31</v>
      </c>
      <c r="B58" s="9">
        <f>COUNTIF(Datos!H3:H66,"Todas las anteriores")</f>
        <v>56</v>
      </c>
      <c r="C58" s="88">
        <f>IFERROR(B58/$B$59,0)</f>
        <v>0.875</v>
      </c>
    </row>
    <row r="59" spans="1:4" ht="15" customHeight="1" x14ac:dyDescent="0.25">
      <c r="A59" s="23" t="s">
        <v>136</v>
      </c>
      <c r="B59" s="21">
        <f>SUM(B56:B58)</f>
        <v>64</v>
      </c>
      <c r="C59" s="22">
        <f>SUM(C56:C58)</f>
        <v>1</v>
      </c>
    </row>
    <row r="61" spans="1:4" ht="15" customHeight="1" x14ac:dyDescent="0.25">
      <c r="A61" s="76" t="s">
        <v>157</v>
      </c>
      <c r="B61" s="77"/>
      <c r="C61" s="77"/>
      <c r="D61" s="40"/>
    </row>
    <row r="62" spans="1:4" ht="15" customHeight="1" x14ac:dyDescent="0.25">
      <c r="A62" s="23" t="s">
        <v>148</v>
      </c>
      <c r="B62" s="23" t="s">
        <v>131</v>
      </c>
      <c r="C62" s="23" t="s">
        <v>132</v>
      </c>
    </row>
    <row r="63" spans="1:4" ht="15" customHeight="1" x14ac:dyDescent="0.25">
      <c r="A63" s="25" t="s">
        <v>158</v>
      </c>
      <c r="B63" s="9">
        <f>COUNTIF(Datos!J3:J66,"Es más rápido al momento de cobrar")</f>
        <v>0</v>
      </c>
      <c r="C63" s="13">
        <f t="shared" ref="C63:C68" si="2">IFERROR(B63/$B$69,0)</f>
        <v>0</v>
      </c>
    </row>
    <row r="64" spans="1:4" ht="15" customHeight="1" x14ac:dyDescent="0.25">
      <c r="A64" s="25" t="s">
        <v>56</v>
      </c>
      <c r="B64" s="9">
        <f>COUNTIF(Datos!J3:J66,"No genera costos adicionales (comisiones, retenciones, internet)")</f>
        <v>16</v>
      </c>
      <c r="C64" s="13">
        <f t="shared" si="2"/>
        <v>0.41025641025641024</v>
      </c>
    </row>
    <row r="65" spans="1:4" ht="15" customHeight="1" x14ac:dyDescent="0.25">
      <c r="A65" s="25" t="s">
        <v>94</v>
      </c>
      <c r="B65" s="9">
        <f>COUNTIF(Datos!J3:J66,"No confío en los pagos digitales")</f>
        <v>4</v>
      </c>
      <c r="C65" s="13">
        <f t="shared" si="2"/>
        <v>0.10256410256410256</v>
      </c>
    </row>
    <row r="66" spans="1:4" ht="15" customHeight="1" x14ac:dyDescent="0.25">
      <c r="A66" s="25" t="s">
        <v>67</v>
      </c>
      <c r="B66" s="9">
        <f>COUNTIF(Datos!J3:J66,"No tengo conocimiento suficiente sobre cómo usarlos")</f>
        <v>2</v>
      </c>
      <c r="C66" s="13">
        <f t="shared" si="2"/>
        <v>5.128205128205128E-2</v>
      </c>
    </row>
    <row r="67" spans="1:4" ht="15" customHeight="1" x14ac:dyDescent="0.25">
      <c r="A67" s="25" t="s">
        <v>109</v>
      </c>
      <c r="B67" s="9">
        <f>COUNTIF(Datos!J3:J66,"No cuento con la tecnología necesaria (datáfono, internet, celular)")</f>
        <v>1</v>
      </c>
      <c r="C67" s="13">
        <f t="shared" si="2"/>
        <v>2.564102564102564E-2</v>
      </c>
    </row>
    <row r="68" spans="1:4" ht="15" customHeight="1" x14ac:dyDescent="0.25">
      <c r="A68" s="25" t="s">
        <v>75</v>
      </c>
      <c r="B68" s="9">
        <f>COUNTIF(Datos!J3:J66,"Mis clientes me lo piden o lo prefieren")</f>
        <v>16</v>
      </c>
      <c r="C68" s="13">
        <f t="shared" si="2"/>
        <v>0.41025641025641024</v>
      </c>
    </row>
    <row r="69" spans="1:4" ht="15" customHeight="1" x14ac:dyDescent="0.25">
      <c r="A69" s="23" t="s">
        <v>136</v>
      </c>
      <c r="B69" s="21">
        <f>SUM(B63:B68)</f>
        <v>39</v>
      </c>
      <c r="C69" s="22">
        <f>SUM(C63:C68)</f>
        <v>1</v>
      </c>
    </row>
    <row r="71" spans="1:4" ht="15" customHeight="1" x14ac:dyDescent="0.25">
      <c r="A71" s="79" t="s">
        <v>159</v>
      </c>
      <c r="B71" s="80"/>
      <c r="C71" s="80"/>
      <c r="D71" s="40"/>
    </row>
    <row r="72" spans="1:4" ht="15" customHeight="1" x14ac:dyDescent="0.25">
      <c r="A72" s="23" t="s">
        <v>148</v>
      </c>
      <c r="B72" s="23" t="s">
        <v>131</v>
      </c>
      <c r="C72" s="23" t="s">
        <v>132</v>
      </c>
    </row>
    <row r="73" spans="1:4" ht="15" customHeight="1" x14ac:dyDescent="0.25">
      <c r="A73" s="25" t="s">
        <v>34</v>
      </c>
      <c r="B73" s="9">
        <f>COUNTIF(Datos!K3:K66,"Siempre")</f>
        <v>18</v>
      </c>
      <c r="C73" s="13">
        <f>IFERROR(B73/$B$78,0)</f>
        <v>0.28125</v>
      </c>
    </row>
    <row r="74" spans="1:4" ht="15" customHeight="1" x14ac:dyDescent="0.25">
      <c r="A74" s="25" t="s">
        <v>69</v>
      </c>
      <c r="B74" s="9">
        <f>COUNTIF(Datos!K3:K66,"Casi siempre")</f>
        <v>23</v>
      </c>
      <c r="C74" s="13">
        <f>IFERROR(B74/$B$78,0)</f>
        <v>0.359375</v>
      </c>
    </row>
    <row r="75" spans="1:4" ht="15" customHeight="1" x14ac:dyDescent="0.25">
      <c r="A75" s="25" t="s">
        <v>45</v>
      </c>
      <c r="B75" s="9">
        <f>COUNTIF(Datos!K3:K66,"A veces")</f>
        <v>19</v>
      </c>
      <c r="C75" s="13">
        <f>IFERROR(B75/$B$78,0)</f>
        <v>0.296875</v>
      </c>
    </row>
    <row r="76" spans="1:4" ht="15" customHeight="1" x14ac:dyDescent="0.25">
      <c r="A76" s="25" t="s">
        <v>160</v>
      </c>
      <c r="B76" s="9">
        <f>COUNTIF(Datos!K3:K66,"Casi nunca")</f>
        <v>0</v>
      </c>
      <c r="C76" s="13">
        <f>IFERROR(B76/$B$78,0)</f>
        <v>0</v>
      </c>
    </row>
    <row r="77" spans="1:4" ht="15" customHeight="1" x14ac:dyDescent="0.25">
      <c r="A77" s="25" t="s">
        <v>85</v>
      </c>
      <c r="B77" s="9">
        <f>COUNTIF(Datos!K3:K66,"Nunca")</f>
        <v>4</v>
      </c>
      <c r="C77" s="13">
        <f>IFERROR(B77/$B$78,0)</f>
        <v>6.25E-2</v>
      </c>
    </row>
    <row r="78" spans="1:4" ht="15" customHeight="1" x14ac:dyDescent="0.25">
      <c r="A78" s="23" t="s">
        <v>136</v>
      </c>
      <c r="B78" s="21">
        <f>SUM(B73:B77)</f>
        <v>64</v>
      </c>
      <c r="C78" s="22">
        <f>SUM(C73:C77)</f>
        <v>1</v>
      </c>
    </row>
    <row r="80" spans="1:4" ht="15" customHeight="1" x14ac:dyDescent="0.25">
      <c r="A80" s="76" t="s">
        <v>161</v>
      </c>
      <c r="B80" s="77"/>
      <c r="C80" s="77"/>
      <c r="D80" s="40"/>
    </row>
    <row r="81" spans="1:4" ht="15" customHeight="1" x14ac:dyDescent="0.25">
      <c r="A81" s="23" t="s">
        <v>148</v>
      </c>
      <c r="B81" s="23" t="s">
        <v>131</v>
      </c>
      <c r="C81" s="23" t="s">
        <v>132</v>
      </c>
    </row>
    <row r="82" spans="1:4" ht="15" customHeight="1" x14ac:dyDescent="0.25">
      <c r="A82" s="25" t="s">
        <v>102</v>
      </c>
      <c r="B82" s="9">
        <f>COUNTIF(Datos!L3:L66,"Todo o casi todo digital")</f>
        <v>1</v>
      </c>
      <c r="C82" s="13">
        <f>IFERROR(B82/$B$87,0)</f>
        <v>1.5625E-2</v>
      </c>
    </row>
    <row r="83" spans="1:4" ht="15" customHeight="1" x14ac:dyDescent="0.25">
      <c r="A83" s="25" t="s">
        <v>35</v>
      </c>
      <c r="B83" s="38">
        <f>COUNTIF(Datos!L3:L66,"Más digital que efectivo")</f>
        <v>11</v>
      </c>
      <c r="C83" s="42">
        <f>IFERROR(B83/$B$87,0)</f>
        <v>0.171875</v>
      </c>
    </row>
    <row r="84" spans="1:4" ht="15" customHeight="1" x14ac:dyDescent="0.25">
      <c r="A84" s="25" t="s">
        <v>63</v>
      </c>
      <c r="B84" s="9">
        <f>COUNTIF(Datos!L3:L66,"Ambos por igual (50/50)")</f>
        <v>29</v>
      </c>
      <c r="C84" s="13">
        <f>IFERROR(B84/$B$87,0)</f>
        <v>0.453125</v>
      </c>
      <c r="D84" s="87">
        <f>+C84+C85+C86</f>
        <v>0.8125</v>
      </c>
    </row>
    <row r="85" spans="1:4" ht="15" customHeight="1" x14ac:dyDescent="0.25">
      <c r="A85" s="25" t="s">
        <v>46</v>
      </c>
      <c r="B85" s="9">
        <f>COUNTIF(Datos!L3:L66,"Más efectivo que digital")</f>
        <v>19</v>
      </c>
      <c r="C85" s="13">
        <f>IFERROR(B85/$B$87,0)</f>
        <v>0.296875</v>
      </c>
    </row>
    <row r="86" spans="1:4" ht="15" customHeight="1" x14ac:dyDescent="0.25">
      <c r="A86" s="25" t="s">
        <v>86</v>
      </c>
      <c r="B86" s="9">
        <f>COUNTIF(Datos!L3:L66,"Todo o casi todo en efectivo")</f>
        <v>4</v>
      </c>
      <c r="C86" s="86">
        <f>IFERROR(B86/$B$87,0)</f>
        <v>6.25E-2</v>
      </c>
    </row>
    <row r="87" spans="1:4" ht="15" customHeight="1" x14ac:dyDescent="0.25">
      <c r="A87" s="23" t="s">
        <v>136</v>
      </c>
      <c r="B87" s="21">
        <f>SUM(B82:B86)</f>
        <v>64</v>
      </c>
      <c r="C87" s="22">
        <f>SUM(C82:C86)</f>
        <v>1</v>
      </c>
    </row>
    <row r="89" spans="1:4" ht="15" customHeight="1" x14ac:dyDescent="0.25">
      <c r="A89" s="76" t="s">
        <v>162</v>
      </c>
      <c r="B89" s="77"/>
      <c r="C89" s="77"/>
      <c r="D89" s="40"/>
    </row>
    <row r="90" spans="1:4" ht="15" customHeight="1" x14ac:dyDescent="0.25">
      <c r="A90" s="23" t="s">
        <v>148</v>
      </c>
      <c r="B90" s="23" t="s">
        <v>131</v>
      </c>
      <c r="C90" s="23" t="s">
        <v>132</v>
      </c>
    </row>
    <row r="91" spans="1:4" ht="15" customHeight="1" x14ac:dyDescent="0.25">
      <c r="A91" s="25" t="s">
        <v>38</v>
      </c>
      <c r="B91" s="9">
        <f>COUNTIF(Datos!M3:M66,"Muy probable")</f>
        <v>19</v>
      </c>
      <c r="C91" s="13">
        <f>IFERROR(B91/$B$96,0)</f>
        <v>0.296875</v>
      </c>
    </row>
    <row r="92" spans="1:4" ht="15" customHeight="1" x14ac:dyDescent="0.25">
      <c r="A92" s="25" t="s">
        <v>36</v>
      </c>
      <c r="B92" s="9">
        <f>COUNTIF(Datos!M3:M66,"Probable")</f>
        <v>12</v>
      </c>
      <c r="C92" s="13">
        <f>IFERROR(B92/$B$96,0)</f>
        <v>0.1875</v>
      </c>
    </row>
    <row r="93" spans="1:4" ht="15" customHeight="1" x14ac:dyDescent="0.25">
      <c r="A93" s="25" t="s">
        <v>82</v>
      </c>
      <c r="B93" s="9">
        <f>COUNTIF(Datos!M3:M66,"Moderadamente probable")</f>
        <v>14</v>
      </c>
      <c r="C93" s="13">
        <f>IFERROR(B93/$B$96,0)</f>
        <v>0.21875</v>
      </c>
    </row>
    <row r="94" spans="1:4" ht="15" customHeight="1" x14ac:dyDescent="0.25">
      <c r="A94" s="25" t="s">
        <v>47</v>
      </c>
      <c r="B94" s="9">
        <f>COUNTIF(Datos!M3:M66,"Improbable")</f>
        <v>11</v>
      </c>
      <c r="C94" s="13">
        <f>IFERROR(B94/$B$96,0)</f>
        <v>0.171875</v>
      </c>
    </row>
    <row r="95" spans="1:4" ht="15" customHeight="1" x14ac:dyDescent="0.25">
      <c r="A95" s="25" t="s">
        <v>87</v>
      </c>
      <c r="B95" s="9">
        <f>COUNTIF(Datos!M3:M66,"Muy improbable")</f>
        <v>8</v>
      </c>
      <c r="C95" s="13">
        <f>IFERROR(B95/$B$96,0)</f>
        <v>0.125</v>
      </c>
    </row>
    <row r="96" spans="1:4" ht="15" customHeight="1" x14ac:dyDescent="0.25">
      <c r="A96" s="23" t="s">
        <v>136</v>
      </c>
      <c r="B96" s="21">
        <f>SUM(B91:B95)</f>
        <v>64</v>
      </c>
      <c r="C96" s="22">
        <f>SUM(C91:C95)</f>
        <v>1</v>
      </c>
    </row>
    <row r="98" spans="1:4" ht="15" customHeight="1" x14ac:dyDescent="0.25">
      <c r="A98" s="76" t="s">
        <v>163</v>
      </c>
      <c r="B98" s="77"/>
      <c r="C98" s="77"/>
      <c r="D98" s="40"/>
    </row>
    <row r="99" spans="1:4" ht="15" customHeight="1" x14ac:dyDescent="0.25">
      <c r="A99" s="23" t="s">
        <v>148</v>
      </c>
      <c r="B99" s="23" t="s">
        <v>131</v>
      </c>
      <c r="C99" s="23" t="s">
        <v>132</v>
      </c>
    </row>
    <row r="100" spans="1:4" ht="15" customHeight="1" x14ac:dyDescent="0.25">
      <c r="A100" s="25" t="s">
        <v>37</v>
      </c>
      <c r="B100" s="9">
        <f>COUNTIF(Datos!N3:N66,"Muy Alta")</f>
        <v>7</v>
      </c>
      <c r="C100" s="13">
        <f>IFERROR(B100/$B$105,0)</f>
        <v>0.109375</v>
      </c>
    </row>
    <row r="101" spans="1:4" ht="15" customHeight="1" x14ac:dyDescent="0.25">
      <c r="A101" s="25" t="s">
        <v>76</v>
      </c>
      <c r="B101" s="9">
        <f>COUNTIF(Datos!N3:N66,"Alta")</f>
        <v>12</v>
      </c>
      <c r="C101" s="13">
        <f>IFERROR(B101/$B$105,0)</f>
        <v>0.1875</v>
      </c>
    </row>
    <row r="102" spans="1:4" ht="15" customHeight="1" x14ac:dyDescent="0.25">
      <c r="A102" s="25" t="s">
        <v>57</v>
      </c>
      <c r="B102" s="9">
        <f>COUNTIF(Datos!N3:N66,"Media")</f>
        <v>29</v>
      </c>
      <c r="C102" s="13">
        <f>IFERROR(B102/$B$105,0)</f>
        <v>0.453125</v>
      </c>
    </row>
    <row r="103" spans="1:4" ht="15" customHeight="1" x14ac:dyDescent="0.25">
      <c r="A103" s="25" t="s">
        <v>48</v>
      </c>
      <c r="B103" s="9">
        <f>COUNTIF(Datos!N3:N66,"Baja")</f>
        <v>13</v>
      </c>
      <c r="C103" s="13">
        <f>IFERROR(B103/$B$105,0)</f>
        <v>0.203125</v>
      </c>
    </row>
    <row r="104" spans="1:4" ht="15" customHeight="1" x14ac:dyDescent="0.25">
      <c r="A104" s="30" t="s">
        <v>88</v>
      </c>
      <c r="B104" s="9">
        <f>COUNTIF(Datos!N3:N66,"Muy Baja")</f>
        <v>3</v>
      </c>
      <c r="C104" s="13">
        <f>IFERROR(B104/$B$105,0)</f>
        <v>4.6875E-2</v>
      </c>
    </row>
    <row r="105" spans="1:4" ht="15" customHeight="1" x14ac:dyDescent="0.25">
      <c r="A105" s="26" t="s">
        <v>136</v>
      </c>
      <c r="B105" s="21">
        <f>SUM(B100:B104)</f>
        <v>64</v>
      </c>
      <c r="C105" s="22">
        <f>SUM(C100:C104)</f>
        <v>1</v>
      </c>
    </row>
    <row r="107" spans="1:4" ht="15" customHeight="1" x14ac:dyDescent="0.25">
      <c r="A107" s="76" t="s">
        <v>164</v>
      </c>
      <c r="B107" s="77"/>
      <c r="C107" s="77"/>
      <c r="D107" s="40"/>
    </row>
    <row r="108" spans="1:4" ht="15" customHeight="1" x14ac:dyDescent="0.25">
      <c r="A108" s="23" t="s">
        <v>148</v>
      </c>
      <c r="B108" s="23" t="s">
        <v>131</v>
      </c>
      <c r="C108" s="23" t="s">
        <v>132</v>
      </c>
    </row>
    <row r="109" spans="1:4" ht="15" customHeight="1" x14ac:dyDescent="0.25">
      <c r="A109" s="25" t="s">
        <v>38</v>
      </c>
      <c r="B109" s="9">
        <f>COUNTIF(Datos!O3:O66,"Muy probable")</f>
        <v>39</v>
      </c>
      <c r="C109" s="13">
        <f>IFERROR(B109/$B$114,0)</f>
        <v>0.609375</v>
      </c>
    </row>
    <row r="110" spans="1:4" ht="15" customHeight="1" x14ac:dyDescent="0.25">
      <c r="A110" s="25" t="s">
        <v>36</v>
      </c>
      <c r="B110" s="9">
        <f>COUNTIF(Datos!O3:O66,"Probable")</f>
        <v>13</v>
      </c>
      <c r="C110" s="13">
        <f>IFERROR(B110/$B$114,0)</f>
        <v>0.203125</v>
      </c>
    </row>
    <row r="111" spans="1:4" ht="15" customHeight="1" x14ac:dyDescent="0.25">
      <c r="A111" s="25" t="s">
        <v>82</v>
      </c>
      <c r="B111" s="9">
        <f>COUNTIF(Datos!O3:O66,"Moderadamente probable")</f>
        <v>7</v>
      </c>
      <c r="C111" s="13">
        <f>IFERROR(B111/$B$114,0)</f>
        <v>0.109375</v>
      </c>
    </row>
    <row r="112" spans="1:4" ht="15" customHeight="1" x14ac:dyDescent="0.25">
      <c r="A112" s="25" t="s">
        <v>47</v>
      </c>
      <c r="B112" s="9">
        <f>COUNTIF(Datos!O3:O66,"Improbable")</f>
        <v>4</v>
      </c>
      <c r="C112" s="42">
        <f>IFERROR(B112/$B$114,0)</f>
        <v>6.25E-2</v>
      </c>
    </row>
    <row r="113" spans="1:4" ht="15" customHeight="1" x14ac:dyDescent="0.25">
      <c r="A113" s="25" t="s">
        <v>87</v>
      </c>
      <c r="B113" s="9">
        <f>COUNTIF(Datos!O3:O66,"Muy improbable")</f>
        <v>1</v>
      </c>
      <c r="C113" s="13">
        <f>IFERROR(B113/$B$114,0)</f>
        <v>1.5625E-2</v>
      </c>
    </row>
    <row r="114" spans="1:4" ht="15" customHeight="1" x14ac:dyDescent="0.25">
      <c r="A114" s="23" t="s">
        <v>136</v>
      </c>
      <c r="B114" s="21">
        <f>SUM(B109:B113)</f>
        <v>64</v>
      </c>
      <c r="C114" s="22">
        <f>SUM(C109:C113)</f>
        <v>1</v>
      </c>
    </row>
    <row r="116" spans="1:4" ht="15" customHeight="1" x14ac:dyDescent="0.25">
      <c r="A116" s="76" t="s">
        <v>165</v>
      </c>
      <c r="B116" s="77"/>
      <c r="C116" s="77"/>
      <c r="D116" s="40"/>
    </row>
    <row r="117" spans="1:4" ht="15" customHeight="1" x14ac:dyDescent="0.25">
      <c r="A117" s="23" t="s">
        <v>148</v>
      </c>
      <c r="B117" s="23" t="s">
        <v>131</v>
      </c>
      <c r="C117" s="23" t="s">
        <v>132</v>
      </c>
    </row>
    <row r="118" spans="1:4" ht="15" customHeight="1" x14ac:dyDescent="0.25">
      <c r="A118" s="25" t="s">
        <v>59</v>
      </c>
      <c r="B118" s="9">
        <f>COUNTIF(Datos!Q3:Q66,"Muy fácil")</f>
        <v>14</v>
      </c>
      <c r="C118" s="13">
        <f>IFERROR(B118/$B$123,0)</f>
        <v>0.21875</v>
      </c>
    </row>
    <row r="119" spans="1:4" ht="15" customHeight="1" x14ac:dyDescent="0.25">
      <c r="A119" s="25" t="s">
        <v>64</v>
      </c>
      <c r="B119" s="9">
        <f>COUNTIF(Datos!Q3:Q66,"Fácil")</f>
        <v>21</v>
      </c>
      <c r="C119" s="13">
        <f>IFERROR(B119/$B$123,0)</f>
        <v>0.328125</v>
      </c>
    </row>
    <row r="120" spans="1:4" ht="15" customHeight="1" x14ac:dyDescent="0.25">
      <c r="A120" s="25" t="s">
        <v>40</v>
      </c>
      <c r="B120" s="9">
        <f>COUNTIF(Datos!Q3:Q66,"Moderada")</f>
        <v>17</v>
      </c>
      <c r="C120" s="13">
        <f>IFERROR(B120/$B$123,0)</f>
        <v>0.265625</v>
      </c>
    </row>
    <row r="121" spans="1:4" ht="15" customHeight="1" x14ac:dyDescent="0.25">
      <c r="A121" s="25" t="s">
        <v>83</v>
      </c>
      <c r="B121" s="9">
        <f>COUNTIF(Datos!Q3:Q66,"Difícil")</f>
        <v>7</v>
      </c>
      <c r="C121" s="13">
        <f>IFERROR(B121/$B$123,0)</f>
        <v>0.109375</v>
      </c>
    </row>
    <row r="122" spans="1:4" ht="15" customHeight="1" x14ac:dyDescent="0.25">
      <c r="A122" s="25" t="s">
        <v>50</v>
      </c>
      <c r="B122" s="9">
        <f>COUNTIF(Datos!Q3:Q66,"Muy difícil")</f>
        <v>5</v>
      </c>
      <c r="C122" s="13">
        <f>IFERROR(B122/$B$123,0)</f>
        <v>7.8125E-2</v>
      </c>
    </row>
    <row r="123" spans="1:4" ht="15" customHeight="1" x14ac:dyDescent="0.25">
      <c r="A123" s="23" t="s">
        <v>136</v>
      </c>
      <c r="B123" s="21">
        <f>SUM(B118:B122)</f>
        <v>64</v>
      </c>
      <c r="C123" s="22">
        <f>SUM(C118:C122)</f>
        <v>1</v>
      </c>
    </row>
    <row r="125" spans="1:4" ht="15" customHeight="1" x14ac:dyDescent="0.25">
      <c r="A125" s="76" t="s">
        <v>166</v>
      </c>
      <c r="B125" s="77"/>
      <c r="C125" s="77"/>
      <c r="D125" s="40"/>
    </row>
    <row r="126" spans="1:4" ht="15" customHeight="1" x14ac:dyDescent="0.25">
      <c r="A126" s="23" t="s">
        <v>148</v>
      </c>
      <c r="B126" s="23" t="s">
        <v>131</v>
      </c>
      <c r="C126" s="23" t="s">
        <v>132</v>
      </c>
    </row>
    <row r="127" spans="1:4" ht="15" customHeight="1" x14ac:dyDescent="0.25">
      <c r="A127" s="25" t="s">
        <v>51</v>
      </c>
      <c r="B127" s="9">
        <f>COUNTIF(Datos!R3:R66,"De $200.000 a $300.000")</f>
        <v>9</v>
      </c>
      <c r="C127" s="13">
        <f>IFERROR(B127/$B$131,0)</f>
        <v>0.140625</v>
      </c>
    </row>
    <row r="128" spans="1:4" ht="15" customHeight="1" x14ac:dyDescent="0.25">
      <c r="A128" s="25" t="s">
        <v>84</v>
      </c>
      <c r="B128" s="9">
        <f>COUNTIF(Datos!R3:R66,"De $300.000 a $750.000")</f>
        <v>21</v>
      </c>
      <c r="C128" s="13">
        <f>IFERROR(B128/$B$131,0)</f>
        <v>0.328125</v>
      </c>
    </row>
    <row r="129" spans="1:4" ht="15" customHeight="1" x14ac:dyDescent="0.25">
      <c r="A129" s="25" t="s">
        <v>41</v>
      </c>
      <c r="B129" s="9">
        <f>COUNTIF(Datos!R3:R66,"De $750.000 a $1.500.000")</f>
        <v>16</v>
      </c>
      <c r="C129" s="13">
        <f>IFERROR(B129/$B$131,0)</f>
        <v>0.25</v>
      </c>
    </row>
    <row r="130" spans="1:4" ht="15" customHeight="1" x14ac:dyDescent="0.25">
      <c r="A130" s="25" t="s">
        <v>60</v>
      </c>
      <c r="B130" s="9">
        <f>COUNTIF(Datos!R3:R66,"Más de $1.500.000")</f>
        <v>18</v>
      </c>
      <c r="C130" s="13">
        <f>IFERROR(B130/$B$131,0)</f>
        <v>0.28125</v>
      </c>
    </row>
    <row r="131" spans="1:4" ht="15" customHeight="1" x14ac:dyDescent="0.25">
      <c r="A131" s="23" t="s">
        <v>136</v>
      </c>
      <c r="B131" s="21">
        <f>SUM(B127:B130)</f>
        <v>64</v>
      </c>
      <c r="C131" s="22">
        <f>SUM(C127:C130)</f>
        <v>1</v>
      </c>
    </row>
    <row r="133" spans="1:4" ht="15" customHeight="1" x14ac:dyDescent="0.25">
      <c r="A133" s="76" t="s">
        <v>167</v>
      </c>
      <c r="B133" s="77"/>
      <c r="C133" s="77"/>
      <c r="D133" s="40"/>
    </row>
    <row r="134" spans="1:4" ht="15" customHeight="1" x14ac:dyDescent="0.25">
      <c r="A134" s="23" t="s">
        <v>148</v>
      </c>
      <c r="B134" s="23" t="s">
        <v>131</v>
      </c>
      <c r="C134" s="23" t="s">
        <v>132</v>
      </c>
    </row>
    <row r="135" spans="1:4" ht="15" customHeight="1" x14ac:dyDescent="0.25">
      <c r="A135" s="25" t="s">
        <v>76</v>
      </c>
      <c r="B135" s="9">
        <f>COUNTIF(Datos!X3:X66,"Alta")</f>
        <v>29</v>
      </c>
      <c r="C135" s="13">
        <f>IFERROR(B135/$B$138,0)</f>
        <v>0.453125</v>
      </c>
    </row>
    <row r="136" spans="1:4" ht="15" customHeight="1" x14ac:dyDescent="0.25">
      <c r="A136" s="25" t="s">
        <v>57</v>
      </c>
      <c r="B136" s="9">
        <f>COUNTIF(Datos!X3:X66,"Media")</f>
        <v>25</v>
      </c>
      <c r="C136" s="13">
        <f>IFERROR(B136/$B$138,0)</f>
        <v>0.390625</v>
      </c>
    </row>
    <row r="137" spans="1:4" ht="15" customHeight="1" x14ac:dyDescent="0.25">
      <c r="A137" s="25" t="s">
        <v>48</v>
      </c>
      <c r="B137" s="9">
        <f>COUNTIF(Datos!X3:X66,"Baja")</f>
        <v>10</v>
      </c>
      <c r="C137" s="13">
        <f>IFERROR(B137/$B$138,0)</f>
        <v>0.15625</v>
      </c>
    </row>
    <row r="138" spans="1:4" ht="15" customHeight="1" x14ac:dyDescent="0.25">
      <c r="A138" s="23" t="s">
        <v>136</v>
      </c>
      <c r="B138" s="21">
        <f>SUM(B135:B137)</f>
        <v>64</v>
      </c>
      <c r="C138" s="22">
        <f>SUM(C135:C137)</f>
        <v>1</v>
      </c>
    </row>
    <row r="140" spans="1:4" ht="15" customHeight="1" x14ac:dyDescent="0.25">
      <c r="A140" s="79" t="s">
        <v>168</v>
      </c>
      <c r="B140" s="80"/>
      <c r="C140" s="80"/>
      <c r="D140" s="40"/>
    </row>
    <row r="141" spans="1:4" ht="23.25" customHeight="1" x14ac:dyDescent="0.25">
      <c r="A141" s="23" t="s">
        <v>169</v>
      </c>
      <c r="B141" s="23" t="s">
        <v>131</v>
      </c>
      <c r="C141" s="23" t="s">
        <v>266</v>
      </c>
      <c r="D141" s="24" t="s">
        <v>267</v>
      </c>
    </row>
    <row r="142" spans="1:4" ht="15" customHeight="1" x14ac:dyDescent="0.25">
      <c r="A142" s="27" t="s">
        <v>171</v>
      </c>
      <c r="B142" s="9">
        <f>COUNTIF(Datos!I3:I66,"*Billeteras digitales (Nequi, Daviplata u otras)*")</f>
        <v>54</v>
      </c>
      <c r="C142" s="13">
        <f>IFERROR(B142/64,0)</f>
        <v>0.84375</v>
      </c>
    </row>
    <row r="143" spans="1:4" ht="15" customHeight="1" x14ac:dyDescent="0.25">
      <c r="A143" s="27" t="s">
        <v>172</v>
      </c>
      <c r="B143" s="9">
        <f>COUNTIF(Datos!I3:I66,"*Transferencia bancaria*")</f>
        <v>28</v>
      </c>
      <c r="C143" s="13">
        <f>IFERROR(B143/64,0)</f>
        <v>0.4375</v>
      </c>
    </row>
    <row r="144" spans="1:4" ht="15" customHeight="1" x14ac:dyDescent="0.25">
      <c r="A144" s="27" t="s">
        <v>173</v>
      </c>
      <c r="B144" s="9">
        <f>COUNTIF(Datos!I3:I66,"*Pagos con tarjeta débito o crédito (datáfono)*")</f>
        <v>13</v>
      </c>
      <c r="C144" s="13">
        <f>IFERROR(B144/64,0)</f>
        <v>0.203125</v>
      </c>
    </row>
    <row r="145" spans="1:5" ht="15" customHeight="1" x14ac:dyDescent="0.25">
      <c r="A145" s="27" t="s">
        <v>174</v>
      </c>
      <c r="B145" s="9">
        <f>COUNTIF(Datos!I3:I66,"*Códigos QR*")</f>
        <v>15</v>
      </c>
      <c r="C145" s="13">
        <f>IFERROR(B145/64,0)</f>
        <v>0.234375</v>
      </c>
    </row>
    <row r="146" spans="1:5" ht="15" customHeight="1" x14ac:dyDescent="0.25">
      <c r="A146" s="27" t="s">
        <v>175</v>
      </c>
      <c r="B146" s="9">
        <f>COUNTIF(Datos!I3:I66,"*Todos por igual*")</f>
        <v>10</v>
      </c>
      <c r="C146" s="13">
        <f>IFERROR(B146/64,0)</f>
        <v>0.15625</v>
      </c>
    </row>
    <row r="148" spans="1:5" ht="15" customHeight="1" x14ac:dyDescent="0.25">
      <c r="A148" s="79" t="s">
        <v>176</v>
      </c>
      <c r="B148" s="80"/>
      <c r="C148" s="80"/>
      <c r="D148" s="40"/>
    </row>
    <row r="149" spans="1:5" ht="23.25" customHeight="1" x14ac:dyDescent="0.25">
      <c r="A149" s="23" t="s">
        <v>169</v>
      </c>
      <c r="B149" s="23" t="s">
        <v>131</v>
      </c>
      <c r="C149" s="23" t="s">
        <v>170</v>
      </c>
      <c r="D149" s="24" t="s">
        <v>267</v>
      </c>
    </row>
    <row r="150" spans="1:5" ht="15" customHeight="1" x14ac:dyDescent="0.25">
      <c r="A150" s="27" t="s">
        <v>177</v>
      </c>
      <c r="B150" s="9">
        <f>COUNTIF(Datos!P3:P66,"*Teléfono inteligente*")</f>
        <v>57</v>
      </c>
      <c r="C150" s="13">
        <f>IFERROR(B150/64,0)</f>
        <v>0.890625</v>
      </c>
    </row>
    <row r="151" spans="1:5" ht="15" customHeight="1" x14ac:dyDescent="0.25">
      <c r="A151" s="27" t="s">
        <v>178</v>
      </c>
      <c r="B151" s="9">
        <f>COUNTIF(Datos!P3:P66,"*Conexión a internet*")</f>
        <v>45</v>
      </c>
      <c r="C151" s="13">
        <f>IFERROR(B151/64,0)</f>
        <v>0.703125</v>
      </c>
    </row>
    <row r="152" spans="1:5" ht="15" customHeight="1" x14ac:dyDescent="0.25">
      <c r="A152" s="27" t="s">
        <v>179</v>
      </c>
      <c r="B152" s="9">
        <f>COUNTIF(Datos!P3:P66,"*Datáfono*")</f>
        <v>21</v>
      </c>
      <c r="C152" s="13">
        <f>IFERROR(B152/64,0)</f>
        <v>0.328125</v>
      </c>
    </row>
    <row r="153" spans="1:5" ht="15" customHeight="1" x14ac:dyDescent="0.25">
      <c r="A153" s="27" t="s">
        <v>180</v>
      </c>
      <c r="B153" s="9">
        <f>COUNTIF(Datos!P3:P66,"*Código QR*")</f>
        <v>0</v>
      </c>
      <c r="C153" s="13">
        <f>IFERROR(B153/64,0)</f>
        <v>0</v>
      </c>
    </row>
    <row r="154" spans="1:5" ht="15" customHeight="1" x14ac:dyDescent="0.25">
      <c r="A154" s="27" t="s">
        <v>181</v>
      </c>
      <c r="B154" s="9">
        <f>COUNTIF(Datos!P3:P66,"*Ninguno de los anteriores*")</f>
        <v>6</v>
      </c>
      <c r="C154" s="13">
        <f>IFERROR(B154/64,0)</f>
        <v>9.375E-2</v>
      </c>
    </row>
    <row r="156" spans="1:5" ht="15" customHeight="1" x14ac:dyDescent="0.25">
      <c r="A156" s="81" t="s">
        <v>182</v>
      </c>
      <c r="B156" s="81"/>
      <c r="C156" s="81"/>
      <c r="D156" s="81"/>
      <c r="E156" s="81"/>
    </row>
    <row r="157" spans="1:5" ht="45.75" customHeight="1" x14ac:dyDescent="0.25">
      <c r="A157" s="26" t="s">
        <v>183</v>
      </c>
      <c r="B157" s="26" t="s">
        <v>184</v>
      </c>
      <c r="C157" s="26" t="s">
        <v>57</v>
      </c>
      <c r="D157" s="26" t="s">
        <v>185</v>
      </c>
      <c r="E157" s="26" t="s">
        <v>186</v>
      </c>
    </row>
    <row r="158" spans="1:5" ht="15" customHeight="1" x14ac:dyDescent="0.25">
      <c r="A158" s="28" t="s">
        <v>187</v>
      </c>
      <c r="B158" s="9" t="s">
        <v>188</v>
      </c>
      <c r="C158" s="10">
        <f>ROUND(AVERAGE(Datos!S3:S66),2)</f>
        <v>3.8</v>
      </c>
      <c r="D158" s="29">
        <f>MEDIAN(Datos!S3:S66)</f>
        <v>4</v>
      </c>
      <c r="E158" s="29">
        <f>IFERROR(MODE(Datos!S3:S66),"-")</f>
        <v>4</v>
      </c>
    </row>
    <row r="159" spans="1:5" ht="15" customHeight="1" x14ac:dyDescent="0.25">
      <c r="A159" s="28" t="s">
        <v>189</v>
      </c>
      <c r="B159" s="9" t="s">
        <v>190</v>
      </c>
      <c r="C159" s="10">
        <f>ROUND(AVERAGE(Datos!U3:U66),2)</f>
        <v>2.72</v>
      </c>
      <c r="D159" s="29">
        <f>MEDIAN(Datos!U3:U66)</f>
        <v>2</v>
      </c>
      <c r="E159" s="29">
        <f>IFERROR(MODE(Datos!U3:U66),"-")</f>
        <v>2</v>
      </c>
    </row>
    <row r="160" spans="1:5" ht="15" customHeight="1" x14ac:dyDescent="0.25">
      <c r="A160" s="28" t="s">
        <v>191</v>
      </c>
      <c r="B160" s="9" t="s">
        <v>192</v>
      </c>
      <c r="C160" s="10">
        <f>ROUND(AVERAGE(Datos!V3:V66),2)</f>
        <v>3.36</v>
      </c>
      <c r="D160" s="29">
        <f>MEDIAN(Datos!V3:V66)</f>
        <v>3</v>
      </c>
      <c r="E160" s="29">
        <f>IFERROR(MODE(Datos!V3:V66),"-")</f>
        <v>5</v>
      </c>
    </row>
    <row r="161" spans="1:5" ht="15" customHeight="1" x14ac:dyDescent="0.25">
      <c r="A161" s="28" t="s">
        <v>193</v>
      </c>
      <c r="B161" s="9" t="s">
        <v>194</v>
      </c>
      <c r="C161" s="10">
        <f>ROUND(AVERAGE(Datos!W3:W66),2)</f>
        <v>3.29</v>
      </c>
      <c r="D161" s="29">
        <f>MEDIAN(Datos!W3:W66)</f>
        <v>3.33</v>
      </c>
      <c r="E161" s="29">
        <f>IFERROR(MODE(Datos!W3:W66),"-")</f>
        <v>3.67</v>
      </c>
    </row>
  </sheetData>
  <mergeCells count="19">
    <mergeCell ref="A89:C89"/>
    <mergeCell ref="A98:C98"/>
    <mergeCell ref="A107:C107"/>
    <mergeCell ref="A116:C116"/>
    <mergeCell ref="A156:E156"/>
    <mergeCell ref="A125:C125"/>
    <mergeCell ref="A133:C133"/>
    <mergeCell ref="A140:C140"/>
    <mergeCell ref="A148:C148"/>
    <mergeCell ref="A44:C44"/>
    <mergeCell ref="A54:C54"/>
    <mergeCell ref="A61:C61"/>
    <mergeCell ref="A71:C71"/>
    <mergeCell ref="A80:C80"/>
    <mergeCell ref="A1:D1"/>
    <mergeCell ref="A11:C11"/>
    <mergeCell ref="A23:C23"/>
    <mergeCell ref="A30:C30"/>
    <mergeCell ref="A37:C3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9"/>
  <sheetViews>
    <sheetView showGridLines="0" topLeftCell="A155" zoomScaleNormal="100" workbookViewId="0">
      <selection activeCell="H7" sqref="H7"/>
    </sheetView>
  </sheetViews>
  <sheetFormatPr baseColWidth="10" defaultColWidth="8.7109375" defaultRowHeight="15" x14ac:dyDescent="0.25"/>
  <cols>
    <col min="1" max="1" width="30" style="24" customWidth="1"/>
    <col min="2" max="5" width="14" style="24" customWidth="1"/>
    <col min="6" max="6" width="23" style="24" customWidth="1"/>
    <col min="7" max="16384" width="8.7109375" style="24"/>
  </cols>
  <sheetData>
    <row r="1" spans="1:6" ht="15" customHeight="1" x14ac:dyDescent="0.25">
      <c r="A1" s="44" t="s">
        <v>271</v>
      </c>
      <c r="B1" s="44"/>
      <c r="C1" s="44"/>
      <c r="D1" s="44"/>
      <c r="E1" s="44"/>
      <c r="F1" s="44"/>
    </row>
    <row r="3" spans="1:6" ht="15" customHeight="1" x14ac:dyDescent="0.25">
      <c r="A3" s="45" t="s">
        <v>195</v>
      </c>
      <c r="B3" s="45"/>
      <c r="C3" s="45"/>
      <c r="D3" s="45"/>
      <c r="E3" s="45"/>
      <c r="F3" s="45"/>
    </row>
    <row r="5" spans="1:6" ht="15" customHeight="1" x14ac:dyDescent="0.25">
      <c r="A5" s="56" t="s">
        <v>196</v>
      </c>
      <c r="B5" s="56"/>
      <c r="C5" s="56"/>
      <c r="D5" s="56"/>
      <c r="E5" s="56"/>
      <c r="F5" s="33"/>
    </row>
    <row r="6" spans="1:6" ht="23.25" customHeight="1" x14ac:dyDescent="0.25">
      <c r="A6" s="23" t="s">
        <v>197</v>
      </c>
      <c r="B6" s="23" t="s">
        <v>198</v>
      </c>
      <c r="C6" s="23" t="s">
        <v>199</v>
      </c>
      <c r="D6" s="23" t="s">
        <v>200</v>
      </c>
      <c r="E6" s="23" t="s">
        <v>201</v>
      </c>
    </row>
    <row r="7" spans="1:6" ht="15" customHeight="1" x14ac:dyDescent="0.25">
      <c r="A7" s="28" t="s">
        <v>76</v>
      </c>
      <c r="B7" s="9">
        <f>COUNTIFS(Datos!Y3:Y66,"Alta",Datos!X3:X66,"Baja")</f>
        <v>0</v>
      </c>
      <c r="C7" s="9">
        <f>COUNTIFS(Datos!Y3:Y66,"Alta",Datos!X3:X66,"Media")</f>
        <v>6</v>
      </c>
      <c r="D7" s="9">
        <f>COUNTIFS(Datos!Y3:Y66,"Alta",Datos!X3:X66,"Alta")</f>
        <v>13</v>
      </c>
      <c r="E7" s="11">
        <f>SUM(B7:D7)</f>
        <v>19</v>
      </c>
    </row>
    <row r="8" spans="1:6" ht="15" customHeight="1" x14ac:dyDescent="0.25">
      <c r="A8" s="28" t="s">
        <v>57</v>
      </c>
      <c r="B8" s="9">
        <f>COUNTIFS(Datos!Y3:Y66,"Media",Datos!X3:X66,"Baja")</f>
        <v>3</v>
      </c>
      <c r="C8" s="9">
        <f>COUNTIFS(Datos!Y3:Y66,"Media",Datos!X3:X66,"Media")</f>
        <v>13</v>
      </c>
      <c r="D8" s="9">
        <f>COUNTIFS(Datos!Y3:Y66,"Media",Datos!X3:X66,"Alta")</f>
        <v>13</v>
      </c>
      <c r="E8" s="11">
        <f>SUM(B8:D8)</f>
        <v>29</v>
      </c>
    </row>
    <row r="9" spans="1:6" ht="15" customHeight="1" x14ac:dyDescent="0.25">
      <c r="A9" s="28" t="s">
        <v>48</v>
      </c>
      <c r="B9" s="9">
        <f>COUNTIFS(Datos!Y3:Y66,"Baja",Datos!X3:X66,"Baja")</f>
        <v>7</v>
      </c>
      <c r="C9" s="9">
        <f>COUNTIFS(Datos!Y3:Y66,"Baja",Datos!X3:X66,"Media")</f>
        <v>6</v>
      </c>
      <c r="D9" s="9">
        <f>COUNTIFS(Datos!Y3:Y66,"Baja",Datos!X3:X66,"Alta")</f>
        <v>3</v>
      </c>
      <c r="E9" s="11">
        <f>SUM(B9:D9)</f>
        <v>16</v>
      </c>
    </row>
    <row r="10" spans="1:6" ht="15" customHeight="1" x14ac:dyDescent="0.25">
      <c r="A10" s="23" t="s">
        <v>202</v>
      </c>
      <c r="B10" s="21">
        <f>SUM(B7:B9)</f>
        <v>10</v>
      </c>
      <c r="C10" s="21">
        <f>SUM(C7:C9)</f>
        <v>25</v>
      </c>
      <c r="D10" s="21">
        <f>SUM(D7:D9)</f>
        <v>29</v>
      </c>
      <c r="E10" s="21">
        <f>SUM(E7:E9)</f>
        <v>64</v>
      </c>
    </row>
    <row r="12" spans="1:6" ht="15" customHeight="1" x14ac:dyDescent="0.25">
      <c r="A12" s="46" t="s">
        <v>203</v>
      </c>
      <c r="B12" s="46"/>
      <c r="C12" s="46"/>
      <c r="D12" s="46"/>
      <c r="E12" s="46"/>
    </row>
    <row r="13" spans="1:6" ht="23.25" customHeight="1" x14ac:dyDescent="0.25">
      <c r="A13" s="26" t="s">
        <v>204</v>
      </c>
      <c r="B13" s="26" t="s">
        <v>205</v>
      </c>
      <c r="C13" s="26" t="s">
        <v>206</v>
      </c>
      <c r="D13" s="26" t="s">
        <v>207</v>
      </c>
      <c r="E13" s="26" t="s">
        <v>201</v>
      </c>
    </row>
    <row r="14" spans="1:6" ht="15" customHeight="1" x14ac:dyDescent="0.25">
      <c r="A14" s="25" t="s">
        <v>76</v>
      </c>
      <c r="B14" s="29">
        <f>E7*B10/E10</f>
        <v>2.96875</v>
      </c>
      <c r="C14" s="29">
        <f>E7*C10/E10</f>
        <v>7.421875</v>
      </c>
      <c r="D14" s="29">
        <f>E7*D10/E10</f>
        <v>8.609375</v>
      </c>
      <c r="E14" s="10">
        <f>SUM(B14:D14)</f>
        <v>19</v>
      </c>
    </row>
    <row r="15" spans="1:6" ht="15" customHeight="1" x14ac:dyDescent="0.25">
      <c r="A15" s="25" t="s">
        <v>57</v>
      </c>
      <c r="B15" s="29">
        <f>E8*B10/E10</f>
        <v>4.53125</v>
      </c>
      <c r="C15" s="29">
        <f>E8*C10/E10</f>
        <v>11.328125</v>
      </c>
      <c r="D15" s="29">
        <f>E8*D10/E10</f>
        <v>13.140625</v>
      </c>
      <c r="E15" s="10">
        <f>SUM(B15:D15)</f>
        <v>29</v>
      </c>
    </row>
    <row r="16" spans="1:6" ht="15" customHeight="1" x14ac:dyDescent="0.25">
      <c r="A16" s="25" t="s">
        <v>48</v>
      </c>
      <c r="B16" s="29">
        <f>E9*B10/E10</f>
        <v>2.5</v>
      </c>
      <c r="C16" s="29">
        <f>E9*C10/E10</f>
        <v>6.25</v>
      </c>
      <c r="D16" s="29">
        <f>E9*D10/E10</f>
        <v>7.25</v>
      </c>
      <c r="E16" s="10">
        <f>SUM(B16:D16)</f>
        <v>16</v>
      </c>
    </row>
    <row r="19" spans="1:5" ht="15" customHeight="1" x14ac:dyDescent="0.25">
      <c r="A19" s="46" t="s">
        <v>208</v>
      </c>
      <c r="B19" s="46"/>
      <c r="C19" s="46"/>
      <c r="D19" s="46"/>
      <c r="E19" s="46"/>
    </row>
    <row r="20" spans="1:5" ht="15" customHeight="1" x14ac:dyDescent="0.25">
      <c r="A20" s="26" t="s">
        <v>204</v>
      </c>
      <c r="B20" s="26" t="s">
        <v>48</v>
      </c>
      <c r="C20" s="26" t="s">
        <v>57</v>
      </c>
      <c r="D20" s="26" t="s">
        <v>76</v>
      </c>
      <c r="E20" s="26" t="s">
        <v>209</v>
      </c>
    </row>
    <row r="21" spans="1:5" ht="15" customHeight="1" x14ac:dyDescent="0.25">
      <c r="A21" s="25" t="s">
        <v>76</v>
      </c>
      <c r="B21" s="31">
        <f t="shared" ref="B21:D23" si="0">IFERROR((B7-B14)^2/B14,0)</f>
        <v>2.96875</v>
      </c>
      <c r="C21" s="31">
        <f t="shared" si="0"/>
        <v>0.27240131578947369</v>
      </c>
      <c r="D21" s="31">
        <f t="shared" si="0"/>
        <v>2.239139065335753</v>
      </c>
      <c r="E21" s="32">
        <f>SUM(B21:D21)</f>
        <v>5.4802903811252266</v>
      </c>
    </row>
    <row r="22" spans="1:5" ht="15" customHeight="1" x14ac:dyDescent="0.25">
      <c r="A22" s="25" t="s">
        <v>57</v>
      </c>
      <c r="B22" s="31">
        <f t="shared" si="0"/>
        <v>0.51745689655172411</v>
      </c>
      <c r="C22" s="31">
        <f t="shared" si="0"/>
        <v>0.24674568965517241</v>
      </c>
      <c r="D22" s="31">
        <f t="shared" si="0"/>
        <v>1.5049048751486326E-3</v>
      </c>
      <c r="E22" s="32">
        <f>SUM(B22:D22)</f>
        <v>0.76570749108204517</v>
      </c>
    </row>
    <row r="23" spans="1:5" ht="15" customHeight="1" x14ac:dyDescent="0.25">
      <c r="A23" s="25" t="s">
        <v>48</v>
      </c>
      <c r="B23" s="31">
        <f t="shared" si="0"/>
        <v>8.1</v>
      </c>
      <c r="C23" s="31">
        <f t="shared" si="0"/>
        <v>0.01</v>
      </c>
      <c r="D23" s="31">
        <f t="shared" si="0"/>
        <v>2.4913793103448274</v>
      </c>
      <c r="E23" s="32">
        <f>SUM(B23:D23)</f>
        <v>10.601379310344827</v>
      </c>
    </row>
    <row r="25" spans="1:5" ht="15" customHeight="1" x14ac:dyDescent="0.25">
      <c r="A25" s="46" t="s">
        <v>210</v>
      </c>
      <c r="B25" s="46"/>
      <c r="C25" s="46"/>
      <c r="D25" s="46"/>
      <c r="E25" s="46"/>
    </row>
    <row r="26" spans="1:5" ht="15" customHeight="1" x14ac:dyDescent="0.25">
      <c r="A26" s="28" t="s">
        <v>211</v>
      </c>
      <c r="B26" s="89">
        <f>SUM(B21:D23)</f>
        <v>16.847377182552098</v>
      </c>
      <c r="C26" s="89"/>
      <c r="D26" s="89"/>
      <c r="E26" s="89"/>
    </row>
    <row r="27" spans="1:5" ht="15" customHeight="1" x14ac:dyDescent="0.25">
      <c r="A27" s="28" t="s">
        <v>212</v>
      </c>
      <c r="B27" s="49">
        <v>4</v>
      </c>
      <c r="C27" s="49"/>
      <c r="D27" s="49"/>
      <c r="E27" s="49"/>
    </row>
    <row r="28" spans="1:5" ht="15" customHeight="1" x14ac:dyDescent="0.25">
      <c r="A28" s="28" t="s">
        <v>213</v>
      </c>
      <c r="B28" s="48">
        <f>CHITEST(B7:D9,B14:D16)</f>
        <v>2.0694715189987145E-3</v>
      </c>
      <c r="C28" s="48"/>
      <c r="D28" s="48"/>
      <c r="E28" s="48"/>
    </row>
    <row r="29" spans="1:5" ht="15" customHeight="1" x14ac:dyDescent="0.25">
      <c r="A29" s="28" t="s">
        <v>214</v>
      </c>
      <c r="B29" s="50">
        <v>0.05</v>
      </c>
      <c r="C29" s="50"/>
      <c r="D29" s="50"/>
      <c r="E29" s="50"/>
    </row>
    <row r="30" spans="1:5" ht="15" customHeight="1" x14ac:dyDescent="0.25">
      <c r="A30" s="34" t="s">
        <v>215</v>
      </c>
      <c r="B30" s="47" t="str">
        <f>IF(B28&lt;0.05,"✔ Se rechaza H₀ → Asociación significativa","✘ No se rechaza H₀ → Sin asociación significativa")</f>
        <v>✔ Se rechaza H₀ → Asociación significativa</v>
      </c>
      <c r="C30" s="47"/>
      <c r="D30" s="47"/>
      <c r="E30" s="47"/>
    </row>
    <row r="33" spans="1:6" ht="15" customHeight="1" x14ac:dyDescent="0.25">
      <c r="A33" s="60" t="s">
        <v>216</v>
      </c>
      <c r="B33" s="61"/>
      <c r="C33" s="61"/>
      <c r="D33" s="61"/>
      <c r="E33" s="62"/>
      <c r="F33" s="33"/>
    </row>
    <row r="34" spans="1:6" ht="23.25" customHeight="1" x14ac:dyDescent="0.25">
      <c r="A34" s="26" t="s">
        <v>197</v>
      </c>
      <c r="B34" s="26" t="s">
        <v>198</v>
      </c>
      <c r="C34" s="26" t="s">
        <v>199</v>
      </c>
      <c r="D34" s="26" t="s">
        <v>200</v>
      </c>
      <c r="E34" s="26" t="s">
        <v>201</v>
      </c>
    </row>
    <row r="35" spans="1:6" ht="15" customHeight="1" x14ac:dyDescent="0.25">
      <c r="A35" s="28" t="s">
        <v>76</v>
      </c>
      <c r="B35" s="9">
        <f>COUNTIFS(Datos!Z3:Z66,"Alta",Datos!X3:X66,"Baja")</f>
        <v>7</v>
      </c>
      <c r="C35" s="9">
        <f>COUNTIFS(Datos!Z3:Z66,"Alta",Datos!X3:X66,"Media")</f>
        <v>19</v>
      </c>
      <c r="D35" s="9">
        <f>COUNTIFS(Datos!Z3:Z66,"Alta",Datos!X3:X66,"Alta")</f>
        <v>26</v>
      </c>
      <c r="E35" s="11">
        <f>SUM(B35:D35)</f>
        <v>52</v>
      </c>
    </row>
    <row r="36" spans="1:6" ht="15" customHeight="1" x14ac:dyDescent="0.25">
      <c r="A36" s="28" t="s">
        <v>57</v>
      </c>
      <c r="B36" s="9">
        <f>COUNTIFS(Datos!Z3:Z66,"Media",Datos!X3:X66,"Baja")</f>
        <v>1</v>
      </c>
      <c r="C36" s="9">
        <f>COUNTIFS(Datos!Z3:Z66,"Media",Datos!X3:X66,"Media")</f>
        <v>3</v>
      </c>
      <c r="D36" s="9">
        <f>COUNTIFS(Datos!Z3:Z66,"Media",Datos!X3:X66,"Alta")</f>
        <v>3</v>
      </c>
      <c r="E36" s="11">
        <f>SUM(B36:D36)</f>
        <v>7</v>
      </c>
    </row>
    <row r="37" spans="1:6" ht="15" customHeight="1" x14ac:dyDescent="0.25">
      <c r="A37" s="28" t="s">
        <v>48</v>
      </c>
      <c r="B37" s="9">
        <f>COUNTIFS(Datos!Z3:Z66,"Baja",Datos!X3:X66,"Baja")</f>
        <v>2</v>
      </c>
      <c r="C37" s="9">
        <f>COUNTIFS(Datos!Z3:Z66,"Baja",Datos!X3:X66,"Media")</f>
        <v>3</v>
      </c>
      <c r="D37" s="9">
        <f>COUNTIFS(Datos!Z3:Z66,"Baja",Datos!X3:X66,"Alta")</f>
        <v>0</v>
      </c>
      <c r="E37" s="11">
        <f>SUM(B37:D37)</f>
        <v>5</v>
      </c>
    </row>
    <row r="38" spans="1:6" ht="15" customHeight="1" x14ac:dyDescent="0.25">
      <c r="A38" s="23" t="s">
        <v>202</v>
      </c>
      <c r="B38" s="21">
        <f>SUM(B35:B37)</f>
        <v>10</v>
      </c>
      <c r="C38" s="21">
        <f>SUM(C35:C37)</f>
        <v>25</v>
      </c>
      <c r="D38" s="21">
        <f>SUM(D35:D37)</f>
        <v>29</v>
      </c>
      <c r="E38" s="21">
        <f>SUM(E35:E37)</f>
        <v>64</v>
      </c>
    </row>
    <row r="40" spans="1:6" ht="15" customHeight="1" x14ac:dyDescent="0.25">
      <c r="A40" s="46" t="s">
        <v>203</v>
      </c>
      <c r="B40" s="46"/>
      <c r="C40" s="46"/>
      <c r="D40" s="46"/>
      <c r="E40" s="46"/>
    </row>
    <row r="41" spans="1:6" ht="23.25" customHeight="1" x14ac:dyDescent="0.25">
      <c r="A41" s="26" t="s">
        <v>217</v>
      </c>
      <c r="B41" s="26" t="s">
        <v>205</v>
      </c>
      <c r="C41" s="26" t="s">
        <v>206</v>
      </c>
      <c r="D41" s="26" t="s">
        <v>207</v>
      </c>
      <c r="E41" s="26" t="s">
        <v>201</v>
      </c>
    </row>
    <row r="42" spans="1:6" ht="15" customHeight="1" x14ac:dyDescent="0.25">
      <c r="A42" s="25" t="s">
        <v>76</v>
      </c>
      <c r="B42" s="29">
        <f>E35*B38/E38</f>
        <v>8.125</v>
      </c>
      <c r="C42" s="29">
        <f>E35*C38/E38</f>
        <v>20.3125</v>
      </c>
      <c r="D42" s="29">
        <f>E35*D38/E38</f>
        <v>23.5625</v>
      </c>
      <c r="E42" s="10">
        <f>SUM(B42:D42)</f>
        <v>52</v>
      </c>
    </row>
    <row r="43" spans="1:6" ht="15" customHeight="1" x14ac:dyDescent="0.25">
      <c r="A43" s="25" t="s">
        <v>57</v>
      </c>
      <c r="B43" s="29">
        <f>E36*B38/E38</f>
        <v>1.09375</v>
      </c>
      <c r="C43" s="29">
        <f>E36*C38/E38</f>
        <v>2.734375</v>
      </c>
      <c r="D43" s="29">
        <f>E36*D38/E38</f>
        <v>3.171875</v>
      </c>
      <c r="E43" s="10">
        <f>SUM(B43:D43)</f>
        <v>7</v>
      </c>
    </row>
    <row r="44" spans="1:6" ht="15" customHeight="1" x14ac:dyDescent="0.25">
      <c r="A44" s="25" t="s">
        <v>48</v>
      </c>
      <c r="B44" s="29">
        <f>E37*B38/E38</f>
        <v>0.78125</v>
      </c>
      <c r="C44" s="29">
        <f>E37*C38/E38</f>
        <v>1.953125</v>
      </c>
      <c r="D44" s="29">
        <f>E37*D38/E38</f>
        <v>2.265625</v>
      </c>
      <c r="E44" s="10">
        <f>SUM(B44:D44)</f>
        <v>5</v>
      </c>
    </row>
    <row r="47" spans="1:6" ht="15" customHeight="1" x14ac:dyDescent="0.25">
      <c r="A47" s="46" t="s">
        <v>208</v>
      </c>
      <c r="B47" s="46"/>
      <c r="C47" s="46"/>
      <c r="D47" s="46"/>
      <c r="E47" s="46"/>
    </row>
    <row r="48" spans="1:6" ht="15" customHeight="1" x14ac:dyDescent="0.25">
      <c r="A48" s="26" t="s">
        <v>217</v>
      </c>
      <c r="B48" s="26" t="s">
        <v>48</v>
      </c>
      <c r="C48" s="26" t="s">
        <v>57</v>
      </c>
      <c r="D48" s="26" t="s">
        <v>76</v>
      </c>
      <c r="E48" s="26" t="s">
        <v>209</v>
      </c>
    </row>
    <row r="49" spans="1:6" ht="15" customHeight="1" x14ac:dyDescent="0.25">
      <c r="A49" s="25" t="s">
        <v>76</v>
      </c>
      <c r="B49" s="31">
        <f t="shared" ref="B49:D51" si="1">IFERROR((B35-B42)^2/B42,0)</f>
        <v>0.15576923076923077</v>
      </c>
      <c r="C49" s="31">
        <f t="shared" si="1"/>
        <v>8.4807692307692306E-2</v>
      </c>
      <c r="D49" s="31">
        <f t="shared" si="1"/>
        <v>0.25215517241379309</v>
      </c>
      <c r="E49" s="32">
        <f>SUM(B49:D49)</f>
        <v>0.49273209549071617</v>
      </c>
    </row>
    <row r="50" spans="1:6" ht="15" customHeight="1" x14ac:dyDescent="0.25">
      <c r="A50" s="25" t="s">
        <v>57</v>
      </c>
      <c r="B50" s="31">
        <f t="shared" si="1"/>
        <v>8.0357142857142849E-3</v>
      </c>
      <c r="C50" s="31">
        <f t="shared" si="1"/>
        <v>2.5803571428571429E-2</v>
      </c>
      <c r="D50" s="31">
        <f t="shared" si="1"/>
        <v>9.3134236453201978E-3</v>
      </c>
      <c r="E50" s="32">
        <f>SUM(B50:D50)</f>
        <v>4.3152709359605912E-2</v>
      </c>
    </row>
    <row r="51" spans="1:6" ht="15" customHeight="1" x14ac:dyDescent="0.25">
      <c r="A51" s="25" t="s">
        <v>48</v>
      </c>
      <c r="B51" s="31">
        <f t="shared" si="1"/>
        <v>1.9012500000000001</v>
      </c>
      <c r="C51" s="31">
        <f t="shared" si="1"/>
        <v>0.56112499999999998</v>
      </c>
      <c r="D51" s="31">
        <f t="shared" si="1"/>
        <v>2.265625</v>
      </c>
      <c r="E51" s="32">
        <f>SUM(B51:D51)</f>
        <v>4.7279999999999998</v>
      </c>
    </row>
    <row r="53" spans="1:6" ht="15" customHeight="1" x14ac:dyDescent="0.25">
      <c r="A53" s="46" t="s">
        <v>210</v>
      </c>
      <c r="B53" s="46"/>
      <c r="C53" s="46"/>
      <c r="D53" s="46"/>
      <c r="E53" s="46"/>
    </row>
    <row r="54" spans="1:6" ht="15" customHeight="1" x14ac:dyDescent="0.25">
      <c r="A54" s="28" t="s">
        <v>211</v>
      </c>
      <c r="B54" s="90">
        <f>SUM(B49:D51)</f>
        <v>5.2638848048503224</v>
      </c>
      <c r="C54" s="90"/>
      <c r="D54" s="90"/>
      <c r="E54" s="90"/>
    </row>
    <row r="55" spans="1:6" ht="15" customHeight="1" x14ac:dyDescent="0.25">
      <c r="A55" s="28" t="s">
        <v>212</v>
      </c>
      <c r="B55" s="52">
        <v>4</v>
      </c>
      <c r="C55" s="52"/>
      <c r="D55" s="52"/>
      <c r="E55" s="52"/>
    </row>
    <row r="56" spans="1:6" ht="15" customHeight="1" x14ac:dyDescent="0.25">
      <c r="A56" s="28" t="s">
        <v>213</v>
      </c>
      <c r="B56" s="51">
        <f>CHITEST(B35:D37,B42:D44)</f>
        <v>0.26127682535885705</v>
      </c>
      <c r="C56" s="51"/>
      <c r="D56" s="51"/>
      <c r="E56" s="51"/>
    </row>
    <row r="57" spans="1:6" ht="15" customHeight="1" x14ac:dyDescent="0.25">
      <c r="A57" s="28" t="s">
        <v>214</v>
      </c>
      <c r="B57" s="53">
        <v>0.05</v>
      </c>
      <c r="C57" s="53"/>
      <c r="D57" s="53"/>
      <c r="E57" s="53"/>
    </row>
    <row r="58" spans="1:6" ht="15" customHeight="1" x14ac:dyDescent="0.25">
      <c r="A58" s="34" t="s">
        <v>215</v>
      </c>
      <c r="B58" s="54" t="str">
        <f>IF(B56&lt;0.05,"✔ Se rechaza H₀ → Asociación significativa","✘ No se rechaza H₀ → Sin asociación significativa")</f>
        <v>✘ No se rechaza H₀ → Sin asociación significativa</v>
      </c>
      <c r="C58" s="54"/>
      <c r="D58" s="54"/>
      <c r="E58" s="54"/>
    </row>
    <row r="61" spans="1:6" ht="15" customHeight="1" x14ac:dyDescent="0.25">
      <c r="A61" s="60" t="s">
        <v>218</v>
      </c>
      <c r="B61" s="61"/>
      <c r="C61" s="61"/>
      <c r="D61" s="61"/>
      <c r="E61" s="62"/>
      <c r="F61" s="33"/>
    </row>
    <row r="62" spans="1:6" ht="23.25" customHeight="1" x14ac:dyDescent="0.25">
      <c r="A62" s="26" t="s">
        <v>197</v>
      </c>
      <c r="B62" s="26" t="s">
        <v>198</v>
      </c>
      <c r="C62" s="26" t="s">
        <v>199</v>
      </c>
      <c r="D62" s="26" t="s">
        <v>200</v>
      </c>
      <c r="E62" s="26" t="s">
        <v>201</v>
      </c>
    </row>
    <row r="63" spans="1:6" ht="15" customHeight="1" x14ac:dyDescent="0.25">
      <c r="A63" s="28" t="s">
        <v>76</v>
      </c>
      <c r="B63" s="9">
        <f>COUNTIFS(Datos!AA3:AA66,"Alta",Datos!X3:X66,"Baja")</f>
        <v>0</v>
      </c>
      <c r="C63" s="9">
        <f>COUNTIFS(Datos!AA3:AA66,"Alta",Datos!X3:X66,"Media")</f>
        <v>14</v>
      </c>
      <c r="D63" s="9">
        <f>COUNTIFS(Datos!AA3:AA66,"Alta",Datos!X3:X66,"Alta")</f>
        <v>21</v>
      </c>
      <c r="E63" s="11">
        <f>SUM(B63:D63)</f>
        <v>35</v>
      </c>
    </row>
    <row r="64" spans="1:6" ht="15" customHeight="1" x14ac:dyDescent="0.25">
      <c r="A64" s="28" t="s">
        <v>57</v>
      </c>
      <c r="B64" s="9">
        <f>COUNTIFS(Datos!AA3:AA66,"Media",Datos!X3:X66,"Baja")</f>
        <v>3</v>
      </c>
      <c r="C64" s="9">
        <f>COUNTIFS(Datos!AA3:AA66,"Media",Datos!X3:X66,"Media")</f>
        <v>6</v>
      </c>
      <c r="D64" s="9">
        <f>COUNTIFS(Datos!AA3:AA66,"Media",Datos!X3:X66,"Alta")</f>
        <v>8</v>
      </c>
      <c r="E64" s="11">
        <f>SUM(B64:D64)</f>
        <v>17</v>
      </c>
    </row>
    <row r="65" spans="1:5" ht="15" customHeight="1" x14ac:dyDescent="0.25">
      <c r="A65" s="28" t="s">
        <v>48</v>
      </c>
      <c r="B65" s="9">
        <f>COUNTIFS(Datos!AA3:AA66,"Baja",Datos!X3:X66,"Baja")</f>
        <v>7</v>
      </c>
      <c r="C65" s="9">
        <f>COUNTIFS(Datos!AA3:AA66,"Baja",Datos!X3:X66,"Media")</f>
        <v>5</v>
      </c>
      <c r="D65" s="9">
        <f>COUNTIFS(Datos!AA3:AA66,"Baja",Datos!X3:X66,"Alta")</f>
        <v>0</v>
      </c>
      <c r="E65" s="11">
        <f>SUM(B65:D65)</f>
        <v>12</v>
      </c>
    </row>
    <row r="66" spans="1:5" ht="15" customHeight="1" x14ac:dyDescent="0.25">
      <c r="A66" s="23" t="s">
        <v>202</v>
      </c>
      <c r="B66" s="21">
        <f>SUM(B63:B65)</f>
        <v>10</v>
      </c>
      <c r="C66" s="21">
        <f>SUM(C63:C65)</f>
        <v>25</v>
      </c>
      <c r="D66" s="21">
        <f>SUM(D63:D65)</f>
        <v>29</v>
      </c>
      <c r="E66" s="21">
        <f>SUM(E63:E65)</f>
        <v>64</v>
      </c>
    </row>
    <row r="68" spans="1:5" ht="15" customHeight="1" x14ac:dyDescent="0.25">
      <c r="A68" s="46" t="s">
        <v>203</v>
      </c>
      <c r="B68" s="46"/>
      <c r="C68" s="46"/>
      <c r="D68" s="46"/>
      <c r="E68" s="46"/>
    </row>
    <row r="69" spans="1:5" ht="23.25" customHeight="1" x14ac:dyDescent="0.25">
      <c r="A69" s="26" t="s">
        <v>219</v>
      </c>
      <c r="B69" s="26" t="s">
        <v>205</v>
      </c>
      <c r="C69" s="26" t="s">
        <v>206</v>
      </c>
      <c r="D69" s="26" t="s">
        <v>207</v>
      </c>
      <c r="E69" s="26" t="s">
        <v>201</v>
      </c>
    </row>
    <row r="70" spans="1:5" ht="15" customHeight="1" x14ac:dyDescent="0.25">
      <c r="A70" s="25" t="s">
        <v>76</v>
      </c>
      <c r="B70" s="29">
        <f>E63*B66/E66</f>
        <v>5.46875</v>
      </c>
      <c r="C70" s="29">
        <f>E63*C66/E66</f>
        <v>13.671875</v>
      </c>
      <c r="D70" s="29">
        <f>E63*D66/E66</f>
        <v>15.859375</v>
      </c>
      <c r="E70" s="10">
        <f>SUM(B70:D70)</f>
        <v>35</v>
      </c>
    </row>
    <row r="71" spans="1:5" ht="15" customHeight="1" x14ac:dyDescent="0.25">
      <c r="A71" s="25" t="s">
        <v>57</v>
      </c>
      <c r="B71" s="29">
        <f>E64*B66/E66</f>
        <v>2.65625</v>
      </c>
      <c r="C71" s="29">
        <f>E64*C66/E66</f>
        <v>6.640625</v>
      </c>
      <c r="D71" s="29">
        <f>E64*D66/E66</f>
        <v>7.703125</v>
      </c>
      <c r="E71" s="10">
        <f>SUM(B71:D71)</f>
        <v>17</v>
      </c>
    </row>
    <row r="72" spans="1:5" ht="15" customHeight="1" x14ac:dyDescent="0.25">
      <c r="A72" s="25" t="s">
        <v>48</v>
      </c>
      <c r="B72" s="29">
        <f>E65*B66/E66</f>
        <v>1.875</v>
      </c>
      <c r="C72" s="29">
        <f>E65*C66/E66</f>
        <v>4.6875</v>
      </c>
      <c r="D72" s="29">
        <f>E65*D66/E66</f>
        <v>5.4375</v>
      </c>
      <c r="E72" s="10">
        <f>SUM(B72:D72)</f>
        <v>12</v>
      </c>
    </row>
    <row r="75" spans="1:5" ht="15" customHeight="1" x14ac:dyDescent="0.25">
      <c r="A75" s="46" t="s">
        <v>208</v>
      </c>
      <c r="B75" s="46"/>
      <c r="C75" s="46"/>
      <c r="D75" s="46"/>
      <c r="E75" s="46"/>
    </row>
    <row r="76" spans="1:5" ht="15" customHeight="1" x14ac:dyDescent="0.25">
      <c r="A76" s="26" t="s">
        <v>219</v>
      </c>
      <c r="B76" s="26" t="s">
        <v>48</v>
      </c>
      <c r="C76" s="26" t="s">
        <v>57</v>
      </c>
      <c r="D76" s="26" t="s">
        <v>76</v>
      </c>
      <c r="E76" s="26" t="s">
        <v>209</v>
      </c>
    </row>
    <row r="77" spans="1:5" ht="15" customHeight="1" x14ac:dyDescent="0.25">
      <c r="A77" s="25" t="s">
        <v>76</v>
      </c>
      <c r="B77" s="31">
        <f t="shared" ref="B77:D79" si="2">IFERROR((B63-B70)^2/B70,0)</f>
        <v>5.46875</v>
      </c>
      <c r="C77" s="31">
        <f t="shared" si="2"/>
        <v>7.8750000000000001E-3</v>
      </c>
      <c r="D77" s="31">
        <f t="shared" si="2"/>
        <v>1.666271551724138</v>
      </c>
      <c r="E77" s="32">
        <f>SUM(B77:D77)</f>
        <v>7.1428965517241387</v>
      </c>
    </row>
    <row r="78" spans="1:5" ht="15" customHeight="1" x14ac:dyDescent="0.25">
      <c r="A78" s="25" t="s">
        <v>57</v>
      </c>
      <c r="B78" s="31">
        <f t="shared" si="2"/>
        <v>4.448529411764706E-2</v>
      </c>
      <c r="C78" s="31">
        <f t="shared" si="2"/>
        <v>6.1801470588235291E-2</v>
      </c>
      <c r="D78" s="31">
        <f t="shared" si="2"/>
        <v>1.1441430020283975E-2</v>
      </c>
      <c r="E78" s="32">
        <f>SUM(B78:D78)</f>
        <v>0.11772819472616633</v>
      </c>
    </row>
    <row r="79" spans="1:5" ht="15" customHeight="1" x14ac:dyDescent="0.25">
      <c r="A79" s="25" t="s">
        <v>48</v>
      </c>
      <c r="B79" s="31">
        <f t="shared" si="2"/>
        <v>14.008333333333333</v>
      </c>
      <c r="C79" s="31">
        <f t="shared" si="2"/>
        <v>2.0833333333333332E-2</v>
      </c>
      <c r="D79" s="31">
        <f t="shared" si="2"/>
        <v>5.4375</v>
      </c>
      <c r="E79" s="32">
        <f>SUM(B79:D79)</f>
        <v>19.466666666666669</v>
      </c>
    </row>
    <row r="81" spans="1:6" ht="15" customHeight="1" x14ac:dyDescent="0.25">
      <c r="A81" s="46" t="s">
        <v>210</v>
      </c>
      <c r="B81" s="46"/>
      <c r="C81" s="46"/>
      <c r="D81" s="46"/>
      <c r="E81" s="46"/>
    </row>
    <row r="82" spans="1:6" ht="15" customHeight="1" x14ac:dyDescent="0.25">
      <c r="A82" s="28" t="s">
        <v>211</v>
      </c>
      <c r="B82" s="89">
        <f>SUM(B77:D79)</f>
        <v>26.727291413116969</v>
      </c>
      <c r="C82" s="89"/>
      <c r="D82" s="89"/>
      <c r="E82" s="89"/>
    </row>
    <row r="83" spans="1:6" ht="15" customHeight="1" x14ac:dyDescent="0.25">
      <c r="A83" s="28" t="s">
        <v>212</v>
      </c>
      <c r="B83" s="49">
        <v>4</v>
      </c>
      <c r="C83" s="49"/>
      <c r="D83" s="49"/>
      <c r="E83" s="49"/>
    </row>
    <row r="84" spans="1:6" ht="15" customHeight="1" x14ac:dyDescent="0.25">
      <c r="A84" s="28" t="s">
        <v>213</v>
      </c>
      <c r="B84" s="48">
        <f>CHITEST(B63:D65,B70:D72)</f>
        <v>2.2568728696174099E-5</v>
      </c>
      <c r="C84" s="48"/>
      <c r="D84" s="48"/>
      <c r="E84" s="48"/>
    </row>
    <row r="85" spans="1:6" ht="15" customHeight="1" x14ac:dyDescent="0.25">
      <c r="A85" s="28" t="s">
        <v>214</v>
      </c>
      <c r="B85" s="50">
        <v>0.05</v>
      </c>
      <c r="C85" s="50"/>
      <c r="D85" s="50"/>
      <c r="E85" s="50"/>
    </row>
    <row r="86" spans="1:6" ht="15" customHeight="1" x14ac:dyDescent="0.25">
      <c r="A86" s="34" t="s">
        <v>215</v>
      </c>
      <c r="B86" s="47" t="str">
        <f>IF(B84&lt;0.05,"✔ Se rechaza H₀ → Asociación significativa","✘ No se rechaza H₀ → Sin asociación significativa")</f>
        <v>✔ Se rechaza H₀ → Asociación significativa</v>
      </c>
      <c r="C86" s="47"/>
      <c r="D86" s="47"/>
      <c r="E86" s="47"/>
    </row>
    <row r="89" spans="1:6" ht="15" customHeight="1" x14ac:dyDescent="0.25">
      <c r="A89" s="60" t="s">
        <v>220</v>
      </c>
      <c r="B89" s="61"/>
      <c r="C89" s="61"/>
      <c r="D89" s="61"/>
      <c r="E89" s="62"/>
      <c r="F89" s="33"/>
    </row>
    <row r="90" spans="1:6" ht="23.25" customHeight="1" x14ac:dyDescent="0.25">
      <c r="A90" s="35" t="s">
        <v>197</v>
      </c>
      <c r="B90" s="35" t="s">
        <v>198</v>
      </c>
      <c r="C90" s="35" t="s">
        <v>199</v>
      </c>
      <c r="D90" s="35" t="s">
        <v>200</v>
      </c>
      <c r="E90" s="35" t="s">
        <v>201</v>
      </c>
    </row>
    <row r="91" spans="1:6" ht="15" customHeight="1" x14ac:dyDescent="0.25">
      <c r="A91" s="28" t="s">
        <v>221</v>
      </c>
      <c r="B91" s="9">
        <f>COUNTIFS(Datos!AB3:AB66,"Alto",Datos!X3:X66,"Baja")</f>
        <v>1</v>
      </c>
      <c r="C91" s="9">
        <f>COUNTIFS(Datos!AB3:AB66,"Alto",Datos!X3:X66,"Media")</f>
        <v>5</v>
      </c>
      <c r="D91" s="9">
        <f>COUNTIFS(Datos!AB3:AB66,"Alto",Datos!X3:X66,"Alta")</f>
        <v>12</v>
      </c>
      <c r="E91" s="11">
        <f>SUM(B91:D91)</f>
        <v>18</v>
      </c>
    </row>
    <row r="92" spans="1:6" ht="15" customHeight="1" x14ac:dyDescent="0.25">
      <c r="A92" s="28" t="s">
        <v>222</v>
      </c>
      <c r="B92" s="9">
        <f>COUNTIFS(Datos!AB3:AB66,"Medio",Datos!X3:X66,"Baja")</f>
        <v>0</v>
      </c>
      <c r="C92" s="9">
        <f>COUNTIFS(Datos!AB3:AB66,"Medio",Datos!X3:X66,"Media")</f>
        <v>8</v>
      </c>
      <c r="D92" s="9">
        <f>COUNTIFS(Datos!AB3:AB66,"Medio",Datos!X3:X66,"Alta")</f>
        <v>8</v>
      </c>
      <c r="E92" s="11">
        <f>SUM(B92:D92)</f>
        <v>16</v>
      </c>
    </row>
    <row r="93" spans="1:6" ht="15" customHeight="1" x14ac:dyDescent="0.25">
      <c r="A93" s="28" t="s">
        <v>223</v>
      </c>
      <c r="B93" s="9">
        <f>COUNTIFS(Datos!AB3:AB66,"Bajo",Datos!X3:X66,"Baja")</f>
        <v>9</v>
      </c>
      <c r="C93" s="9">
        <f>COUNTIFS(Datos!AB3:AB66,"Bajo",Datos!X3:X66,"Media")</f>
        <v>12</v>
      </c>
      <c r="D93" s="9">
        <f>COUNTIFS(Datos!AB3:AB66,"Bajo",Datos!X3:X66,"Alta")</f>
        <v>9</v>
      </c>
      <c r="E93" s="11">
        <f>SUM(B93:D93)</f>
        <v>30</v>
      </c>
    </row>
    <row r="94" spans="1:6" ht="15" customHeight="1" x14ac:dyDescent="0.25">
      <c r="A94" s="23" t="s">
        <v>202</v>
      </c>
      <c r="B94" s="21">
        <f>SUM(B91:B93)</f>
        <v>10</v>
      </c>
      <c r="C94" s="21">
        <f>SUM(C91:C93)</f>
        <v>25</v>
      </c>
      <c r="D94" s="21">
        <f>SUM(D91:D93)</f>
        <v>29</v>
      </c>
      <c r="E94" s="21">
        <f>SUM(E91:E93)</f>
        <v>64</v>
      </c>
    </row>
    <row r="96" spans="1:6" ht="15" customHeight="1" x14ac:dyDescent="0.25">
      <c r="A96" s="46" t="s">
        <v>203</v>
      </c>
      <c r="B96" s="46"/>
      <c r="C96" s="46"/>
      <c r="D96" s="46"/>
      <c r="E96" s="46"/>
    </row>
    <row r="97" spans="1:5" ht="23.25" customHeight="1" x14ac:dyDescent="0.25">
      <c r="A97" s="26" t="s">
        <v>224</v>
      </c>
      <c r="B97" s="26" t="s">
        <v>205</v>
      </c>
      <c r="C97" s="26" t="s">
        <v>206</v>
      </c>
      <c r="D97" s="26" t="s">
        <v>207</v>
      </c>
      <c r="E97" s="26" t="s">
        <v>201</v>
      </c>
    </row>
    <row r="98" spans="1:5" ht="15" customHeight="1" x14ac:dyDescent="0.25">
      <c r="A98" s="25" t="s">
        <v>221</v>
      </c>
      <c r="B98" s="29">
        <f>E91*B94/E94</f>
        <v>2.8125</v>
      </c>
      <c r="C98" s="29">
        <f>E91*C94/E94</f>
        <v>7.03125</v>
      </c>
      <c r="D98" s="29">
        <f>E91*D94/E94</f>
        <v>8.15625</v>
      </c>
      <c r="E98" s="10">
        <f>SUM(B98:D98)</f>
        <v>18</v>
      </c>
    </row>
    <row r="99" spans="1:5" ht="15" customHeight="1" x14ac:dyDescent="0.25">
      <c r="A99" s="25" t="s">
        <v>222</v>
      </c>
      <c r="B99" s="29">
        <f>E92*B94/E94</f>
        <v>2.5</v>
      </c>
      <c r="C99" s="29">
        <f>E92*C94/E94</f>
        <v>6.25</v>
      </c>
      <c r="D99" s="29">
        <f>E92*D94/E94</f>
        <v>7.25</v>
      </c>
      <c r="E99" s="10">
        <f>SUM(B99:D99)</f>
        <v>16</v>
      </c>
    </row>
    <row r="100" spans="1:5" ht="15" customHeight="1" x14ac:dyDescent="0.25">
      <c r="A100" s="25" t="s">
        <v>223</v>
      </c>
      <c r="B100" s="29">
        <f>E93*B94/E94</f>
        <v>4.6875</v>
      </c>
      <c r="C100" s="29">
        <f>E93*C94/E94</f>
        <v>11.71875</v>
      </c>
      <c r="D100" s="29">
        <f>E93*D94/E94</f>
        <v>13.59375</v>
      </c>
      <c r="E100" s="10">
        <f>SUM(B100:D100)</f>
        <v>30</v>
      </c>
    </row>
    <row r="103" spans="1:5" ht="15" customHeight="1" x14ac:dyDescent="0.25">
      <c r="A103" s="46" t="s">
        <v>208</v>
      </c>
      <c r="B103" s="46"/>
      <c r="C103" s="46"/>
      <c r="D103" s="46"/>
      <c r="E103" s="46"/>
    </row>
    <row r="104" spans="1:5" ht="15" customHeight="1" x14ac:dyDescent="0.25">
      <c r="A104" s="26" t="s">
        <v>224</v>
      </c>
      <c r="B104" s="26" t="s">
        <v>48</v>
      </c>
      <c r="C104" s="26" t="s">
        <v>57</v>
      </c>
      <c r="D104" s="26" t="s">
        <v>76</v>
      </c>
      <c r="E104" s="26" t="s">
        <v>209</v>
      </c>
    </row>
    <row r="105" spans="1:5" ht="15" customHeight="1" x14ac:dyDescent="0.25">
      <c r="A105" s="25" t="s">
        <v>221</v>
      </c>
      <c r="B105" s="31">
        <f t="shared" ref="B105:D107" si="3">IFERROR((B91-B98)^2/B98,0)</f>
        <v>1.1680555555555556</v>
      </c>
      <c r="C105" s="31">
        <f t="shared" si="3"/>
        <v>0.58680555555555558</v>
      </c>
      <c r="D105" s="31">
        <f t="shared" si="3"/>
        <v>1.8114224137931034</v>
      </c>
      <c r="E105" s="32">
        <f>SUM(B105:D105)</f>
        <v>3.5662835249042146</v>
      </c>
    </row>
    <row r="106" spans="1:5" ht="15" customHeight="1" x14ac:dyDescent="0.25">
      <c r="A106" s="25" t="s">
        <v>222</v>
      </c>
      <c r="B106" s="31">
        <f t="shared" si="3"/>
        <v>2.5</v>
      </c>
      <c r="C106" s="31">
        <f t="shared" si="3"/>
        <v>0.49</v>
      </c>
      <c r="D106" s="31">
        <f t="shared" si="3"/>
        <v>7.7586206896551727E-2</v>
      </c>
      <c r="E106" s="32">
        <f>SUM(B106:D106)</f>
        <v>3.0675862068965518</v>
      </c>
    </row>
    <row r="107" spans="1:5" ht="15" customHeight="1" x14ac:dyDescent="0.25">
      <c r="A107" s="25" t="s">
        <v>223</v>
      </c>
      <c r="B107" s="31">
        <f t="shared" si="3"/>
        <v>3.9674999999999998</v>
      </c>
      <c r="C107" s="31">
        <f t="shared" si="3"/>
        <v>6.7499999999999999E-3</v>
      </c>
      <c r="D107" s="31">
        <f t="shared" si="3"/>
        <v>1.5523706896551723</v>
      </c>
      <c r="E107" s="32">
        <f>SUM(B107:D107)</f>
        <v>5.5266206896551715</v>
      </c>
    </row>
    <row r="109" spans="1:5" ht="15" customHeight="1" x14ac:dyDescent="0.25">
      <c r="A109" s="46" t="s">
        <v>210</v>
      </c>
      <c r="B109" s="46"/>
      <c r="C109" s="46"/>
      <c r="D109" s="46"/>
      <c r="E109" s="46"/>
    </row>
    <row r="110" spans="1:5" ht="15" customHeight="1" x14ac:dyDescent="0.25">
      <c r="A110" s="28" t="s">
        <v>211</v>
      </c>
      <c r="B110" s="91">
        <f>SUM(B105:D107)</f>
        <v>12.160490421455938</v>
      </c>
      <c r="C110" s="91"/>
      <c r="D110" s="91"/>
      <c r="E110" s="91"/>
    </row>
    <row r="111" spans="1:5" ht="15" customHeight="1" x14ac:dyDescent="0.25">
      <c r="A111" s="28" t="s">
        <v>212</v>
      </c>
      <c r="B111" s="49">
        <v>4</v>
      </c>
      <c r="C111" s="49"/>
      <c r="D111" s="49"/>
      <c r="E111" s="49"/>
    </row>
    <row r="112" spans="1:5" ht="15" customHeight="1" x14ac:dyDescent="0.25">
      <c r="A112" s="28" t="s">
        <v>213</v>
      </c>
      <c r="B112" s="48">
        <f>CHITEST(B91:D93,B98:D100)</f>
        <v>1.6196879652516094E-2</v>
      </c>
      <c r="C112" s="48"/>
      <c r="D112" s="48"/>
      <c r="E112" s="48"/>
    </row>
    <row r="113" spans="1:6" ht="15" customHeight="1" x14ac:dyDescent="0.25">
      <c r="A113" s="28" t="s">
        <v>214</v>
      </c>
      <c r="B113" s="50">
        <v>0.05</v>
      </c>
      <c r="C113" s="50"/>
      <c r="D113" s="50"/>
      <c r="E113" s="50"/>
    </row>
    <row r="114" spans="1:6" ht="15" customHeight="1" x14ac:dyDescent="0.25">
      <c r="A114" s="34" t="s">
        <v>215</v>
      </c>
      <c r="B114" s="47" t="str">
        <f>IF(B112&lt;0.05,"✔ Se rechaza H₀ → Asociación significativa","✘ No se rechaza H₀ → Sin asociación significativa")</f>
        <v>✔ Se rechaza H₀ → Asociación significativa</v>
      </c>
      <c r="C114" s="47"/>
      <c r="D114" s="47"/>
      <c r="E114" s="47"/>
    </row>
    <row r="116" spans="1:6" x14ac:dyDescent="0.25">
      <c r="A116" s="55" t="s">
        <v>225</v>
      </c>
      <c r="B116" s="55"/>
      <c r="C116" s="55"/>
      <c r="D116" s="55"/>
      <c r="E116" s="55"/>
      <c r="F116" s="55"/>
    </row>
    <row r="117" spans="1:6" x14ac:dyDescent="0.25">
      <c r="A117" s="56" t="s">
        <v>226</v>
      </c>
      <c r="B117" s="56"/>
      <c r="C117" s="56"/>
      <c r="D117" s="56"/>
      <c r="E117" s="56"/>
      <c r="F117" s="56"/>
    </row>
    <row r="118" spans="1:6" ht="19.5" customHeight="1" x14ac:dyDescent="0.25">
      <c r="A118" s="57" t="s">
        <v>227</v>
      </c>
      <c r="B118" s="57"/>
      <c r="C118" s="57"/>
      <c r="D118" s="57"/>
      <c r="E118" s="57"/>
      <c r="F118" s="57"/>
    </row>
    <row r="119" spans="1:6" ht="25.5" x14ac:dyDescent="0.25">
      <c r="A119" s="36" t="s">
        <v>197</v>
      </c>
      <c r="B119" s="23" t="s">
        <v>198</v>
      </c>
      <c r="C119" s="23" t="s">
        <v>199</v>
      </c>
      <c r="D119" s="23" t="s">
        <v>200</v>
      </c>
      <c r="E119" s="23" t="s">
        <v>201</v>
      </c>
    </row>
    <row r="120" spans="1:6" x14ac:dyDescent="0.25">
      <c r="A120" s="28" t="s">
        <v>228</v>
      </c>
      <c r="B120" s="9">
        <f>COUNTIFS(Datos!AC3:AC66,"Costo como razón",Datos!X3:X66,"Baja")</f>
        <v>1</v>
      </c>
      <c r="C120" s="9">
        <f>COUNTIFS(Datos!AC3:AC66,"Costo como razón",Datos!X3:X66,"Media")</f>
        <v>8</v>
      </c>
      <c r="D120" s="9">
        <f>COUNTIFS(Datos!AC3:AC66,"Costo como razón",Datos!X3:X66,"Alta")</f>
        <v>7</v>
      </c>
      <c r="E120" s="11">
        <f>SUM(B120:D120)</f>
        <v>16</v>
      </c>
    </row>
    <row r="121" spans="1:6" x14ac:dyDescent="0.25">
      <c r="A121" s="28" t="s">
        <v>229</v>
      </c>
      <c r="B121" s="9">
        <f>COUNTIFS(Datos!AC3:AC66,"Otra razón",Datos!X3:X66,"Baja")</f>
        <v>9</v>
      </c>
      <c r="C121" s="9">
        <f>COUNTIFS(Datos!AC3:AC66,"Otra razón",Datos!X3:X66,"Media")</f>
        <v>17</v>
      </c>
      <c r="D121" s="9">
        <f>COUNTIFS(Datos!AC3:AC66,"Otra razón",Datos!X3:X66,"Alta")</f>
        <v>22</v>
      </c>
      <c r="E121" s="11">
        <f>SUM(B121:D121)</f>
        <v>48</v>
      </c>
    </row>
    <row r="122" spans="1:6" x14ac:dyDescent="0.25">
      <c r="A122" s="36" t="s">
        <v>202</v>
      </c>
      <c r="B122" s="21">
        <f>SUM(B120:B121)</f>
        <v>10</v>
      </c>
      <c r="C122" s="21">
        <f>SUM(C120:C121)</f>
        <v>25</v>
      </c>
      <c r="D122" s="21">
        <f>SUM(D120:D121)</f>
        <v>29</v>
      </c>
      <c r="E122" s="21">
        <f>SUM(E120:E121)</f>
        <v>64</v>
      </c>
    </row>
    <row r="124" spans="1:6" x14ac:dyDescent="0.25">
      <c r="A124" s="58" t="s">
        <v>203</v>
      </c>
      <c r="B124" s="58"/>
      <c r="C124" s="58"/>
      <c r="D124" s="58"/>
      <c r="E124" s="58"/>
    </row>
    <row r="125" spans="1:6" ht="25.5" x14ac:dyDescent="0.25">
      <c r="A125" s="11" t="s">
        <v>230</v>
      </c>
      <c r="B125" s="26" t="s">
        <v>205</v>
      </c>
      <c r="C125" s="26" t="s">
        <v>206</v>
      </c>
      <c r="D125" s="26" t="s">
        <v>207</v>
      </c>
      <c r="E125" s="26" t="s">
        <v>201</v>
      </c>
    </row>
    <row r="126" spans="1:6" x14ac:dyDescent="0.25">
      <c r="A126" s="25" t="s">
        <v>228</v>
      </c>
      <c r="B126" s="29">
        <f>E120*B122/E122</f>
        <v>2.5</v>
      </c>
      <c r="C126" s="29">
        <f>E120*C122/E122</f>
        <v>6.25</v>
      </c>
      <c r="D126" s="29">
        <f>E120*D122/E122</f>
        <v>7.25</v>
      </c>
      <c r="E126" s="10">
        <f>SUM(B126:D126)</f>
        <v>16</v>
      </c>
    </row>
    <row r="127" spans="1:6" x14ac:dyDescent="0.25">
      <c r="A127" s="25" t="s">
        <v>229</v>
      </c>
      <c r="B127" s="29">
        <f>E121*B122/E122</f>
        <v>7.5</v>
      </c>
      <c r="C127" s="29">
        <f>E121*C122/E122</f>
        <v>18.75</v>
      </c>
      <c r="D127" s="29">
        <f>E121*D122/E122</f>
        <v>21.75</v>
      </c>
      <c r="E127" s="10">
        <f>SUM(B127:D127)</f>
        <v>48</v>
      </c>
    </row>
    <row r="130" spans="1:6" x14ac:dyDescent="0.25">
      <c r="A130" s="58" t="s">
        <v>208</v>
      </c>
      <c r="B130" s="58"/>
      <c r="C130" s="58"/>
      <c r="D130" s="58"/>
      <c r="E130" s="58"/>
    </row>
    <row r="131" spans="1:6" x14ac:dyDescent="0.25">
      <c r="A131" s="11" t="s">
        <v>230</v>
      </c>
      <c r="B131" s="11" t="s">
        <v>48</v>
      </c>
      <c r="C131" s="11" t="s">
        <v>57</v>
      </c>
      <c r="D131" s="11" t="s">
        <v>76</v>
      </c>
      <c r="E131" s="11" t="s">
        <v>209</v>
      </c>
    </row>
    <row r="132" spans="1:6" x14ac:dyDescent="0.25">
      <c r="A132" s="25" t="s">
        <v>228</v>
      </c>
      <c r="B132" s="31">
        <f t="shared" ref="B132:D133" si="4">IFERROR((B120-B126)^2/B126,0)</f>
        <v>0.9</v>
      </c>
      <c r="C132" s="31">
        <f t="shared" si="4"/>
        <v>0.49</v>
      </c>
      <c r="D132" s="31">
        <f t="shared" si="4"/>
        <v>8.6206896551724137E-3</v>
      </c>
      <c r="E132" s="32">
        <f>SUM(B132:D132)</f>
        <v>1.3986206896551725</v>
      </c>
    </row>
    <row r="133" spans="1:6" x14ac:dyDescent="0.25">
      <c r="A133" s="25" t="s">
        <v>229</v>
      </c>
      <c r="B133" s="31">
        <f t="shared" si="4"/>
        <v>0.3</v>
      </c>
      <c r="C133" s="31">
        <f t="shared" si="4"/>
        <v>0.16333333333333333</v>
      </c>
      <c r="D133" s="31">
        <f t="shared" si="4"/>
        <v>2.8735632183908046E-3</v>
      </c>
      <c r="E133" s="32">
        <f>SUM(B133:D133)</f>
        <v>0.46620689655172415</v>
      </c>
    </row>
    <row r="135" spans="1:6" x14ac:dyDescent="0.25">
      <c r="A135" s="58" t="s">
        <v>210</v>
      </c>
      <c r="B135" s="58"/>
      <c r="C135" s="58"/>
      <c r="D135" s="58"/>
      <c r="E135" s="58"/>
    </row>
    <row r="136" spans="1:6" x14ac:dyDescent="0.25">
      <c r="A136" s="28" t="s">
        <v>211</v>
      </c>
      <c r="B136" s="51">
        <f>SUM(B132:D133)</f>
        <v>1.8648275862068966</v>
      </c>
      <c r="C136" s="51"/>
      <c r="D136" s="51"/>
      <c r="E136" s="51"/>
    </row>
    <row r="137" spans="1:6" x14ac:dyDescent="0.25">
      <c r="A137" s="28" t="s">
        <v>231</v>
      </c>
      <c r="B137" s="52">
        <v>2</v>
      </c>
      <c r="C137" s="52"/>
      <c r="D137" s="52"/>
      <c r="E137" s="52"/>
    </row>
    <row r="138" spans="1:6" x14ac:dyDescent="0.25">
      <c r="A138" s="28" t="s">
        <v>232</v>
      </c>
      <c r="B138" s="51">
        <f>CHITEST(B120:D121,B126:D127)</f>
        <v>0.3936024878356148</v>
      </c>
      <c r="C138" s="51"/>
      <c r="D138" s="51"/>
      <c r="E138" s="51"/>
    </row>
    <row r="139" spans="1:6" x14ac:dyDescent="0.25">
      <c r="A139" s="28" t="s">
        <v>214</v>
      </c>
      <c r="B139" s="53">
        <v>0.05</v>
      </c>
      <c r="C139" s="53"/>
      <c r="D139" s="53"/>
      <c r="E139" s="53"/>
    </row>
    <row r="140" spans="1:6" x14ac:dyDescent="0.25">
      <c r="A140" s="34" t="s">
        <v>215</v>
      </c>
      <c r="B140" s="54" t="str">
        <f>IF(B138&lt;0.05,"✔ Se rechaza H₀ → Asociación significativa","✘ No se rechaza H₀ → Sin asociación significativa")</f>
        <v>✘ No se rechaza H₀ → Sin asociación significativa</v>
      </c>
      <c r="C140" s="54"/>
      <c r="D140" s="54"/>
      <c r="E140" s="54"/>
    </row>
    <row r="143" spans="1:6" x14ac:dyDescent="0.25">
      <c r="A143" s="56" t="s">
        <v>233</v>
      </c>
      <c r="B143" s="56"/>
      <c r="C143" s="56"/>
      <c r="D143" s="56"/>
      <c r="E143" s="56"/>
      <c r="F143" s="56"/>
    </row>
    <row r="144" spans="1:6" ht="19.5" customHeight="1" x14ac:dyDescent="0.25">
      <c r="A144" s="57" t="s">
        <v>234</v>
      </c>
      <c r="B144" s="57"/>
      <c r="C144" s="57"/>
      <c r="D144" s="57"/>
      <c r="E144" s="57"/>
      <c r="F144" s="57"/>
    </row>
    <row r="145" spans="1:5" ht="25.5" x14ac:dyDescent="0.25">
      <c r="A145" s="36" t="s">
        <v>197</v>
      </c>
      <c r="B145" s="23" t="s">
        <v>198</v>
      </c>
      <c r="C145" s="23" t="s">
        <v>199</v>
      </c>
      <c r="D145" s="23" t="s">
        <v>200</v>
      </c>
      <c r="E145" s="23" t="s">
        <v>201</v>
      </c>
    </row>
    <row r="146" spans="1:5" x14ac:dyDescent="0.25">
      <c r="A146" s="28" t="s">
        <v>235</v>
      </c>
      <c r="B146" s="9">
        <f>COUNTIFS(Datos!AD3:AD66,"Con recursos completos",Datos!X3:X66,"Baja")</f>
        <v>0</v>
      </c>
      <c r="C146" s="9">
        <f>COUNTIFS(Datos!AD3:AD66,"Con recursos completos",Datos!X3:X66,"Media")</f>
        <v>9</v>
      </c>
      <c r="D146" s="9">
        <f>COUNTIFS(Datos!AD3:AD66,"Con recursos completos",Datos!X3:X66,"Alta")</f>
        <v>12</v>
      </c>
      <c r="E146" s="11">
        <f>SUM(B146:D146)</f>
        <v>21</v>
      </c>
    </row>
    <row r="147" spans="1:5" x14ac:dyDescent="0.25">
      <c r="A147" s="28" t="s">
        <v>236</v>
      </c>
      <c r="B147" s="9">
        <f>COUNTIFS(Datos!AD3:AD66,"Con recursos básicos",Datos!X3:X66,"Baja")</f>
        <v>6</v>
      </c>
      <c r="C147" s="9">
        <f>COUNTIFS(Datos!AD3:AD66,"Con recursos básicos",Datos!X3:X66,"Media")</f>
        <v>15</v>
      </c>
      <c r="D147" s="9">
        <f>COUNTIFS(Datos!AD3:AD66,"Con recursos básicos",Datos!X3:X66,"Alta")</f>
        <v>16</v>
      </c>
      <c r="E147" s="11">
        <f>SUM(B147:D147)</f>
        <v>37</v>
      </c>
    </row>
    <row r="148" spans="1:5" x14ac:dyDescent="0.25">
      <c r="A148" s="28" t="s">
        <v>237</v>
      </c>
      <c r="B148" s="9">
        <f>COUNTIFS(Datos!AD3:AD66,"Sin recursos",Datos!X3:X66,"Baja")</f>
        <v>4</v>
      </c>
      <c r="C148" s="9">
        <f>COUNTIFS(Datos!AD3:AD66,"Sin recursos",Datos!X3:X66,"Media")</f>
        <v>1</v>
      </c>
      <c r="D148" s="9">
        <f>COUNTIFS(Datos!AD3:AD66,"Sin recursos",Datos!X3:X66,"Alta")</f>
        <v>1</v>
      </c>
      <c r="E148" s="11">
        <f>SUM(B148:D148)</f>
        <v>6</v>
      </c>
    </row>
    <row r="149" spans="1:5" x14ac:dyDescent="0.25">
      <c r="A149" s="36" t="s">
        <v>202</v>
      </c>
      <c r="B149" s="21">
        <f>SUM(B146:B148)</f>
        <v>10</v>
      </c>
      <c r="C149" s="21">
        <f>SUM(C146:C148)</f>
        <v>25</v>
      </c>
      <c r="D149" s="21">
        <f>SUM(D146:D148)</f>
        <v>29</v>
      </c>
      <c r="E149" s="21">
        <f>SUM(E146:E148)</f>
        <v>64</v>
      </c>
    </row>
    <row r="151" spans="1:5" x14ac:dyDescent="0.25">
      <c r="A151" s="58" t="s">
        <v>203</v>
      </c>
      <c r="B151" s="58"/>
      <c r="C151" s="58"/>
      <c r="D151" s="58"/>
      <c r="E151" s="58"/>
    </row>
    <row r="152" spans="1:5" ht="25.5" x14ac:dyDescent="0.25">
      <c r="A152" s="11" t="s">
        <v>238</v>
      </c>
      <c r="B152" s="26" t="s">
        <v>205</v>
      </c>
      <c r="C152" s="26" t="s">
        <v>206</v>
      </c>
      <c r="D152" s="26" t="s">
        <v>207</v>
      </c>
      <c r="E152" s="26" t="s">
        <v>201</v>
      </c>
    </row>
    <row r="153" spans="1:5" x14ac:dyDescent="0.25">
      <c r="A153" s="25" t="s">
        <v>235</v>
      </c>
      <c r="B153" s="29">
        <f>E146*B149/E149</f>
        <v>3.28125</v>
      </c>
      <c r="C153" s="29">
        <f>E146*C149/E149</f>
        <v>8.203125</v>
      </c>
      <c r="D153" s="29">
        <f>E146*D149/E149</f>
        <v>9.515625</v>
      </c>
      <c r="E153" s="10">
        <f>SUM(B153:D153)</f>
        <v>21</v>
      </c>
    </row>
    <row r="154" spans="1:5" x14ac:dyDescent="0.25">
      <c r="A154" s="25" t="s">
        <v>236</v>
      </c>
      <c r="B154" s="29">
        <f>E147*B149/E149</f>
        <v>5.78125</v>
      </c>
      <c r="C154" s="29">
        <f>E147*C149/E149</f>
        <v>14.453125</v>
      </c>
      <c r="D154" s="29">
        <f>E147*D149/E149</f>
        <v>16.765625</v>
      </c>
      <c r="E154" s="10">
        <f>SUM(B154:D154)</f>
        <v>37</v>
      </c>
    </row>
    <row r="155" spans="1:5" x14ac:dyDescent="0.25">
      <c r="A155" s="25" t="s">
        <v>237</v>
      </c>
      <c r="B155" s="29">
        <f>E148*B149/E149</f>
        <v>0.9375</v>
      </c>
      <c r="C155" s="29">
        <f>E148*C149/E149</f>
        <v>2.34375</v>
      </c>
      <c r="D155" s="29">
        <f>E148*D149/E149</f>
        <v>2.71875</v>
      </c>
      <c r="E155" s="10">
        <f>SUM(B155:D155)</f>
        <v>6</v>
      </c>
    </row>
    <row r="158" spans="1:5" x14ac:dyDescent="0.25">
      <c r="A158" s="58" t="s">
        <v>208</v>
      </c>
      <c r="B158" s="58"/>
      <c r="C158" s="58"/>
      <c r="D158" s="58"/>
      <c r="E158" s="58"/>
    </row>
    <row r="159" spans="1:5" x14ac:dyDescent="0.25">
      <c r="A159" s="11" t="s">
        <v>238</v>
      </c>
      <c r="B159" s="11" t="s">
        <v>48</v>
      </c>
      <c r="C159" s="11" t="s">
        <v>57</v>
      </c>
      <c r="D159" s="11" t="s">
        <v>76</v>
      </c>
      <c r="E159" s="11" t="s">
        <v>209</v>
      </c>
    </row>
    <row r="160" spans="1:5" x14ac:dyDescent="0.25">
      <c r="A160" s="25" t="s">
        <v>235</v>
      </c>
      <c r="B160" s="31">
        <f t="shared" ref="B160:D162" si="5">IFERROR((B146-B153)^2/B153,0)</f>
        <v>3.28125</v>
      </c>
      <c r="C160" s="31">
        <f t="shared" si="5"/>
        <v>7.7410714285714291E-2</v>
      </c>
      <c r="D160" s="31">
        <f t="shared" si="5"/>
        <v>0.64862992610837433</v>
      </c>
      <c r="E160" s="32">
        <f>SUM(B160:D160)</f>
        <v>4.0072906403940882</v>
      </c>
    </row>
    <row r="161" spans="1:5" x14ac:dyDescent="0.25">
      <c r="A161" s="25" t="s">
        <v>236</v>
      </c>
      <c r="B161" s="31">
        <f t="shared" si="5"/>
        <v>8.2770270270270275E-3</v>
      </c>
      <c r="C161" s="31">
        <f t="shared" si="5"/>
        <v>2.0692567567567568E-2</v>
      </c>
      <c r="D161" s="31">
        <f t="shared" si="5"/>
        <v>3.4963303821062441E-2</v>
      </c>
      <c r="E161" s="32">
        <f>SUM(B161:D161)</f>
        <v>6.3932898415657038E-2</v>
      </c>
    </row>
    <row r="162" spans="1:5" x14ac:dyDescent="0.25">
      <c r="A162" s="25" t="s">
        <v>237</v>
      </c>
      <c r="B162" s="31">
        <f t="shared" si="5"/>
        <v>10.004166666666666</v>
      </c>
      <c r="C162" s="31">
        <f t="shared" si="5"/>
        <v>0.77041666666666664</v>
      </c>
      <c r="D162" s="31">
        <f t="shared" si="5"/>
        <v>1.086566091954023</v>
      </c>
      <c r="E162" s="32">
        <f>SUM(B162:D162)</f>
        <v>11.861149425287355</v>
      </c>
    </row>
    <row r="164" spans="1:5" x14ac:dyDescent="0.25">
      <c r="A164" s="58" t="s">
        <v>210</v>
      </c>
      <c r="B164" s="58"/>
      <c r="C164" s="58"/>
      <c r="D164" s="58"/>
      <c r="E164" s="58"/>
    </row>
    <row r="165" spans="1:5" x14ac:dyDescent="0.25">
      <c r="A165" s="28" t="s">
        <v>211</v>
      </c>
      <c r="B165" s="91">
        <f>SUM(B160:D162)</f>
        <v>15.932372964097102</v>
      </c>
      <c r="C165" s="91"/>
      <c r="D165" s="91"/>
      <c r="E165" s="91"/>
    </row>
    <row r="166" spans="1:5" x14ac:dyDescent="0.25">
      <c r="A166" s="28" t="s">
        <v>231</v>
      </c>
      <c r="B166" s="49">
        <v>4</v>
      </c>
      <c r="C166" s="49"/>
      <c r="D166" s="49"/>
      <c r="E166" s="49"/>
    </row>
    <row r="167" spans="1:5" x14ac:dyDescent="0.25">
      <c r="A167" s="28" t="s">
        <v>232</v>
      </c>
      <c r="B167" s="48">
        <f>CHITEST(B146:D148,B153:D155)</f>
        <v>3.1112645188429828E-3</v>
      </c>
      <c r="C167" s="48"/>
      <c r="D167" s="48"/>
      <c r="E167" s="48"/>
    </row>
    <row r="168" spans="1:5" x14ac:dyDescent="0.25">
      <c r="A168" s="28" t="s">
        <v>214</v>
      </c>
      <c r="B168" s="50">
        <v>0.05</v>
      </c>
      <c r="C168" s="50"/>
      <c r="D168" s="50"/>
      <c r="E168" s="50"/>
    </row>
    <row r="169" spans="1:5" x14ac:dyDescent="0.25">
      <c r="A169" s="34" t="s">
        <v>215</v>
      </c>
      <c r="B169" s="59" t="str">
        <f>IF(B167&lt;0.05,"✔ Se rechaza H₀ → Asociación significativa","✘ No se rechaza H₀ → Sin asociación significativa")</f>
        <v>✔ Se rechaza H₀ → Asociación significativa</v>
      </c>
      <c r="C169" s="59"/>
      <c r="D169" s="59"/>
      <c r="E169" s="59"/>
    </row>
  </sheetData>
  <mergeCells count="59">
    <mergeCell ref="B166:E166"/>
    <mergeCell ref="B167:E167"/>
    <mergeCell ref="B168:E168"/>
    <mergeCell ref="B169:E169"/>
    <mergeCell ref="A5:E5"/>
    <mergeCell ref="A33:E33"/>
    <mergeCell ref="A61:E61"/>
    <mergeCell ref="A89:E89"/>
    <mergeCell ref="A144:F144"/>
    <mergeCell ref="A151:E151"/>
    <mergeCell ref="A158:E158"/>
    <mergeCell ref="A164:E164"/>
    <mergeCell ref="B165:E165"/>
    <mergeCell ref="B137:E137"/>
    <mergeCell ref="B138:E138"/>
    <mergeCell ref="B139:E139"/>
    <mergeCell ref="B140:E140"/>
    <mergeCell ref="A143:F143"/>
    <mergeCell ref="A118:F118"/>
    <mergeCell ref="A124:E124"/>
    <mergeCell ref="A130:E130"/>
    <mergeCell ref="A135:E135"/>
    <mergeCell ref="B136:E136"/>
    <mergeCell ref="B112:E112"/>
    <mergeCell ref="B113:E113"/>
    <mergeCell ref="B114:E114"/>
    <mergeCell ref="A116:F116"/>
    <mergeCell ref="A117:F117"/>
    <mergeCell ref="A96:E96"/>
    <mergeCell ref="A103:E103"/>
    <mergeCell ref="A109:E109"/>
    <mergeCell ref="B110:E110"/>
    <mergeCell ref="B111:E111"/>
    <mergeCell ref="B83:E83"/>
    <mergeCell ref="B84:E84"/>
    <mergeCell ref="B85:E85"/>
    <mergeCell ref="B86:E86"/>
    <mergeCell ref="A68:E68"/>
    <mergeCell ref="A75:E75"/>
    <mergeCell ref="A81:E81"/>
    <mergeCell ref="B82:E82"/>
    <mergeCell ref="B54:E54"/>
    <mergeCell ref="B55:E55"/>
    <mergeCell ref="B56:E56"/>
    <mergeCell ref="B57:E57"/>
    <mergeCell ref="B58:E58"/>
    <mergeCell ref="A40:E40"/>
    <mergeCell ref="A47:E47"/>
    <mergeCell ref="A53:E53"/>
    <mergeCell ref="A25:E25"/>
    <mergeCell ref="B26:E26"/>
    <mergeCell ref="B27:E27"/>
    <mergeCell ref="B28:E28"/>
    <mergeCell ref="B29:E29"/>
    <mergeCell ref="A1:F1"/>
    <mergeCell ref="A3:F3"/>
    <mergeCell ref="A12:E12"/>
    <mergeCell ref="A19:E19"/>
    <mergeCell ref="B30:E30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0"/>
  <sheetViews>
    <sheetView showGridLines="0" zoomScaleNormal="100" workbookViewId="0">
      <selection activeCell="K5" sqref="K5"/>
    </sheetView>
  </sheetViews>
  <sheetFormatPr baseColWidth="10" defaultColWidth="8.7109375" defaultRowHeight="15" x14ac:dyDescent="0.25"/>
  <cols>
    <col min="1" max="1" width="35" style="24" customWidth="1"/>
    <col min="2" max="2" width="8" style="24" customWidth="1"/>
    <col min="3" max="3" width="14" style="24" customWidth="1"/>
    <col min="4" max="4" width="18" style="24" customWidth="1"/>
    <col min="5" max="5" width="30.85546875" style="24" customWidth="1"/>
  </cols>
  <sheetData>
    <row r="1" spans="1:5" ht="26.25" customHeight="1" x14ac:dyDescent="0.25">
      <c r="A1" s="44" t="s">
        <v>272</v>
      </c>
      <c r="B1" s="44"/>
      <c r="C1" s="44"/>
      <c r="D1" s="44"/>
      <c r="E1" s="44"/>
    </row>
    <row r="3" spans="1:5" ht="15" customHeight="1" x14ac:dyDescent="0.25">
      <c r="A3" s="81" t="s">
        <v>241</v>
      </c>
      <c r="B3" s="81"/>
      <c r="C3" s="81"/>
      <c r="D3" s="81"/>
      <c r="E3" s="81"/>
    </row>
    <row r="4" spans="1:5" ht="15" customHeight="1" x14ac:dyDescent="0.25">
      <c r="A4" s="23" t="s">
        <v>239</v>
      </c>
      <c r="B4" s="23" t="s">
        <v>131</v>
      </c>
      <c r="C4" s="23" t="s">
        <v>240</v>
      </c>
      <c r="D4" s="23" t="s">
        <v>242</v>
      </c>
      <c r="E4" s="23" t="s">
        <v>243</v>
      </c>
    </row>
    <row r="5" spans="1:5" ht="15" customHeight="1" x14ac:dyDescent="0.25">
      <c r="A5" s="28" t="s">
        <v>72</v>
      </c>
      <c r="B5" s="9">
        <f>COUNTIF(Datos!B3:B66,"18 a 34 años")</f>
        <v>23</v>
      </c>
      <c r="C5" s="10">
        <f>IFERROR(AVERAGEIF(Datos!B3:B66,"18 a 34 años",Datos!W3:W66),"-")</f>
        <v>3.2465217391304342</v>
      </c>
      <c r="D5" s="9" t="str">
        <f>IFERROR(IF(C5&lt;=2.4,"Baja",IF(C5&lt;=3.4,"Media","Alta")),"-")</f>
        <v>Media</v>
      </c>
      <c r="E5" s="13">
        <f>IFERROR(B5/64,0)</f>
        <v>0.359375</v>
      </c>
    </row>
    <row r="6" spans="1:5" ht="15" customHeight="1" x14ac:dyDescent="0.25">
      <c r="A6" s="28" t="s">
        <v>52</v>
      </c>
      <c r="B6" s="9">
        <f>COUNTIF(Datos!B3:B66,"35 a 54 años")</f>
        <v>21</v>
      </c>
      <c r="C6" s="10">
        <f>IFERROR(AVERAGEIF(Datos!B3:B66,"35 a 54 años",Datos!W3:W66),"-")</f>
        <v>3.5557142857142856</v>
      </c>
      <c r="D6" s="9" t="str">
        <f>IFERROR(IF(C6&lt;=2.4,"Baja",IF(C6&lt;=3.4,"Media","Alta")),"-")</f>
        <v>Alta</v>
      </c>
      <c r="E6" s="13">
        <f>IFERROR(B6/64,0)</f>
        <v>0.328125</v>
      </c>
    </row>
    <row r="7" spans="1:5" ht="15" customHeight="1" x14ac:dyDescent="0.25">
      <c r="A7" s="28" t="s">
        <v>25</v>
      </c>
      <c r="B7" s="9">
        <f>COUNTIF(Datos!B3:B66,"55 años o más")</f>
        <v>20</v>
      </c>
      <c r="C7" s="10">
        <f>IFERROR(AVERAGEIF(Datos!B3:B66,"55 años o más",Datos!W3:W66),"-")</f>
        <v>3.0654999999999997</v>
      </c>
      <c r="D7" s="9" t="str">
        <f>IFERROR(IF(C7&lt;=2.4,"Baja",IF(C7&lt;=3.4,"Media","Alta")),"-")</f>
        <v>Media</v>
      </c>
      <c r="E7" s="13">
        <f>IFERROR(B7/64,0)</f>
        <v>0.3125</v>
      </c>
    </row>
    <row r="8" spans="1:5" ht="15" customHeight="1" x14ac:dyDescent="0.25">
      <c r="A8" s="23" t="s">
        <v>244</v>
      </c>
      <c r="B8" s="21">
        <f>SUM(B5:B7)</f>
        <v>64</v>
      </c>
      <c r="C8" s="37">
        <f>AVERAGE(Datos!W3:W66)</f>
        <v>3.2914062500000005</v>
      </c>
      <c r="D8" s="9"/>
      <c r="E8" s="9"/>
    </row>
    <row r="10" spans="1:5" ht="15" customHeight="1" x14ac:dyDescent="0.25">
      <c r="A10" s="81" t="s">
        <v>245</v>
      </c>
      <c r="B10" s="81"/>
      <c r="C10" s="81"/>
      <c r="D10" s="81"/>
      <c r="E10" s="81"/>
    </row>
    <row r="11" spans="1:5" ht="15" customHeight="1" x14ac:dyDescent="0.25">
      <c r="A11" s="23" t="s">
        <v>239</v>
      </c>
      <c r="B11" s="23" t="s">
        <v>131</v>
      </c>
      <c r="C11" s="23" t="s">
        <v>240</v>
      </c>
      <c r="D11" s="23" t="s">
        <v>242</v>
      </c>
      <c r="E11" s="23" t="s">
        <v>243</v>
      </c>
    </row>
    <row r="12" spans="1:5" ht="15" customHeight="1" x14ac:dyDescent="0.25">
      <c r="A12" s="28" t="s">
        <v>26</v>
      </c>
      <c r="B12" s="9">
        <f>COUNTIF(Datos!C3:C66,"Sin estudios formales")</f>
        <v>8</v>
      </c>
      <c r="C12" s="10">
        <f>IFERROR(AVERAGEIF(Datos!C3:C66,"Sin estudios formales",Datos!W3:W66),"-")</f>
        <v>2.79</v>
      </c>
      <c r="D12" s="9" t="str">
        <f t="shared" ref="D12:D19" si="0">IFERROR(IF(C12&lt;=2.4,"Baja",IF(C12&lt;=3.4,"Media","Alta")),"-")</f>
        <v>Media</v>
      </c>
      <c r="E12" s="13">
        <f t="shared" ref="E12:E19" si="1">IFERROR(B12/64,0)</f>
        <v>0.125</v>
      </c>
    </row>
    <row r="13" spans="1:5" ht="15" customHeight="1" x14ac:dyDescent="0.25">
      <c r="A13" s="28" t="s">
        <v>42</v>
      </c>
      <c r="B13" s="9">
        <f>COUNTIF(Datos!C3:C66,"Primaria incompleta")</f>
        <v>4</v>
      </c>
      <c r="C13" s="10">
        <f>IFERROR(AVERAGEIF(Datos!C3:C66,"Primaria incompleta",Datos!W3:W66),"-")</f>
        <v>2.75</v>
      </c>
      <c r="D13" s="9" t="str">
        <f t="shared" si="0"/>
        <v>Media</v>
      </c>
      <c r="E13" s="13">
        <f t="shared" si="1"/>
        <v>6.25E-2</v>
      </c>
    </row>
    <row r="14" spans="1:5" ht="15" customHeight="1" x14ac:dyDescent="0.25">
      <c r="A14" s="28" t="s">
        <v>89</v>
      </c>
      <c r="B14" s="9">
        <f>COUNTIF(Datos!C3:C66,"Primaria completa")</f>
        <v>5</v>
      </c>
      <c r="C14" s="10">
        <f>IFERROR(AVERAGEIF(Datos!C3:C66,"Primaria completa",Datos!W3:W66),"-")</f>
        <v>3.2679999999999998</v>
      </c>
      <c r="D14" s="9" t="str">
        <f t="shared" si="0"/>
        <v>Media</v>
      </c>
      <c r="E14" s="13">
        <f t="shared" si="1"/>
        <v>7.8125E-2</v>
      </c>
    </row>
    <row r="15" spans="1:5" ht="15" customHeight="1" x14ac:dyDescent="0.25">
      <c r="A15" s="28" t="s">
        <v>73</v>
      </c>
      <c r="B15" s="9">
        <f>COUNTIF(Datos!C3:C66,"Bachillerato incompleto (Secundaria)")</f>
        <v>5</v>
      </c>
      <c r="C15" s="10">
        <f>IFERROR(AVERAGEIF(Datos!C3:C66,"Bachillerato incompleto (Secundaria)",Datos!W3:W66),"-")</f>
        <v>3.7340000000000004</v>
      </c>
      <c r="D15" s="9" t="str">
        <f t="shared" si="0"/>
        <v>Alta</v>
      </c>
      <c r="E15" s="13">
        <f t="shared" si="1"/>
        <v>7.8125E-2</v>
      </c>
    </row>
    <row r="16" spans="1:5" ht="15" customHeight="1" x14ac:dyDescent="0.25">
      <c r="A16" s="28" t="s">
        <v>61</v>
      </c>
      <c r="B16" s="9">
        <f>COUNTIF(Datos!C3:C66,"Bachillerato completo (Media)")</f>
        <v>18</v>
      </c>
      <c r="C16" s="10">
        <f>IFERROR(AVERAGEIF(Datos!C3:C66,"Bachillerato completo (Media)",Datos!W3:W66),"-")</f>
        <v>3.4249999999999998</v>
      </c>
      <c r="D16" s="9" t="str">
        <f t="shared" si="0"/>
        <v>Alta</v>
      </c>
      <c r="E16" s="13">
        <f t="shared" si="1"/>
        <v>0.28125</v>
      </c>
    </row>
    <row r="17" spans="1:5" ht="15" customHeight="1" x14ac:dyDescent="0.25">
      <c r="A17" s="28" t="s">
        <v>53</v>
      </c>
      <c r="B17" s="9">
        <f>COUNTIF(Datos!C3:C66,"Técnico o Tecnólogo")</f>
        <v>11</v>
      </c>
      <c r="C17" s="10">
        <f>IFERROR(AVERAGEIF(Datos!C3:C66,"Técnico o Tecnólogo",Datos!W3:W66),"-")</f>
        <v>3.2118181818181815</v>
      </c>
      <c r="D17" s="9" t="str">
        <f t="shared" si="0"/>
        <v>Media</v>
      </c>
      <c r="E17" s="13">
        <f t="shared" si="1"/>
        <v>0.171875</v>
      </c>
    </row>
    <row r="18" spans="1:5" ht="15" customHeight="1" x14ac:dyDescent="0.25">
      <c r="A18" s="28" t="s">
        <v>68</v>
      </c>
      <c r="B18" s="9">
        <f>COUNTIF(Datos!C3:C66,"Universitario")</f>
        <v>12</v>
      </c>
      <c r="C18" s="10">
        <f>IFERROR(AVERAGEIF(Datos!C3:C66,"Universitario",Datos!W3:W66),"-")</f>
        <v>3.5283333333333338</v>
      </c>
      <c r="D18" s="9" t="str">
        <f t="shared" si="0"/>
        <v>Alta</v>
      </c>
      <c r="E18" s="13">
        <f t="shared" si="1"/>
        <v>0.1875</v>
      </c>
    </row>
    <row r="19" spans="1:5" ht="15" customHeight="1" x14ac:dyDescent="0.25">
      <c r="A19" s="28" t="s">
        <v>96</v>
      </c>
      <c r="B19" s="9">
        <f>COUNTIF(Datos!C3:C66,"Postgrado (Especialización, Maestría, Doctorado)")</f>
        <v>1</v>
      </c>
      <c r="C19" s="10">
        <f>IFERROR(AVERAGEIF(Datos!C3:C66,"Postgrado (Especialización, Maestría, Doctorado)",Datos!W3:W66),"-")</f>
        <v>3</v>
      </c>
      <c r="D19" s="9" t="str">
        <f t="shared" si="0"/>
        <v>Media</v>
      </c>
      <c r="E19" s="13">
        <f t="shared" si="1"/>
        <v>1.5625E-2</v>
      </c>
    </row>
    <row r="20" spans="1:5" ht="15" customHeight="1" x14ac:dyDescent="0.25">
      <c r="A20" s="23" t="s">
        <v>244</v>
      </c>
      <c r="B20" s="21">
        <f>SUM(B12:B19)</f>
        <v>64</v>
      </c>
      <c r="C20" s="37">
        <f>AVERAGE(Datos!W3:W66)</f>
        <v>3.2914062500000005</v>
      </c>
      <c r="D20" s="9"/>
      <c r="E20" s="9"/>
    </row>
    <row r="22" spans="1:5" ht="15" customHeight="1" x14ac:dyDescent="0.25">
      <c r="A22" s="81" t="s">
        <v>246</v>
      </c>
      <c r="B22" s="81"/>
      <c r="C22" s="81"/>
      <c r="D22" s="81"/>
      <c r="E22" s="81"/>
    </row>
    <row r="23" spans="1:5" ht="15" customHeight="1" x14ac:dyDescent="0.25">
      <c r="A23" s="23" t="s">
        <v>239</v>
      </c>
      <c r="B23" s="23" t="s">
        <v>131</v>
      </c>
      <c r="C23" s="23" t="s">
        <v>240</v>
      </c>
      <c r="D23" s="23" t="s">
        <v>242</v>
      </c>
      <c r="E23" s="23" t="s">
        <v>243</v>
      </c>
    </row>
    <row r="24" spans="1:5" ht="15" customHeight="1" x14ac:dyDescent="0.25">
      <c r="A24" s="28" t="s">
        <v>54</v>
      </c>
      <c r="B24" s="9">
        <f>COUNTIF(Datos!D3:D66,"Hombre")</f>
        <v>30</v>
      </c>
      <c r="C24" s="10">
        <f>IFERROR(AVERAGEIF(Datos!D3:D66,"Hombre",Datos!W3:W66),"-")</f>
        <v>3.4560000000000004</v>
      </c>
      <c r="D24" s="9" t="str">
        <f>IFERROR(IF(C24&lt;=2.4,"Baja",IF(C24&lt;=3.4,"Media","Alta")),"-")</f>
        <v>Alta</v>
      </c>
      <c r="E24" s="13">
        <f>IFERROR(B24/64,0)</f>
        <v>0.46875</v>
      </c>
    </row>
    <row r="25" spans="1:5" ht="15" customHeight="1" x14ac:dyDescent="0.25">
      <c r="A25" s="28" t="s">
        <v>27</v>
      </c>
      <c r="B25" s="9">
        <f>COUNTIF(Datos!D3:D66,"Mujer")</f>
        <v>33</v>
      </c>
      <c r="C25" s="10">
        <f>IFERROR(AVERAGEIF(Datos!D3:D66,"Mujer",Datos!W3:W66),"-")</f>
        <v>3.1103030303030303</v>
      </c>
      <c r="D25" s="9" t="str">
        <f>IFERROR(IF(C25&lt;=2.4,"Baja",IF(C25&lt;=3.4,"Media","Alta")),"-")</f>
        <v>Media</v>
      </c>
      <c r="E25" s="13">
        <f>IFERROR(B25/64,0)</f>
        <v>0.515625</v>
      </c>
    </row>
    <row r="26" spans="1:5" ht="15" customHeight="1" x14ac:dyDescent="0.25">
      <c r="A26" s="28" t="s">
        <v>112</v>
      </c>
      <c r="B26" s="9">
        <f>COUNTIF(Datos!D3:D66,"Prefiero no responder")</f>
        <v>1</v>
      </c>
      <c r="C26" s="10">
        <f>IFERROR(AVERAGEIF(Datos!D3:D66,"Prefiero no responder",Datos!W3:W66),"-")</f>
        <v>4.33</v>
      </c>
      <c r="D26" s="9" t="str">
        <f>IFERROR(IF(C26&lt;=2.4,"Baja",IF(C26&lt;=3.4,"Media","Alta")),"-")</f>
        <v>Alta</v>
      </c>
      <c r="E26" s="13">
        <f>IFERROR(B26/64,0)</f>
        <v>1.5625E-2</v>
      </c>
    </row>
    <row r="27" spans="1:5" ht="15" customHeight="1" x14ac:dyDescent="0.25">
      <c r="A27" s="23" t="s">
        <v>244</v>
      </c>
      <c r="B27" s="21">
        <f>SUM(B24:B26)</f>
        <v>64</v>
      </c>
      <c r="C27" s="37">
        <f>AVERAGE(Datos!W3:W66)</f>
        <v>3.2914062500000005</v>
      </c>
      <c r="D27" s="9"/>
      <c r="E27" s="9"/>
    </row>
    <row r="29" spans="1:5" ht="15" customHeight="1" x14ac:dyDescent="0.25">
      <c r="A29" s="81" t="s">
        <v>247</v>
      </c>
      <c r="B29" s="81"/>
      <c r="C29" s="81"/>
      <c r="D29" s="81"/>
      <c r="E29" s="81"/>
    </row>
    <row r="30" spans="1:5" ht="15" customHeight="1" x14ac:dyDescent="0.25">
      <c r="A30" s="23" t="s">
        <v>239</v>
      </c>
      <c r="B30" s="23" t="s">
        <v>131</v>
      </c>
      <c r="C30" s="23" t="s">
        <v>240</v>
      </c>
      <c r="D30" s="23" t="s">
        <v>242</v>
      </c>
      <c r="E30" s="23" t="s">
        <v>243</v>
      </c>
    </row>
    <row r="31" spans="1:5" ht="15" customHeight="1" x14ac:dyDescent="0.25">
      <c r="A31" s="28" t="s">
        <v>97</v>
      </c>
      <c r="B31" s="9">
        <f>COUNTIF(Datos!E3:E66,"Menos de 2 años")</f>
        <v>9</v>
      </c>
      <c r="C31" s="10">
        <f>IFERROR(AVERAGEIF(Datos!E3:E66,"Menos de 2 años",Datos!W3:W66),"-")</f>
        <v>3.2588888888888885</v>
      </c>
      <c r="D31" s="9" t="str">
        <f>IFERROR(IF(C31&lt;=2.4,"Baja",IF(C31&lt;=3.4,"Media","Alta")),"-")</f>
        <v>Media</v>
      </c>
      <c r="E31" s="13">
        <f>IFERROR(B31/64,0)</f>
        <v>0.140625</v>
      </c>
    </row>
    <row r="32" spans="1:5" ht="15" customHeight="1" x14ac:dyDescent="0.25">
      <c r="A32" s="28" t="s">
        <v>78</v>
      </c>
      <c r="B32" s="9">
        <f>COUNTIF(Datos!E3:E66,"2 a 10 años")</f>
        <v>26</v>
      </c>
      <c r="C32" s="10">
        <f>IFERROR(AVERAGEIF(Datos!E3:E66,"2 a 10 años",Datos!W3:W66),"-")</f>
        <v>3.3207692307692307</v>
      </c>
      <c r="D32" s="9" t="str">
        <f>IFERROR(IF(C32&lt;=2.4,"Baja",IF(C32&lt;=3.4,"Media","Alta")),"-")</f>
        <v>Media</v>
      </c>
      <c r="E32" s="13">
        <f>IFERROR(B32/64,0)</f>
        <v>0.40625</v>
      </c>
    </row>
    <row r="33" spans="1:5" ht="15" customHeight="1" x14ac:dyDescent="0.25">
      <c r="A33" s="28" t="s">
        <v>28</v>
      </c>
      <c r="B33" s="9">
        <f>COUNTIF(Datos!E3:E66,"Más de 10 años")</f>
        <v>29</v>
      </c>
      <c r="C33" s="10">
        <f>IFERROR(AVERAGEIF(Datos!E3:E66,"Más de 10 años",Datos!W3:W66),"-")</f>
        <v>3.2751724137931033</v>
      </c>
      <c r="D33" s="9" t="str">
        <f>IFERROR(IF(C33&lt;=2.4,"Baja",IF(C33&lt;=3.4,"Media","Alta")),"-")</f>
        <v>Media</v>
      </c>
      <c r="E33" s="13">
        <f>IFERROR(B33/64,0)</f>
        <v>0.453125</v>
      </c>
    </row>
    <row r="34" spans="1:5" ht="15" customHeight="1" x14ac:dyDescent="0.25">
      <c r="A34" s="23" t="s">
        <v>244</v>
      </c>
      <c r="B34" s="21">
        <f>SUM(B31:B33)</f>
        <v>64</v>
      </c>
      <c r="C34" s="37">
        <f>AVERAGE(Datos!W3:W66)</f>
        <v>3.2914062500000005</v>
      </c>
      <c r="D34" s="9"/>
      <c r="E34" s="9"/>
    </row>
    <row r="36" spans="1:5" ht="15" customHeight="1" x14ac:dyDescent="0.25">
      <c r="A36" s="81" t="s">
        <v>248</v>
      </c>
      <c r="B36" s="81"/>
      <c r="C36" s="81"/>
      <c r="D36" s="81"/>
      <c r="E36" s="81"/>
    </row>
    <row r="37" spans="1:5" ht="15" customHeight="1" x14ac:dyDescent="0.25">
      <c r="A37" s="23" t="s">
        <v>239</v>
      </c>
      <c r="B37" s="23" t="s">
        <v>131</v>
      </c>
      <c r="C37" s="23" t="s">
        <v>240</v>
      </c>
      <c r="D37" s="23" t="s">
        <v>242</v>
      </c>
      <c r="E37" s="23" t="s">
        <v>243</v>
      </c>
    </row>
    <row r="38" spans="1:5" ht="15" customHeight="1" x14ac:dyDescent="0.25">
      <c r="A38" s="28" t="s">
        <v>43</v>
      </c>
      <c r="B38" s="9">
        <f>COUNTIF(Datos!F3:F66,"Dueño / Propietario")</f>
        <v>28</v>
      </c>
      <c r="C38" s="10">
        <f>IFERROR(AVERAGEIF(Datos!F3:F66,"Dueño / Propietario",Datos!W3:W66),"-")</f>
        <v>3.1071428571428572</v>
      </c>
      <c r="D38" s="9" t="str">
        <f>IFERROR(IF(C38&lt;=2.4,"Baja",IF(C38&lt;=3.4,"Media","Alta")),"-")</f>
        <v>Media</v>
      </c>
      <c r="E38" s="13">
        <f>IFERROR(B38/64,0)</f>
        <v>0.4375</v>
      </c>
    </row>
    <row r="39" spans="1:5" ht="15" customHeight="1" x14ac:dyDescent="0.25">
      <c r="A39" s="28" t="s">
        <v>29</v>
      </c>
      <c r="B39" s="9">
        <f>COUNTIF(Datos!F3:F66,"Empleado / Administrador")</f>
        <v>36</v>
      </c>
      <c r="C39" s="10">
        <f>IFERROR(AVERAGEIF(Datos!F3:F66,"Empleado / Administrador",Datos!W3:W66),"-")</f>
        <v>3.4347222222222222</v>
      </c>
      <c r="D39" s="9" t="str">
        <f>IFERROR(IF(C39&lt;=2.4,"Baja",IF(C39&lt;=3.4,"Media","Alta")),"-")</f>
        <v>Alta</v>
      </c>
      <c r="E39" s="13">
        <f>IFERROR(B39/64,0)</f>
        <v>0.5625</v>
      </c>
    </row>
    <row r="40" spans="1:5" ht="15" customHeight="1" x14ac:dyDescent="0.25">
      <c r="A40" s="23" t="s">
        <v>244</v>
      </c>
      <c r="B40" s="21">
        <f>SUM(B38:B39)</f>
        <v>64</v>
      </c>
      <c r="C40" s="37">
        <f>AVERAGE(Datos!W3:W66)</f>
        <v>3.2914062500000005</v>
      </c>
      <c r="D40" s="9"/>
      <c r="E40" s="9"/>
    </row>
    <row r="42" spans="1:5" ht="15" customHeight="1" x14ac:dyDescent="0.25">
      <c r="A42" s="81" t="s">
        <v>249</v>
      </c>
      <c r="B42" s="81"/>
      <c r="C42" s="81"/>
      <c r="D42" s="81"/>
      <c r="E42" s="81"/>
    </row>
    <row r="43" spans="1:5" ht="15" customHeight="1" x14ac:dyDescent="0.25">
      <c r="A43" s="23" t="s">
        <v>239</v>
      </c>
      <c r="B43" s="23" t="s">
        <v>131</v>
      </c>
      <c r="C43" s="23" t="s">
        <v>240</v>
      </c>
      <c r="D43" s="23" t="s">
        <v>242</v>
      </c>
      <c r="E43" s="23" t="s">
        <v>243</v>
      </c>
    </row>
    <row r="44" spans="1:5" ht="15" customHeight="1" x14ac:dyDescent="0.25">
      <c r="A44" s="28" t="s">
        <v>30</v>
      </c>
      <c r="B44" s="9">
        <f>COUNTIF(Datos!G3:G66,"Frutas y verduras")</f>
        <v>18</v>
      </c>
      <c r="C44" s="10">
        <f>IFERROR(AVERAGEIF(Datos!G3:G66,"Frutas y verduras",Datos!W3:W66),"-")</f>
        <v>3.3705555555555557</v>
      </c>
      <c r="D44" s="9" t="str">
        <f t="shared" ref="D44:D49" si="2">IFERROR(IF(C44&lt;=2.4,"Baja",IF(C44&lt;=3.4,"Media","Alta")),"-")</f>
        <v>Media</v>
      </c>
      <c r="E44" s="13">
        <f t="shared" ref="E44:E49" si="3">IFERROR(B44/64,0)</f>
        <v>0.28125</v>
      </c>
    </row>
    <row r="45" spans="1:5" ht="15" customHeight="1" x14ac:dyDescent="0.25">
      <c r="A45" s="28" t="s">
        <v>80</v>
      </c>
      <c r="B45" s="9">
        <f>COUNTIF(Datos!G3:G66,"Carnes o pescados")</f>
        <v>9</v>
      </c>
      <c r="C45" s="10">
        <f>IFERROR(AVERAGEIF(Datos!G3:G66,"Carnes o pescados",Datos!W3:W66),"-")</f>
        <v>3.2211111111111106</v>
      </c>
      <c r="D45" s="9" t="str">
        <f t="shared" si="2"/>
        <v>Media</v>
      </c>
      <c r="E45" s="13">
        <f t="shared" si="3"/>
        <v>0.140625</v>
      </c>
    </row>
    <row r="46" spans="1:5" ht="15" customHeight="1" x14ac:dyDescent="0.25">
      <c r="A46" s="28" t="s">
        <v>79</v>
      </c>
      <c r="B46" s="9">
        <f>COUNTIF(Datos!G3:G66,"Abarrotes / víveres")</f>
        <v>10</v>
      </c>
      <c r="C46" s="10">
        <f>IFERROR(AVERAGEIF(Datos!G3:G66,"Abarrotes / víveres",Datos!W3:W66),"-")</f>
        <v>3.7</v>
      </c>
      <c r="D46" s="9" t="str">
        <f t="shared" si="2"/>
        <v>Alta</v>
      </c>
      <c r="E46" s="13">
        <f t="shared" si="3"/>
        <v>0.15625</v>
      </c>
    </row>
    <row r="47" spans="1:5" ht="15" customHeight="1" x14ac:dyDescent="0.25">
      <c r="A47" s="28" t="s">
        <v>65</v>
      </c>
      <c r="B47" s="9">
        <f>COUNTIF(Datos!G3:G66,"Restaurante / Comidas preparadas")</f>
        <v>7</v>
      </c>
      <c r="C47" s="10">
        <f>IFERROR(AVERAGEIF(Datos!G3:G66,"Restaurante / Comidas preparadas",Datos!W3:W66),"-")</f>
        <v>3.3328571428571427</v>
      </c>
      <c r="D47" s="9" t="str">
        <f t="shared" si="2"/>
        <v>Media</v>
      </c>
      <c r="E47" s="13">
        <f t="shared" si="3"/>
        <v>0.109375</v>
      </c>
    </row>
    <row r="48" spans="1:5" ht="15" customHeight="1" x14ac:dyDescent="0.25">
      <c r="A48" s="28" t="s">
        <v>92</v>
      </c>
      <c r="B48" s="9">
        <f>COUNTIF(Datos!G3:G66,"Flores")</f>
        <v>11</v>
      </c>
      <c r="C48" s="10">
        <f>IFERROR(AVERAGEIF(Datos!G3:G66,"Flores",Datos!W3:W66),"-")</f>
        <v>2.8190909090909089</v>
      </c>
      <c r="D48" s="9" t="str">
        <f t="shared" si="2"/>
        <v>Media</v>
      </c>
      <c r="E48" s="13">
        <f t="shared" si="3"/>
        <v>0.171875</v>
      </c>
    </row>
    <row r="49" spans="1:5" ht="15" customHeight="1" x14ac:dyDescent="0.25">
      <c r="A49" s="28" t="s">
        <v>98</v>
      </c>
      <c r="B49" s="9">
        <f>COUNTIF(Datos!G3:G66,"Otro")</f>
        <v>9</v>
      </c>
      <c r="C49" s="10">
        <f>IFERROR(AVERAGEIF(Datos!G3:G66,"Otro",Datos!W3:W66),"-")</f>
        <v>3.2944444444444443</v>
      </c>
      <c r="D49" s="9" t="str">
        <f t="shared" si="2"/>
        <v>Media</v>
      </c>
      <c r="E49" s="13">
        <f t="shared" si="3"/>
        <v>0.140625</v>
      </c>
    </row>
    <row r="50" spans="1:5" ht="15" customHeight="1" x14ac:dyDescent="0.25">
      <c r="A50" s="23" t="s">
        <v>244</v>
      </c>
      <c r="B50" s="21">
        <f>SUM(B44:B49)</f>
        <v>64</v>
      </c>
      <c r="C50" s="37">
        <f>AVERAGE(Datos!W3:W66)</f>
        <v>3.2914062500000005</v>
      </c>
      <c r="D50" s="9"/>
      <c r="E50" s="9"/>
    </row>
  </sheetData>
  <mergeCells count="7">
    <mergeCell ref="A29:E29"/>
    <mergeCell ref="A36:E36"/>
    <mergeCell ref="A42:E42"/>
    <mergeCell ref="A1:E1"/>
    <mergeCell ref="A3:E3"/>
    <mergeCell ref="A10:E10"/>
    <mergeCell ref="A22:E2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showGridLines="0" zoomScaleNormal="100" workbookViewId="0">
      <selection activeCell="C10" sqref="C10"/>
    </sheetView>
  </sheetViews>
  <sheetFormatPr baseColWidth="10" defaultColWidth="8.7109375" defaultRowHeight="15" x14ac:dyDescent="0.25"/>
  <cols>
    <col min="1" max="1" width="35" customWidth="1"/>
    <col min="2" max="2" width="10" customWidth="1"/>
    <col min="3" max="3" width="18" customWidth="1"/>
    <col min="4" max="4" width="10" customWidth="1"/>
    <col min="5" max="5" width="14" customWidth="1"/>
    <col min="6" max="6" width="52.42578125" customWidth="1"/>
  </cols>
  <sheetData>
    <row r="1" spans="1:6" ht="34.5" customHeight="1" x14ac:dyDescent="0.25">
      <c r="A1" s="3" t="s">
        <v>250</v>
      </c>
      <c r="B1" s="3" t="s">
        <v>251</v>
      </c>
      <c r="C1" s="3" t="s">
        <v>252</v>
      </c>
      <c r="D1" s="3" t="s">
        <v>253</v>
      </c>
      <c r="E1" s="3" t="s">
        <v>254</v>
      </c>
      <c r="F1" s="3" t="s">
        <v>268</v>
      </c>
    </row>
    <row r="2" spans="1:6" ht="15" customHeight="1" x14ac:dyDescent="0.25">
      <c r="A2" s="17" t="s">
        <v>204</v>
      </c>
      <c r="B2" s="7">
        <v>9</v>
      </c>
      <c r="C2" s="11">
        <f>COUNTIF('Calculo Chi_Cuadrado'!B14:D16,"&gt;=5")</f>
        <v>6</v>
      </c>
      <c r="D2" s="13">
        <f>C2/9</f>
        <v>0.66666666666666663</v>
      </c>
      <c r="E2" s="11" t="str">
        <f>IF(D2&gt;=0.8,"✔ Cumple","✘ No cumple")</f>
        <v>✘ No cumple</v>
      </c>
      <c r="F2" s="8" t="s">
        <v>255</v>
      </c>
    </row>
    <row r="3" spans="1:6" ht="15" customHeight="1" x14ac:dyDescent="0.25">
      <c r="A3" s="17" t="s">
        <v>217</v>
      </c>
      <c r="B3" s="7">
        <v>9</v>
      </c>
      <c r="C3" s="11">
        <f>COUNTIF('Calculo Chi_Cuadrado'!B44:D46,"&gt;=5")</f>
        <v>0</v>
      </c>
      <c r="D3" s="13">
        <f>C3/9</f>
        <v>0</v>
      </c>
      <c r="E3" s="11" t="str">
        <f>IF(D3&gt;=0.8,"✔ Cumple","✘ No cumple")</f>
        <v>✘ No cumple</v>
      </c>
      <c r="F3" s="8" t="s">
        <v>255</v>
      </c>
    </row>
    <row r="4" spans="1:6" ht="15" customHeight="1" x14ac:dyDescent="0.25">
      <c r="A4" s="17" t="s">
        <v>219</v>
      </c>
      <c r="B4" s="7">
        <v>9</v>
      </c>
      <c r="C4" s="11">
        <f>COUNTIF('Calculo Chi_Cuadrado'!B74:D76,"&gt;=5")</f>
        <v>0</v>
      </c>
      <c r="D4" s="13">
        <f>C4/9</f>
        <v>0</v>
      </c>
      <c r="E4" s="11" t="str">
        <f>IF(D4&gt;=0.8,"✔ Cumple","✘ No cumple")</f>
        <v>✘ No cumple</v>
      </c>
      <c r="F4" s="8" t="s">
        <v>255</v>
      </c>
    </row>
    <row r="5" spans="1:6" ht="15" customHeight="1" x14ac:dyDescent="0.25">
      <c r="A5" s="17" t="s">
        <v>224</v>
      </c>
      <c r="B5" s="7">
        <v>9</v>
      </c>
      <c r="C5" s="11">
        <f>COUNTIF('Calculo Chi_Cuadrado'!B104:D106,"&gt;=5")</f>
        <v>0</v>
      </c>
      <c r="D5" s="13">
        <f>C5/9</f>
        <v>0</v>
      </c>
      <c r="E5" s="11" t="str">
        <f>IF(D5&gt;=0.8,"✔ Cumple","✘ No cumple")</f>
        <v>✘ No cumple</v>
      </c>
      <c r="F5" s="8" t="s">
        <v>255</v>
      </c>
    </row>
    <row r="6" spans="1:6" ht="27.75" customHeight="1" x14ac:dyDescent="0.25">
      <c r="A6" s="82" t="s">
        <v>256</v>
      </c>
      <c r="B6" s="82"/>
      <c r="C6" s="82"/>
      <c r="D6" s="82"/>
      <c r="E6" s="82"/>
      <c r="F6" s="82"/>
    </row>
    <row r="7" spans="1:6" x14ac:dyDescent="0.25">
      <c r="A7" s="1"/>
      <c r="B7" s="1"/>
      <c r="C7" s="1"/>
      <c r="D7" s="1"/>
      <c r="E7" s="1"/>
      <c r="F7" s="1"/>
    </row>
  </sheetData>
  <mergeCells count="1">
    <mergeCell ref="A6:F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</vt:lpstr>
      <vt:lpstr>Calculo Indice</vt:lpstr>
      <vt:lpstr>Analisis descriptivo</vt:lpstr>
      <vt:lpstr>Calculo Chi_Cuadrado</vt:lpstr>
      <vt:lpstr>Perfiles_Cruzados</vt:lpstr>
      <vt:lpstr>Verificación_Chi_cuadra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YURY MERCEDES MANRIQUE CASTRO</cp:lastModifiedBy>
  <cp:revision>0</cp:revision>
  <dcterms:created xsi:type="dcterms:W3CDTF">2026-05-31T00:39:26Z</dcterms:created>
  <dcterms:modified xsi:type="dcterms:W3CDTF">2026-05-31T06:32:59Z</dcterms:modified>
  <dc:language>en-US</dc:language>
</cp:coreProperties>
</file>