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defaultThemeVersion="124226"/>
  <mc:AlternateContent xmlns:mc="http://schemas.openxmlformats.org/markup-compatibility/2006">
    <mc:Choice Requires="x15">
      <x15ac:absPath xmlns:x15ac="http://schemas.microsoft.com/office/spreadsheetml/2010/11/ac" url="C:\Users\AsusTUF\Desktop\"/>
    </mc:Choice>
  </mc:AlternateContent>
  <xr:revisionPtr revIDLastSave="0" documentId="13_ncr:1_{9829A5FC-6C4C-4FF2-9592-50A2E022D59A}" xr6:coauthVersionLast="47" xr6:coauthVersionMax="47" xr10:uidLastSave="{00000000-0000-0000-0000-000000000000}"/>
  <bookViews>
    <workbookView xWindow="-108" yWindow="-108" windowWidth="23256" windowHeight="12456" tabRatio="703" activeTab="1"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4" l="1"/>
  <c r="G5" i="1"/>
  <c r="H55" i="6"/>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B39" i="5" s="1"/>
  <c r="C17" i="5"/>
  <c r="C35" i="5" s="1"/>
  <c r="C36" i="5" s="1"/>
  <c r="H9" i="3"/>
  <c r="J9" i="3" s="1"/>
  <c r="I10" i="3" s="1"/>
  <c r="E35" i="6"/>
  <c r="F35" i="6" s="1"/>
  <c r="D35" i="6"/>
  <c r="C30" i="5"/>
  <c r="C45" i="5"/>
  <c r="H52" i="6"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E31" i="5" l="1"/>
  <c r="E32" i="5" s="1"/>
  <c r="E38" i="5" s="1"/>
  <c r="E22" i="5" s="1"/>
  <c r="E27" i="5" s="1"/>
  <c r="E39" i="5" s="1"/>
  <c r="F12" i="3"/>
  <c r="G12" i="3" s="1"/>
  <c r="F14" i="5" s="1"/>
  <c r="F15" i="5" s="1"/>
  <c r="F16" i="5" s="1"/>
  <c r="F17" i="5" s="1"/>
  <c r="F35" i="5" s="1"/>
  <c r="F36" i="5" s="1"/>
  <c r="D46" i="5"/>
  <c r="D52" i="5" s="1"/>
  <c r="D58" i="5" s="1"/>
  <c r="D59" i="5" s="1"/>
  <c r="E8" i="6" s="1"/>
  <c r="H12" i="3" l="1"/>
  <c r="J12" i="3" s="1"/>
  <c r="F29" i="5"/>
  <c r="F45" i="5" s="1"/>
  <c r="E44" i="5"/>
  <c r="F13" i="3" l="1"/>
  <c r="G13" i="3" s="1"/>
  <c r="G14" i="5" s="1"/>
  <c r="G15" i="5" s="1"/>
  <c r="G16" i="5" s="1"/>
  <c r="G17" i="5" s="1"/>
  <c r="G35" i="5" s="1"/>
  <c r="G36" i="5" s="1"/>
  <c r="F31" i="5"/>
  <c r="I13" i="3"/>
  <c r="F30" i="5"/>
  <c r="E46" i="5"/>
  <c r="E52" i="5" s="1"/>
  <c r="E58" i="5" s="1"/>
  <c r="E59" i="5" s="1"/>
  <c r="F8" i="6" s="1"/>
  <c r="F32" i="5" l="1"/>
  <c r="F38" i="5" s="1"/>
  <c r="F22" i="5" s="1"/>
  <c r="F44" i="5" s="1"/>
  <c r="F46" i="5" s="1"/>
  <c r="F52" i="5" s="1"/>
  <c r="F58" i="5" s="1"/>
  <c r="F59" i="5" s="1"/>
  <c r="G8" i="6" s="1"/>
  <c r="H13" i="3"/>
  <c r="J13" i="3" s="1"/>
  <c r="G31" i="5" s="1"/>
  <c r="G29" i="5"/>
  <c r="F27" i="5" l="1"/>
  <c r="F39" i="5" s="1"/>
  <c r="G45" i="5"/>
  <c r="G30" i="5"/>
  <c r="G32" i="5" s="1"/>
  <c r="G38" i="5" s="1"/>
  <c r="G22" i="5" s="1"/>
  <c r="G27" i="5" s="1"/>
  <c r="G39" i="5" s="1"/>
  <c r="G44" i="5" l="1"/>
  <c r="G46" i="5" s="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tc={C4E3E9EA-DB16-436F-AAC2-67C11359C961}</author>
    <author>tc={EBB9B048-BF4B-4345-B607-E9C83D1309EA}</author>
    <author>tc={EF45474C-77B9-494C-A5AD-2CB5FAAF2E66}</author>
    <author>tc={DD4CDBF0-0521-4B4C-9C31-9026B993E7D7}</author>
    <author>tc={84E2DEF9-9946-4A31-8AF2-738C07146DDD}</author>
    <author>tc={59F824F6-F8C6-4FC1-9057-9C4AC9F7C66C}</author>
    <author>tc={DF7CDD58-3793-45C4-A6A2-C8621E826234}</author>
    <author>tc={B70F9856-1DB8-4E07-B1BD-09E6C1DD3A95}</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Mensualidad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D4" authorId="1" shapeId="0" xr:uid="{C4E3E9EA-DB16-436F-AAC2-67C11359C961}">
      <text>
        <t>[Threaded comment]
Your version of Excel allows you to read this threaded comment; however, any edits to it will get removed if the file is opened in a newer version of Excel. Learn more: https://go.microsoft.com/fwlink/?linkid=870924
Comment:
    Mensualidad</t>
      </text>
    </comment>
    <comment ref="G4" authorId="0" shapeId="0" xr:uid="{8FE1DE59-C9BF-42AD-B6DD-29BC278FE198}">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D5" authorId="2" shapeId="0" xr:uid="{EBB9B048-BF4B-4345-B607-E9C83D1309EA}">
      <text>
        <t>[Threaded comment]
Your version of Excel allows you to read this threaded comment; however, any edits to it will get removed if the file is opened in a newer version of Excel. Learn more: https://go.microsoft.com/fwlink/?linkid=870924
Comment:
     Por hora</t>
      </text>
    </comment>
    <comment ref="G5" authorId="0" shapeId="0" xr:uid="{FF9DEAA9-9F69-4385-B486-7CA9CD83D4F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D6" authorId="3" shapeId="0" xr:uid="{EF45474C-77B9-494C-A5AD-2CB5FAAF2E66}">
      <text>
        <t>[Threaded comment]
Your version of Excel allows you to read this threaded comment; however, any edits to it will get removed if the file is opened in a newer version of Excel. Learn more: https://go.microsoft.com/fwlink/?linkid=870924
Comment:
    Sesión de 2 horas</t>
      </text>
    </comment>
    <comment ref="G6" authorId="0" shapeId="0" xr:uid="{1C46E528-BF16-4DBE-95F4-ECB0AF90C156}">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7" authorId="0" shapeId="0" xr:uid="{3B9022C8-C442-4280-A46E-D3655FD067C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8" authorId="4" shapeId="0" xr:uid="{DD4CDBF0-0521-4B4C-9C31-9026B993E7D7}">
      <text>
        <t>[Threaded comment]
Your version of Excel allows you to read this threaded comment; however, any edits to it will get removed if the file is opened in a newer version of Excel. Learn more: https://go.microsoft.com/fwlink/?linkid=870924
Comment:
    Por hora</t>
      </text>
    </comment>
    <comment ref="G8" authorId="0" shapeId="0" xr:uid="{3C642E34-4D07-4282-BC01-CD67383C268F}">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D9" authorId="5" shapeId="0" xr:uid="{84E2DEF9-9946-4A31-8AF2-738C07146DDD}">
      <text>
        <t>[Threaded comment]
Your version of Excel allows you to read this threaded comment; however, any edits to it will get removed if the file is opened in a newer version of Excel. Learn more: https://go.microsoft.com/fwlink/?linkid=870924
Comment:
    Mensualidad</t>
      </text>
    </comment>
    <comment ref="G9" authorId="0" shapeId="0" xr:uid="{28B7BD5F-0ACC-4079-A530-A1D60238E96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D10" authorId="6" shapeId="0" xr:uid="{59F824F6-F8C6-4FC1-9057-9C4AC9F7C66C}">
      <text>
        <t>[Threaded comment]
Your version of Excel allows you to read this threaded comment; however, any edits to it will get removed if the file is opened in a newer version of Excel. Learn more: https://go.microsoft.com/fwlink/?linkid=870924
Comment:
    Mensualidad</t>
      </text>
    </comment>
    <comment ref="G10" authorId="0" shapeId="0" xr:uid="{B9FB6BCB-9485-4218-9876-81ECB9503911}">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D11" authorId="7" shapeId="0" xr:uid="{DF7CDD58-3793-45C4-A6A2-C8621E826234}">
      <text>
        <t>[Threaded comment]
Your version of Excel allows you to read this threaded comment; however, any edits to it will get removed if the file is opened in a newer version of Excel. Learn more: https://go.microsoft.com/fwlink/?linkid=870924
Comment:
    Integración por proyecto</t>
      </text>
    </comment>
    <comment ref="G11" authorId="0" shapeId="0" xr:uid="{1C3C6EE2-7826-4969-99E1-90644F760D93}">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D12" authorId="8" shapeId="0" xr:uid="{B70F9856-1DB8-4E07-B1BD-09E6C1DD3A95}">
      <text>
        <t>[Threaded comment]
Your version of Excel allows you to read this threaded comment; however, any edits to it will get removed if the file is opened in a newer version of Excel. Learn more: https://go.microsoft.com/fwlink/?linkid=870924
Comment:
    Por auditoría.</t>
      </text>
    </comment>
    <comment ref="G12" authorId="0" shapeId="0" xr:uid="{72A28D8E-F470-4E79-9862-AB18CA52531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tc={3BC270C2-C26B-4B28-92DE-622BA962E892}</author>
    <author>tc={3DA1AD4D-7EB7-48A4-A6A7-7DBA4E1BC5E2}</author>
    <author>tc={01FBF328-4AD9-4D6C-8C89-A4DE3ECEE659}</author>
    <author>tc={99F06FE4-C6E1-416A-861E-8CC839DEC2EF}</author>
    <author>tc={89F364FB-9870-4C2F-8B8F-48214E483807}</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B18" authorId="1" shapeId="0" xr:uid="{3BC270C2-C26B-4B28-92DE-622BA962E892}">
      <text>
        <t>[Threaded comment]
Your version of Excel allows you to read this threaded comment; however, any edits to it will get removed if the file is opened in a newer version of Excel. Learn more: https://go.microsoft.com/fwlink/?linkid=870924
Comment:
    1 gerente</t>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B20" authorId="2" shapeId="0" xr:uid="{3DA1AD4D-7EB7-48A4-A6A7-7DBA4E1BC5E2}">
      <text>
        <t>[Threaded comment]
Your version of Excel allows you to read this threaded comment; however, any edits to it will get removed if the file is opened in a newer version of Excel. Learn more: https://go.microsoft.com/fwlink/?linkid=870924
Comment:
    1 gerente</t>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B22" authorId="3" shapeId="0" xr:uid="{01FBF328-4AD9-4D6C-8C89-A4DE3ECEE659}">
      <text>
        <t>[Threaded comment]
Your version of Excel allows you to read this threaded comment; however, any edits to it will get removed if the file is opened in a newer version of Excel. Learn more: https://go.microsoft.com/fwlink/?linkid=870924
Comment:
    1 desarrolladores</t>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F25" authorId="4" shapeId="0" xr:uid="{99F06FE4-C6E1-416A-861E-8CC839DEC2EF}">
      <text>
        <t xml:space="preserve">[Threaded comment]
Your version of Excel allows you to read this threaded comment; however, any edits to it will get removed if the file is opened in a newer version of Excel. Learn more: https://go.microsoft.com/fwlink/?linkid=870924
Comment:
    Compensación Mensual por Empleado: $140,606 COP
Total Mensual para Cuatro Empleados: $562,424 COP
</t>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F27" authorId="5" shapeId="0" xr:uid="{89F364FB-9870-4C2F-8B8F-48214E483807}">
      <text>
        <t xml:space="preserve">[Threaded comment]
Your version of Excel allows you to read this threaded comment; however, any edits to it will get removed if the file is opened in a newer version of Excel. Learn more: https://go.microsoft.com/fwlink/?linkid=870924
Comment:
    Software de Seguridad: $200,000 COP por empleado al año, totalizando $800,000 COP
Capacitación en Seguridad Informática: $300,000 COP por empleado, totalizando $1,200,000 COP
Implementación de VPN: $100,000 COP por empleado al mes, totalizando $4,800,000 COP anuales
</t>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<sst xmlns="http://schemas.openxmlformats.org/spreadsheetml/2006/main" count="181" uniqueCount="172">
  <si>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</si>
  <si>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</si>
  <si>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</si>
  <si>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</si>
  <si>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</si>
  <si>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</si>
  <si>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</si>
  <si>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</si>
  <si>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</si>
  <si>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</si>
  <si>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</si>
  <si>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</si>
  <si>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</si>
  <si>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</si>
  <si>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</si>
  <si>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</si>
  <si>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</si>
  <si>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</si>
  <si>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Software Básico de Gestión Financiera</t>
  </si>
  <si>
    <t>AÑO</t>
  </si>
  <si>
    <t>Módulo de Reportes Avanzados</t>
  </si>
  <si>
    <t>INFLACIÓN</t>
  </si>
  <si>
    <t>Servicio de Consultoría Financiera</t>
  </si>
  <si>
    <t>IPP</t>
  </si>
  <si>
    <t>Capacitación en Uso del Software</t>
  </si>
  <si>
    <t>Licencia de Análisis Predictivo</t>
  </si>
  <si>
    <t>TASA IMPTO RENTA</t>
  </si>
  <si>
    <t>Soporte Técnico Personalizado</t>
  </si>
  <si>
    <t>Sistema de Gestión de Cuentas por Cobrar</t>
  </si>
  <si>
    <t>Sistema de Gestión de Cuentas por Pagar</t>
  </si>
  <si>
    <t>Integración con Sistemas Contables</t>
  </si>
  <si>
    <t>Auditorías Financieras Automatizadas</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</si>
  <si>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</si>
  <si>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</si>
  <si>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</si>
  <si>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</si>
  <si>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</si>
  <si>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</si>
  <si>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</si>
  <si>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</si>
  <si>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</si>
  <si>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</si>
  <si>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</si>
  <si>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</si>
  <si>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</si>
  <si>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</si>
  <si>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</si>
  <si>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</si>
  <si>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</si>
  <si>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</si>
  <si>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</si>
  <si>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</si>
  <si>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</si>
  <si>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</si>
  <si>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</si>
  <si>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</si>
  <si>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</si>
  <si>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</si>
  <si>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</si>
  <si>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</si>
  <si>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</si>
  <si>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</si>
  <si>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</si>
  <si>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</si>
  <si>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</si>
  <si>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</si>
  <si>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</si>
  <si>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</si>
  <si>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</si>
  <si>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Compensación Internet y Energía</t>
  </si>
  <si>
    <t>Licencias y Suscripciones de Software</t>
  </si>
  <si>
    <t>GASTO PUBLICITARIO AÑOS SIGUIENTES</t>
  </si>
  <si>
    <t>Seguridad de la Información</t>
  </si>
  <si>
    <t>Gastos de Marketing y Publicidad</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</si>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</sst>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_(* \(#,##0.00\);_(* &quot;-&quot;??_);_(@_)"/>
    <numFmt numFmtId="164" formatCode="&quot;$&quot;#,##0.00;[Red]\-&quot;$&quot;#,##0.00"/>
    <numFmt numFmtId="165" formatCode="&quot;$&quot;\ #,##0.00_);[Red]\(&quot;$&quot;\ #,##0.00\)"/>
    <numFmt numFmtId="166" formatCode="_(&quot;$&quot;\ * #,##0.00_);_(&quot;$&quot;\ * \(#,##0.00\);_(&quot;$&quot;\ * &quot;-&quot;??_);_(@_)"/>
    <numFmt numFmtId="167" formatCode="_(&quot;$&quot;\ * #,##0.0_);_(&quot;$&quot;\ * \(#,##0.0\);_(&quot;$&quot;\ * &quot;-&quot;??_);_(@_)"/>
    <numFmt numFmtId="168" formatCode="_(&quot;$&quot;\ * #,##0_);_(&quot;$&quot;\ * \(#,##0\);_(&quot;$&quot;\ * &quot;-&quot;??_);_(@_)"/>
    <numFmt numFmtId="169" formatCode="0.0%"/>
    <numFmt numFmtId="170" formatCode="_([$$-240A]\ * #,##0.00_);_([$$-240A]\ * \(#,##0.00\);_([$$-240A]\ * &quot;-&quot;??_);_(@_)"/>
    <numFmt numFmtId="171" formatCode="_(&quot;$&quot;\ * #,##0.00000_);_(&quot;$&quot;\ * \(#,##0.00000\);_(&quot;$&quot;\ * &quot;-&quot;??_);_(@_)"/>
    <numFmt numFmtId="172" formatCode="_ &quot;$&quot;\ * #,##0_ ;_ &quot;$&quot;\ * \-#,##0_ ;_ &quot;$&quot;\ * &quot;-&quot;??_ ;_ @_ "/>
    <numFmt numFmtId="173" formatCode="_(&quot;$&quot;\ * #,##0.0_);_(&quot;$&quot;\ * \(#,##0.0\);_(&quot;$&quot;\ * &quot;-&quot;?_);_(@_)"/>
    <numFmt numFmtId="174" formatCode="_(* #,##0_);_(* \(#,##0\);_(* &quot;-&quot;??_);_(@_)"/>
    <numFmt numFmtId="175" formatCode="_ &quot;$&quot;\ * #,##0.0_ ;_ &quot;$&quot;\ * \-#,##0.0_ ;_ &quot;$&quot;\ * &quot;-&quot;??_ ;_ @_ "/>
    <numFmt numFmtId="176" formatCode="_(* #,##0.0_);_(* \(#,##0.0\);_(* &quot;-&quot;??_);_(@_)"/>
    <numFmt numFmtId="177" formatCode="_ * #,##0.00_ ;_ * \-#,##0.00_ ;_ * &quot;-&quot;??_ ;_ @_ "/>
    <numFmt numFmtId="178" formatCode="&quot;$&quot;#,##0.00"/>
    <numFmt numFmtId="179" formatCode="_-&quot;$&quot;* #,##0.0_-;\-&quot;$&quot;* #,##0.0_-;_-&quot;$&quot;* &quot;-&quot;??_-;_-@_-"/>
  </numFmts>
  <fonts count="51">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font>
    <font>
      <sz val="11"/>
      <color rgb="FFFF0000"/>
      <name val="Calibri"/>
      <family val="2"/>
      <scheme val="minor"/>
    </font>
    <font>
      <b/>
      <sz val="11"/>
      <color theme="0"/>
      <name val="Calibri"/>
      <family val="2"/>
      <scheme val="minor"/>
    </font>
    <font>
      <b/>
      <sz val="11"/>
      <color theme="0"/>
      <name val="Aharoni"/>
    </font>
    <font>
      <b/>
      <sz val="9"/>
      <color theme="1"/>
      <name val="Aharoni"/>
      <charset val="177"/>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0" fontId="36" fillId="0" borderId="0" applyNumberFormat="0" applyFill="0" applyBorder="0" applyAlignment="0" applyProtection="0"/>
    <xf numFmtId="0" fontId="20" fillId="0" borderId="0"/>
  </cellStyleXfs>
  <cellXfs count="164">
    <xf numFmtId="0" fontId="0" fillId="0" borderId="0" xfId="0"/>
    <xf numFmtId="0" fontId="25" fillId="0" borderId="0" xfId="0" applyFont="1" applyProtection="1">
      <protection hidden="1"/>
    </xf>
    <xf numFmtId="172" fontId="0" fillId="0" borderId="0" xfId="1" applyNumberFormat="1" applyFont="1" applyFill="1" applyProtection="1">
      <protection hidden="1"/>
    </xf>
    <xf numFmtId="172" fontId="0" fillId="0" borderId="7" xfId="1" applyNumberFormat="1" applyFont="1" applyFill="1" applyBorder="1" applyProtection="1">
      <protection hidden="1"/>
    </xf>
    <xf numFmtId="0" fontId="26" fillId="0" borderId="0" xfId="0" applyFont="1" applyProtection="1">
      <protection hidden="1"/>
    </xf>
    <xf numFmtId="172" fontId="24" fillId="0" borderId="0" xfId="1" applyNumberFormat="1" applyFont="1" applyFill="1" applyProtection="1">
      <protection hidden="1"/>
    </xf>
    <xf numFmtId="172" fontId="24" fillId="0" borderId="1" xfId="1" applyNumberFormat="1" applyFont="1" applyFill="1" applyBorder="1" applyProtection="1">
      <protection hidden="1"/>
    </xf>
    <xf numFmtId="174" fontId="20" fillId="0" borderId="0" xfId="3" applyNumberFormat="1" applyFont="1" applyFill="1" applyProtection="1">
      <protection hidden="1"/>
    </xf>
    <xf numFmtId="0" fontId="0" fillId="0" borderId="0" xfId="0" applyProtection="1">
      <protection hidden="1"/>
    </xf>
    <xf numFmtId="175" fontId="0" fillId="0" borderId="0" xfId="1" applyNumberFormat="1" applyFont="1" applyFill="1" applyProtection="1">
      <protection hidden="1"/>
    </xf>
    <xf numFmtId="175" fontId="0" fillId="0" borderId="7" xfId="1" applyNumberFormat="1" applyFont="1" applyFill="1" applyBorder="1" applyProtection="1">
      <protection hidden="1"/>
    </xf>
    <xf numFmtId="174"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6"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8" fontId="6" fillId="0" borderId="0" xfId="1" applyNumberFormat="1" applyFont="1" applyProtection="1">
      <protection hidden="1"/>
    </xf>
    <xf numFmtId="9" fontId="0" fillId="0" borderId="0" xfId="2" applyFont="1" applyAlignment="1" applyProtection="1">
      <alignment horizontal="center"/>
      <protection hidden="1"/>
    </xf>
    <xf numFmtId="168"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8"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8"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0"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7" fontId="6" fillId="0" borderId="0" xfId="1" applyNumberFormat="1" applyFont="1" applyProtection="1">
      <protection hidden="1"/>
    </xf>
    <xf numFmtId="167"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69" fontId="30" fillId="6" borderId="0" xfId="2" applyNumberFormat="1" applyFont="1" applyFill="1" applyBorder="1" applyProtection="1">
      <protection locked="0"/>
    </xf>
    <xf numFmtId="169" fontId="30" fillId="6" borderId="14" xfId="2" applyNumberFormat="1" applyFont="1" applyFill="1" applyBorder="1" applyProtection="1">
      <protection locked="0"/>
    </xf>
    <xf numFmtId="169" fontId="30" fillId="6" borderId="3" xfId="2" applyNumberFormat="1" applyFont="1" applyFill="1" applyBorder="1" applyProtection="1">
      <protection locked="0"/>
    </xf>
    <xf numFmtId="169" fontId="30" fillId="6" borderId="12" xfId="2" applyNumberFormat="1" applyFont="1" applyFill="1" applyBorder="1" applyProtection="1">
      <protection locked="0"/>
    </xf>
    <xf numFmtId="169" fontId="30" fillId="6" borderId="5" xfId="2" applyNumberFormat="1" applyFont="1" applyFill="1" applyBorder="1" applyProtection="1">
      <protection locked="0"/>
    </xf>
    <xf numFmtId="43" fontId="29" fillId="4" borderId="0" xfId="4" applyFont="1" applyFill="1" applyProtection="1">
      <protection locked="0"/>
    </xf>
    <xf numFmtId="176"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2"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7" fontId="0" fillId="0" borderId="0" xfId="1" applyNumberFormat="1" applyFont="1" applyProtection="1">
      <protection hidden="1"/>
    </xf>
    <xf numFmtId="0" fontId="2" fillId="0" borderId="1" xfId="0" applyFont="1" applyBorder="1" applyProtection="1">
      <protection hidden="1"/>
    </xf>
    <xf numFmtId="167" fontId="0" fillId="0" borderId="1" xfId="0" applyNumberFormat="1" applyBorder="1" applyProtection="1">
      <protection hidden="1"/>
    </xf>
    <xf numFmtId="173" fontId="0" fillId="0" borderId="1" xfId="0" applyNumberFormat="1" applyBorder="1" applyProtection="1">
      <protection hidden="1"/>
    </xf>
    <xf numFmtId="173" fontId="0" fillId="0" borderId="0" xfId="0" applyNumberFormat="1" applyProtection="1">
      <protection hidden="1"/>
    </xf>
    <xf numFmtId="0" fontId="2" fillId="0" borderId="2" xfId="0" applyFont="1" applyBorder="1" applyProtection="1">
      <protection hidden="1"/>
    </xf>
    <xf numFmtId="173"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1"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43" fontId="6" fillId="0" borderId="0" xfId="0" applyNumberFormat="1" applyFont="1" applyProtection="1">
      <protection hidden="1"/>
    </xf>
    <xf numFmtId="43"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43"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43"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7" fontId="20" fillId="0" borderId="0" xfId="6" applyNumberFormat="1"/>
    <xf numFmtId="164"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178" fontId="41" fillId="0" borderId="3" xfId="0" applyNumberFormat="1" applyFont="1" applyBorder="1" applyProtection="1">
      <protection hidden="1"/>
    </xf>
    <xf numFmtId="178" fontId="41" fillId="0" borderId="12" xfId="0" applyNumberFormat="1" applyFont="1" applyBorder="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2" fillId="0" borderId="0" xfId="0" applyFont="1" applyAlignment="1" applyProtection="1">
      <alignment horizontal="center"/>
      <protection hidden="1"/>
    </xf>
    <xf numFmtId="169" fontId="29" fillId="4" borderId="0" xfId="2" applyNumberFormat="1" applyFont="1" applyFill="1" applyProtection="1">
      <protection locked="0"/>
    </xf>
    <xf numFmtId="167" fontId="45" fillId="7" borderId="1" xfId="1" applyNumberFormat="1" applyFont="1" applyFill="1" applyBorder="1" applyProtection="1">
      <protection hidden="1"/>
    </xf>
    <xf numFmtId="0" fontId="46" fillId="0" borderId="13" xfId="0" applyFont="1" applyBorder="1" applyAlignment="1" applyProtection="1">
      <alignment wrapText="1"/>
      <protection hidden="1"/>
    </xf>
    <xf numFmtId="0" fontId="46"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79" fontId="6" fillId="0" borderId="0" xfId="0" applyNumberFormat="1" applyFont="1"/>
    <xf numFmtId="179" fontId="6" fillId="0" borderId="14" xfId="0" applyNumberFormat="1" applyFont="1" applyBorder="1"/>
    <xf numFmtId="0" fontId="2" fillId="0" borderId="11" xfId="0" applyFont="1" applyBorder="1" applyAlignment="1" applyProtection="1">
      <alignment horizontal="center"/>
      <protection hidden="1"/>
    </xf>
    <xf numFmtId="179" fontId="6" fillId="0" borderId="0" xfId="0" applyNumberFormat="1" applyFont="1" applyProtection="1">
      <protection hidden="1"/>
    </xf>
    <xf numFmtId="179" fontId="6" fillId="0" borderId="14" xfId="0" applyNumberFormat="1" applyFont="1" applyBorder="1" applyProtection="1">
      <protection hidden="1"/>
    </xf>
    <xf numFmtId="179" fontId="6" fillId="0" borderId="3" xfId="0" applyNumberFormat="1" applyFont="1" applyBorder="1" applyProtection="1">
      <protection hidden="1"/>
    </xf>
    <xf numFmtId="179" fontId="6" fillId="0" borderId="12" xfId="0" applyNumberFormat="1" applyFont="1" applyBorder="1" applyProtection="1">
      <protection hidden="1"/>
    </xf>
    <xf numFmtId="0" fontId="18" fillId="4" borderId="0" xfId="0" applyFont="1" applyFill="1" applyProtection="1">
      <protection locked="0" hidden="1"/>
    </xf>
    <xf numFmtId="0" fontId="47"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48" fillId="0" borderId="0" xfId="1" applyFont="1" applyProtection="1">
      <protection hidden="1"/>
    </xf>
    <xf numFmtId="9" fontId="18" fillId="0" borderId="0" xfId="2" applyFont="1" applyProtection="1">
      <protection hidden="1"/>
    </xf>
    <xf numFmtId="10" fontId="42" fillId="0" borderId="0" xfId="2" applyNumberFormat="1" applyFont="1" applyFill="1" applyAlignment="1" applyProtection="1">
      <alignment horizontal="center" vertical="center"/>
      <protection locked="0"/>
    </xf>
    <xf numFmtId="0" fontId="50" fillId="0" borderId="0" xfId="0" applyFont="1" applyAlignment="1" applyProtection="1">
      <alignment wrapText="1"/>
      <protection locked="0"/>
    </xf>
    <xf numFmtId="0" fontId="11" fillId="0" borderId="4" xfId="0" applyFont="1" applyBorder="1" applyProtection="1">
      <protection hidden="1"/>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49"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Comma" xfId="4" builtinId="3"/>
    <cellStyle name="Currency" xfId="1" builtinId="4"/>
    <cellStyle name="Hyperlink" xfId="5" builtinId="8"/>
    <cellStyle name="Millares_Modelo Financiero ACME Final 2" xfId="3" xr:uid="{00000000-0005-0000-0000-000002000000}"/>
    <cellStyle name="Normal" xfId="0" builtinId="0"/>
    <cellStyle name="Normal 2" xfId="6" xr:uid="{00000000-0005-0000-0000-000005000000}"/>
    <cellStyle name="Percent"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1047.6418497897971</c:v>
                </c:pt>
                <c:pt idx="2">
                  <c:v>2095.2836995795942</c:v>
                </c:pt>
              </c:numCache>
            </c:numRef>
          </c:cat>
          <c:val>
            <c:numRef>
              <c:f>'5'!$C$33:$C$35</c:f>
              <c:numCache>
                <c:formatCode>_("$"\ * #,##0.00_);_("$"\ * \(#,##0.00\);_("$"\ * "-"??_);_(@_)</c:formatCode>
                <c:ptCount val="3"/>
                <c:pt idx="0">
                  <c:v>145532000</c:v>
                </c:pt>
                <c:pt idx="1">
                  <c:v>145532000</c:v>
                </c:pt>
                <c:pt idx="2">
                  <c:v>145532000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1047.6418497897971</c:v>
                </c:pt>
                <c:pt idx="2">
                  <c:v>2095.2836995795942</c:v>
                </c:pt>
              </c:numCache>
            </c:numRef>
          </c:cat>
          <c:val>
            <c:numRef>
              <c:f>'5'!$D$33:$D$35</c:f>
              <c:numCache>
                <c:formatCode>_("$"\ * #,##0.00_);_("$"\ * \(#,##0.00\);_("$"\ * "-"??_);_(@_)</c:formatCode>
                <c:ptCount val="3"/>
                <c:pt idx="0" formatCode="General">
                  <c:v>0</c:v>
                </c:pt>
                <c:pt idx="1">
                  <c:v>223415523.98832867</c:v>
                </c:pt>
                <c:pt idx="2">
                  <c:v>446831047.97665745</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1047.6418497897971</c:v>
                </c:pt>
                <c:pt idx="2">
                  <c:v>2095.2836995795942</c:v>
                </c:pt>
              </c:numCache>
            </c:numRef>
          </c:cat>
          <c:val>
            <c:numRef>
              <c:f>'5'!$F$33:$F$35</c:f>
              <c:numCache>
                <c:formatCode>_("$"\ * #,##0.00_);_("$"\ * \(#,##0.00\);_("$"\ * "-"??_);_(@_)</c:formatCode>
                <c:ptCount val="3"/>
                <c:pt idx="0">
                  <c:v>145532000</c:v>
                </c:pt>
                <c:pt idx="1">
                  <c:v>223415523.9883287</c:v>
                </c:pt>
                <c:pt idx="2">
                  <c:v>301299047.97665739</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n-US"/>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persons/person.xml><?xml version="1.0" encoding="utf-8"?>
<personList xmlns="http://schemas.microsoft.com/office/spreadsheetml/2018/threadedcomments" xmlns:x="http://schemas.openxmlformats.org/spreadsheetml/2006/main">
  <person displayName="JUAN CAMILO NAVARRO HERRERA" id="{E9D8FDBE-C58F-45D5-A400-325EE2653E10}" userId="S::jnavarr54248@universidadean.edu.co::fb53017e-ab91-4fdc-a7cb-945e27b6816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4" dT="2024-11-30T03:34:53.06" personId="{E9D8FDBE-C58F-45D5-A400-325EE2653E10}" id="{C4E3E9EA-DB16-436F-AAC2-67C11359C961}">
    <text>Mensualidad</text>
  </threadedComment>
  <threadedComment ref="D5" dT="2024-11-30T03:34:21.80" personId="{E9D8FDBE-C58F-45D5-A400-325EE2653E10}" id="{EBB9B048-BF4B-4345-B607-E9C83D1309EA}">
    <text xml:space="preserve"> Por hora</text>
  </threadedComment>
  <threadedComment ref="D6" dT="2024-11-30T03:34:11.00" personId="{E9D8FDBE-C58F-45D5-A400-325EE2653E10}" id="{EF45474C-77B9-494C-A5AD-2CB5FAAF2E66}">
    <text>Sesión de 2 horas</text>
  </threadedComment>
  <threadedComment ref="D8" dT="2024-11-30T03:33:51.00" personId="{E9D8FDBE-C58F-45D5-A400-325EE2653E10}" id="{DD4CDBF0-0521-4B4C-9C31-9026B993E7D7}">
    <text>Por hora</text>
  </threadedComment>
  <threadedComment ref="D9" dT="2024-11-30T03:35:31.67" personId="{E9D8FDBE-C58F-45D5-A400-325EE2653E10}" id="{84E2DEF9-9946-4A31-8AF2-738C07146DDD}">
    <text>Mensualidad</text>
  </threadedComment>
  <threadedComment ref="D10" dT="2024-11-30T03:35:31.67" personId="{E9D8FDBE-C58F-45D5-A400-325EE2653E10}" id="{59F824F6-F8C6-4FC1-9057-9C4AC9F7C66C}">
    <text>Mensualidad</text>
  </threadedComment>
  <threadedComment ref="D11" dT="2024-11-30T03:38:55.92" personId="{E9D8FDBE-C58F-45D5-A400-325EE2653E10}" id="{DF7CDD58-3793-45C4-A6A2-C8621E826234}">
    <text>Integración por proyecto</text>
  </threadedComment>
  <threadedComment ref="D12" dT="2024-11-30T03:39:12.07" personId="{E9D8FDBE-C58F-45D5-A400-325EE2653E10}" id="{B70F9856-1DB8-4E07-B1BD-09E6C1DD3A95}">
    <text>Por auditoría.</text>
  </threadedComment>
</ThreadedComments>
</file>

<file path=xl/threadedComments/threadedComment2.xml><?xml version="1.0" encoding="utf-8"?>
<ThreadedComments xmlns="http://schemas.microsoft.com/office/spreadsheetml/2018/threadedcomments" xmlns:x="http://schemas.openxmlformats.org/spreadsheetml/2006/main">
  <threadedComment ref="B18" dT="2024-11-30T03:59:27.53" personId="{E9D8FDBE-C58F-45D5-A400-325EE2653E10}" id="{3BC270C2-C26B-4B28-92DE-622BA962E892}">
    <text>1 gerente</text>
  </threadedComment>
  <threadedComment ref="B20" dT="2024-11-30T03:59:32.51" personId="{E9D8FDBE-C58F-45D5-A400-325EE2653E10}" id="{3DA1AD4D-7EB7-48A4-A6A7-7DBA4E1BC5E2}">
    <text>1 gerente</text>
  </threadedComment>
  <threadedComment ref="B22" dT="2024-11-30T03:59:39.07" personId="{E9D8FDBE-C58F-45D5-A400-325EE2653E10}" id="{01FBF328-4AD9-4D6C-8C89-A4DE3ECEE659}">
    <text>1 desarrolladores</text>
  </threadedComment>
  <threadedComment ref="F25" dT="2024-11-30T03:56:56.90" personId="{E9D8FDBE-C58F-45D5-A400-325EE2653E10}" id="{99F06FE4-C6E1-416A-861E-8CC839DEC2EF}">
    <text xml:space="preserve">Compensación Mensual por Empleado: $140,606 COP
Total Mensual para Cuatro Empleados: $562,424 COP
</text>
  </threadedComment>
  <threadedComment ref="F27" dT="2024-11-30T03:58:02.01" personId="{E9D8FDBE-C58F-45D5-A400-325EE2653E10}" id="{89F364FB-9870-4C2F-8B8F-48214E483807}">
    <text xml:space="preserve">Software de Seguridad: $200,000 COP por empleado al año, totalizando $800,000 COP
Capacitación en Seguridad Informática: $300,000 COP por empleado, totalizando $1,200,000 COP
Implementación de VPN: $100,000 COP por empleado al mes, totalizando $4,800,000 COP anuales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defaultColWidth="11.5546875" defaultRowHeight="14.4"/>
  <sheetData>
    <row r="23" spans="7:8" ht="20.399999999999999">
      <c r="G23" s="140" t="s">
        <v>0</v>
      </c>
      <c r="H23" s="140"/>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abSelected="1" topLeftCell="B1" zoomScale="95" zoomScaleNormal="160" workbookViewId="0">
      <selection activeCell="AB4" sqref="AB4"/>
    </sheetView>
  </sheetViews>
  <sheetFormatPr defaultColWidth="11.44140625" defaultRowHeight="14.4"/>
  <cols>
    <col min="1" max="1" width="22.5546875" style="8" customWidth="1"/>
    <col min="2" max="2" width="41.109375" style="8" bestFit="1" customWidth="1"/>
    <col min="3" max="6" width="26" style="8" bestFit="1" customWidth="1"/>
    <col min="7" max="10" width="9.44140625" style="8" bestFit="1" customWidth="1"/>
    <col min="11" max="11" width="4.33203125" style="8" customWidth="1"/>
    <col min="12" max="15" width="11.44140625" style="8" hidden="1" customWidth="1"/>
    <col min="16" max="19" width="12" style="8" hidden="1" customWidth="1"/>
    <col min="20" max="24" width="15.5546875" style="8" hidden="1" customWidth="1"/>
    <col min="25" max="25" width="22.109375" style="8" bestFit="1" customWidth="1"/>
    <col min="26" max="27" width="9.44140625" style="8" bestFit="1" customWidth="1"/>
    <col min="28" max="28" width="11.44140625" style="8" bestFit="1" customWidth="1"/>
    <col min="29" max="29" width="9.44140625" style="8" bestFit="1" customWidth="1"/>
    <col min="30" max="16384" width="11.44140625" style="8"/>
  </cols>
  <sheetData>
    <row r="1" spans="1:29" ht="30.75" customHeight="1">
      <c r="A1" s="142" t="s">
        <v>1</v>
      </c>
      <c r="B1" s="142"/>
      <c r="C1" s="142"/>
      <c r="D1" s="142"/>
      <c r="E1" s="142"/>
      <c r="G1" s="143" t="s">
        <v>2</v>
      </c>
      <c r="H1" s="143"/>
      <c r="I1" s="143"/>
      <c r="J1" s="143"/>
      <c r="P1" s="8" t="s">
        <v>3</v>
      </c>
      <c r="Y1" s="15" t="s">
        <v>4</v>
      </c>
      <c r="Z1" s="50">
        <v>2026</v>
      </c>
      <c r="AA1" s="16"/>
    </row>
    <row r="2" spans="1:29" ht="32.25" customHeight="1" thickBot="1">
      <c r="B2" s="17" t="s">
        <v>5</v>
      </c>
      <c r="C2" s="18" t="s">
        <v>6</v>
      </c>
      <c r="D2" s="17" t="s">
        <v>7</v>
      </c>
      <c r="E2" s="18" t="s">
        <v>8</v>
      </c>
      <c r="F2" s="19" t="s">
        <v>9</v>
      </c>
      <c r="G2" s="20">
        <f>'1'!Z1+1</f>
        <v>2027</v>
      </c>
      <c r="H2" s="20">
        <f>G2+1</f>
        <v>2028</v>
      </c>
      <c r="I2" s="20">
        <f t="shared" ref="I2:J2" si="0">H2+1</f>
        <v>2029</v>
      </c>
      <c r="J2" s="20">
        <f t="shared" si="0"/>
        <v>2030</v>
      </c>
      <c r="L2" s="8">
        <f>G2</f>
        <v>2027</v>
      </c>
      <c r="M2" s="8">
        <f>H2</f>
        <v>2028</v>
      </c>
      <c r="N2" s="8">
        <f>M2+1</f>
        <v>2029</v>
      </c>
      <c r="O2" s="8">
        <f>N2+1</f>
        <v>2030</v>
      </c>
      <c r="P2" s="8" t="s">
        <v>10</v>
      </c>
      <c r="Q2" s="8" t="s">
        <v>11</v>
      </c>
      <c r="R2" s="8" t="s">
        <v>12</v>
      </c>
      <c r="S2" s="8" t="s">
        <v>13</v>
      </c>
      <c r="T2" s="8" t="s">
        <v>14</v>
      </c>
      <c r="U2" s="8" t="s">
        <v>15</v>
      </c>
      <c r="V2" s="8" t="s">
        <v>16</v>
      </c>
      <c r="W2" s="8" t="s">
        <v>17</v>
      </c>
      <c r="Y2" s="16"/>
      <c r="Z2" s="16"/>
      <c r="AA2" s="16"/>
    </row>
    <row r="3" spans="1:29" ht="24" thickBot="1">
      <c r="A3" s="21">
        <v>1</v>
      </c>
      <c r="B3" s="13" t="s">
        <v>18</v>
      </c>
      <c r="C3" s="56">
        <v>250</v>
      </c>
      <c r="D3" s="14">
        <v>120000</v>
      </c>
      <c r="E3" s="22">
        <f>C3*D3</f>
        <v>30000000</v>
      </c>
      <c r="F3" s="23">
        <f>IF($E$13=0,0,E3/$E$13)</f>
        <v>0.11628222471152318</v>
      </c>
      <c r="G3" s="116">
        <v>0.1</v>
      </c>
      <c r="H3" s="116">
        <v>0.2</v>
      </c>
      <c r="I3" s="116">
        <v>0.3</v>
      </c>
      <c r="J3" s="116">
        <v>0.2</v>
      </c>
      <c r="K3" s="24"/>
      <c r="L3" s="8">
        <f t="shared" ref="L3:L12" si="1">C3*(1+G3)</f>
        <v>275</v>
      </c>
      <c r="M3" s="8">
        <f>L3*(1+H3)</f>
        <v>330</v>
      </c>
      <c r="N3" s="8">
        <f t="shared" ref="N3:O3" si="2">M3*(1+I3)</f>
        <v>429</v>
      </c>
      <c r="O3" s="8">
        <f t="shared" si="2"/>
        <v>514.79999999999995</v>
      </c>
      <c r="P3" s="25">
        <f>D3*(1+'1'!$Z$4)</f>
        <v>126000</v>
      </c>
      <c r="Q3" s="25">
        <f>P3*(1+'1'!$AA$4)</f>
        <v>131292</v>
      </c>
      <c r="R3" s="25">
        <f>Q3*(1+'1'!$AB$4)</f>
        <v>135493.34400000001</v>
      </c>
      <c r="S3" s="25">
        <f>R3*(1+'1'!$AC$4)</f>
        <v>139558.14432000002</v>
      </c>
      <c r="T3" s="26">
        <f>L3*P3</f>
        <v>34650000</v>
      </c>
      <c r="U3" s="26">
        <f>M3*Q3</f>
        <v>43326360</v>
      </c>
      <c r="V3" s="26">
        <f>N3*R3</f>
        <v>58126644.576000005</v>
      </c>
      <c r="W3" s="26">
        <f>O3*S3</f>
        <v>71844532.695936009</v>
      </c>
      <c r="X3" s="26"/>
      <c r="Y3" s="27" t="s">
        <v>19</v>
      </c>
      <c r="Z3" s="28">
        <f>G2</f>
        <v>2027</v>
      </c>
      <c r="AA3" s="28">
        <f>Z3+1</f>
        <v>2028</v>
      </c>
      <c r="AB3" s="28">
        <f t="shared" ref="AB3:AC3" si="3">AA3+1</f>
        <v>2029</v>
      </c>
      <c r="AC3" s="29">
        <f t="shared" si="3"/>
        <v>2030</v>
      </c>
    </row>
    <row r="4" spans="1:29" ht="23.4">
      <c r="A4" s="21">
        <f>A3+1</f>
        <v>2</v>
      </c>
      <c r="B4" s="13" t="s">
        <v>20</v>
      </c>
      <c r="C4" s="56">
        <v>200</v>
      </c>
      <c r="D4" s="14">
        <v>109990</v>
      </c>
      <c r="E4" s="22">
        <f t="shared" ref="E4:E12" si="4">C4*D4</f>
        <v>21998000</v>
      </c>
      <c r="F4" s="23">
        <f t="shared" ref="F4:F12" si="5">IF($E$13=0,0,E4/$E$13)</f>
        <v>8.5265879306802891E-2</v>
      </c>
      <c r="G4" s="116">
        <v>0.1</v>
      </c>
      <c r="H4" s="116">
        <v>0.3</v>
      </c>
      <c r="I4" s="116">
        <v>0.3</v>
      </c>
      <c r="J4" s="116">
        <v>0.2</v>
      </c>
      <c r="K4" s="24"/>
      <c r="L4" s="8">
        <f t="shared" si="1"/>
        <v>220.00000000000003</v>
      </c>
      <c r="M4" s="8">
        <f t="shared" ref="M4:M12" si="6">L4*(1+H4)</f>
        <v>286.00000000000006</v>
      </c>
      <c r="N4" s="8">
        <f t="shared" ref="N4:N12" si="7">M4*(1+I4)</f>
        <v>371.80000000000007</v>
      </c>
      <c r="O4" s="8">
        <f t="shared" ref="O4:O12" si="8">N4*(1+J4)</f>
        <v>446.16000000000008</v>
      </c>
      <c r="P4" s="25">
        <f>D4*(1+'1'!$Z$4)</f>
        <v>115489.5</v>
      </c>
      <c r="Q4" s="25">
        <f>P4*(1+'1'!$AA$4)</f>
        <v>120340.05900000001</v>
      </c>
      <c r="R4" s="25">
        <f>Q4*(1+'1'!$AB$4)</f>
        <v>124190.94088800001</v>
      </c>
      <c r="S4" s="25">
        <f>R4*(1+'1'!$AC$4)</f>
        <v>127916.66911464001</v>
      </c>
      <c r="T4" s="26">
        <f t="shared" ref="T4:T12" si="9">L4*P4</f>
        <v>25407690.000000004</v>
      </c>
      <c r="U4" s="26">
        <f t="shared" ref="U4:U12" si="10">M4*Q4</f>
        <v>34417256.874000013</v>
      </c>
      <c r="V4" s="26">
        <f t="shared" ref="V4:V12" si="11">N4*R4</f>
        <v>46174191.822158411</v>
      </c>
      <c r="W4" s="26">
        <f t="shared" ref="W4:W12" si="12">O4*S4</f>
        <v>57071301.0921878</v>
      </c>
      <c r="X4" s="26"/>
      <c r="Y4" s="118" t="s">
        <v>21</v>
      </c>
      <c r="Z4" s="51">
        <v>0.05</v>
      </c>
      <c r="AA4" s="51">
        <v>4.2000000000000003E-2</v>
      </c>
      <c r="AB4" s="51">
        <v>3.2000000000000001E-2</v>
      </c>
      <c r="AC4" s="52">
        <v>0.03</v>
      </c>
    </row>
    <row r="5" spans="1:29" ht="24" thickBot="1">
      <c r="A5" s="21">
        <f t="shared" ref="A5:A12" si="13">A4+1</f>
        <v>3</v>
      </c>
      <c r="B5" s="13" t="s">
        <v>22</v>
      </c>
      <c r="C5" s="56">
        <v>150</v>
      </c>
      <c r="D5" s="14">
        <v>50000</v>
      </c>
      <c r="E5" s="22">
        <f t="shared" si="4"/>
        <v>7500000</v>
      </c>
      <c r="F5" s="23">
        <f t="shared" si="5"/>
        <v>2.9070556177880794E-2</v>
      </c>
      <c r="G5" s="116">
        <f t="shared" ref="G5" si="14">+H5</f>
        <v>0.2</v>
      </c>
      <c r="H5" s="49">
        <v>0.2</v>
      </c>
      <c r="I5" s="49">
        <v>0.3</v>
      </c>
      <c r="J5" s="49">
        <v>0.2</v>
      </c>
      <c r="K5" s="24"/>
      <c r="L5" s="8">
        <f t="shared" si="1"/>
        <v>180</v>
      </c>
      <c r="M5" s="8">
        <f t="shared" si="6"/>
        <v>216</v>
      </c>
      <c r="N5" s="8">
        <f t="shared" si="7"/>
        <v>280.8</v>
      </c>
      <c r="O5" s="8">
        <f t="shared" si="8"/>
        <v>336.96</v>
      </c>
      <c r="P5" s="25">
        <f>D5*(1+'1'!$Z$4)</f>
        <v>52500</v>
      </c>
      <c r="Q5" s="25">
        <f>P5*(1+'1'!$AA$4)</f>
        <v>54705</v>
      </c>
      <c r="R5" s="25">
        <f>Q5*(1+'1'!$AB$4)</f>
        <v>56455.560000000005</v>
      </c>
      <c r="S5" s="25">
        <f>R5*(1+'1'!$AC$4)</f>
        <v>58149.226800000004</v>
      </c>
      <c r="T5" s="26">
        <f t="shared" si="9"/>
        <v>9450000</v>
      </c>
      <c r="U5" s="26">
        <f t="shared" si="10"/>
        <v>11816280</v>
      </c>
      <c r="V5" s="26">
        <f t="shared" si="11"/>
        <v>15852721.248000002</v>
      </c>
      <c r="W5" s="26">
        <f t="shared" si="12"/>
        <v>19593963.462528002</v>
      </c>
      <c r="X5" s="26"/>
      <c r="Y5" s="119" t="s">
        <v>23</v>
      </c>
      <c r="Z5" s="53">
        <v>3.3000000000000002E-2</v>
      </c>
      <c r="AA5" s="53">
        <v>3.2000000000000001E-2</v>
      </c>
      <c r="AB5" s="53">
        <v>3.1E-2</v>
      </c>
      <c r="AC5" s="54">
        <v>0.03</v>
      </c>
    </row>
    <row r="6" spans="1:29" ht="15" thickBot="1">
      <c r="A6" s="21">
        <f t="shared" si="13"/>
        <v>4</v>
      </c>
      <c r="B6" s="13" t="s">
        <v>24</v>
      </c>
      <c r="C6" s="56">
        <v>180</v>
      </c>
      <c r="D6" s="14">
        <v>200000</v>
      </c>
      <c r="E6" s="22">
        <f t="shared" si="4"/>
        <v>36000000</v>
      </c>
      <c r="F6" s="23">
        <f t="shared" si="5"/>
        <v>0.13953866965382783</v>
      </c>
      <c r="G6" s="116">
        <v>0.2</v>
      </c>
      <c r="H6" s="49">
        <v>0.3</v>
      </c>
      <c r="I6" s="49">
        <v>0.25</v>
      </c>
      <c r="J6" s="49">
        <v>0.15</v>
      </c>
      <c r="K6" s="24"/>
      <c r="L6" s="8">
        <f t="shared" si="1"/>
        <v>216</v>
      </c>
      <c r="M6" s="8">
        <f t="shared" si="6"/>
        <v>280.8</v>
      </c>
      <c r="N6" s="8">
        <f t="shared" si="7"/>
        <v>351</v>
      </c>
      <c r="O6" s="8">
        <f t="shared" si="8"/>
        <v>403.65</v>
      </c>
      <c r="P6" s="25">
        <f>D6*(1+'1'!$Z$4)</f>
        <v>210000</v>
      </c>
      <c r="Q6" s="25">
        <f>P6*(1+'1'!$AA$4)</f>
        <v>218820</v>
      </c>
      <c r="R6" s="25">
        <f>Q6*(1+'1'!$AB$4)</f>
        <v>225822.24000000002</v>
      </c>
      <c r="S6" s="25">
        <f>R6*(1+'1'!$AC$4)</f>
        <v>232596.90720000002</v>
      </c>
      <c r="T6" s="26">
        <f t="shared" si="9"/>
        <v>45360000</v>
      </c>
      <c r="U6" s="26">
        <f t="shared" si="10"/>
        <v>61444656</v>
      </c>
      <c r="V6" s="26">
        <f t="shared" si="11"/>
        <v>79263606.24000001</v>
      </c>
      <c r="W6" s="26">
        <f t="shared" si="12"/>
        <v>93887741.591279998</v>
      </c>
      <c r="X6" s="26"/>
    </row>
    <row r="7" spans="1:29" ht="24" thickBot="1">
      <c r="A7" s="21">
        <f t="shared" si="13"/>
        <v>5</v>
      </c>
      <c r="B7" s="13" t="s">
        <v>25</v>
      </c>
      <c r="C7" s="56">
        <v>250</v>
      </c>
      <c r="D7" s="14">
        <v>150000</v>
      </c>
      <c r="E7" s="22">
        <f t="shared" si="4"/>
        <v>37500000</v>
      </c>
      <c r="F7" s="23">
        <f t="shared" si="5"/>
        <v>0.14535278088940398</v>
      </c>
      <c r="G7" s="116">
        <v>0.1</v>
      </c>
      <c r="H7" s="49">
        <v>0.6</v>
      </c>
      <c r="I7" s="49">
        <v>0.4</v>
      </c>
      <c r="J7" s="49">
        <v>0.3</v>
      </c>
      <c r="K7" s="24"/>
      <c r="L7" s="8">
        <f t="shared" si="1"/>
        <v>275</v>
      </c>
      <c r="M7" s="8">
        <f t="shared" si="6"/>
        <v>440</v>
      </c>
      <c r="N7" s="8">
        <f t="shared" si="7"/>
        <v>616</v>
      </c>
      <c r="O7" s="8">
        <f t="shared" si="8"/>
        <v>800.80000000000007</v>
      </c>
      <c r="P7" s="25">
        <f>D7*(1+'1'!$Z$4)</f>
        <v>157500</v>
      </c>
      <c r="Q7" s="25">
        <f>P7*(1+'1'!$AA$4)</f>
        <v>164115</v>
      </c>
      <c r="R7" s="25">
        <f>Q7*(1+'1'!$AB$4)</f>
        <v>169366.68</v>
      </c>
      <c r="S7" s="25">
        <f>R7*(1+'1'!$AC$4)</f>
        <v>174447.68039999998</v>
      </c>
      <c r="T7" s="26">
        <f t="shared" si="9"/>
        <v>43312500</v>
      </c>
      <c r="U7" s="26">
        <f t="shared" si="10"/>
        <v>72210600</v>
      </c>
      <c r="V7" s="26">
        <f t="shared" si="11"/>
        <v>104329874.88</v>
      </c>
      <c r="W7" s="26">
        <f t="shared" si="12"/>
        <v>139697702.46432</v>
      </c>
      <c r="X7" s="26"/>
      <c r="Y7" s="30" t="s">
        <v>26</v>
      </c>
      <c r="Z7" s="31"/>
      <c r="AA7" s="31"/>
      <c r="AB7" s="55">
        <v>0.34</v>
      </c>
      <c r="AC7" s="32"/>
    </row>
    <row r="8" spans="1:29">
      <c r="A8" s="21">
        <f t="shared" si="13"/>
        <v>6</v>
      </c>
      <c r="B8" s="13" t="s">
        <v>27</v>
      </c>
      <c r="C8" s="56">
        <v>100</v>
      </c>
      <c r="D8" s="14">
        <v>50000</v>
      </c>
      <c r="E8" s="22">
        <f t="shared" si="4"/>
        <v>5000000</v>
      </c>
      <c r="F8" s="23">
        <f t="shared" si="5"/>
        <v>1.9380370785253863E-2</v>
      </c>
      <c r="G8" s="116">
        <v>0.2</v>
      </c>
      <c r="H8" s="49">
        <v>0.5</v>
      </c>
      <c r="I8" s="49">
        <v>0.3</v>
      </c>
      <c r="J8" s="49">
        <v>0.2</v>
      </c>
      <c r="K8" s="24"/>
      <c r="L8" s="8">
        <f t="shared" si="1"/>
        <v>120</v>
      </c>
      <c r="M8" s="8">
        <f t="shared" si="6"/>
        <v>180</v>
      </c>
      <c r="N8" s="8">
        <f t="shared" si="7"/>
        <v>234</v>
      </c>
      <c r="O8" s="8">
        <f t="shared" si="8"/>
        <v>280.8</v>
      </c>
      <c r="P8" s="25">
        <f>D8*(1+'1'!$Z$4)</f>
        <v>52500</v>
      </c>
      <c r="Q8" s="25">
        <f>P8*(1+'1'!$AA$4)</f>
        <v>54705</v>
      </c>
      <c r="R8" s="25">
        <f>Q8*(1+'1'!$AB$4)</f>
        <v>56455.560000000005</v>
      </c>
      <c r="S8" s="25">
        <f>R8*(1+'1'!$AC$4)</f>
        <v>58149.226800000004</v>
      </c>
      <c r="T8" s="26">
        <f t="shared" si="9"/>
        <v>6300000</v>
      </c>
      <c r="U8" s="26">
        <f t="shared" si="10"/>
        <v>9846900</v>
      </c>
      <c r="V8" s="26">
        <f t="shared" si="11"/>
        <v>13210601.040000001</v>
      </c>
      <c r="W8" s="26">
        <f t="shared" si="12"/>
        <v>16328302.885440001</v>
      </c>
      <c r="X8" s="26"/>
    </row>
    <row r="9" spans="1:29">
      <c r="A9" s="21">
        <f t="shared" si="13"/>
        <v>7</v>
      </c>
      <c r="B9" s="13" t="s">
        <v>28</v>
      </c>
      <c r="C9" s="56">
        <v>250</v>
      </c>
      <c r="D9" s="14">
        <v>109990</v>
      </c>
      <c r="E9" s="22">
        <f t="shared" si="4"/>
        <v>27497500</v>
      </c>
      <c r="F9" s="23">
        <f t="shared" si="5"/>
        <v>0.10658234913350362</v>
      </c>
      <c r="G9" s="116">
        <v>0.1</v>
      </c>
      <c r="H9" s="49">
        <v>0.4</v>
      </c>
      <c r="I9" s="49">
        <v>0.25</v>
      </c>
      <c r="J9" s="49">
        <v>0.15</v>
      </c>
      <c r="K9" s="24"/>
      <c r="L9" s="8">
        <f t="shared" si="1"/>
        <v>275</v>
      </c>
      <c r="M9" s="8">
        <f t="shared" si="6"/>
        <v>385</v>
      </c>
      <c r="N9" s="8">
        <f t="shared" si="7"/>
        <v>481.25</v>
      </c>
      <c r="O9" s="8">
        <f t="shared" si="8"/>
        <v>553.4375</v>
      </c>
      <c r="P9" s="25">
        <f>D9*(1+'1'!$Z$4)</f>
        <v>115489.5</v>
      </c>
      <c r="Q9" s="25">
        <f>P9*(1+'1'!$AA$4)</f>
        <v>120340.05900000001</v>
      </c>
      <c r="R9" s="25">
        <f>Q9*(1+'1'!$AB$4)</f>
        <v>124190.94088800001</v>
      </c>
      <c r="S9" s="25">
        <f>R9*(1+'1'!$AC$4)</f>
        <v>127916.66911464001</v>
      </c>
      <c r="T9" s="26">
        <f t="shared" si="9"/>
        <v>31759612.5</v>
      </c>
      <c r="U9" s="26">
        <f t="shared" si="10"/>
        <v>46330922.715000004</v>
      </c>
      <c r="V9" s="26">
        <f t="shared" si="11"/>
        <v>59766890.302350007</v>
      </c>
      <c r="W9" s="26">
        <f t="shared" si="12"/>
        <v>70793881.563133582</v>
      </c>
      <c r="X9" s="26"/>
    </row>
    <row r="10" spans="1:29">
      <c r="A10" s="21">
        <f t="shared" si="13"/>
        <v>8</v>
      </c>
      <c r="B10" s="13" t="s">
        <v>29</v>
      </c>
      <c r="C10" s="56">
        <v>250</v>
      </c>
      <c r="D10" s="14">
        <v>109990</v>
      </c>
      <c r="E10" s="22">
        <f t="shared" si="4"/>
        <v>27497500</v>
      </c>
      <c r="F10" s="23">
        <f t="shared" si="5"/>
        <v>0.10658234913350362</v>
      </c>
      <c r="G10" s="116">
        <v>0.2</v>
      </c>
      <c r="H10" s="49">
        <v>0.4</v>
      </c>
      <c r="I10" s="49">
        <v>0.25</v>
      </c>
      <c r="J10" s="49">
        <v>0.15</v>
      </c>
      <c r="K10" s="24"/>
      <c r="L10" s="8">
        <f t="shared" si="1"/>
        <v>300</v>
      </c>
      <c r="M10" s="8">
        <f t="shared" si="6"/>
        <v>420</v>
      </c>
      <c r="N10" s="8">
        <f t="shared" si="7"/>
        <v>525</v>
      </c>
      <c r="O10" s="8">
        <f t="shared" si="8"/>
        <v>603.75</v>
      </c>
      <c r="P10" s="25">
        <f>D10*(1+'1'!$Z$4)</f>
        <v>115489.5</v>
      </c>
      <c r="Q10" s="25">
        <f>P10*(1+'1'!$AA$4)</f>
        <v>120340.05900000001</v>
      </c>
      <c r="R10" s="25">
        <f>Q10*(1+'1'!$AB$4)</f>
        <v>124190.94088800001</v>
      </c>
      <c r="S10" s="25">
        <f>R10*(1+'1'!$AC$4)</f>
        <v>127916.66911464001</v>
      </c>
      <c r="T10" s="26">
        <f t="shared" si="9"/>
        <v>34646850</v>
      </c>
      <c r="U10" s="26">
        <f t="shared" si="10"/>
        <v>50542824.780000001</v>
      </c>
      <c r="V10" s="26">
        <f t="shared" si="11"/>
        <v>65200243.966200009</v>
      </c>
      <c r="W10" s="26">
        <f t="shared" si="12"/>
        <v>77229688.97796391</v>
      </c>
      <c r="X10" s="26"/>
    </row>
    <row r="11" spans="1:29">
      <c r="A11" s="21">
        <f t="shared" si="13"/>
        <v>9</v>
      </c>
      <c r="B11" s="13" t="s">
        <v>30</v>
      </c>
      <c r="C11" s="56">
        <v>100</v>
      </c>
      <c r="D11" s="14">
        <v>500000</v>
      </c>
      <c r="E11" s="22">
        <f t="shared" si="4"/>
        <v>50000000</v>
      </c>
      <c r="F11" s="23">
        <f t="shared" si="5"/>
        <v>0.19380370785253864</v>
      </c>
      <c r="G11" s="116">
        <v>0.3</v>
      </c>
      <c r="H11" s="49">
        <v>0.6</v>
      </c>
      <c r="I11" s="49">
        <v>0.4</v>
      </c>
      <c r="J11" s="49">
        <v>0.3</v>
      </c>
      <c r="K11" s="24"/>
      <c r="L11" s="8">
        <f t="shared" si="1"/>
        <v>130</v>
      </c>
      <c r="M11" s="8">
        <f t="shared" si="6"/>
        <v>208</v>
      </c>
      <c r="N11" s="8">
        <f t="shared" si="7"/>
        <v>291.2</v>
      </c>
      <c r="O11" s="8">
        <f t="shared" si="8"/>
        <v>378.56</v>
      </c>
      <c r="P11" s="25">
        <f>D11*(1+'1'!$Z$4)</f>
        <v>525000</v>
      </c>
      <c r="Q11" s="25">
        <f>P11*(1+'1'!$AA$4)</f>
        <v>547050</v>
      </c>
      <c r="R11" s="25">
        <f>Q11*(1+'1'!$AB$4)</f>
        <v>564555.6</v>
      </c>
      <c r="S11" s="25">
        <f>R11*(1+'1'!$AC$4)</f>
        <v>581492.26800000004</v>
      </c>
      <c r="T11" s="26">
        <f t="shared" si="9"/>
        <v>68250000</v>
      </c>
      <c r="U11" s="26">
        <f t="shared" si="10"/>
        <v>113786400</v>
      </c>
      <c r="V11" s="26">
        <f t="shared" si="11"/>
        <v>164398590.72</v>
      </c>
      <c r="W11" s="26">
        <f t="shared" si="12"/>
        <v>220129712.97408003</v>
      </c>
      <c r="X11" s="26"/>
    </row>
    <row r="12" spans="1:29">
      <c r="A12" s="21">
        <f t="shared" si="13"/>
        <v>10</v>
      </c>
      <c r="B12" s="13" t="s">
        <v>31</v>
      </c>
      <c r="C12" s="56">
        <v>50</v>
      </c>
      <c r="D12" s="14">
        <v>300000</v>
      </c>
      <c r="E12" s="22">
        <f t="shared" si="4"/>
        <v>15000000</v>
      </c>
      <c r="F12" s="23">
        <f t="shared" si="5"/>
        <v>5.8141112355761589E-2</v>
      </c>
      <c r="G12" s="116">
        <v>0.1</v>
      </c>
      <c r="H12" s="49">
        <v>0.1</v>
      </c>
      <c r="I12" s="49">
        <v>0.25</v>
      </c>
      <c r="J12" s="49">
        <v>0.2</v>
      </c>
      <c r="K12" s="24"/>
      <c r="L12" s="8">
        <f t="shared" si="1"/>
        <v>55.000000000000007</v>
      </c>
      <c r="M12" s="8">
        <f t="shared" si="6"/>
        <v>60.500000000000014</v>
      </c>
      <c r="N12" s="8">
        <f t="shared" si="7"/>
        <v>75.625000000000014</v>
      </c>
      <c r="O12" s="8">
        <f t="shared" si="8"/>
        <v>90.750000000000014</v>
      </c>
      <c r="P12" s="25">
        <f>D12*(1+'1'!$Z$4)</f>
        <v>315000</v>
      </c>
      <c r="Q12" s="25">
        <f>P12*(1+'1'!$AA$4)</f>
        <v>328230</v>
      </c>
      <c r="R12" s="25">
        <f>Q12*(1+'1'!$AB$4)</f>
        <v>338733.36</v>
      </c>
      <c r="S12" s="25">
        <f>R12*(1+'1'!$AC$4)</f>
        <v>348895.36079999997</v>
      </c>
      <c r="T12" s="26">
        <f t="shared" si="9"/>
        <v>17325000.000000004</v>
      </c>
      <c r="U12" s="26">
        <f t="shared" si="10"/>
        <v>19857915.000000004</v>
      </c>
      <c r="V12" s="26">
        <f t="shared" si="11"/>
        <v>25616710.350000005</v>
      </c>
      <c r="W12" s="26">
        <f t="shared" si="12"/>
        <v>31662253.992600001</v>
      </c>
      <c r="X12" s="26"/>
    </row>
    <row r="13" spans="1:29">
      <c r="D13" s="8" t="s">
        <v>32</v>
      </c>
      <c r="E13" s="33">
        <f>SUM(E3:E12)</f>
        <v>257993000</v>
      </c>
      <c r="F13" s="34">
        <f>SUM(F3:F12)</f>
        <v>1</v>
      </c>
      <c r="T13" s="35">
        <f>SUM(T3:T12)</f>
        <v>316461652.5</v>
      </c>
      <c r="U13" s="35">
        <f>SUM(U3:U12)</f>
        <v>463580115.36899996</v>
      </c>
      <c r="V13" s="35">
        <f>SUM(V3:V12)</f>
        <v>631940075.1447084</v>
      </c>
      <c r="W13" s="35">
        <f>SUM(W3:W12)</f>
        <v>798239081.69946933</v>
      </c>
      <c r="X13" s="26"/>
    </row>
    <row r="15" spans="1:29" ht="23.25" customHeight="1">
      <c r="A15" s="142" t="s">
        <v>33</v>
      </c>
      <c r="B15" s="142"/>
      <c r="C15" s="142"/>
      <c r="D15" s="142"/>
      <c r="E15" s="142"/>
      <c r="G15" s="36"/>
    </row>
    <row r="16" spans="1:29" ht="25.5" customHeight="1">
      <c r="B16" s="17" t="s">
        <v>34</v>
      </c>
      <c r="C16" s="37" t="s">
        <v>6</v>
      </c>
      <c r="D16" s="114" t="s">
        <v>35</v>
      </c>
      <c r="E16" s="18" t="s">
        <v>36</v>
      </c>
      <c r="L16" s="8">
        <f>L2</f>
        <v>2027</v>
      </c>
      <c r="M16" s="8">
        <f t="shared" ref="M16:W16" si="15">M2</f>
        <v>2028</v>
      </c>
      <c r="N16" s="8">
        <f t="shared" si="15"/>
        <v>2029</v>
      </c>
      <c r="O16" s="8">
        <f t="shared" si="15"/>
        <v>2030</v>
      </c>
      <c r="P16" s="8" t="str">
        <f t="shared" si="15"/>
        <v>AÑO 2</v>
      </c>
      <c r="Q16" s="8" t="str">
        <f t="shared" si="15"/>
        <v>AÑO 3</v>
      </c>
      <c r="R16" s="8" t="str">
        <f t="shared" si="15"/>
        <v>AÑO 4</v>
      </c>
      <c r="S16" s="8" t="str">
        <f t="shared" si="15"/>
        <v>AÑO 5</v>
      </c>
      <c r="T16" s="8" t="str">
        <f t="shared" si="15"/>
        <v>año 2</v>
      </c>
      <c r="U16" s="8" t="str">
        <f t="shared" si="15"/>
        <v>año 3</v>
      </c>
      <c r="V16" s="8" t="str">
        <f t="shared" si="15"/>
        <v>año 4</v>
      </c>
      <c r="W16" s="8" t="str">
        <f t="shared" si="15"/>
        <v>año 5</v>
      </c>
    </row>
    <row r="17" spans="1:24">
      <c r="A17" s="21">
        <f>A3</f>
        <v>1</v>
      </c>
      <c r="B17" s="95" t="str">
        <f>B3</f>
        <v>Software Básico de Gestión Financiera</v>
      </c>
      <c r="C17" s="39">
        <f>C3</f>
        <v>250</v>
      </c>
      <c r="D17" s="14">
        <v>40000</v>
      </c>
      <c r="E17" s="22">
        <f>C17*D17</f>
        <v>10000000</v>
      </c>
      <c r="F17" s="23">
        <f>IF($E$27=0,0,E17/$E$27)</f>
        <v>9.8135426889106966E-2</v>
      </c>
      <c r="L17" s="8">
        <f t="shared" ref="L17:L26" si="16">C17*(1+G3)</f>
        <v>275</v>
      </c>
      <c r="M17" s="8">
        <f>L17*(1+H3)</f>
        <v>330</v>
      </c>
      <c r="N17" s="8">
        <f t="shared" ref="N17:O17" si="17">M17*(1+I3)</f>
        <v>429</v>
      </c>
      <c r="O17" s="8">
        <f t="shared" si="17"/>
        <v>514.79999999999995</v>
      </c>
      <c r="P17" s="40">
        <f>D17*(1+'1'!$Z$5)</f>
        <v>41320</v>
      </c>
      <c r="Q17" s="25">
        <f>P17*(1+'1'!$AA$5)</f>
        <v>42642.239999999998</v>
      </c>
      <c r="R17" s="25">
        <f>Q17*(1+'1'!$AB$5)</f>
        <v>43964.149439999994</v>
      </c>
      <c r="S17" s="25">
        <f>R17*(1+'1'!$AC$5)</f>
        <v>45283.073923199998</v>
      </c>
      <c r="T17" s="40">
        <f t="shared" ref="T17:U19" si="18">L17*P17</f>
        <v>11363000</v>
      </c>
      <c r="U17" s="26">
        <f t="shared" si="18"/>
        <v>14071939.199999999</v>
      </c>
      <c r="V17" s="26">
        <f t="shared" ref="V17:W17" si="19">N17*R17</f>
        <v>18860620.109759998</v>
      </c>
      <c r="W17" s="26">
        <f t="shared" si="19"/>
        <v>23311726.455663357</v>
      </c>
      <c r="X17" s="26"/>
    </row>
    <row r="18" spans="1:24">
      <c r="A18" s="21">
        <f t="shared" ref="A18:B25" si="20">A4</f>
        <v>2</v>
      </c>
      <c r="B18" s="41" t="str">
        <f t="shared" si="20"/>
        <v>Módulo de Reportes Avanzados</v>
      </c>
      <c r="C18" s="39">
        <f t="shared" ref="C18:C26" si="21">C4</f>
        <v>200</v>
      </c>
      <c r="D18" s="14">
        <v>50000</v>
      </c>
      <c r="E18" s="22">
        <f t="shared" ref="E18:E26" si="22">C18*D18</f>
        <v>10000000</v>
      </c>
      <c r="F18" s="23">
        <f t="shared" ref="F18:F26" si="23">IF($E$27=0,0,E18/$E$27)</f>
        <v>9.8135426889106966E-2</v>
      </c>
      <c r="L18" s="8">
        <f t="shared" si="16"/>
        <v>220.00000000000003</v>
      </c>
      <c r="M18" s="8">
        <f t="shared" ref="M18:M26" si="24">L18*(1+H4)</f>
        <v>286.00000000000006</v>
      </c>
      <c r="N18" s="8">
        <f t="shared" ref="N18:N26" si="25">M18*(1+I4)</f>
        <v>371.80000000000007</v>
      </c>
      <c r="O18" s="8">
        <f t="shared" ref="O18:O26" si="26">N18*(1+J4)</f>
        <v>446.16000000000008</v>
      </c>
      <c r="P18" s="40">
        <f>D18*(1+'1'!$Z$5)</f>
        <v>51649.999999999993</v>
      </c>
      <c r="Q18" s="25">
        <f>P18*(1+'1'!$AA$5)</f>
        <v>53302.799999999996</v>
      </c>
      <c r="R18" s="25">
        <f>Q18*(1+'1'!$AB$5)</f>
        <v>54955.186799999989</v>
      </c>
      <c r="S18" s="25">
        <f>R18*(1+'1'!$AC$5)</f>
        <v>56603.842403999988</v>
      </c>
      <c r="T18" s="40">
        <f t="shared" si="18"/>
        <v>11363000</v>
      </c>
      <c r="U18" s="26">
        <f t="shared" si="18"/>
        <v>15244600.800000003</v>
      </c>
      <c r="V18" s="26">
        <f t="shared" ref="V18:V26" si="27">N18*R18</f>
        <v>20432338.452239998</v>
      </c>
      <c r="W18" s="26">
        <f t="shared" ref="W18:W26" si="28">O18*S18</f>
        <v>25254370.32696864</v>
      </c>
      <c r="X18" s="26"/>
    </row>
    <row r="19" spans="1:24">
      <c r="A19" s="21">
        <f t="shared" si="20"/>
        <v>3</v>
      </c>
      <c r="B19" s="41" t="str">
        <f t="shared" si="20"/>
        <v>Servicio de Consultoría Financiera</v>
      </c>
      <c r="C19" s="39">
        <f t="shared" si="21"/>
        <v>150</v>
      </c>
      <c r="D19" s="14">
        <v>30000</v>
      </c>
      <c r="E19" s="22">
        <f t="shared" si="22"/>
        <v>4500000</v>
      </c>
      <c r="F19" s="23">
        <f t="shared" si="23"/>
        <v>4.4160942100098133E-2</v>
      </c>
      <c r="L19" s="8">
        <f t="shared" si="16"/>
        <v>180</v>
      </c>
      <c r="M19" s="8">
        <f t="shared" si="24"/>
        <v>216</v>
      </c>
      <c r="N19" s="8">
        <f t="shared" si="25"/>
        <v>280.8</v>
      </c>
      <c r="O19" s="8">
        <f t="shared" si="26"/>
        <v>336.96</v>
      </c>
      <c r="P19" s="40">
        <f>D19*(1+'1'!$Z$5)</f>
        <v>30989.999999999996</v>
      </c>
      <c r="Q19" s="25">
        <f>P19*(1+'1'!$AA$5)</f>
        <v>31981.679999999997</v>
      </c>
      <c r="R19" s="25">
        <f>Q19*(1+'1'!$AB$5)</f>
        <v>32973.112079999992</v>
      </c>
      <c r="S19" s="25">
        <f>R19*(1+'1'!$AC$5)</f>
        <v>33962.305442399993</v>
      </c>
      <c r="T19" s="40">
        <f t="shared" si="18"/>
        <v>5578199.9999999991</v>
      </c>
      <c r="U19" s="26">
        <f t="shared" si="18"/>
        <v>6908042.879999999</v>
      </c>
      <c r="V19" s="26">
        <f t="shared" si="27"/>
        <v>9258849.8720639981</v>
      </c>
      <c r="W19" s="26">
        <f t="shared" si="28"/>
        <v>11443938.441871101</v>
      </c>
      <c r="X19" s="26"/>
    </row>
    <row r="20" spans="1:24">
      <c r="A20" s="21">
        <f t="shared" si="20"/>
        <v>4</v>
      </c>
      <c r="B20" s="41" t="str">
        <f t="shared" si="20"/>
        <v>Capacitación en Uso del Software</v>
      </c>
      <c r="C20" s="39">
        <f t="shared" si="21"/>
        <v>180</v>
      </c>
      <c r="D20" s="14">
        <v>80000</v>
      </c>
      <c r="E20" s="22">
        <f t="shared" si="22"/>
        <v>14400000</v>
      </c>
      <c r="F20" s="23">
        <f t="shared" si="23"/>
        <v>0.14131501472031405</v>
      </c>
      <c r="L20" s="8">
        <f t="shared" si="16"/>
        <v>216</v>
      </c>
      <c r="M20" s="8">
        <f t="shared" si="24"/>
        <v>280.8</v>
      </c>
      <c r="N20" s="8">
        <f t="shared" si="25"/>
        <v>351</v>
      </c>
      <c r="O20" s="8">
        <f t="shared" si="26"/>
        <v>403.65</v>
      </c>
      <c r="P20" s="40">
        <f>D20*(1+'1'!$Z$5)</f>
        <v>82640</v>
      </c>
      <c r="Q20" s="25">
        <f>P20*(1+'1'!$AA$5)</f>
        <v>85284.479999999996</v>
      </c>
      <c r="R20" s="25">
        <f>Q20*(1+'1'!$AB$5)</f>
        <v>87928.298879999988</v>
      </c>
      <c r="S20" s="25">
        <f>R20*(1+'1'!$AC$5)</f>
        <v>90566.147846399996</v>
      </c>
      <c r="T20" s="40">
        <f t="shared" ref="T20:T26" si="29">L20*P20</f>
        <v>17850240</v>
      </c>
      <c r="U20" s="26">
        <f t="shared" ref="U20:U26" si="30">M20*Q20</f>
        <v>23947881.984000001</v>
      </c>
      <c r="V20" s="26">
        <f t="shared" si="27"/>
        <v>30862832.906879995</v>
      </c>
      <c r="W20" s="26">
        <f t="shared" si="28"/>
        <v>36557025.578199357</v>
      </c>
      <c r="X20" s="26"/>
    </row>
    <row r="21" spans="1:24">
      <c r="A21" s="21">
        <f t="shared" si="20"/>
        <v>5</v>
      </c>
      <c r="B21" s="41" t="str">
        <f t="shared" si="20"/>
        <v>Licencia de Análisis Predictivo</v>
      </c>
      <c r="C21" s="39">
        <f t="shared" si="21"/>
        <v>250</v>
      </c>
      <c r="D21" s="14">
        <v>70000</v>
      </c>
      <c r="E21" s="22">
        <f t="shared" si="22"/>
        <v>17500000</v>
      </c>
      <c r="F21" s="23">
        <f t="shared" si="23"/>
        <v>0.1717369970559372</v>
      </c>
      <c r="L21" s="8">
        <f t="shared" si="16"/>
        <v>275</v>
      </c>
      <c r="M21" s="8">
        <f t="shared" si="24"/>
        <v>440</v>
      </c>
      <c r="N21" s="8">
        <f t="shared" si="25"/>
        <v>616</v>
      </c>
      <c r="O21" s="8">
        <f t="shared" si="26"/>
        <v>800.80000000000007</v>
      </c>
      <c r="P21" s="40">
        <f>D21*(1+'1'!$Z$5)</f>
        <v>72310</v>
      </c>
      <c r="Q21" s="25">
        <f>P21*(1+'1'!$AA$5)</f>
        <v>74623.92</v>
      </c>
      <c r="R21" s="25">
        <f>Q21*(1+'1'!$AB$5)</f>
        <v>76937.261519999985</v>
      </c>
      <c r="S21" s="25">
        <f>R21*(1+'1'!$AC$5)</f>
        <v>79245.379365599991</v>
      </c>
      <c r="T21" s="40">
        <f t="shared" si="29"/>
        <v>19885250</v>
      </c>
      <c r="U21" s="26">
        <f t="shared" si="30"/>
        <v>32834524.800000001</v>
      </c>
      <c r="V21" s="26">
        <f t="shared" si="27"/>
        <v>47393353.096319988</v>
      </c>
      <c r="W21" s="26">
        <f t="shared" si="28"/>
        <v>63459699.795972481</v>
      </c>
      <c r="X21" s="26"/>
    </row>
    <row r="22" spans="1:24">
      <c r="A22" s="21">
        <f t="shared" si="20"/>
        <v>6</v>
      </c>
      <c r="B22" s="41" t="str">
        <f t="shared" si="20"/>
        <v>Soporte Técnico Personalizado</v>
      </c>
      <c r="C22" s="39">
        <f t="shared" si="21"/>
        <v>100</v>
      </c>
      <c r="D22" s="14">
        <v>30000</v>
      </c>
      <c r="E22" s="22">
        <f t="shared" si="22"/>
        <v>3000000</v>
      </c>
      <c r="F22" s="23">
        <f t="shared" si="23"/>
        <v>2.9440628066732092E-2</v>
      </c>
      <c r="L22" s="8">
        <f t="shared" si="16"/>
        <v>120</v>
      </c>
      <c r="M22" s="8">
        <f t="shared" si="24"/>
        <v>180</v>
      </c>
      <c r="N22" s="8">
        <f t="shared" si="25"/>
        <v>234</v>
      </c>
      <c r="O22" s="8">
        <f t="shared" si="26"/>
        <v>280.8</v>
      </c>
      <c r="P22" s="40">
        <f>D22*(1+'1'!$Z$5)</f>
        <v>30989.999999999996</v>
      </c>
      <c r="Q22" s="25">
        <f>P22*(1+'1'!$AA$5)</f>
        <v>31981.679999999997</v>
      </c>
      <c r="R22" s="25">
        <f>Q22*(1+'1'!$AB$5)</f>
        <v>32973.112079999992</v>
      </c>
      <c r="S22" s="25">
        <f>R22*(1+'1'!$AC$5)</f>
        <v>33962.305442399993</v>
      </c>
      <c r="T22" s="40">
        <f t="shared" si="29"/>
        <v>3718799.9999999995</v>
      </c>
      <c r="U22" s="26">
        <f t="shared" si="30"/>
        <v>5756702.3999999994</v>
      </c>
      <c r="V22" s="26">
        <f t="shared" si="27"/>
        <v>7715708.2267199978</v>
      </c>
      <c r="W22" s="26">
        <f t="shared" si="28"/>
        <v>9536615.3682259191</v>
      </c>
      <c r="X22" s="26"/>
    </row>
    <row r="23" spans="1:24">
      <c r="A23" s="21">
        <f t="shared" si="20"/>
        <v>7</v>
      </c>
      <c r="B23" s="41" t="str">
        <f t="shared" si="20"/>
        <v>Sistema de Gestión de Cuentas por Cobrar</v>
      </c>
      <c r="C23" s="39">
        <f t="shared" si="21"/>
        <v>250</v>
      </c>
      <c r="D23" s="14">
        <v>50000</v>
      </c>
      <c r="E23" s="22">
        <f t="shared" si="22"/>
        <v>12500000</v>
      </c>
      <c r="F23" s="23">
        <f t="shared" si="23"/>
        <v>0.12266928361138371</v>
      </c>
      <c r="L23" s="8">
        <f t="shared" si="16"/>
        <v>275</v>
      </c>
      <c r="M23" s="8">
        <f t="shared" si="24"/>
        <v>385</v>
      </c>
      <c r="N23" s="8">
        <f t="shared" si="25"/>
        <v>481.25</v>
      </c>
      <c r="O23" s="8">
        <f t="shared" si="26"/>
        <v>553.4375</v>
      </c>
      <c r="P23" s="40">
        <f>D23*(1+'1'!$Z$5)</f>
        <v>51649.999999999993</v>
      </c>
      <c r="Q23" s="25">
        <f>P23*(1+'1'!$AA$5)</f>
        <v>53302.799999999996</v>
      </c>
      <c r="R23" s="25">
        <f>Q23*(1+'1'!$AB$5)</f>
        <v>54955.186799999989</v>
      </c>
      <c r="S23" s="25">
        <f>R23*(1+'1'!$AC$5)</f>
        <v>56603.842403999988</v>
      </c>
      <c r="T23" s="40">
        <f t="shared" si="29"/>
        <v>14203749.999999998</v>
      </c>
      <c r="U23" s="26">
        <f t="shared" si="30"/>
        <v>20521578</v>
      </c>
      <c r="V23" s="26">
        <f t="shared" si="27"/>
        <v>26447183.647499993</v>
      </c>
      <c r="W23" s="26">
        <f t="shared" si="28"/>
        <v>31326689.030463744</v>
      </c>
      <c r="X23" s="26"/>
    </row>
    <row r="24" spans="1:24">
      <c r="A24" s="21">
        <f t="shared" si="20"/>
        <v>8</v>
      </c>
      <c r="B24" s="41" t="str">
        <f t="shared" si="20"/>
        <v>Sistema de Gestión de Cuentas por Pagar</v>
      </c>
      <c r="C24" s="39">
        <f t="shared" si="21"/>
        <v>250</v>
      </c>
      <c r="D24" s="14">
        <v>50000</v>
      </c>
      <c r="E24" s="22">
        <f t="shared" si="22"/>
        <v>12500000</v>
      </c>
      <c r="F24" s="23">
        <f t="shared" si="23"/>
        <v>0.12266928361138371</v>
      </c>
      <c r="L24" s="8">
        <f t="shared" si="16"/>
        <v>300</v>
      </c>
      <c r="M24" s="8">
        <f t="shared" si="24"/>
        <v>420</v>
      </c>
      <c r="N24" s="8">
        <f t="shared" si="25"/>
        <v>525</v>
      </c>
      <c r="O24" s="8">
        <f t="shared" si="26"/>
        <v>603.75</v>
      </c>
      <c r="P24" s="40">
        <f>D24*(1+'1'!$Z$5)</f>
        <v>51649.999999999993</v>
      </c>
      <c r="Q24" s="25">
        <f>P24*(1+'1'!$AA$5)</f>
        <v>53302.799999999996</v>
      </c>
      <c r="R24" s="25">
        <f>Q24*(1+'1'!$AB$5)</f>
        <v>54955.186799999989</v>
      </c>
      <c r="S24" s="25">
        <f>R24*(1+'1'!$AC$5)</f>
        <v>56603.842403999988</v>
      </c>
      <c r="T24" s="40">
        <f t="shared" si="29"/>
        <v>15494999.999999998</v>
      </c>
      <c r="U24" s="26">
        <f t="shared" si="30"/>
        <v>22387176</v>
      </c>
      <c r="V24" s="26">
        <f t="shared" si="27"/>
        <v>28851473.069999993</v>
      </c>
      <c r="W24" s="26">
        <f t="shared" si="28"/>
        <v>34174569.851414993</v>
      </c>
      <c r="X24" s="26"/>
    </row>
    <row r="25" spans="1:24">
      <c r="A25" s="21">
        <f t="shared" si="20"/>
        <v>9</v>
      </c>
      <c r="B25" s="41" t="str">
        <f t="shared" si="20"/>
        <v>Integración con Sistemas Contables</v>
      </c>
      <c r="C25" s="39">
        <f t="shared" si="21"/>
        <v>100</v>
      </c>
      <c r="D25" s="14">
        <v>150000</v>
      </c>
      <c r="E25" s="22">
        <f t="shared" si="22"/>
        <v>15000000</v>
      </c>
      <c r="F25" s="23">
        <f t="shared" si="23"/>
        <v>0.14720314033366044</v>
      </c>
      <c r="L25" s="8">
        <f t="shared" si="16"/>
        <v>130</v>
      </c>
      <c r="M25" s="8">
        <f t="shared" si="24"/>
        <v>208</v>
      </c>
      <c r="N25" s="8">
        <f t="shared" si="25"/>
        <v>291.2</v>
      </c>
      <c r="O25" s="8">
        <f t="shared" si="26"/>
        <v>378.56</v>
      </c>
      <c r="P25" s="40">
        <f>D25*(1+'1'!$Z$5)</f>
        <v>154950</v>
      </c>
      <c r="Q25" s="25">
        <f>P25*(1+'1'!$AA$5)</f>
        <v>159908.4</v>
      </c>
      <c r="R25" s="25">
        <f>Q25*(1+'1'!$AB$5)</f>
        <v>164865.56039999999</v>
      </c>
      <c r="S25" s="25">
        <f>R25*(1+'1'!$AC$5)</f>
        <v>169811.52721199999</v>
      </c>
      <c r="T25" s="40">
        <f t="shared" si="29"/>
        <v>20143500</v>
      </c>
      <c r="U25" s="26">
        <f t="shared" si="30"/>
        <v>33260947.199999999</v>
      </c>
      <c r="V25" s="26">
        <f t="shared" si="27"/>
        <v>48008851.188479997</v>
      </c>
      <c r="W25" s="26">
        <f t="shared" si="28"/>
        <v>64283851.741374716</v>
      </c>
      <c r="X25" s="26"/>
    </row>
    <row r="26" spans="1:24">
      <c r="A26" s="21">
        <f>A12</f>
        <v>10</v>
      </c>
      <c r="B26" s="41" t="str">
        <f t="shared" ref="B26" si="31">B12</f>
        <v>Auditorías Financieras Automatizadas</v>
      </c>
      <c r="C26" s="39">
        <f t="shared" si="21"/>
        <v>50</v>
      </c>
      <c r="D26" s="14">
        <v>50000</v>
      </c>
      <c r="E26" s="22">
        <f t="shared" si="22"/>
        <v>2500000</v>
      </c>
      <c r="F26" s="23">
        <f t="shared" si="23"/>
        <v>2.4533856722276742E-2</v>
      </c>
      <c r="L26" s="8">
        <f t="shared" si="16"/>
        <v>55.000000000000007</v>
      </c>
      <c r="M26" s="8">
        <f t="shared" si="24"/>
        <v>60.500000000000014</v>
      </c>
      <c r="N26" s="8">
        <f t="shared" si="25"/>
        <v>75.625000000000014</v>
      </c>
      <c r="O26" s="8">
        <f t="shared" si="26"/>
        <v>90.750000000000014</v>
      </c>
      <c r="P26" s="40">
        <f>D26*(1+'1'!$Z$5)</f>
        <v>51649.999999999993</v>
      </c>
      <c r="Q26" s="25">
        <f>P26*(1+'1'!$AA$5)</f>
        <v>53302.799999999996</v>
      </c>
      <c r="R26" s="25">
        <f>Q26*(1+'1'!$AB$5)</f>
        <v>54955.186799999989</v>
      </c>
      <c r="S26" s="25">
        <f>R26*(1+'1'!$AC$5)</f>
        <v>56603.842403999988</v>
      </c>
      <c r="T26" s="40">
        <f t="shared" si="29"/>
        <v>2840750</v>
      </c>
      <c r="U26" s="26">
        <f t="shared" si="30"/>
        <v>3224819.4000000004</v>
      </c>
      <c r="V26" s="26">
        <f t="shared" si="27"/>
        <v>4155986.0017499998</v>
      </c>
      <c r="W26" s="26">
        <f t="shared" si="28"/>
        <v>5136798.6981629999</v>
      </c>
      <c r="X26" s="26"/>
    </row>
    <row r="27" spans="1:24">
      <c r="D27" s="8" t="str">
        <f>D13</f>
        <v>TOTAL</v>
      </c>
      <c r="E27" s="33">
        <f>SUM(E17:E26)</f>
        <v>101900000</v>
      </c>
      <c r="F27" s="34">
        <f>SUM(F17:F26)</f>
        <v>1.0000000000000002</v>
      </c>
      <c r="T27" s="35">
        <f>SUM(T17:T26)</f>
        <v>122441490</v>
      </c>
      <c r="U27" s="35">
        <f>SUM(U17:U26)</f>
        <v>178158212.664</v>
      </c>
      <c r="V27" s="35">
        <f t="shared" ref="V27:W27" si="32">SUM(V17:V26)</f>
        <v>241987196.57171395</v>
      </c>
      <c r="W27" s="35">
        <f t="shared" si="32"/>
        <v>304485285.28831732</v>
      </c>
      <c r="X27" s="26"/>
    </row>
    <row r="30" spans="1:24">
      <c r="A30" s="141" t="s">
        <v>37</v>
      </c>
      <c r="B30" s="141"/>
      <c r="C30" s="141"/>
      <c r="D30" s="141"/>
      <c r="E30" s="141"/>
      <c r="F30" s="141"/>
    </row>
    <row r="31" spans="1:24" ht="25.2">
      <c r="A31" s="42" t="s">
        <v>19</v>
      </c>
      <c r="B31" s="43">
        <f>'1'!Z1</f>
        <v>2026</v>
      </c>
      <c r="C31" s="43">
        <f>B31+1</f>
        <v>2027</v>
      </c>
      <c r="D31" s="43">
        <f>C31+1</f>
        <v>2028</v>
      </c>
      <c r="E31" s="43">
        <f>D31+1</f>
        <v>2029</v>
      </c>
      <c r="F31" s="43">
        <f>E31+1</f>
        <v>2030</v>
      </c>
      <c r="H31" s="44"/>
      <c r="I31" s="44"/>
      <c r="J31" s="44"/>
      <c r="K31" s="44"/>
      <c r="L31" s="44"/>
      <c r="M31" s="44"/>
      <c r="N31" s="44"/>
      <c r="O31" s="44"/>
      <c r="P31" s="44"/>
      <c r="Q31" s="44"/>
      <c r="R31" s="44"/>
      <c r="S31" s="44"/>
      <c r="T31" s="44"/>
      <c r="U31" s="44"/>
      <c r="V31" s="44"/>
    </row>
    <row r="32" spans="1:24">
      <c r="A32" s="45" t="s">
        <v>38</v>
      </c>
      <c r="B32" s="46">
        <f>'1'!E13</f>
        <v>257993000</v>
      </c>
      <c r="C32" s="47">
        <f>'1'!T13</f>
        <v>316461652.5</v>
      </c>
      <c r="D32" s="47">
        <f>'1'!U13</f>
        <v>463580115.36899996</v>
      </c>
      <c r="E32" s="47">
        <f>'1'!V13</f>
        <v>631940075.1447084</v>
      </c>
      <c r="F32" s="47">
        <f>'1'!W13</f>
        <v>798239081.69946933</v>
      </c>
    </row>
    <row r="33" spans="1:6">
      <c r="A33" s="45" t="s">
        <v>39</v>
      </c>
      <c r="B33" s="46">
        <f>'1'!E27</f>
        <v>101900000</v>
      </c>
      <c r="C33" s="46">
        <f>'1'!T27</f>
        <v>122441490</v>
      </c>
      <c r="D33" s="46">
        <f>'1'!U27</f>
        <v>178158212.664</v>
      </c>
      <c r="E33" s="46">
        <f>'1'!V27</f>
        <v>241987196.57171395</v>
      </c>
      <c r="F33" s="46">
        <f>'1'!W27</f>
        <v>304485285.28831732</v>
      </c>
    </row>
    <row r="34" spans="1:6" ht="21.6" thickBot="1">
      <c r="A34" s="48" t="s">
        <v>40</v>
      </c>
      <c r="B34" s="117">
        <f>B32-B33</f>
        <v>156093000</v>
      </c>
      <c r="C34" s="117">
        <f t="shared" ref="C34:D34" si="33">C32-C33</f>
        <v>194020162.5</v>
      </c>
      <c r="D34" s="117">
        <f t="shared" si="33"/>
        <v>285421902.70499992</v>
      </c>
      <c r="E34" s="117">
        <f t="shared" ref="E34" si="34">E32-E33</f>
        <v>389952878.57299447</v>
      </c>
      <c r="F34" s="117">
        <f t="shared" ref="F34" si="35">F32-F33</f>
        <v>493753796.41115201</v>
      </c>
    </row>
    <row r="35" spans="1:6" ht="1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15" activePane="bottomLeft" state="frozenSplit"/>
      <selection activeCell="B40" sqref="B40"/>
      <selection pane="bottomLeft" activeCell="D34" sqref="D34"/>
    </sheetView>
  </sheetViews>
  <sheetFormatPr defaultColWidth="11.44140625" defaultRowHeight="14.4"/>
  <cols>
    <col min="1" max="1" width="5.44140625" style="8" customWidth="1"/>
    <col min="2" max="2" width="29.44140625" style="8" bestFit="1" customWidth="1"/>
    <col min="3" max="3" width="20.33203125" style="8" customWidth="1"/>
    <col min="4" max="4" width="11.44140625" style="8"/>
    <col min="5" max="5" width="23.33203125" style="8" customWidth="1"/>
    <col min="6" max="6" width="18.109375" style="8" bestFit="1" customWidth="1"/>
    <col min="7" max="7" width="15.5546875" style="8" bestFit="1" customWidth="1"/>
    <col min="8" max="16384" width="11.44140625" style="8"/>
  </cols>
  <sheetData>
    <row r="1" spans="2:8">
      <c r="B1" s="144" t="s">
        <v>41</v>
      </c>
      <c r="C1" s="144"/>
      <c r="D1" s="144"/>
      <c r="E1" s="144"/>
      <c r="F1" s="144"/>
      <c r="G1" s="144"/>
      <c r="H1" s="144"/>
    </row>
    <row r="2" spans="2:8" ht="3.75" customHeight="1">
      <c r="B2" s="144"/>
      <c r="C2" s="144"/>
      <c r="D2" s="144"/>
      <c r="E2" s="144"/>
      <c r="F2" s="144"/>
      <c r="G2" s="144"/>
      <c r="H2" s="144"/>
    </row>
    <row r="3" spans="2:8">
      <c r="C3" s="21" t="s">
        <v>42</v>
      </c>
      <c r="F3" s="74" t="s">
        <v>43</v>
      </c>
      <c r="G3" s="74"/>
    </row>
    <row r="4" spans="2:8">
      <c r="B4" s="48" t="s">
        <v>44</v>
      </c>
      <c r="C4" s="14">
        <v>0</v>
      </c>
      <c r="F4" s="74"/>
      <c r="G4" s="74"/>
    </row>
    <row r="5" spans="2:8">
      <c r="B5" s="48" t="s">
        <v>45</v>
      </c>
      <c r="C5" s="14">
        <v>20000000</v>
      </c>
      <c r="F5" s="74">
        <v>10</v>
      </c>
      <c r="G5" s="75">
        <f t="shared" ref="G5:G11" si="0">C5/F5</f>
        <v>2000000</v>
      </c>
    </row>
    <row r="6" spans="2:8">
      <c r="B6" s="48" t="s">
        <v>46</v>
      </c>
      <c r="C6" s="14">
        <v>10000000</v>
      </c>
      <c r="F6" s="74">
        <v>5</v>
      </c>
      <c r="G6" s="75">
        <f t="shared" si="0"/>
        <v>2000000</v>
      </c>
    </row>
    <row r="7" spans="2:8">
      <c r="B7" s="48" t="s">
        <v>47</v>
      </c>
      <c r="C7" s="14">
        <v>3000000</v>
      </c>
      <c r="F7" s="74">
        <v>5</v>
      </c>
      <c r="G7" s="75">
        <f t="shared" si="0"/>
        <v>600000</v>
      </c>
    </row>
    <row r="8" spans="2:8">
      <c r="B8" s="48" t="s">
        <v>48</v>
      </c>
      <c r="C8" s="14">
        <v>0</v>
      </c>
      <c r="F8" s="74">
        <v>5</v>
      </c>
      <c r="G8" s="75">
        <f t="shared" si="0"/>
        <v>0</v>
      </c>
    </row>
    <row r="9" spans="2:8">
      <c r="B9" s="48" t="s">
        <v>49</v>
      </c>
      <c r="C9" s="14">
        <v>0</v>
      </c>
      <c r="F9" s="74">
        <v>5</v>
      </c>
      <c r="G9" s="75">
        <f t="shared" si="0"/>
        <v>0</v>
      </c>
    </row>
    <row r="10" spans="2:8">
      <c r="B10" s="48" t="s">
        <v>50</v>
      </c>
      <c r="C10" s="14">
        <v>15000000</v>
      </c>
      <c r="F10" s="74">
        <v>5</v>
      </c>
      <c r="G10" s="75">
        <f t="shared" si="0"/>
        <v>3000000</v>
      </c>
    </row>
    <row r="11" spans="2:8">
      <c r="B11" s="48" t="s">
        <v>51</v>
      </c>
      <c r="C11" s="14">
        <v>10000000</v>
      </c>
      <c r="F11" s="74">
        <v>5</v>
      </c>
      <c r="G11" s="75">
        <f t="shared" si="0"/>
        <v>2000000</v>
      </c>
    </row>
    <row r="12" spans="2:8" ht="16.2" thickBot="1">
      <c r="B12" s="76" t="s">
        <v>52</v>
      </c>
      <c r="C12" s="77">
        <f>SUM(C4:C11)</f>
        <v>58000000</v>
      </c>
      <c r="F12" s="74"/>
      <c r="G12" s="75">
        <f>SUM(G5:G11)</f>
        <v>9600000</v>
      </c>
    </row>
    <row r="13" spans="2:8">
      <c r="B13" s="145" t="s">
        <v>53</v>
      </c>
      <c r="C13" s="146"/>
      <c r="D13" s="146"/>
      <c r="E13" s="146"/>
      <c r="F13" s="146"/>
      <c r="G13" s="146"/>
      <c r="H13" s="147"/>
    </row>
    <row r="14" spans="2:8" ht="15" thickBot="1">
      <c r="B14" s="148"/>
      <c r="C14" s="149"/>
      <c r="D14" s="149"/>
      <c r="E14" s="149"/>
      <c r="F14" s="149"/>
      <c r="G14" s="149"/>
      <c r="H14" s="150"/>
    </row>
    <row r="15" spans="2:8">
      <c r="B15" s="78"/>
      <c r="C15" s="78"/>
      <c r="D15" s="78"/>
      <c r="E15" s="78"/>
      <c r="F15" s="78"/>
      <c r="G15" s="78"/>
      <c r="H15" s="78"/>
    </row>
    <row r="16" spans="2:8">
      <c r="B16" s="76" t="s">
        <v>54</v>
      </c>
      <c r="E16" s="76" t="s">
        <v>55</v>
      </c>
      <c r="F16" s="38"/>
    </row>
    <row r="17" spans="2:6">
      <c r="C17" s="76" t="s">
        <v>56</v>
      </c>
      <c r="F17" s="76" t="str">
        <f>C17</f>
        <v>VALOR AÑO 1</v>
      </c>
    </row>
    <row r="18" spans="2:6">
      <c r="B18" s="79" t="s">
        <v>57</v>
      </c>
      <c r="C18" s="14">
        <v>17355000</v>
      </c>
      <c r="E18" s="80" t="s">
        <v>58</v>
      </c>
      <c r="F18" s="14">
        <v>0</v>
      </c>
    </row>
    <row r="19" spans="2:6">
      <c r="C19" s="81"/>
      <c r="E19" s="80" t="s">
        <v>59</v>
      </c>
      <c r="F19" s="14">
        <v>0</v>
      </c>
    </row>
    <row r="20" spans="2:6">
      <c r="B20" s="79" t="s">
        <v>60</v>
      </c>
      <c r="C20" s="14">
        <v>17355000</v>
      </c>
      <c r="E20" s="80" t="s">
        <v>61</v>
      </c>
      <c r="F20" s="14">
        <v>0</v>
      </c>
    </row>
    <row r="21" spans="2:6">
      <c r="C21" s="81"/>
      <c r="E21" s="80" t="s">
        <v>62</v>
      </c>
      <c r="F21" s="14">
        <v>0</v>
      </c>
    </row>
    <row r="22" spans="2:6">
      <c r="B22" s="79" t="s">
        <v>63</v>
      </c>
      <c r="C22" s="14">
        <f>30082000+27768000+23140000</f>
        <v>80990000</v>
      </c>
      <c r="E22" s="80" t="s">
        <v>64</v>
      </c>
      <c r="F22" s="14">
        <v>0</v>
      </c>
    </row>
    <row r="23" spans="2:6" ht="15.6">
      <c r="B23" s="8" t="s">
        <v>65</v>
      </c>
      <c r="C23" s="77">
        <f>C18+C20+C22</f>
        <v>115700000</v>
      </c>
      <c r="E23" s="80" t="s">
        <v>66</v>
      </c>
      <c r="F23" s="14">
        <v>0</v>
      </c>
    </row>
    <row r="24" spans="2:6">
      <c r="E24" s="80" t="s">
        <v>67</v>
      </c>
      <c r="F24" s="14">
        <v>0</v>
      </c>
    </row>
    <row r="25" spans="2:6" ht="24.6">
      <c r="B25" s="80" t="s">
        <v>68</v>
      </c>
      <c r="C25" s="14">
        <v>2500000</v>
      </c>
      <c r="E25" s="138" t="s">
        <v>69</v>
      </c>
      <c r="F25" s="14">
        <v>5832000</v>
      </c>
    </row>
    <row r="26" spans="2:6" ht="24.6">
      <c r="E26" s="138" t="s">
        <v>70</v>
      </c>
      <c r="F26" s="14">
        <v>15000000</v>
      </c>
    </row>
    <row r="27" spans="2:6">
      <c r="B27" s="99" t="s">
        <v>71</v>
      </c>
      <c r="C27" s="99"/>
      <c r="E27" s="138" t="s">
        <v>72</v>
      </c>
      <c r="F27" s="14">
        <v>4000000</v>
      </c>
    </row>
    <row r="28" spans="2:6" ht="24.6">
      <c r="B28" s="115">
        <f>'1'!G2</f>
        <v>2027</v>
      </c>
      <c r="C28" s="14">
        <v>2500000</v>
      </c>
      <c r="E28" s="138" t="s">
        <v>73</v>
      </c>
      <c r="F28" s="14">
        <v>2500000</v>
      </c>
    </row>
    <row r="29" spans="2:6">
      <c r="B29" s="115">
        <f>'1'!H2</f>
        <v>2028</v>
      </c>
      <c r="C29" s="14">
        <v>2500000</v>
      </c>
      <c r="E29" s="138"/>
      <c r="F29" s="14"/>
    </row>
    <row r="30" spans="2:6">
      <c r="B30" s="115">
        <f>'1'!I2</f>
        <v>2029</v>
      </c>
      <c r="C30" s="14">
        <v>2500000</v>
      </c>
      <c r="E30" s="101"/>
      <c r="F30" s="14">
        <v>0</v>
      </c>
    </row>
    <row r="31" spans="2:6" ht="15.6">
      <c r="B31" s="115">
        <f>'1'!J2</f>
        <v>2030</v>
      </c>
      <c r="C31" s="14">
        <v>2500000</v>
      </c>
      <c r="E31" s="80" t="s">
        <v>74</v>
      </c>
      <c r="F31" s="77">
        <f>SUM(F18:F30)</f>
        <v>27332000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E19" sqref="E19"/>
    </sheetView>
  </sheetViews>
  <sheetFormatPr defaultColWidth="11.44140625" defaultRowHeight="14.4"/>
  <cols>
    <col min="1" max="1" width="11.44140625" style="8"/>
    <col min="2" max="2" width="39" style="8" bestFit="1" customWidth="1"/>
    <col min="3" max="3" width="18.5546875" style="8" bestFit="1" customWidth="1"/>
    <col min="4" max="4" width="28.5546875" style="8" customWidth="1"/>
    <col min="5" max="5" width="12.88671875" style="8" customWidth="1"/>
    <col min="6" max="6" width="24.33203125" style="8" bestFit="1" customWidth="1"/>
    <col min="7" max="7" width="23.33203125" style="8" bestFit="1" customWidth="1"/>
    <col min="8" max="10" width="24.33203125" style="8" bestFit="1" customWidth="1"/>
    <col min="11" max="16384" width="11.44140625" style="8"/>
  </cols>
  <sheetData>
    <row r="2" spans="2:12" ht="29.25" customHeight="1">
      <c r="B2" s="142" t="s">
        <v>75</v>
      </c>
      <c r="C2" s="142"/>
      <c r="D2" s="142"/>
      <c r="E2" s="142"/>
      <c r="F2" s="142"/>
      <c r="G2" s="142"/>
      <c r="H2" s="142"/>
      <c r="I2" s="142"/>
      <c r="J2" s="142"/>
    </row>
    <row r="3" spans="2:12">
      <c r="F3" s="151" t="s">
        <v>76</v>
      </c>
      <c r="G3" s="151"/>
    </row>
    <row r="4" spans="2:12" ht="15.6">
      <c r="B4" s="16" t="s">
        <v>52</v>
      </c>
      <c r="C4" s="77">
        <f>'2'!C12</f>
        <v>58000000</v>
      </c>
      <c r="F4" s="152">
        <v>0.12</v>
      </c>
      <c r="G4" s="152"/>
      <c r="I4" s="8" t="s">
        <v>77</v>
      </c>
      <c r="J4" s="131">
        <v>5</v>
      </c>
      <c r="L4" s="74">
        <v>1</v>
      </c>
    </row>
    <row r="5" spans="2:12">
      <c r="L5" s="74">
        <v>2</v>
      </c>
    </row>
    <row r="6" spans="2:12" ht="15" thickBot="1">
      <c r="B6" s="16" t="s">
        <v>78</v>
      </c>
      <c r="F6" s="141" t="s">
        <v>79</v>
      </c>
      <c r="G6" s="141"/>
      <c r="H6" s="141"/>
      <c r="I6" s="141"/>
      <c r="J6" s="141"/>
      <c r="L6" s="74">
        <v>3</v>
      </c>
    </row>
    <row r="7" spans="2:12">
      <c r="C7" s="82" t="s">
        <v>80</v>
      </c>
      <c r="D7" s="82" t="s">
        <v>81</v>
      </c>
      <c r="E7" s="120"/>
      <c r="F7" s="121" t="s">
        <v>82</v>
      </c>
      <c r="G7" s="121" t="s">
        <v>83</v>
      </c>
      <c r="H7" s="121" t="s">
        <v>84</v>
      </c>
      <c r="I7" s="121" t="s">
        <v>85</v>
      </c>
      <c r="J7" s="122" t="s">
        <v>86</v>
      </c>
      <c r="L7" s="74">
        <v>4</v>
      </c>
    </row>
    <row r="8" spans="2:12">
      <c r="B8" s="48" t="s">
        <v>87</v>
      </c>
      <c r="C8" s="57">
        <v>0</v>
      </c>
      <c r="D8" s="25">
        <f>('1'!B33/12)*C8</f>
        <v>0</v>
      </c>
      <c r="E8" s="123" t="s">
        <v>88</v>
      </c>
      <c r="F8" s="124"/>
      <c r="G8" s="124"/>
      <c r="H8" s="124"/>
      <c r="I8" s="124"/>
      <c r="J8" s="125">
        <f>D16</f>
        <v>54383000</v>
      </c>
      <c r="L8" s="74">
        <v>5</v>
      </c>
    </row>
    <row r="9" spans="2:12">
      <c r="B9" s="48" t="s">
        <v>89</v>
      </c>
      <c r="C9" s="57">
        <v>3</v>
      </c>
      <c r="D9" s="25">
        <f>('2'!C23/12)*C9</f>
        <v>28925000</v>
      </c>
      <c r="E9" s="123">
        <f>'1'!B31</f>
        <v>2026</v>
      </c>
      <c r="F9" s="127">
        <f t="shared" ref="F9:F13" si="0">IF(J8&gt;0,J8,0)</f>
        <v>54383000</v>
      </c>
      <c r="G9" s="127">
        <f>F9*$F$4</f>
        <v>6525960</v>
      </c>
      <c r="H9" s="127">
        <f>IF(J8&lt;1,0,(I9-G9))</f>
        <v>8560413.4521500636</v>
      </c>
      <c r="I9" s="127">
        <f>PMT(F4,J4,J8)*-1</f>
        <v>15086373.452150064</v>
      </c>
      <c r="J9" s="128">
        <f>F9-H9</f>
        <v>45822586.547849938</v>
      </c>
    </row>
    <row r="10" spans="2:12">
      <c r="B10" s="48" t="s">
        <v>90</v>
      </c>
      <c r="C10" s="57">
        <v>3</v>
      </c>
      <c r="D10" s="25">
        <f>('2'!C25/12)*C10</f>
        <v>625000</v>
      </c>
      <c r="E10" s="123">
        <f>'1'!C31</f>
        <v>2027</v>
      </c>
      <c r="F10" s="127">
        <f t="shared" si="0"/>
        <v>45822586.547849938</v>
      </c>
      <c r="G10" s="127">
        <f t="shared" ref="G10:G13" si="1">F10*$F$4</f>
        <v>5498710.3857419929</v>
      </c>
      <c r="H10" s="127">
        <f t="shared" ref="H10:H13" si="2">IF(J9&lt;1,0,(I10-G10))</f>
        <v>9587663.0664080717</v>
      </c>
      <c r="I10" s="127">
        <f>IF(J9&lt;1,0,(I9*(1+$K$7)))</f>
        <v>15086373.452150064</v>
      </c>
      <c r="J10" s="128">
        <f t="shared" ref="J10:J13" si="3">F10-H10</f>
        <v>36234923.48144187</v>
      </c>
    </row>
    <row r="11" spans="2:12">
      <c r="B11" s="48" t="s">
        <v>91</v>
      </c>
      <c r="C11" s="57">
        <v>3</v>
      </c>
      <c r="D11" s="25">
        <f>('2'!F31/12)*C11</f>
        <v>6833000</v>
      </c>
      <c r="E11" s="123">
        <f>'1'!D31</f>
        <v>2028</v>
      </c>
      <c r="F11" s="127">
        <f t="shared" si="0"/>
        <v>36234923.48144187</v>
      </c>
      <c r="G11" s="127">
        <f t="shared" si="1"/>
        <v>4348190.8177730246</v>
      </c>
      <c r="H11" s="127">
        <f t="shared" si="2"/>
        <v>10738182.63437704</v>
      </c>
      <c r="I11" s="127">
        <f t="shared" ref="I11:I13" si="4">IF(J10&lt;1,0,(I10*(1+$K$7)))</f>
        <v>15086373.452150064</v>
      </c>
      <c r="J11" s="128">
        <f t="shared" si="3"/>
        <v>25496740.84706483</v>
      </c>
    </row>
    <row r="12" spans="2:12" ht="15.6">
      <c r="B12" s="83" t="s">
        <v>32</v>
      </c>
      <c r="C12" s="61"/>
      <c r="D12" s="84">
        <f>SUM(D8:D11)</f>
        <v>36383000</v>
      </c>
      <c r="E12" s="123">
        <f>'1'!E31</f>
        <v>2029</v>
      </c>
      <c r="F12" s="127">
        <f t="shared" si="0"/>
        <v>25496740.84706483</v>
      </c>
      <c r="G12" s="127">
        <f t="shared" si="1"/>
        <v>3059608.9016477796</v>
      </c>
      <c r="H12" s="127">
        <f t="shared" si="2"/>
        <v>12026764.550502283</v>
      </c>
      <c r="I12" s="127">
        <f t="shared" si="4"/>
        <v>15086373.452150064</v>
      </c>
      <c r="J12" s="128">
        <f t="shared" si="3"/>
        <v>13469976.296562547</v>
      </c>
    </row>
    <row r="13" spans="2:12" ht="15" thickBot="1">
      <c r="E13" s="126">
        <f>'1'!F31</f>
        <v>2030</v>
      </c>
      <c r="F13" s="129">
        <f t="shared" si="0"/>
        <v>13469976.296562547</v>
      </c>
      <c r="G13" s="129">
        <f t="shared" si="1"/>
        <v>1616397.1555875055</v>
      </c>
      <c r="H13" s="129">
        <f t="shared" si="2"/>
        <v>13469976.296562558</v>
      </c>
      <c r="I13" s="129">
        <f t="shared" si="4"/>
        <v>15086373.452150064</v>
      </c>
      <c r="J13" s="130">
        <f t="shared" si="3"/>
        <v>0</v>
      </c>
    </row>
    <row r="14" spans="2:12" ht="15.6">
      <c r="B14" s="48" t="s">
        <v>92</v>
      </c>
      <c r="D14" s="77">
        <f>C4+D12</f>
        <v>94383000</v>
      </c>
    </row>
    <row r="15" spans="2:12">
      <c r="B15" s="48" t="s">
        <v>93</v>
      </c>
      <c r="D15" s="58">
        <v>40000000</v>
      </c>
    </row>
    <row r="16" spans="2:12" ht="15.6">
      <c r="B16" s="48" t="s">
        <v>94</v>
      </c>
      <c r="D16" s="85">
        <f>D14-D15</f>
        <v>54383000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disablePrompts="1"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119" zoomScaleNormal="90" workbookViewId="0">
      <pane xSplit="7" ySplit="1" topLeftCell="H2" activePane="bottomRight" state="frozenSplit"/>
      <selection pane="topRight" activeCell="E1" sqref="E1"/>
      <selection pane="bottomLeft" activeCell="A12" sqref="A12"/>
      <selection pane="bottomRight" activeCell="D18" sqref="D18"/>
    </sheetView>
  </sheetViews>
  <sheetFormatPr defaultColWidth="11.44140625" defaultRowHeight="14.4"/>
  <cols>
    <col min="1" max="1" width="26.6640625" style="8" customWidth="1"/>
    <col min="2" max="2" width="25.88671875" style="8" bestFit="1" customWidth="1"/>
    <col min="3" max="3" width="21.6640625" style="8" bestFit="1" customWidth="1"/>
    <col min="4" max="7" width="18.44140625" style="8" bestFit="1" customWidth="1"/>
    <col min="8" max="16384" width="11.44140625" style="8"/>
  </cols>
  <sheetData>
    <row r="1" spans="1:7" ht="34.5" customHeight="1">
      <c r="A1" s="153" t="s">
        <v>95</v>
      </c>
      <c r="B1" s="153"/>
      <c r="C1" s="153"/>
      <c r="D1" s="153"/>
      <c r="E1" s="153"/>
      <c r="F1" s="153"/>
      <c r="G1" s="153"/>
    </row>
    <row r="2" spans="1:7" ht="23.4">
      <c r="A2" s="154" t="s">
        <v>96</v>
      </c>
      <c r="B2" s="154"/>
      <c r="C2" s="154"/>
      <c r="D2" s="154"/>
      <c r="E2" s="154"/>
      <c r="F2" s="154"/>
      <c r="G2" s="154"/>
    </row>
    <row r="3" spans="1:7" ht="8.25" customHeight="1">
      <c r="A3" s="59"/>
      <c r="B3" s="59"/>
      <c r="C3" s="59"/>
      <c r="D3" s="59"/>
      <c r="E3" s="59"/>
      <c r="F3" s="59"/>
      <c r="G3" s="59"/>
    </row>
    <row r="4" spans="1:7" ht="15.6">
      <c r="A4" s="155" t="s">
        <v>97</v>
      </c>
      <c r="B4" s="155"/>
      <c r="C4" s="155"/>
      <c r="D4" s="155"/>
      <c r="E4" s="155"/>
      <c r="F4" s="155"/>
      <c r="G4" s="155"/>
    </row>
    <row r="5" spans="1:7" ht="23.4">
      <c r="C5" s="63">
        <f>'1'!B31</f>
        <v>2026</v>
      </c>
      <c r="D5" s="63">
        <f>'1'!C31</f>
        <v>2027</v>
      </c>
      <c r="E5" s="63">
        <f>'1'!D31</f>
        <v>2028</v>
      </c>
      <c r="F5" s="63">
        <f>'1'!E31</f>
        <v>2029</v>
      </c>
      <c r="G5" s="63">
        <f>'1'!F31</f>
        <v>2030</v>
      </c>
    </row>
    <row r="6" spans="1:7">
      <c r="B6" s="8" t="s">
        <v>98</v>
      </c>
      <c r="C6" s="64">
        <f>'1'!B32</f>
        <v>257993000</v>
      </c>
      <c r="D6" s="64">
        <f>'1'!C32</f>
        <v>316461652.5</v>
      </c>
      <c r="E6" s="64">
        <f>'1'!D32</f>
        <v>463580115.36899996</v>
      </c>
      <c r="F6" s="64">
        <f>'1'!E32</f>
        <v>631940075.1447084</v>
      </c>
      <c r="G6" s="64">
        <f>'1'!F32</f>
        <v>798239081.69946933</v>
      </c>
    </row>
    <row r="7" spans="1:7">
      <c r="B7" s="8" t="s">
        <v>99</v>
      </c>
      <c r="C7" s="64">
        <f>'1'!B33</f>
        <v>101900000</v>
      </c>
      <c r="D7" s="64">
        <f>'1'!C33</f>
        <v>122441490</v>
      </c>
      <c r="E7" s="64">
        <f>'1'!D33</f>
        <v>178158212.664</v>
      </c>
      <c r="F7" s="64">
        <f>'1'!E33</f>
        <v>241987196.57171395</v>
      </c>
      <c r="G7" s="64">
        <f>'1'!F33</f>
        <v>304485285.28831732</v>
      </c>
    </row>
    <row r="8" spans="1:7" ht="15" thickBot="1">
      <c r="B8" s="65" t="s">
        <v>100</v>
      </c>
      <c r="C8" s="66">
        <f>C6-C7</f>
        <v>156093000</v>
      </c>
      <c r="D8" s="66">
        <f t="shared" ref="D8:G8" si="0">D6-D7</f>
        <v>194020162.5</v>
      </c>
      <c r="E8" s="66">
        <f t="shared" si="0"/>
        <v>285421902.70499992</v>
      </c>
      <c r="F8" s="66">
        <f t="shared" si="0"/>
        <v>389952878.57299447</v>
      </c>
      <c r="G8" s="66">
        <f t="shared" si="0"/>
        <v>493753796.41115201</v>
      </c>
    </row>
    <row r="9" spans="1:7" ht="15" thickTop="1">
      <c r="B9" s="8" t="s">
        <v>101</v>
      </c>
      <c r="C9" s="64">
        <f>'2'!C23</f>
        <v>115700000</v>
      </c>
      <c r="D9" s="64">
        <f>C9*(1+'1'!Z4)</f>
        <v>121485000</v>
      </c>
      <c r="E9" s="64">
        <f>D9*(1+'1'!AA4)</f>
        <v>126587370</v>
      </c>
      <c r="F9" s="64">
        <f>E9*(1+'1'!AB4)</f>
        <v>130638165.84</v>
      </c>
      <c r="G9" s="64">
        <f>F9*(1+'1'!AC4)</f>
        <v>134557310.8152</v>
      </c>
    </row>
    <row r="10" spans="1:7">
      <c r="B10" s="8" t="s">
        <v>102</v>
      </c>
      <c r="C10" s="64">
        <f>'2'!F31</f>
        <v>27332000</v>
      </c>
      <c r="D10" s="64">
        <f>C10*(1+'1'!Z4)</f>
        <v>28698600</v>
      </c>
      <c r="E10" s="64">
        <f>D10*(1+'1'!AA4)</f>
        <v>29903941.199999999</v>
      </c>
      <c r="F10" s="64">
        <f>E10*(1+'1'!AB4)</f>
        <v>30860867.318399999</v>
      </c>
      <c r="G10" s="64">
        <f>F10*(1+'1'!AC4)</f>
        <v>31786693.337951999</v>
      </c>
    </row>
    <row r="11" spans="1:7">
      <c r="B11" s="8" t="s">
        <v>103</v>
      </c>
      <c r="C11" s="64">
        <f>'2'!C25</f>
        <v>2500000</v>
      </c>
      <c r="D11" s="64">
        <f>'2'!C28</f>
        <v>2500000</v>
      </c>
      <c r="E11" s="64">
        <f>'2'!C29</f>
        <v>2500000</v>
      </c>
      <c r="F11" s="64">
        <f>'2'!C30</f>
        <v>2500000</v>
      </c>
      <c r="G11" s="64">
        <f>'2'!C31</f>
        <v>2500000</v>
      </c>
    </row>
    <row r="12" spans="1:7">
      <c r="B12" s="8" t="s">
        <v>104</v>
      </c>
      <c r="C12" s="64">
        <f>'2'!G12</f>
        <v>9600000</v>
      </c>
      <c r="D12" s="64">
        <f>C12</f>
        <v>9600000</v>
      </c>
      <c r="E12" s="64">
        <f t="shared" ref="E12:G12" si="1">D12</f>
        <v>9600000</v>
      </c>
      <c r="F12" s="64">
        <f t="shared" si="1"/>
        <v>9600000</v>
      </c>
      <c r="G12" s="64">
        <f t="shared" si="1"/>
        <v>9600000</v>
      </c>
    </row>
    <row r="13" spans="1:7" ht="15" thickBot="1">
      <c r="B13" s="65" t="s">
        <v>105</v>
      </c>
      <c r="C13" s="67">
        <f>C8-C9-C10-C11-C12</f>
        <v>961000</v>
      </c>
      <c r="D13" s="67">
        <f t="shared" ref="D13:G13" si="2">D8-D9-D10-D11-D12</f>
        <v>31736562.5</v>
      </c>
      <c r="E13" s="67">
        <f t="shared" si="2"/>
        <v>116830591.50499992</v>
      </c>
      <c r="F13" s="67">
        <f t="shared" si="2"/>
        <v>216353845.41459447</v>
      </c>
      <c r="G13" s="67">
        <f t="shared" si="2"/>
        <v>315309792.25800002</v>
      </c>
    </row>
    <row r="14" spans="1:7" ht="15" thickTop="1">
      <c r="B14" s="8" t="s">
        <v>106</v>
      </c>
      <c r="C14" s="64">
        <f>'3'!G9</f>
        <v>6525960</v>
      </c>
      <c r="D14" s="64">
        <f>'3'!G10</f>
        <v>5498710.3857419929</v>
      </c>
      <c r="E14" s="64">
        <f>'3'!G11</f>
        <v>4348190.8177730246</v>
      </c>
      <c r="F14" s="64">
        <f>'3'!G12</f>
        <v>3059608.9016477796</v>
      </c>
      <c r="G14" s="64">
        <f>'3'!G13</f>
        <v>1616397.1555875055</v>
      </c>
    </row>
    <row r="15" spans="1:7" ht="15" thickBot="1">
      <c r="B15" s="65" t="s">
        <v>107</v>
      </c>
      <c r="C15" s="67">
        <f>C13-C14</f>
        <v>-5564960</v>
      </c>
      <c r="D15" s="67">
        <f t="shared" ref="D15:G15" si="3">D13-D14</f>
        <v>26237852.114258006</v>
      </c>
      <c r="E15" s="67">
        <f t="shared" si="3"/>
        <v>112482400.68722689</v>
      </c>
      <c r="F15" s="67">
        <f t="shared" si="3"/>
        <v>213294236.5129467</v>
      </c>
      <c r="G15" s="67">
        <f t="shared" si="3"/>
        <v>313693395.10241252</v>
      </c>
    </row>
    <row r="16" spans="1:7" ht="15" thickTop="1">
      <c r="B16" s="8" t="s">
        <v>108</v>
      </c>
      <c r="C16" s="68">
        <f>IF(C15*'1'!$AB$7&lt;0,0,C15*'1'!$AB$7)</f>
        <v>0</v>
      </c>
      <c r="D16" s="68">
        <f>IF(D15*'1'!$AB$7&lt;0,0,D15*'1'!$AB$7)</f>
        <v>8920869.7188477237</v>
      </c>
      <c r="E16" s="68">
        <f>IF(E15*'1'!$AB$7&lt;0,0,E15*'1'!$AB$7)</f>
        <v>38244016.233657144</v>
      </c>
      <c r="F16" s="68">
        <f>IF(F15*'1'!$AB$7&lt;0,0,F15*'1'!$AB$7)</f>
        <v>72520040.414401889</v>
      </c>
      <c r="G16" s="68">
        <f>IF(G15*'1'!$AB$7&lt;0,0,G15*'1'!$AB$7)</f>
        <v>106655754.33482027</v>
      </c>
    </row>
    <row r="17" spans="1:8" ht="15" thickBot="1">
      <c r="B17" s="69" t="s">
        <v>109</v>
      </c>
      <c r="C17" s="70">
        <f>C15-C16</f>
        <v>-5564960</v>
      </c>
      <c r="D17" s="70">
        <f t="shared" ref="D17:G17" si="4">D15-D16</f>
        <v>17316982.395410284</v>
      </c>
      <c r="E17" s="70">
        <f t="shared" si="4"/>
        <v>74238384.45356974</v>
      </c>
      <c r="F17" s="70">
        <f t="shared" si="4"/>
        <v>140774196.09854481</v>
      </c>
      <c r="G17" s="70">
        <f t="shared" si="4"/>
        <v>207037640.76759225</v>
      </c>
    </row>
    <row r="19" spans="1:8" ht="15.6">
      <c r="A19" s="155" t="s">
        <v>110</v>
      </c>
      <c r="B19" s="155"/>
      <c r="C19" s="155"/>
      <c r="D19" s="155"/>
      <c r="E19" s="155"/>
      <c r="F19" s="155"/>
      <c r="G19" s="155"/>
    </row>
    <row r="20" spans="1:8" ht="23.4">
      <c r="B20" s="71" t="s">
        <v>88</v>
      </c>
      <c r="C20" s="63">
        <f>C5</f>
        <v>2026</v>
      </c>
      <c r="D20" s="63">
        <f>D5</f>
        <v>2027</v>
      </c>
      <c r="E20" s="63">
        <f>E5</f>
        <v>2028</v>
      </c>
      <c r="F20" s="63">
        <f>F5</f>
        <v>2029</v>
      </c>
      <c r="G20" s="63">
        <f>G5</f>
        <v>2030</v>
      </c>
    </row>
    <row r="21" spans="1:8">
      <c r="A21" s="156" t="s">
        <v>111</v>
      </c>
      <c r="B21" s="156"/>
      <c r="C21" s="156"/>
      <c r="D21" s="156"/>
      <c r="E21" s="156"/>
      <c r="F21" s="156"/>
      <c r="G21" s="156"/>
    </row>
    <row r="22" spans="1:8">
      <c r="A22" s="8" t="s">
        <v>112</v>
      </c>
      <c r="B22" s="26">
        <f>B38-B26</f>
        <v>36383000</v>
      </c>
      <c r="C22" s="26">
        <f t="shared" ref="C22:G22" si="5">C38-C26</f>
        <v>31857626.547849938</v>
      </c>
      <c r="D22" s="26">
        <f t="shared" si="5"/>
        <v>63672775.595699877</v>
      </c>
      <c r="E22" s="26">
        <f t="shared" si="5"/>
        <v>148779141.53429171</v>
      </c>
      <c r="F22" s="26">
        <f t="shared" si="5"/>
        <v>247164212.80950925</v>
      </c>
      <c r="G22" s="26">
        <f t="shared" si="5"/>
        <v>343693395.10241252</v>
      </c>
    </row>
    <row r="23" spans="1:8">
      <c r="A23" s="8" t="s">
        <v>113</v>
      </c>
      <c r="B23" s="26">
        <f>'2'!C4</f>
        <v>0</v>
      </c>
      <c r="C23" s="26">
        <f>B23</f>
        <v>0</v>
      </c>
      <c r="D23" s="26">
        <f t="shared" ref="D23:G23" si="6">C23</f>
        <v>0</v>
      </c>
      <c r="E23" s="26">
        <f t="shared" si="6"/>
        <v>0</v>
      </c>
      <c r="F23" s="26">
        <f t="shared" si="6"/>
        <v>0</v>
      </c>
      <c r="G23" s="26">
        <f t="shared" si="6"/>
        <v>0</v>
      </c>
      <c r="H23" s="26"/>
    </row>
    <row r="24" spans="1:8">
      <c r="A24" s="8" t="s">
        <v>114</v>
      </c>
      <c r="B24" s="26">
        <f>'2'!C12-'2'!C4</f>
        <v>58000000</v>
      </c>
      <c r="C24" s="26">
        <f>B24</f>
        <v>58000000</v>
      </c>
      <c r="D24" s="26">
        <f t="shared" ref="D24:G24" si="7">C24</f>
        <v>58000000</v>
      </c>
      <c r="E24" s="26">
        <f t="shared" si="7"/>
        <v>58000000</v>
      </c>
      <c r="F24" s="26">
        <f t="shared" si="7"/>
        <v>58000000</v>
      </c>
      <c r="G24" s="26">
        <f t="shared" si="7"/>
        <v>58000000</v>
      </c>
      <c r="H24" s="26"/>
    </row>
    <row r="25" spans="1:8">
      <c r="A25" s="8" t="s">
        <v>115</v>
      </c>
      <c r="B25" s="26">
        <v>0</v>
      </c>
      <c r="C25" s="26">
        <f>C12</f>
        <v>9600000</v>
      </c>
      <c r="D25" s="26">
        <f>D12+C12</f>
        <v>19200000</v>
      </c>
      <c r="E25" s="26">
        <f>E12+D12+C12</f>
        <v>28800000</v>
      </c>
      <c r="F25" s="26">
        <f>F12+E12+D12+C12</f>
        <v>38400000</v>
      </c>
      <c r="G25" s="26">
        <f>F25+G12</f>
        <v>48000000</v>
      </c>
      <c r="H25" s="26"/>
    </row>
    <row r="26" spans="1:8">
      <c r="A26" s="8" t="s">
        <v>116</v>
      </c>
      <c r="B26" s="26">
        <f>B23+(B24-B25)</f>
        <v>58000000</v>
      </c>
      <c r="C26" s="26">
        <f>C23+(C24-C25)</f>
        <v>48400000</v>
      </c>
      <c r="D26" s="26">
        <f t="shared" ref="D26:G26" si="8">D23+(D24-D25)</f>
        <v>38800000</v>
      </c>
      <c r="E26" s="26">
        <f t="shared" si="8"/>
        <v>29200000</v>
      </c>
      <c r="F26" s="26">
        <f t="shared" si="8"/>
        <v>19600000</v>
      </c>
      <c r="G26" s="26">
        <f t="shared" si="8"/>
        <v>10000000</v>
      </c>
      <c r="H26" s="26"/>
    </row>
    <row r="27" spans="1:8" ht="15" thickBot="1">
      <c r="A27" s="65" t="s">
        <v>117</v>
      </c>
      <c r="B27" s="72">
        <f>B22+B26</f>
        <v>94383000</v>
      </c>
      <c r="C27" s="72">
        <f t="shared" ref="C27:G27" si="9">C22+C26</f>
        <v>80257626.547849938</v>
      </c>
      <c r="D27" s="72">
        <f t="shared" si="9"/>
        <v>102472775.59569988</v>
      </c>
      <c r="E27" s="72">
        <f t="shared" si="9"/>
        <v>177979141.53429171</v>
      </c>
      <c r="F27" s="72">
        <f t="shared" si="9"/>
        <v>266764212.80950925</v>
      </c>
      <c r="G27" s="72">
        <f t="shared" si="9"/>
        <v>353693395.10241252</v>
      </c>
      <c r="H27" s="26"/>
    </row>
    <row r="28" spans="1:8" ht="15" thickTop="1">
      <c r="A28" s="156" t="s">
        <v>118</v>
      </c>
      <c r="B28" s="156"/>
      <c r="C28" s="156"/>
      <c r="D28" s="156"/>
      <c r="E28" s="156"/>
      <c r="F28" s="156"/>
      <c r="G28" s="156"/>
    </row>
    <row r="29" spans="1:8">
      <c r="A29" s="8" t="s">
        <v>119</v>
      </c>
      <c r="B29" s="8">
        <v>0</v>
      </c>
      <c r="C29" s="68">
        <f>C16</f>
        <v>0</v>
      </c>
      <c r="D29" s="68">
        <f>D16</f>
        <v>8920869.7188477237</v>
      </c>
      <c r="E29" s="68">
        <f>E16</f>
        <v>38244016.233657144</v>
      </c>
      <c r="F29" s="68">
        <f>F16</f>
        <v>72520040.414401889</v>
      </c>
      <c r="G29" s="68">
        <f>G16</f>
        <v>106655754.33482027</v>
      </c>
    </row>
    <row r="30" spans="1:8">
      <c r="A30" s="8" t="s">
        <v>120</v>
      </c>
      <c r="B30" s="68">
        <f>B29</f>
        <v>0</v>
      </c>
      <c r="C30" s="68">
        <f t="shared" ref="C30:G30" si="10">C29</f>
        <v>0</v>
      </c>
      <c r="D30" s="68">
        <f t="shared" si="10"/>
        <v>8920869.7188477237</v>
      </c>
      <c r="E30" s="68">
        <f t="shared" si="10"/>
        <v>38244016.233657144</v>
      </c>
      <c r="F30" s="68">
        <f t="shared" si="10"/>
        <v>72520040.414401889</v>
      </c>
      <c r="G30" s="68">
        <f t="shared" si="10"/>
        <v>106655754.33482027</v>
      </c>
    </row>
    <row r="31" spans="1:8">
      <c r="A31" s="8" t="s">
        <v>121</v>
      </c>
      <c r="B31" s="25">
        <f>'3'!J8</f>
        <v>54383000</v>
      </c>
      <c r="C31" s="25">
        <f>'3'!J9</f>
        <v>45822586.547849938</v>
      </c>
      <c r="D31" s="25">
        <f>'3'!J10</f>
        <v>36234923.48144187</v>
      </c>
      <c r="E31" s="25">
        <f>'3'!J11</f>
        <v>25496740.84706483</v>
      </c>
      <c r="F31" s="25">
        <f>'3'!J12</f>
        <v>13469976.296562547</v>
      </c>
      <c r="G31" s="25">
        <f>'3'!J13</f>
        <v>0</v>
      </c>
    </row>
    <row r="32" spans="1:8" ht="15" thickBot="1">
      <c r="A32" s="65" t="s">
        <v>118</v>
      </c>
      <c r="B32" s="72">
        <f>B30+B31</f>
        <v>54383000</v>
      </c>
      <c r="C32" s="72">
        <f t="shared" ref="C32:G32" si="11">C30+C31</f>
        <v>45822586.547849938</v>
      </c>
      <c r="D32" s="72">
        <f t="shared" si="11"/>
        <v>45155793.200289592</v>
      </c>
      <c r="E32" s="72">
        <f t="shared" si="11"/>
        <v>63740757.080721974</v>
      </c>
      <c r="F32" s="72">
        <f t="shared" si="11"/>
        <v>85990016.710964441</v>
      </c>
      <c r="G32" s="72">
        <f t="shared" si="11"/>
        <v>106655754.33482027</v>
      </c>
    </row>
    <row r="33" spans="1:7" ht="15" thickTop="1">
      <c r="A33" s="156" t="s">
        <v>122</v>
      </c>
      <c r="B33" s="156"/>
      <c r="C33" s="156"/>
      <c r="D33" s="156"/>
      <c r="E33" s="156"/>
      <c r="F33" s="156"/>
      <c r="G33" s="156"/>
    </row>
    <row r="34" spans="1:7">
      <c r="A34" s="8" t="s">
        <v>123</v>
      </c>
      <c r="B34" s="26">
        <f>'3'!D15</f>
        <v>40000000</v>
      </c>
      <c r="C34" s="26">
        <f>B34</f>
        <v>40000000</v>
      </c>
      <c r="D34" s="26">
        <f t="shared" ref="D34:G34" si="12">C34</f>
        <v>40000000</v>
      </c>
      <c r="E34" s="26">
        <f t="shared" si="12"/>
        <v>40000000</v>
      </c>
      <c r="F34" s="26">
        <f t="shared" si="12"/>
        <v>40000000</v>
      </c>
      <c r="G34" s="26">
        <f t="shared" si="12"/>
        <v>40000000</v>
      </c>
    </row>
    <row r="35" spans="1:7">
      <c r="A35" s="8" t="s">
        <v>124</v>
      </c>
      <c r="B35" s="8">
        <v>0</v>
      </c>
      <c r="C35" s="68">
        <f>C17</f>
        <v>-5564960</v>
      </c>
      <c r="D35" s="68">
        <f>D17</f>
        <v>17316982.395410284</v>
      </c>
      <c r="E35" s="68">
        <f>E17</f>
        <v>74238384.45356974</v>
      </c>
      <c r="F35" s="68">
        <f>F17</f>
        <v>140774196.09854481</v>
      </c>
      <c r="G35" s="68">
        <f>G17</f>
        <v>207037640.76759225</v>
      </c>
    </row>
    <row r="36" spans="1:7" ht="15" thickBot="1">
      <c r="A36" s="65" t="s">
        <v>125</v>
      </c>
      <c r="B36" s="72">
        <f>B34+B35</f>
        <v>40000000</v>
      </c>
      <c r="C36" s="72">
        <f t="shared" ref="C36:G36" si="13">C34+C35</f>
        <v>34435040</v>
      </c>
      <c r="D36" s="72">
        <f t="shared" si="13"/>
        <v>57316982.395410284</v>
      </c>
      <c r="E36" s="72">
        <f t="shared" si="13"/>
        <v>114238384.45356974</v>
      </c>
      <c r="F36" s="72">
        <f t="shared" si="13"/>
        <v>180774196.09854481</v>
      </c>
      <c r="G36" s="72">
        <f t="shared" si="13"/>
        <v>247037640.76759225</v>
      </c>
    </row>
    <row r="37" spans="1:7" ht="15" thickTop="1"/>
    <row r="38" spans="1:7" ht="15" thickBot="1">
      <c r="A38" s="65" t="s">
        <v>126</v>
      </c>
      <c r="B38" s="72">
        <f>B32+B36</f>
        <v>94383000</v>
      </c>
      <c r="C38" s="72">
        <f t="shared" ref="C38:G38" si="14">C32+C36</f>
        <v>80257626.547849938</v>
      </c>
      <c r="D38" s="72">
        <f t="shared" si="14"/>
        <v>102472775.59569988</v>
      </c>
      <c r="E38" s="72">
        <f t="shared" si="14"/>
        <v>177979141.53429171</v>
      </c>
      <c r="F38" s="72">
        <f t="shared" si="14"/>
        <v>266764212.80950925</v>
      </c>
      <c r="G38" s="72">
        <f t="shared" si="14"/>
        <v>353693395.10241252</v>
      </c>
    </row>
    <row r="39" spans="1:7" ht="15" thickTop="1">
      <c r="A39" s="61" t="s">
        <v>127</v>
      </c>
      <c r="B39" s="73">
        <f>B27-B38</f>
        <v>0</v>
      </c>
      <c r="C39" s="73">
        <f t="shared" ref="C39:G39" si="15">C27-C38</f>
        <v>0</v>
      </c>
      <c r="D39" s="73">
        <f t="shared" si="15"/>
        <v>0</v>
      </c>
      <c r="E39" s="73">
        <f t="shared" si="15"/>
        <v>0</v>
      </c>
      <c r="F39" s="73">
        <f t="shared" si="15"/>
        <v>0</v>
      </c>
      <c r="G39" s="73">
        <f t="shared" si="15"/>
        <v>0</v>
      </c>
    </row>
    <row r="41" spans="1:7" ht="15.6">
      <c r="A41" s="155" t="s">
        <v>128</v>
      </c>
      <c r="B41" s="155"/>
      <c r="C41" s="155"/>
      <c r="D41" s="155"/>
      <c r="E41" s="155"/>
      <c r="F41" s="155"/>
      <c r="G41" s="155"/>
    </row>
    <row r="42" spans="1:7">
      <c r="A42" s="156" t="s">
        <v>129</v>
      </c>
      <c r="B42" s="156"/>
      <c r="C42" s="156"/>
      <c r="D42" s="156"/>
      <c r="E42" s="156"/>
      <c r="F42" s="156"/>
      <c r="G42" s="156"/>
    </row>
    <row r="43" spans="1:7" ht="23.4">
      <c r="A43" s="11"/>
      <c r="B43" s="71" t="s">
        <v>88</v>
      </c>
      <c r="C43" s="63">
        <f>C20</f>
        <v>2026</v>
      </c>
      <c r="D43" s="63">
        <f t="shared" ref="D43:G43" si="16">D20</f>
        <v>2027</v>
      </c>
      <c r="E43" s="63">
        <f t="shared" si="16"/>
        <v>2028</v>
      </c>
      <c r="F43" s="63">
        <f t="shared" si="16"/>
        <v>2029</v>
      </c>
      <c r="G43" s="63">
        <f t="shared" si="16"/>
        <v>2030</v>
      </c>
    </row>
    <row r="44" spans="1:7">
      <c r="A44" s="1" t="s">
        <v>130</v>
      </c>
      <c r="B44" s="2">
        <f>B22</f>
        <v>36383000</v>
      </c>
      <c r="C44" s="2">
        <f t="shared" ref="C44:G44" si="17">C22</f>
        <v>31857626.547849938</v>
      </c>
      <c r="D44" s="2">
        <f t="shared" si="17"/>
        <v>63672775.595699877</v>
      </c>
      <c r="E44" s="2">
        <f t="shared" si="17"/>
        <v>148779141.53429171</v>
      </c>
      <c r="F44" s="2">
        <f t="shared" si="17"/>
        <v>247164212.80950925</v>
      </c>
      <c r="G44" s="2">
        <f t="shared" si="17"/>
        <v>343693395.10241252</v>
      </c>
    </row>
    <row r="45" spans="1:7" ht="15" thickBot="1">
      <c r="A45" s="1" t="s">
        <v>131</v>
      </c>
      <c r="B45" s="3">
        <f>B29</f>
        <v>0</v>
      </c>
      <c r="C45" s="3">
        <f t="shared" ref="C45:G45" si="18">C29</f>
        <v>0</v>
      </c>
      <c r="D45" s="3">
        <f t="shared" si="18"/>
        <v>8920869.7188477237</v>
      </c>
      <c r="E45" s="3">
        <f t="shared" si="18"/>
        <v>38244016.233657144</v>
      </c>
      <c r="F45" s="3">
        <f t="shared" si="18"/>
        <v>72520040.414401889</v>
      </c>
      <c r="G45" s="3">
        <f t="shared" si="18"/>
        <v>106655754.33482027</v>
      </c>
    </row>
    <row r="46" spans="1:7" ht="15" thickTop="1">
      <c r="A46" s="4" t="s">
        <v>132</v>
      </c>
      <c r="B46" s="5">
        <f t="shared" ref="B46:G46" si="19">B44-B45</f>
        <v>36383000</v>
      </c>
      <c r="C46" s="5">
        <f t="shared" si="19"/>
        <v>31857626.547849938</v>
      </c>
      <c r="D46" s="5">
        <f t="shared" si="19"/>
        <v>54751905.876852155</v>
      </c>
      <c r="E46" s="5">
        <f t="shared" si="19"/>
        <v>110535125.30063456</v>
      </c>
      <c r="F46" s="5">
        <f t="shared" si="19"/>
        <v>174644172.39510736</v>
      </c>
      <c r="G46" s="5">
        <f t="shared" si="19"/>
        <v>237037640.76759225</v>
      </c>
    </row>
    <row r="47" spans="1:7">
      <c r="A47" s="1"/>
      <c r="B47" s="2"/>
      <c r="C47" s="2"/>
      <c r="D47" s="2"/>
      <c r="E47" s="2"/>
      <c r="F47" s="2"/>
      <c r="G47" s="2"/>
    </row>
    <row r="48" spans="1:7">
      <c r="A48" s="4" t="s">
        <v>133</v>
      </c>
      <c r="B48" s="2">
        <f>B26</f>
        <v>58000000</v>
      </c>
      <c r="C48" s="2">
        <f t="shared" ref="C48:G48" si="20">C26</f>
        <v>48400000</v>
      </c>
      <c r="D48" s="2">
        <f t="shared" si="20"/>
        <v>38800000</v>
      </c>
      <c r="E48" s="2">
        <f t="shared" si="20"/>
        <v>29200000</v>
      </c>
      <c r="F48" s="2">
        <f t="shared" si="20"/>
        <v>19600000</v>
      </c>
      <c r="G48" s="2">
        <f t="shared" si="20"/>
        <v>10000000</v>
      </c>
    </row>
    <row r="49" spans="1:7" ht="15" thickBot="1">
      <c r="A49" s="1" t="s">
        <v>134</v>
      </c>
      <c r="B49" s="3">
        <f>B25</f>
        <v>0</v>
      </c>
      <c r="C49" s="3">
        <f t="shared" ref="C49:G49" si="21">C25</f>
        <v>9600000</v>
      </c>
      <c r="D49" s="3">
        <f t="shared" si="21"/>
        <v>19200000</v>
      </c>
      <c r="E49" s="3">
        <f t="shared" si="21"/>
        <v>28800000</v>
      </c>
      <c r="F49" s="3">
        <f t="shared" si="21"/>
        <v>38400000</v>
      </c>
      <c r="G49" s="3">
        <f t="shared" si="21"/>
        <v>48000000</v>
      </c>
    </row>
    <row r="50" spans="1:7" ht="15" thickTop="1">
      <c r="A50" s="4" t="s">
        <v>135</v>
      </c>
      <c r="B50" s="5">
        <f t="shared" ref="B50:G50" si="22">B48+B49</f>
        <v>58000000</v>
      </c>
      <c r="C50" s="5">
        <f t="shared" si="22"/>
        <v>58000000</v>
      </c>
      <c r="D50" s="5">
        <f t="shared" si="22"/>
        <v>58000000</v>
      </c>
      <c r="E50" s="5">
        <f t="shared" si="22"/>
        <v>58000000</v>
      </c>
      <c r="F50" s="5">
        <f t="shared" si="22"/>
        <v>58000000</v>
      </c>
      <c r="G50" s="5">
        <f t="shared" si="22"/>
        <v>58000000</v>
      </c>
    </row>
    <row r="51" spans="1:7">
      <c r="A51" s="1"/>
      <c r="B51" s="2"/>
      <c r="C51" s="2"/>
      <c r="D51" s="2"/>
      <c r="E51" s="2"/>
      <c r="F51" s="2"/>
      <c r="G51" s="2"/>
    </row>
    <row r="52" spans="1:7" ht="15" thickBot="1">
      <c r="A52" s="12" t="s">
        <v>136</v>
      </c>
      <c r="B52" s="6">
        <f t="shared" ref="B52:G52" si="23">B46+B48</f>
        <v>94383000</v>
      </c>
      <c r="C52" s="6">
        <f t="shared" si="23"/>
        <v>80257626.547849938</v>
      </c>
      <c r="D52" s="6">
        <f t="shared" si="23"/>
        <v>93551905.876852155</v>
      </c>
      <c r="E52" s="6">
        <f t="shared" si="23"/>
        <v>139735125.30063456</v>
      </c>
      <c r="F52" s="6">
        <f t="shared" si="23"/>
        <v>194244172.39510736</v>
      </c>
      <c r="G52" s="6">
        <f t="shared" si="23"/>
        <v>247037640.76759225</v>
      </c>
    </row>
    <row r="53" spans="1:7" ht="15" thickTop="1">
      <c r="A53" s="7"/>
      <c r="B53" s="2"/>
      <c r="C53" s="2"/>
      <c r="D53" s="2"/>
      <c r="E53" s="2"/>
      <c r="F53" s="2"/>
      <c r="G53" s="2"/>
    </row>
    <row r="54" spans="1:7">
      <c r="A54" s="157" t="s">
        <v>137</v>
      </c>
      <c r="B54" s="157"/>
      <c r="C54" s="157"/>
      <c r="D54" s="157"/>
      <c r="E54" s="157"/>
      <c r="F54" s="157"/>
      <c r="G54" s="157"/>
    </row>
    <row r="55" spans="1:7">
      <c r="A55" s="1" t="s">
        <v>138</v>
      </c>
      <c r="C55" s="9">
        <f>C13</f>
        <v>961000</v>
      </c>
      <c r="D55" s="9">
        <f t="shared" ref="D55:G55" si="24">D13</f>
        <v>31736562.5</v>
      </c>
      <c r="E55" s="9">
        <f t="shared" si="24"/>
        <v>116830591.50499992</v>
      </c>
      <c r="F55" s="9">
        <f t="shared" si="24"/>
        <v>216353845.41459447</v>
      </c>
      <c r="G55" s="9">
        <f t="shared" si="24"/>
        <v>315309792.25800002</v>
      </c>
    </row>
    <row r="56" spans="1:7" ht="15" thickBot="1">
      <c r="A56" s="1" t="s">
        <v>139</v>
      </c>
      <c r="C56" s="10">
        <f>C55*'1'!$AB$7</f>
        <v>326740</v>
      </c>
      <c r="D56" s="10">
        <f>D55*'1'!$AB$7</f>
        <v>10790431.25</v>
      </c>
      <c r="E56" s="10">
        <f>E55*'1'!$AB$7</f>
        <v>39722401.111699976</v>
      </c>
      <c r="F56" s="10">
        <f>F55*'1'!$AB$7</f>
        <v>73560307.440962121</v>
      </c>
      <c r="G56" s="10">
        <f>G55*'1'!$AB$7</f>
        <v>107205329.36772001</v>
      </c>
    </row>
    <row r="57" spans="1:7" ht="15" thickTop="1">
      <c r="A57" s="4" t="s">
        <v>140</v>
      </c>
      <c r="C57" s="9">
        <f>C55-C56</f>
        <v>634260</v>
      </c>
      <c r="D57" s="9">
        <f>D55-D56</f>
        <v>20946131.25</v>
      </c>
      <c r="E57" s="9">
        <f>E55-E56</f>
        <v>77108190.393299937</v>
      </c>
      <c r="F57" s="9">
        <f>F55-F56</f>
        <v>142793537.97363234</v>
      </c>
      <c r="G57" s="9">
        <f>G55-G56</f>
        <v>208104462.89028001</v>
      </c>
    </row>
    <row r="58" spans="1:7" ht="15" thickBot="1">
      <c r="A58" s="1" t="s">
        <v>141</v>
      </c>
      <c r="C58" s="10">
        <f>-(C52-B52)</f>
        <v>14125373.452150062</v>
      </c>
      <c r="D58" s="10">
        <f t="shared" ref="D58:G58" si="25">-(D52-C52)</f>
        <v>-13294279.329002216</v>
      </c>
      <c r="E58" s="10">
        <f t="shared" si="25"/>
        <v>-46183219.423782408</v>
      </c>
      <c r="F58" s="10">
        <f t="shared" si="25"/>
        <v>-54509047.094472796</v>
      </c>
      <c r="G58" s="10">
        <f t="shared" si="25"/>
        <v>-52793468.372484893</v>
      </c>
    </row>
    <row r="59" spans="1:7" ht="15.6" thickTop="1" thickBot="1">
      <c r="A59" s="60" t="s">
        <v>142</v>
      </c>
      <c r="B59" s="61"/>
      <c r="C59" s="62">
        <f>SUM(C57:C58)</f>
        <v>14759633.452150062</v>
      </c>
      <c r="D59" s="62">
        <f t="shared" ref="D59:G59" si="26">SUM(D57:D58)</f>
        <v>7651851.9209977835</v>
      </c>
      <c r="E59" s="62">
        <f t="shared" si="26"/>
        <v>30924970.969517529</v>
      </c>
      <c r="F59" s="62">
        <f t="shared" si="26"/>
        <v>88284490.87915954</v>
      </c>
      <c r="G59" s="62">
        <f t="shared" si="26"/>
        <v>155310994.51779512</v>
      </c>
    </row>
    <row r="60" spans="1:7" ht="15" thickTop="1"/>
  </sheetData>
  <sheetProtection algorithmName="SHA-512" hashValue="IQcSUX7WgA2g30pLr7tJMmGcfuMimbrrDJr6FK6q2BovQKn0/6cnsWuXbCiptrpMrL+x4GNmNQ/jXdjtPO3XfQ==" saltValue="CaVricx0vPQy+wJOqrscFw=="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opLeftCell="B1" zoomScale="107" zoomScaleNormal="107" workbookViewId="0"/>
  </sheetViews>
  <sheetFormatPr defaultColWidth="11.44140625" defaultRowHeight="14.4"/>
  <cols>
    <col min="1" max="1" width="11.44140625" style="8"/>
    <col min="2" max="2" width="32.5546875" style="8" customWidth="1"/>
    <col min="3" max="3" width="24.33203125" style="8" bestFit="1" customWidth="1"/>
    <col min="4" max="4" width="36.33203125" style="8" bestFit="1" customWidth="1"/>
    <col min="5" max="5" width="26.77734375" style="8" bestFit="1" customWidth="1"/>
    <col min="6" max="6" width="26" style="8" customWidth="1"/>
    <col min="7" max="8" width="20.6640625" style="8" bestFit="1" customWidth="1"/>
    <col min="9" max="9" width="11.44140625" style="8"/>
    <col min="10" max="10" width="12" style="8" bestFit="1" customWidth="1"/>
    <col min="11" max="14" width="11.44140625" style="8"/>
    <col min="15" max="15" width="15.33203125" style="8" bestFit="1" customWidth="1"/>
    <col min="16" max="16" width="21.5546875" style="8" bestFit="1" customWidth="1"/>
    <col min="17" max="16384" width="11.44140625" style="8"/>
  </cols>
  <sheetData>
    <row r="2" spans="2:16" ht="38.25" customHeight="1">
      <c r="B2" s="142" t="s">
        <v>143</v>
      </c>
      <c r="C2" s="142"/>
      <c r="D2" s="142"/>
      <c r="E2" s="142"/>
      <c r="F2" s="142"/>
      <c r="G2" s="142"/>
      <c r="H2" s="142"/>
    </row>
    <row r="3" spans="2:16" ht="15.75" customHeight="1">
      <c r="B3" s="158" t="s">
        <v>144</v>
      </c>
      <c r="C3" s="158"/>
      <c r="D3" s="158"/>
      <c r="E3" s="159">
        <v>0.2</v>
      </c>
      <c r="F3" s="159"/>
    </row>
    <row r="4" spans="2:16" ht="16.5" customHeight="1">
      <c r="B4" s="158"/>
      <c r="C4" s="158"/>
      <c r="D4" s="158"/>
      <c r="E4" s="159"/>
      <c r="F4" s="159"/>
      <c r="O4" s="103"/>
    </row>
    <row r="5" spans="2:16" ht="16.5" customHeight="1">
      <c r="B5" s="162"/>
      <c r="C5" s="162"/>
      <c r="D5" s="162"/>
      <c r="E5" s="137"/>
      <c r="F5" s="137"/>
      <c r="O5" s="103"/>
    </row>
    <row r="6" spans="2:16" ht="15" thickBot="1">
      <c r="O6" s="103"/>
      <c r="P6" s="106"/>
    </row>
    <row r="7" spans="2:16" ht="23.4">
      <c r="B7" s="102" t="s">
        <v>145</v>
      </c>
      <c r="C7" s="86" t="s">
        <v>146</v>
      </c>
      <c r="D7" s="87">
        <f>'4'!C20</f>
        <v>2026</v>
      </c>
      <c r="E7" s="87">
        <f>'4'!D20</f>
        <v>2027</v>
      </c>
      <c r="F7" s="87">
        <f>'4'!E20</f>
        <v>2028</v>
      </c>
      <c r="G7" s="87">
        <f>'4'!F20</f>
        <v>2029</v>
      </c>
      <c r="H7" s="88">
        <f>'4'!G20</f>
        <v>2030</v>
      </c>
      <c r="O7" s="103"/>
      <c r="P7" s="105"/>
    </row>
    <row r="8" spans="2:16" ht="18.600000000000001" thickBot="1">
      <c r="B8" s="89"/>
      <c r="C8" s="110">
        <f>-'3'!D14</f>
        <v>-94383000</v>
      </c>
      <c r="D8" s="110">
        <f>'4'!C59</f>
        <v>14759633.452150062</v>
      </c>
      <c r="E8" s="110">
        <f>'4'!D59</f>
        <v>7651851.9209977835</v>
      </c>
      <c r="F8" s="110">
        <f>'4'!E59</f>
        <v>30924970.969517529</v>
      </c>
      <c r="G8" s="110">
        <f>'4'!F59</f>
        <v>88284490.87915954</v>
      </c>
      <c r="H8" s="111">
        <f>'4'!G59</f>
        <v>155310994.51779512</v>
      </c>
      <c r="O8" s="103"/>
      <c r="P8" s="105"/>
    </row>
    <row r="9" spans="2:16" ht="15" thickBot="1">
      <c r="C9" s="74">
        <f>C8/(1+$E$3)^0</f>
        <v>-94383000</v>
      </c>
      <c r="D9" s="74">
        <f>D8/(1+$E$3)^1</f>
        <v>12299694.543458385</v>
      </c>
      <c r="E9" s="74">
        <f>E8/(1+$E$3)^2</f>
        <v>5313786.0562484609</v>
      </c>
      <c r="F9" s="74">
        <f>F8/(1+$E$3)^3</f>
        <v>17896395.236989312</v>
      </c>
      <c r="G9" s="74">
        <f>G8/(1+$E$3)^4</f>
        <v>42575468.209471233</v>
      </c>
      <c r="H9" s="74">
        <f>H8/(1+$E$3)^5</f>
        <v>62416005.384273373</v>
      </c>
      <c r="O9" s="103"/>
      <c r="P9" s="105"/>
    </row>
    <row r="10" spans="2:16" ht="24" thickBot="1">
      <c r="B10" s="30" t="s">
        <v>147</v>
      </c>
      <c r="C10" s="31"/>
      <c r="D10" s="112">
        <f>NPV(E3,D8:H8)+$C$8</f>
        <v>46118349.430440784</v>
      </c>
      <c r="O10" s="103"/>
      <c r="P10" s="105"/>
    </row>
    <row r="11" spans="2:16" ht="28.8" thickBot="1">
      <c r="B11" s="139" t="s">
        <v>148</v>
      </c>
      <c r="C11" s="31"/>
      <c r="D11" s="113">
        <f>IF(ISERROR(IRR(C8:H8)),"NO_APLICA",(IRR(C8:H8)))</f>
        <v>0.32896417749075502</v>
      </c>
      <c r="F11" s="107" t="s">
        <v>149</v>
      </c>
      <c r="G11" s="31"/>
      <c r="H11" s="108">
        <f>IF(ISERROR(-C9/AVERAGE(D9:H9)),"NO_APLICA",(-C9/AVERAGE(D9:H9)))</f>
        <v>3.3587933632881941</v>
      </c>
      <c r="I11" s="109" t="s">
        <v>150</v>
      </c>
      <c r="P11" s="104"/>
    </row>
    <row r="13" spans="2:16" ht="18">
      <c r="B13" s="160" t="s">
        <v>151</v>
      </c>
      <c r="C13" s="160"/>
      <c r="D13" s="160"/>
      <c r="E13" s="160"/>
      <c r="F13" s="160"/>
      <c r="G13" s="160"/>
      <c r="H13" s="160"/>
    </row>
    <row r="14" spans="2:16" ht="36.6">
      <c r="B14" s="90" t="str">
        <f>'1'!B2</f>
        <v>NOMBRE DEL PRODUCTO O SERVICIO</v>
      </c>
      <c r="C14" s="90" t="s">
        <v>152</v>
      </c>
      <c r="D14" s="90" t="s">
        <v>153</v>
      </c>
      <c r="E14" s="90" t="s">
        <v>154</v>
      </c>
      <c r="F14" s="90" t="s">
        <v>155</v>
      </c>
      <c r="H14" s="74"/>
      <c r="I14" s="74"/>
      <c r="J14" s="74" t="s">
        <v>156</v>
      </c>
    </row>
    <row r="15" spans="2:16">
      <c r="B15" s="38" t="str">
        <f>'1'!B3</f>
        <v>Software Básico de Gestión Financiera</v>
      </c>
      <c r="C15" s="91">
        <f>'1'!D3-'1'!D17</f>
        <v>80000</v>
      </c>
      <c r="D15" s="92">
        <f>'1'!F3</f>
        <v>0.11628222471152318</v>
      </c>
      <c r="E15" s="91">
        <f>C15*D15</f>
        <v>9302.5779769218534</v>
      </c>
      <c r="F15" s="93">
        <f t="shared" ref="F15:F24" si="0">$E$28*D15</f>
        <v>121.82212499445298</v>
      </c>
      <c r="G15" s="38" t="s">
        <v>157</v>
      </c>
      <c r="H15" s="75">
        <f>'1'!D3</f>
        <v>120000</v>
      </c>
      <c r="I15" s="94">
        <f t="shared" ref="I15:I24" si="1">$B$35*D15</f>
        <v>243.64424998890598</v>
      </c>
      <c r="J15" s="75">
        <f>'1'!D17</f>
        <v>40000</v>
      </c>
    </row>
    <row r="16" spans="2:16">
      <c r="B16" s="95" t="str">
        <f>'1'!B4</f>
        <v>Módulo de Reportes Avanzados</v>
      </c>
      <c r="C16" s="91">
        <f>'1'!D4-'1'!D18</f>
        <v>59990</v>
      </c>
      <c r="D16" s="92">
        <f>'1'!F4</f>
        <v>8.5265879306802891E-2</v>
      </c>
      <c r="E16" s="91">
        <f t="shared" ref="E16:E24" si="2">C16*D16</f>
        <v>5115.1000996151051</v>
      </c>
      <c r="F16" s="93">
        <f t="shared" si="0"/>
        <v>89.328103520932544</v>
      </c>
      <c r="G16" s="38" t="str">
        <f>G15</f>
        <v>UNIDADES</v>
      </c>
      <c r="H16" s="75">
        <f>'1'!D4</f>
        <v>109990</v>
      </c>
      <c r="I16" s="94">
        <f t="shared" si="1"/>
        <v>178.65620704186512</v>
      </c>
      <c r="J16" s="75">
        <f>'1'!D18</f>
        <v>50000</v>
      </c>
    </row>
    <row r="17" spans="2:10">
      <c r="B17" s="95" t="str">
        <f>'1'!B5</f>
        <v>Servicio de Consultoría Financiera</v>
      </c>
      <c r="C17" s="91">
        <f>'1'!D5-'1'!D19</f>
        <v>20000</v>
      </c>
      <c r="D17" s="92">
        <f>'1'!F5</f>
        <v>2.9070556177880794E-2</v>
      </c>
      <c r="E17" s="91">
        <f t="shared" si="2"/>
        <v>581.41112355761584</v>
      </c>
      <c r="F17" s="93">
        <f t="shared" si="0"/>
        <v>30.455531248613244</v>
      </c>
      <c r="G17" s="38" t="str">
        <f t="shared" ref="G17:G24" si="3">G16</f>
        <v>UNIDADES</v>
      </c>
      <c r="H17" s="75">
        <f>'1'!D5</f>
        <v>50000</v>
      </c>
      <c r="I17" s="94">
        <f t="shared" si="1"/>
        <v>60.911062497226496</v>
      </c>
      <c r="J17" s="75">
        <f>'1'!D19</f>
        <v>30000</v>
      </c>
    </row>
    <row r="18" spans="2:10">
      <c r="B18" s="95" t="str">
        <f>'1'!B6</f>
        <v>Capacitación en Uso del Software</v>
      </c>
      <c r="C18" s="91">
        <f>'1'!D6-'1'!D20</f>
        <v>120000</v>
      </c>
      <c r="D18" s="92">
        <f>'1'!F6</f>
        <v>0.13953866965382783</v>
      </c>
      <c r="E18" s="91">
        <f t="shared" si="2"/>
        <v>16744.640358459339</v>
      </c>
      <c r="F18" s="93">
        <f t="shared" si="0"/>
        <v>146.18654999334359</v>
      </c>
      <c r="G18" s="38" t="str">
        <f t="shared" si="3"/>
        <v>UNIDADES</v>
      </c>
      <c r="H18" s="75">
        <f>'1'!D6</f>
        <v>200000</v>
      </c>
      <c r="I18" s="94">
        <f t="shared" si="1"/>
        <v>292.37309998668724</v>
      </c>
      <c r="J18" s="75">
        <f>'1'!D20</f>
        <v>80000</v>
      </c>
    </row>
    <row r="19" spans="2:10">
      <c r="B19" s="95" t="str">
        <f>'1'!B7</f>
        <v>Licencia de Análisis Predictivo</v>
      </c>
      <c r="C19" s="91">
        <f>'1'!D7-'1'!D21</f>
        <v>80000</v>
      </c>
      <c r="D19" s="92">
        <f>'1'!F7</f>
        <v>0.14535278088940398</v>
      </c>
      <c r="E19" s="91">
        <f t="shared" si="2"/>
        <v>11628.222471152318</v>
      </c>
      <c r="F19" s="93">
        <f t="shared" si="0"/>
        <v>152.27765624306622</v>
      </c>
      <c r="G19" s="38" t="str">
        <f t="shared" si="3"/>
        <v>UNIDADES</v>
      </c>
      <c r="H19" s="75">
        <f>'1'!D7</f>
        <v>150000</v>
      </c>
      <c r="I19" s="94">
        <f t="shared" si="1"/>
        <v>304.55531248613249</v>
      </c>
      <c r="J19" s="75">
        <f>'1'!D21</f>
        <v>70000</v>
      </c>
    </row>
    <row r="20" spans="2:10">
      <c r="B20" s="95" t="str">
        <f>'1'!B8</f>
        <v>Soporte Técnico Personalizado</v>
      </c>
      <c r="C20" s="91">
        <f>'1'!D8-'1'!D22</f>
        <v>20000</v>
      </c>
      <c r="D20" s="92">
        <f>'1'!F8</f>
        <v>1.9380370785253863E-2</v>
      </c>
      <c r="E20" s="91">
        <f t="shared" si="2"/>
        <v>387.60741570507724</v>
      </c>
      <c r="F20" s="93">
        <f t="shared" si="0"/>
        <v>20.303687499075494</v>
      </c>
      <c r="G20" s="38" t="str">
        <f t="shared" si="3"/>
        <v>UNIDADES</v>
      </c>
      <c r="H20" s="75">
        <f>'1'!D8</f>
        <v>50000</v>
      </c>
      <c r="I20" s="94">
        <f t="shared" si="1"/>
        <v>40.607374998151002</v>
      </c>
      <c r="J20" s="75">
        <f>'1'!D22</f>
        <v>30000</v>
      </c>
    </row>
    <row r="21" spans="2:10">
      <c r="B21" s="95" t="str">
        <f>'1'!B9</f>
        <v>Sistema de Gestión de Cuentas por Cobrar</v>
      </c>
      <c r="C21" s="91">
        <f>'1'!D9-'1'!D23</f>
        <v>59990</v>
      </c>
      <c r="D21" s="92">
        <f>'1'!F9</f>
        <v>0.10658234913350362</v>
      </c>
      <c r="E21" s="91">
        <f t="shared" si="2"/>
        <v>6393.8751245188823</v>
      </c>
      <c r="F21" s="93">
        <f t="shared" si="0"/>
        <v>111.66012940116569</v>
      </c>
      <c r="G21" s="38" t="str">
        <f t="shared" si="3"/>
        <v>UNIDADES</v>
      </c>
      <c r="H21" s="75">
        <f>'1'!D9</f>
        <v>109990</v>
      </c>
      <c r="I21" s="94">
        <f t="shared" si="1"/>
        <v>223.32025880233141</v>
      </c>
      <c r="J21" s="75">
        <f>'1'!D23</f>
        <v>50000</v>
      </c>
    </row>
    <row r="22" spans="2:10">
      <c r="B22" s="95" t="str">
        <f>'1'!B10</f>
        <v>Sistema de Gestión de Cuentas por Pagar</v>
      </c>
      <c r="C22" s="91">
        <f>'1'!D10-'1'!D24</f>
        <v>59990</v>
      </c>
      <c r="D22" s="92">
        <f>'1'!F10</f>
        <v>0.10658234913350362</v>
      </c>
      <c r="E22" s="91">
        <f t="shared" si="2"/>
        <v>6393.8751245188823</v>
      </c>
      <c r="F22" s="93">
        <f t="shared" si="0"/>
        <v>111.66012940116569</v>
      </c>
      <c r="G22" s="38" t="str">
        <f t="shared" si="3"/>
        <v>UNIDADES</v>
      </c>
      <c r="H22" s="75">
        <f>'1'!D10</f>
        <v>109990</v>
      </c>
      <c r="I22" s="94">
        <f t="shared" si="1"/>
        <v>223.32025880233141</v>
      </c>
      <c r="J22" s="75">
        <f>'1'!D24</f>
        <v>50000</v>
      </c>
    </row>
    <row r="23" spans="2:10">
      <c r="B23" s="95" t="str">
        <f>'1'!B11</f>
        <v>Integración con Sistemas Contables</v>
      </c>
      <c r="C23" s="91">
        <f>'1'!D11-'1'!D25</f>
        <v>350000</v>
      </c>
      <c r="D23" s="92">
        <f>'1'!F11</f>
        <v>0.19380370785253864</v>
      </c>
      <c r="E23" s="91">
        <f t="shared" si="2"/>
        <v>67831.297748388519</v>
      </c>
      <c r="F23" s="93">
        <f t="shared" si="0"/>
        <v>203.03687499075497</v>
      </c>
      <c r="G23" s="38" t="str">
        <f t="shared" si="3"/>
        <v>UNIDADES</v>
      </c>
      <c r="H23" s="75">
        <f>'1'!D11</f>
        <v>500000</v>
      </c>
      <c r="I23" s="94">
        <f t="shared" si="1"/>
        <v>406.07374998151005</v>
      </c>
      <c r="J23" s="75">
        <f>'1'!D25</f>
        <v>150000</v>
      </c>
    </row>
    <row r="24" spans="2:10">
      <c r="B24" s="38" t="str">
        <f>'1'!B12</f>
        <v>Auditorías Financieras Automatizadas</v>
      </c>
      <c r="C24" s="91">
        <f>'1'!D12-'1'!D26</f>
        <v>250000</v>
      </c>
      <c r="D24" s="92">
        <f>'1'!F12</f>
        <v>5.8141112355761589E-2</v>
      </c>
      <c r="E24" s="91">
        <f t="shared" si="2"/>
        <v>14535.278088940397</v>
      </c>
      <c r="F24" s="93">
        <f t="shared" si="0"/>
        <v>60.911062497226489</v>
      </c>
      <c r="G24" s="38" t="str">
        <f t="shared" si="3"/>
        <v>UNIDADES</v>
      </c>
      <c r="H24" s="75">
        <f>'1'!D12</f>
        <v>300000</v>
      </c>
      <c r="I24" s="94">
        <f t="shared" si="1"/>
        <v>121.82212499445299</v>
      </c>
      <c r="J24" s="75">
        <f>'1'!D26</f>
        <v>50000</v>
      </c>
    </row>
    <row r="25" spans="2:10" ht="25.2">
      <c r="C25" s="26"/>
      <c r="D25" s="96"/>
      <c r="E25" s="26"/>
      <c r="F25" s="97">
        <f>SUM(F15:F24)</f>
        <v>1047.6418497897971</v>
      </c>
      <c r="G25" s="8" t="str">
        <f>G24</f>
        <v>UNIDADES</v>
      </c>
      <c r="H25" s="75"/>
      <c r="I25" s="94"/>
      <c r="J25" s="75"/>
    </row>
    <row r="26" spans="2:10" ht="12.75" customHeight="1">
      <c r="C26" s="26"/>
      <c r="D26" s="96"/>
      <c r="E26" s="26"/>
      <c r="F26" s="97"/>
      <c r="H26" s="75"/>
      <c r="I26" s="94"/>
      <c r="J26" s="75"/>
    </row>
    <row r="27" spans="2:10" ht="21" customHeight="1">
      <c r="B27" s="163" t="s">
        <v>158</v>
      </c>
      <c r="C27" s="163"/>
      <c r="D27" s="163"/>
      <c r="E27" s="98">
        <f>SUM(E15:E24)</f>
        <v>138913.88553177798</v>
      </c>
      <c r="H27" s="74"/>
      <c r="I27" s="74"/>
      <c r="J27" s="74"/>
    </row>
    <row r="28" spans="2:10" ht="19.5" customHeight="1">
      <c r="B28" s="163" t="s">
        <v>159</v>
      </c>
      <c r="C28" s="163"/>
      <c r="D28" s="163"/>
      <c r="E28" s="97">
        <f>IF(E27=0,0,('2'!C23+'2'!F31+'2'!C25)/'5'!E27)</f>
        <v>1047.6418497897969</v>
      </c>
      <c r="F28" s="99" t="s">
        <v>157</v>
      </c>
      <c r="H28" s="100"/>
    </row>
    <row r="29" spans="2:10" ht="25.2">
      <c r="B29" s="163" t="s">
        <v>160</v>
      </c>
      <c r="C29" s="163"/>
      <c r="D29" s="163"/>
      <c r="E29" s="98">
        <f>E49</f>
        <v>223415523.98832867</v>
      </c>
    </row>
    <row r="30" spans="2:10">
      <c r="B30" s="132"/>
      <c r="C30" s="132"/>
      <c r="D30" s="132"/>
      <c r="E30" s="132"/>
      <c r="F30" s="132"/>
      <c r="G30" s="132"/>
    </row>
    <row r="31" spans="2:10" s="74" customFormat="1"/>
    <row r="32" spans="2:10" s="74" customFormat="1">
      <c r="C32" s="74" t="s">
        <v>161</v>
      </c>
      <c r="D32" s="74" t="s">
        <v>162</v>
      </c>
      <c r="E32" s="74" t="s">
        <v>163</v>
      </c>
      <c r="F32" s="74" t="s">
        <v>164</v>
      </c>
    </row>
    <row r="33" spans="2:6" s="74" customFormat="1">
      <c r="B33" s="74">
        <v>0</v>
      </c>
      <c r="C33" s="75">
        <f>'2'!C25+'2'!F31+'2'!C23</f>
        <v>145532000</v>
      </c>
      <c r="D33" s="74">
        <f>0</f>
        <v>0</v>
      </c>
      <c r="E33" s="74">
        <v>0</v>
      </c>
      <c r="F33" s="75">
        <f>C33+E33</f>
        <v>145532000</v>
      </c>
    </row>
    <row r="34" spans="2:6" s="74" customFormat="1">
      <c r="B34" s="94">
        <f>F25</f>
        <v>1047.6418497897971</v>
      </c>
      <c r="C34" s="75">
        <f>C33</f>
        <v>145532000</v>
      </c>
      <c r="D34" s="133">
        <f>SUMPRODUCT(F15:F24,H15:H24)</f>
        <v>223415523.98832867</v>
      </c>
      <c r="E34" s="133">
        <f>SUMPRODUCT(F15:F24,J15:J24)</f>
        <v>77883523.98832868</v>
      </c>
      <c r="F34" s="75">
        <f t="shared" ref="F34:F35" si="4">C34+E34</f>
        <v>223415523.9883287</v>
      </c>
    </row>
    <row r="35" spans="2:6" s="74" customFormat="1">
      <c r="B35" s="94">
        <f>B34*2</f>
        <v>2095.2836995795942</v>
      </c>
      <c r="C35" s="75">
        <f>C34</f>
        <v>145532000</v>
      </c>
      <c r="D35" s="133">
        <f>SUMPRODUCT(H15:H24,I15:I24)</f>
        <v>446831047.97665745</v>
      </c>
      <c r="E35" s="133">
        <f>SUMPRODUCT(I15:I24,J15:J24)</f>
        <v>155767047.97665739</v>
      </c>
      <c r="F35" s="75">
        <f t="shared" si="4"/>
        <v>301299047.97665739</v>
      </c>
    </row>
    <row r="36" spans="2:6" s="74" customFormat="1">
      <c r="C36" s="75"/>
    </row>
    <row r="37" spans="2:6" s="74" customFormat="1">
      <c r="C37" s="75"/>
    </row>
    <row r="38" spans="2:6" s="74" customFormat="1">
      <c r="C38" s="134" t="s">
        <v>165</v>
      </c>
      <c r="D38" s="74" t="s">
        <v>157</v>
      </c>
      <c r="E38" s="74" t="s">
        <v>166</v>
      </c>
    </row>
    <row r="39" spans="2:6" s="74" customFormat="1">
      <c r="B39" s="74">
        <v>1</v>
      </c>
      <c r="C39" s="75">
        <f>'1'!D3</f>
        <v>120000</v>
      </c>
      <c r="D39" s="94">
        <f>F15</f>
        <v>121.82212499445298</v>
      </c>
      <c r="E39" s="74">
        <f>C39*D39</f>
        <v>14618654.999334358</v>
      </c>
    </row>
    <row r="40" spans="2:6" s="74" customFormat="1">
      <c r="B40" s="74">
        <f>B39+1</f>
        <v>2</v>
      </c>
      <c r="C40" s="75">
        <f>'1'!D4</f>
        <v>109990</v>
      </c>
      <c r="D40" s="94">
        <f t="shared" ref="D40:D48" si="5">F16</f>
        <v>89.328103520932544</v>
      </c>
      <c r="E40" s="74">
        <f t="shared" ref="E40:E48" si="6">C40*D40</f>
        <v>9825198.1062673703</v>
      </c>
    </row>
    <row r="41" spans="2:6" s="74" customFormat="1">
      <c r="B41" s="74">
        <f t="shared" ref="B41:B48" si="7">B40+1</f>
        <v>3</v>
      </c>
      <c r="C41" s="75">
        <f>'1'!D5</f>
        <v>50000</v>
      </c>
      <c r="D41" s="94">
        <f t="shared" si="5"/>
        <v>30.455531248613244</v>
      </c>
      <c r="E41" s="74">
        <f t="shared" si="6"/>
        <v>1522776.5624306621</v>
      </c>
    </row>
    <row r="42" spans="2:6" s="74" customFormat="1">
      <c r="B42" s="74">
        <f t="shared" si="7"/>
        <v>4</v>
      </c>
      <c r="C42" s="75">
        <f>'1'!D6</f>
        <v>200000</v>
      </c>
      <c r="D42" s="94">
        <f t="shared" si="5"/>
        <v>146.18654999334359</v>
      </c>
      <c r="E42" s="74">
        <f t="shared" si="6"/>
        <v>29237309.998668719</v>
      </c>
    </row>
    <row r="43" spans="2:6" s="74" customFormat="1">
      <c r="B43" s="74">
        <f t="shared" si="7"/>
        <v>5</v>
      </c>
      <c r="C43" s="75">
        <f>'1'!D7</f>
        <v>150000</v>
      </c>
      <c r="D43" s="94">
        <f t="shared" si="5"/>
        <v>152.27765624306622</v>
      </c>
      <c r="E43" s="74">
        <f t="shared" si="6"/>
        <v>22841648.436459932</v>
      </c>
    </row>
    <row r="44" spans="2:6" s="74" customFormat="1">
      <c r="B44" s="74">
        <f t="shared" si="7"/>
        <v>6</v>
      </c>
      <c r="C44" s="75">
        <f>'1'!D8</f>
        <v>50000</v>
      </c>
      <c r="D44" s="94">
        <f t="shared" si="5"/>
        <v>20.303687499075494</v>
      </c>
      <c r="E44" s="74">
        <f t="shared" si="6"/>
        <v>1015184.3749537747</v>
      </c>
    </row>
    <row r="45" spans="2:6" s="74" customFormat="1">
      <c r="B45" s="74">
        <f t="shared" si="7"/>
        <v>7</v>
      </c>
      <c r="C45" s="75">
        <f>'1'!D9</f>
        <v>109990</v>
      </c>
      <c r="D45" s="94">
        <f t="shared" si="5"/>
        <v>111.66012940116569</v>
      </c>
      <c r="E45" s="74">
        <f t="shared" si="6"/>
        <v>12281497.632834215</v>
      </c>
    </row>
    <row r="46" spans="2:6" s="74" customFormat="1">
      <c r="B46" s="74">
        <f t="shared" si="7"/>
        <v>8</v>
      </c>
      <c r="C46" s="75">
        <f>'1'!D10</f>
        <v>109990</v>
      </c>
      <c r="D46" s="94">
        <f t="shared" si="5"/>
        <v>111.66012940116569</v>
      </c>
      <c r="E46" s="74">
        <f t="shared" si="6"/>
        <v>12281497.632834215</v>
      </c>
    </row>
    <row r="47" spans="2:6" s="74" customFormat="1">
      <c r="B47" s="74">
        <f t="shared" si="7"/>
        <v>9</v>
      </c>
      <c r="C47" s="75">
        <f>'1'!D11</f>
        <v>500000</v>
      </c>
      <c r="D47" s="94">
        <f t="shared" si="5"/>
        <v>203.03687499075497</v>
      </c>
      <c r="E47" s="74">
        <f t="shared" si="6"/>
        <v>101518437.49537748</v>
      </c>
    </row>
    <row r="48" spans="2:6" s="74" customFormat="1">
      <c r="B48" s="74">
        <f t="shared" si="7"/>
        <v>10</v>
      </c>
      <c r="C48" s="75">
        <f>'1'!D12</f>
        <v>300000</v>
      </c>
      <c r="D48" s="94">
        <f t="shared" si="5"/>
        <v>60.911062497226489</v>
      </c>
      <c r="E48" s="74">
        <f t="shared" si="6"/>
        <v>18273318.749167945</v>
      </c>
    </row>
    <row r="49" spans="2:8" s="74" customFormat="1">
      <c r="C49" s="75"/>
      <c r="E49" s="135">
        <f>SUM(E39:E48)</f>
        <v>223415523.98832867</v>
      </c>
    </row>
    <row r="50" spans="2:8" s="74" customFormat="1"/>
    <row r="51" spans="2:8" s="74" customFormat="1">
      <c r="C51" s="75"/>
    </row>
    <row r="52" spans="2:8" s="74" customFormat="1">
      <c r="B52" s="161"/>
      <c r="C52" s="161"/>
      <c r="D52" s="161"/>
      <c r="G52" s="74" t="s">
        <v>167</v>
      </c>
      <c r="H52" s="136">
        <f>'4'!B32/'4'!B27</f>
        <v>0.5761948656007968</v>
      </c>
    </row>
    <row r="53" spans="2:8" s="74" customFormat="1">
      <c r="C53" s="75"/>
      <c r="G53" s="74" t="s">
        <v>168</v>
      </c>
      <c r="H53" s="136">
        <f>'4'!B36/'4'!B27</f>
        <v>0.42380513439920325</v>
      </c>
    </row>
    <row r="54" spans="2:8" s="74" customFormat="1">
      <c r="G54" s="74" t="s">
        <v>169</v>
      </c>
      <c r="H54" s="74">
        <f>'1'!AB7</f>
        <v>0.34</v>
      </c>
    </row>
    <row r="55" spans="2:8" s="74" customFormat="1">
      <c r="G55" s="74" t="s">
        <v>170</v>
      </c>
      <c r="H55" s="136">
        <f>'3'!F4</f>
        <v>0.12</v>
      </c>
    </row>
    <row r="56" spans="2:8" s="74" customFormat="1">
      <c r="G56" s="74" t="s">
        <v>171</v>
      </c>
    </row>
    <row r="57" spans="2:8" s="74" customFormat="1"/>
    <row r="58" spans="2:8" s="74" customFormat="1"/>
    <row r="59" spans="2:8" s="74" customFormat="1"/>
    <row r="60" spans="2:8" s="74" customFormat="1"/>
    <row r="61" spans="2:8" s="74" customFormat="1"/>
    <row r="62" spans="2:8">
      <c r="B62" s="132"/>
      <c r="C62" s="132"/>
      <c r="D62" s="132"/>
      <c r="E62" s="132"/>
      <c r="F62" s="132"/>
      <c r="G62" s="132"/>
    </row>
    <row r="63" spans="2:8">
      <c r="B63" s="132"/>
      <c r="C63" s="132"/>
      <c r="D63" s="132"/>
      <c r="E63" s="132"/>
      <c r="F63" s="132"/>
      <c r="G63" s="132"/>
    </row>
    <row r="64" spans="2:8">
      <c r="B64" s="132"/>
      <c r="C64" s="132"/>
      <c r="D64" s="132"/>
      <c r="E64" s="132"/>
      <c r="F64" s="132"/>
      <c r="G64" s="132"/>
    </row>
    <row r="65" spans="2:7">
      <c r="B65" s="132"/>
      <c r="C65" s="132"/>
      <c r="D65" s="132"/>
      <c r="E65" s="132"/>
      <c r="F65" s="132"/>
      <c r="G65" s="132"/>
    </row>
    <row r="66" spans="2:7">
      <c r="B66" s="132"/>
      <c r="C66" s="132"/>
      <c r="D66" s="132"/>
      <c r="E66" s="132"/>
      <c r="F66" s="132"/>
      <c r="G66" s="132"/>
    </row>
  </sheetData>
  <sheetProtection algorithmName="SHA-512" hashValue="d8YmbEuhgH/1suTHnyk65cUm7JICPWvCYFmBmgZq8qv3j6oNX1dH6pxbsOvEemrfsUtiheOuJ37FLcWPLzLIBA==" saltValue="9SYKwqsdfai2EFAADOs7AQ=="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E907C4FD2DAA44AA4536EA1CE0730DE" ma:contentTypeVersion="9" ma:contentTypeDescription="Crear nuevo documento." ma:contentTypeScope="" ma:versionID="95d159441ac9d608e49eac98241745f7">
  <xsd:schema xmlns:xsd="http://www.w3.org/2001/XMLSchema" xmlns:xs="http://www.w3.org/2001/XMLSchema" xmlns:p="http://schemas.microsoft.com/office/2006/metadata/properties" xmlns:ns2="3716f72b-922d-48ba-8949-244d4d9e3ea7" targetNamespace="http://schemas.microsoft.com/office/2006/metadata/properties" ma:root="true" ma:fieldsID="7ae3707b320d5d9d6c63ebe538e239c8" ns2:_="">
    <xsd:import namespace="3716f72b-922d-48ba-8949-244d4d9e3e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16f72b-922d-48ba-8949-244d4d9e3e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2.xml><?xml version="1.0" encoding="utf-8"?>
<ds:datastoreItem xmlns:ds="http://schemas.openxmlformats.org/officeDocument/2006/customXml" ds:itemID="{5A74284D-0604-4E0B-92A4-81FCB1A25A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16f72b-922d-48ba-8949-244d4d9e3e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Menú</vt:lpstr>
      <vt:lpstr>1</vt:lpstr>
      <vt:lpstr>2</vt:lpstr>
      <vt:lpstr>3</vt:lpstr>
      <vt:lpstr>4</vt:lpstr>
      <vt:lpstr>5</vt:lpstr>
      <vt:lpstr>Menú!Print_Area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Juan Camilo Navarro</cp:lastModifiedBy>
  <cp:revision/>
  <dcterms:created xsi:type="dcterms:W3CDTF">2013-07-30T17:19:59Z</dcterms:created>
  <dcterms:modified xsi:type="dcterms:W3CDTF">2025-06-28T22:24:47Z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0x0101007E907C4FD2DAA44AA4536EA1CE0730DE</vt:lpwstr>
  </property>
</Properties>
</file>