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Mi unidad\Trabajo de grado\07 Evidencias o desarrollo trabajo de grado\07_Aspectos financieros\"/>
    </mc:Choice>
  </mc:AlternateContent>
  <xr:revisionPtr revIDLastSave="0" documentId="13_ncr:1_{6607DEC8-D8E9-490D-BB12-7D36C984F438}" xr6:coauthVersionLast="47" xr6:coauthVersionMax="47" xr10:uidLastSave="{00000000-0000-0000-0000-000000000000}"/>
  <bookViews>
    <workbookView xWindow="-120" yWindow="-120" windowWidth="20730" windowHeight="11160" tabRatio="744" xr2:uid="{00000000-000D-0000-FFFF-FFFF00000000}"/>
  </bookViews>
  <sheets>
    <sheet name="INPIAL_Simulc" sheetId="8" r:id="rId1"/>
    <sheet name="Imagenes cotizacion" sheetId="9" r:id="rId2"/>
    <sheet name="Presupuesto ventas" sheetId="10" r:id="rId3"/>
    <sheet name="Proyeccion anual de gastos" sheetId="11" r:id="rId4"/>
    <sheet name="Gastos recurrentes" sheetId="12" r:id="rId5"/>
    <sheet name="Balance general" sheetId="13" r:id="rId6"/>
    <sheet name="flujo de caja" sheetId="14" r:id="rId7"/>
    <sheet name="Evaluación financiera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5" i="8" l="1"/>
  <c r="E275" i="8" s="1"/>
  <c r="D276" i="8"/>
  <c r="E276" i="8"/>
  <c r="D277" i="8"/>
  <c r="E277" i="8" s="1"/>
  <c r="D278" i="8"/>
  <c r="E278" i="8" s="1"/>
  <c r="D279" i="8"/>
  <c r="E279" i="8" s="1"/>
  <c r="N169" i="8"/>
  <c r="D377" i="8" l="1"/>
  <c r="D378" i="8"/>
  <c r="D379" i="8"/>
  <c r="D382" i="8"/>
  <c r="D383" i="8"/>
  <c r="D381" i="8"/>
  <c r="D380" i="8"/>
  <c r="D370" i="8"/>
  <c r="E370" i="8" s="1"/>
  <c r="E371" i="8" s="1"/>
  <c r="D384" i="8" l="1"/>
  <c r="F370" i="8"/>
  <c r="F371" i="8" l="1"/>
  <c r="G370" i="8"/>
  <c r="G371" i="8" l="1"/>
  <c r="H370" i="8"/>
  <c r="H371" i="8" s="1"/>
  <c r="C243" i="8" l="1"/>
  <c r="B353" i="8"/>
  <c r="B351" i="8"/>
  <c r="D345" i="8"/>
  <c r="E345" i="8" s="1"/>
  <c r="B349" i="8"/>
  <c r="G357" i="8"/>
  <c r="D357" i="8"/>
  <c r="E341" i="8"/>
  <c r="G341" i="8" s="1"/>
  <c r="E343" i="8"/>
  <c r="G343" i="8" s="1"/>
  <c r="E355" i="8"/>
  <c r="G355" i="8" s="1"/>
  <c r="E339" i="8"/>
  <c r="G339" i="8" s="1"/>
  <c r="E361" i="8"/>
  <c r="D361" i="8" s="1"/>
  <c r="E359" i="8"/>
  <c r="D359" i="8" s="1"/>
  <c r="J329" i="8"/>
  <c r="J321" i="8"/>
  <c r="J322" i="8"/>
  <c r="J323" i="8"/>
  <c r="J324" i="8"/>
  <c r="J325" i="8"/>
  <c r="J326" i="8"/>
  <c r="J327" i="8"/>
  <c r="J328" i="8"/>
  <c r="J330" i="8"/>
  <c r="J331" i="8"/>
  <c r="J332" i="8"/>
  <c r="J333" i="8"/>
  <c r="J334" i="8"/>
  <c r="J320" i="8"/>
  <c r="H323" i="8"/>
  <c r="H326" i="8"/>
  <c r="H329" i="8"/>
  <c r="H332" i="8"/>
  <c r="H320" i="8"/>
  <c r="H295" i="8"/>
  <c r="H311" i="8"/>
  <c r="H310" i="8"/>
  <c r="H307" i="8"/>
  <c r="H306" i="8"/>
  <c r="H300" i="8"/>
  <c r="H299" i="8"/>
  <c r="H293" i="8"/>
  <c r="H294" i="8"/>
  <c r="H296" i="8"/>
  <c r="H298" i="8"/>
  <c r="H301" i="8"/>
  <c r="H302" i="8"/>
  <c r="H303" i="8"/>
  <c r="H305" i="8"/>
  <c r="H308" i="8"/>
  <c r="H312" i="8"/>
  <c r="H292" i="8"/>
  <c r="D280" i="8"/>
  <c r="E280" i="8" s="1"/>
  <c r="D281" i="8"/>
  <c r="E281" i="8" s="1"/>
  <c r="D282" i="8"/>
  <c r="D283" i="8"/>
  <c r="E283" i="8" s="1"/>
  <c r="D284" i="8"/>
  <c r="E284" i="8" s="1"/>
  <c r="D285" i="8"/>
  <c r="E285" i="8" s="1"/>
  <c r="F285" i="8" s="1"/>
  <c r="G285" i="8" s="1"/>
  <c r="H285" i="8" s="1"/>
  <c r="I285" i="8" s="1"/>
  <c r="J285" i="8" s="1"/>
  <c r="K285" i="8" s="1"/>
  <c r="L285" i="8" s="1"/>
  <c r="M285" i="8" s="1"/>
  <c r="N285" i="8" s="1"/>
  <c r="C286" i="8"/>
  <c r="F276" i="8"/>
  <c r="F275" i="8"/>
  <c r="G345" i="8" l="1"/>
  <c r="E347" i="8" s="1"/>
  <c r="G347" i="8" s="1"/>
  <c r="G361" i="8"/>
  <c r="G359" i="8"/>
  <c r="K332" i="8" a="1"/>
  <c r="K332" i="8" s="1"/>
  <c r="L332" i="8" s="1"/>
  <c r="K320" i="8" a="1"/>
  <c r="K320" i="8" s="1"/>
  <c r="L320" i="8" s="1"/>
  <c r="K323" i="8" a="1"/>
  <c r="K323" i="8" s="1"/>
  <c r="L323" i="8" s="1"/>
  <c r="K329" i="8" a="1"/>
  <c r="K329" i="8" s="1"/>
  <c r="L329" i="8" s="1"/>
  <c r="K326" i="8" a="1"/>
  <c r="K326" i="8" s="1"/>
  <c r="L326" i="8" s="1"/>
  <c r="H309" i="8"/>
  <c r="H313" i="8"/>
  <c r="H304" i="8"/>
  <c r="C246" i="8" s="1"/>
  <c r="H297" i="8"/>
  <c r="F283" i="8"/>
  <c r="G283" i="8" s="1"/>
  <c r="H283" i="8" s="1"/>
  <c r="I283" i="8" s="1"/>
  <c r="J283" i="8" s="1"/>
  <c r="K283" i="8" s="1"/>
  <c r="L283" i="8" s="1"/>
  <c r="M283" i="8" s="1"/>
  <c r="N283" i="8" s="1"/>
  <c r="E282" i="8"/>
  <c r="F282" i="8" s="1"/>
  <c r="G282" i="8" s="1"/>
  <c r="H282" i="8" s="1"/>
  <c r="I282" i="8" s="1"/>
  <c r="J282" i="8" s="1"/>
  <c r="K282" i="8" s="1"/>
  <c r="L282" i="8" s="1"/>
  <c r="M282" i="8" s="1"/>
  <c r="N282" i="8" s="1"/>
  <c r="F281" i="8"/>
  <c r="G281" i="8" s="1"/>
  <c r="H281" i="8" s="1"/>
  <c r="I281" i="8" s="1"/>
  <c r="J281" i="8" s="1"/>
  <c r="K281" i="8" s="1"/>
  <c r="L281" i="8" s="1"/>
  <c r="M281" i="8" s="1"/>
  <c r="N281" i="8" s="1"/>
  <c r="F284" i="8"/>
  <c r="G284" i="8" s="1"/>
  <c r="H284" i="8" s="1"/>
  <c r="I284" i="8" s="1"/>
  <c r="J284" i="8" s="1"/>
  <c r="K284" i="8" s="1"/>
  <c r="L284" i="8" s="1"/>
  <c r="M284" i="8" s="1"/>
  <c r="N284" i="8" s="1"/>
  <c r="F280" i="8"/>
  <c r="G280" i="8" s="1"/>
  <c r="H280" i="8" s="1"/>
  <c r="I280" i="8" s="1"/>
  <c r="J280" i="8" s="1"/>
  <c r="K280" i="8" s="1"/>
  <c r="L280" i="8" s="1"/>
  <c r="M280" i="8" s="1"/>
  <c r="N280" i="8" s="1"/>
  <c r="F279" i="8"/>
  <c r="G279" i="8" s="1"/>
  <c r="H279" i="8" s="1"/>
  <c r="I279" i="8" s="1"/>
  <c r="J279" i="8" s="1"/>
  <c r="K279" i="8" s="1"/>
  <c r="L279" i="8" s="1"/>
  <c r="M279" i="8" s="1"/>
  <c r="N279" i="8" s="1"/>
  <c r="F277" i="8"/>
  <c r="G277" i="8" s="1"/>
  <c r="H277" i="8" s="1"/>
  <c r="I277" i="8" s="1"/>
  <c r="J277" i="8" s="1"/>
  <c r="K277" i="8" s="1"/>
  <c r="L277" i="8" s="1"/>
  <c r="M277" i="8" s="1"/>
  <c r="N277" i="8" s="1"/>
  <c r="F278" i="8"/>
  <c r="G278" i="8" s="1"/>
  <c r="H278" i="8" s="1"/>
  <c r="I278" i="8" s="1"/>
  <c r="J278" i="8" s="1"/>
  <c r="K278" i="8" s="1"/>
  <c r="L278" i="8" s="1"/>
  <c r="M278" i="8" s="1"/>
  <c r="N278" i="8" s="1"/>
  <c r="O285" i="8"/>
  <c r="G276" i="8"/>
  <c r="H276" i="8" s="1"/>
  <c r="I276" i="8" s="1"/>
  <c r="J276" i="8" s="1"/>
  <c r="K276" i="8" s="1"/>
  <c r="L276" i="8" s="1"/>
  <c r="M276" i="8" s="1"/>
  <c r="N276" i="8" s="1"/>
  <c r="G275" i="8"/>
  <c r="H314" i="8" l="1"/>
  <c r="C265" i="8"/>
  <c r="O279" i="8"/>
  <c r="O280" i="8"/>
  <c r="O284" i="8"/>
  <c r="O282" i="8"/>
  <c r="O281" i="8"/>
  <c r="O283" i="8"/>
  <c r="F286" i="8"/>
  <c r="O277" i="8"/>
  <c r="D286" i="8"/>
  <c r="O278" i="8"/>
  <c r="G286" i="8"/>
  <c r="H275" i="8"/>
  <c r="O276" i="8"/>
  <c r="E286" i="8"/>
  <c r="I275" i="8" l="1"/>
  <c r="H286" i="8"/>
  <c r="I286" i="8" l="1"/>
  <c r="J275" i="8"/>
  <c r="J286" i="8" l="1"/>
  <c r="K275" i="8"/>
  <c r="K286" i="8" l="1"/>
  <c r="L275" i="8"/>
  <c r="M275" i="8" l="1"/>
  <c r="L286" i="8"/>
  <c r="M286" i="8" l="1"/>
  <c r="N275" i="8"/>
  <c r="N286" i="8" l="1"/>
  <c r="O275" i="8"/>
  <c r="O286" i="8" s="1"/>
  <c r="D248" i="8" l="1"/>
  <c r="E248" i="8" s="1"/>
  <c r="F248" i="8" s="1"/>
  <c r="G248" i="8" s="1"/>
  <c r="H248" i="8" s="1"/>
  <c r="I248" i="8" s="1"/>
  <c r="J248" i="8" s="1"/>
  <c r="K248" i="8" s="1"/>
  <c r="L248" i="8" s="1"/>
  <c r="M248" i="8" s="1"/>
  <c r="N248" i="8" s="1"/>
  <c r="D262" i="8"/>
  <c r="D251" i="8"/>
  <c r="E251" i="8" s="1"/>
  <c r="D250" i="8"/>
  <c r="E250" i="8" s="1"/>
  <c r="F250" i="8" s="1"/>
  <c r="G250" i="8" s="1"/>
  <c r="H250" i="8" s="1"/>
  <c r="I250" i="8" s="1"/>
  <c r="J250" i="8" s="1"/>
  <c r="K250" i="8" s="1"/>
  <c r="L250" i="8" s="1"/>
  <c r="M250" i="8" s="1"/>
  <c r="N250" i="8" s="1"/>
  <c r="D249" i="8"/>
  <c r="E249" i="8" s="1"/>
  <c r="D245" i="8"/>
  <c r="E245" i="8" s="1"/>
  <c r="D247" i="8"/>
  <c r="E247" i="8" s="1"/>
  <c r="F247" i="8" s="1"/>
  <c r="G247" i="8" s="1"/>
  <c r="H247" i="8" s="1"/>
  <c r="I247" i="8" s="1"/>
  <c r="J247" i="8" s="1"/>
  <c r="K247" i="8" s="1"/>
  <c r="L247" i="8" s="1"/>
  <c r="M247" i="8" s="1"/>
  <c r="N247" i="8" s="1"/>
  <c r="D252" i="8"/>
  <c r="E252" i="8" s="1"/>
  <c r="D246" i="8"/>
  <c r="E246" i="8" s="1"/>
  <c r="F246" i="8" s="1"/>
  <c r="G246" i="8" s="1"/>
  <c r="H246" i="8" s="1"/>
  <c r="I246" i="8" s="1"/>
  <c r="J246" i="8" s="1"/>
  <c r="K246" i="8" s="1"/>
  <c r="L246" i="8" s="1"/>
  <c r="M246" i="8" s="1"/>
  <c r="N246" i="8" s="1"/>
  <c r="D244" i="8"/>
  <c r="E244" i="8" s="1"/>
  <c r="D267" i="8"/>
  <c r="D268" i="8"/>
  <c r="D266" i="8"/>
  <c r="D260" i="8"/>
  <c r="D264" i="8"/>
  <c r="D263" i="8"/>
  <c r="D261" i="8"/>
  <c r="D259" i="8"/>
  <c r="E259" i="8" s="1"/>
  <c r="D258" i="8"/>
  <c r="E258" i="8" s="1"/>
  <c r="C187" i="8"/>
  <c r="D235" i="8"/>
  <c r="B235" i="8"/>
  <c r="F234" i="8"/>
  <c r="B234" i="8"/>
  <c r="F233" i="8"/>
  <c r="B233" i="8"/>
  <c r="F232" i="8"/>
  <c r="B232" i="8"/>
  <c r="F231" i="8"/>
  <c r="B231" i="8"/>
  <c r="F230" i="8"/>
  <c r="B230" i="8"/>
  <c r="F229" i="8"/>
  <c r="B229" i="8"/>
  <c r="F228" i="8"/>
  <c r="B228" i="8"/>
  <c r="F227" i="8"/>
  <c r="B227" i="8"/>
  <c r="F187" i="8"/>
  <c r="D186" i="8"/>
  <c r="E186" i="8" s="1"/>
  <c r="G186" i="8" s="1"/>
  <c r="K186" i="8" s="1"/>
  <c r="D185" i="8"/>
  <c r="E185" i="8" s="1"/>
  <c r="G185" i="8" s="1"/>
  <c r="D184" i="8"/>
  <c r="E184" i="8" s="1"/>
  <c r="G184" i="8" s="1"/>
  <c r="D183" i="8"/>
  <c r="E183" i="8" s="1"/>
  <c r="G183" i="8" s="1"/>
  <c r="D182" i="8"/>
  <c r="E182" i="8" s="1"/>
  <c r="G182" i="8" s="1"/>
  <c r="D181" i="8"/>
  <c r="E181" i="8" s="1"/>
  <c r="G181" i="8" s="1"/>
  <c r="D180" i="8"/>
  <c r="E180" i="8" s="1"/>
  <c r="G180" i="8" s="1"/>
  <c r="D179" i="8"/>
  <c r="D177" i="8"/>
  <c r="D169" i="8"/>
  <c r="B169" i="8"/>
  <c r="F168" i="8"/>
  <c r="B168" i="8"/>
  <c r="F167" i="8"/>
  <c r="B167" i="8"/>
  <c r="F166" i="8"/>
  <c r="B166" i="8"/>
  <c r="F165" i="8"/>
  <c r="B165" i="8"/>
  <c r="F164" i="8"/>
  <c r="B164" i="8"/>
  <c r="F163" i="8"/>
  <c r="B163" i="8"/>
  <c r="F162" i="8"/>
  <c r="B162" i="8"/>
  <c r="F161" i="8"/>
  <c r="B161" i="8"/>
  <c r="F121" i="8"/>
  <c r="D120" i="8"/>
  <c r="E120" i="8" s="1"/>
  <c r="G120" i="8" s="1"/>
  <c r="D119" i="8"/>
  <c r="E119" i="8" s="1"/>
  <c r="G119" i="8" s="1"/>
  <c r="D118" i="8"/>
  <c r="E118" i="8" s="1"/>
  <c r="G118" i="8" s="1"/>
  <c r="D117" i="8"/>
  <c r="E117" i="8" s="1"/>
  <c r="G117" i="8" s="1"/>
  <c r="H117" i="8" s="1"/>
  <c r="D116" i="8"/>
  <c r="E116" i="8" s="1"/>
  <c r="G116" i="8" s="1"/>
  <c r="G130" i="8" s="1"/>
  <c r="D115" i="8"/>
  <c r="E115" i="8" s="1"/>
  <c r="G115" i="8" s="1"/>
  <c r="D114" i="8"/>
  <c r="D113" i="8"/>
  <c r="D111" i="8"/>
  <c r="D103" i="8"/>
  <c r="B103" i="8"/>
  <c r="F102" i="8"/>
  <c r="B102" i="8"/>
  <c r="F101" i="8"/>
  <c r="B101" i="8"/>
  <c r="F100" i="8"/>
  <c r="B100" i="8"/>
  <c r="F99" i="8"/>
  <c r="B99" i="8"/>
  <c r="F98" i="8"/>
  <c r="B98" i="8"/>
  <c r="F97" i="8"/>
  <c r="B97" i="8"/>
  <c r="F96" i="8"/>
  <c r="B96" i="8"/>
  <c r="F95" i="8"/>
  <c r="B95" i="8"/>
  <c r="F55" i="8"/>
  <c r="D54" i="8"/>
  <c r="E54" i="8" s="1"/>
  <c r="G54" i="8" s="1"/>
  <c r="D53" i="8"/>
  <c r="E53" i="8" s="1"/>
  <c r="G53" i="8" s="1"/>
  <c r="H53" i="8" s="1"/>
  <c r="D52" i="8"/>
  <c r="E52" i="8" s="1"/>
  <c r="G52" i="8" s="1"/>
  <c r="D51" i="8"/>
  <c r="E51" i="8" s="1"/>
  <c r="G51" i="8" s="1"/>
  <c r="H51" i="8" s="1"/>
  <c r="I51" i="8" s="1"/>
  <c r="D50" i="8"/>
  <c r="E50" i="8" s="1"/>
  <c r="G50" i="8" s="1"/>
  <c r="H50" i="8" s="1"/>
  <c r="D49" i="8"/>
  <c r="E49" i="8" s="1"/>
  <c r="G49" i="8" s="1"/>
  <c r="D48" i="8"/>
  <c r="D47" i="8"/>
  <c r="N26" i="8"/>
  <c r="C113" i="8" s="1"/>
  <c r="E333" i="8" l="1"/>
  <c r="G333" i="8" s="1"/>
  <c r="E330" i="8"/>
  <c r="G330" i="8" s="1"/>
  <c r="E334" i="8"/>
  <c r="G334" i="8" s="1"/>
  <c r="E327" i="8"/>
  <c r="G327" i="8" s="1"/>
  <c r="E321" i="8"/>
  <c r="G321" i="8" s="1"/>
  <c r="E328" i="8"/>
  <c r="G328" i="8" s="1"/>
  <c r="E324" i="8"/>
  <c r="G324" i="8" s="1"/>
  <c r="C269" i="8"/>
  <c r="C47" i="8"/>
  <c r="E47" i="8" s="1"/>
  <c r="G47" i="8" s="1"/>
  <c r="G61" i="8" s="1"/>
  <c r="K61" i="8" s="1"/>
  <c r="C253" i="8"/>
  <c r="F244" i="8"/>
  <c r="G244" i="8" s="1"/>
  <c r="H244" i="8" s="1"/>
  <c r="I244" i="8" s="1"/>
  <c r="J244" i="8" s="1"/>
  <c r="K244" i="8" s="1"/>
  <c r="L244" i="8" s="1"/>
  <c r="M244" i="8" s="1"/>
  <c r="N244" i="8" s="1"/>
  <c r="F252" i="8"/>
  <c r="G252" i="8" s="1"/>
  <c r="H252" i="8" s="1"/>
  <c r="I252" i="8" s="1"/>
  <c r="J252" i="8" s="1"/>
  <c r="K252" i="8" s="1"/>
  <c r="L252" i="8" s="1"/>
  <c r="M252" i="8" s="1"/>
  <c r="N252" i="8" s="1"/>
  <c r="F245" i="8"/>
  <c r="G245" i="8" s="1"/>
  <c r="H245" i="8" s="1"/>
  <c r="I245" i="8" s="1"/>
  <c r="J245" i="8" s="1"/>
  <c r="K245" i="8" s="1"/>
  <c r="L245" i="8" s="1"/>
  <c r="M245" i="8" s="1"/>
  <c r="N245" i="8" s="1"/>
  <c r="F249" i="8"/>
  <c r="G249" i="8" s="1"/>
  <c r="H249" i="8" s="1"/>
  <c r="I249" i="8" s="1"/>
  <c r="J249" i="8" s="1"/>
  <c r="K249" i="8" s="1"/>
  <c r="L249" i="8" s="1"/>
  <c r="M249" i="8" s="1"/>
  <c r="N249" i="8" s="1"/>
  <c r="F251" i="8"/>
  <c r="G251" i="8" s="1"/>
  <c r="H251" i="8" s="1"/>
  <c r="I251" i="8" s="1"/>
  <c r="J251" i="8" s="1"/>
  <c r="K251" i="8" s="1"/>
  <c r="L251" i="8" s="1"/>
  <c r="M251" i="8" s="1"/>
  <c r="N251" i="8" s="1"/>
  <c r="O246" i="8"/>
  <c r="O247" i="8"/>
  <c r="O248" i="8"/>
  <c r="O250" i="8"/>
  <c r="D243" i="8"/>
  <c r="C114" i="8"/>
  <c r="E114" i="8" s="1"/>
  <c r="G114" i="8" s="1"/>
  <c r="G128" i="8" s="1"/>
  <c r="K119" i="8"/>
  <c r="J119" i="8"/>
  <c r="J118" i="8"/>
  <c r="H118" i="8"/>
  <c r="I118" i="8" s="1"/>
  <c r="F258" i="8"/>
  <c r="F259" i="8"/>
  <c r="G259" i="8" s="1"/>
  <c r="H259" i="8" s="1"/>
  <c r="I259" i="8" s="1"/>
  <c r="J259" i="8" s="1"/>
  <c r="K259" i="8" s="1"/>
  <c r="L259" i="8" s="1"/>
  <c r="M259" i="8" s="1"/>
  <c r="N259" i="8" s="1"/>
  <c r="E261" i="8"/>
  <c r="F261" i="8" s="1"/>
  <c r="G261" i="8" s="1"/>
  <c r="H261" i="8" s="1"/>
  <c r="I261" i="8" s="1"/>
  <c r="J261" i="8" s="1"/>
  <c r="K261" i="8" s="1"/>
  <c r="L261" i="8" s="1"/>
  <c r="M261" i="8" s="1"/>
  <c r="N261" i="8" s="1"/>
  <c r="E263" i="8"/>
  <c r="F263" i="8" s="1"/>
  <c r="G263" i="8" s="1"/>
  <c r="H263" i="8" s="1"/>
  <c r="I263" i="8" s="1"/>
  <c r="J263" i="8" s="1"/>
  <c r="K263" i="8" s="1"/>
  <c r="L263" i="8" s="1"/>
  <c r="M263" i="8" s="1"/>
  <c r="N263" i="8" s="1"/>
  <c r="E264" i="8"/>
  <c r="F264" i="8" s="1"/>
  <c r="G264" i="8" s="1"/>
  <c r="H264" i="8" s="1"/>
  <c r="I264" i="8" s="1"/>
  <c r="J264" i="8" s="1"/>
  <c r="K264" i="8" s="1"/>
  <c r="L264" i="8" s="1"/>
  <c r="M264" i="8" s="1"/>
  <c r="N264" i="8" s="1"/>
  <c r="E260" i="8"/>
  <c r="F260" i="8" s="1"/>
  <c r="G260" i="8" s="1"/>
  <c r="H260" i="8" s="1"/>
  <c r="I260" i="8" s="1"/>
  <c r="J260" i="8" s="1"/>
  <c r="K260" i="8" s="1"/>
  <c r="L260" i="8" s="1"/>
  <c r="M260" i="8" s="1"/>
  <c r="N260" i="8" s="1"/>
  <c r="E262" i="8"/>
  <c r="F262" i="8" s="1"/>
  <c r="G262" i="8" s="1"/>
  <c r="H262" i="8" s="1"/>
  <c r="I262" i="8" s="1"/>
  <c r="J262" i="8" s="1"/>
  <c r="K262" i="8" s="1"/>
  <c r="L262" i="8" s="1"/>
  <c r="M262" i="8" s="1"/>
  <c r="N262" i="8" s="1"/>
  <c r="E266" i="8"/>
  <c r="F266" i="8" s="1"/>
  <c r="G266" i="8" s="1"/>
  <c r="H266" i="8" s="1"/>
  <c r="I266" i="8" s="1"/>
  <c r="J266" i="8" s="1"/>
  <c r="K266" i="8" s="1"/>
  <c r="L266" i="8" s="1"/>
  <c r="M266" i="8" s="1"/>
  <c r="N266" i="8" s="1"/>
  <c r="E268" i="8"/>
  <c r="F268" i="8" s="1"/>
  <c r="G268" i="8" s="1"/>
  <c r="H268" i="8" s="1"/>
  <c r="I268" i="8" s="1"/>
  <c r="J268" i="8" s="1"/>
  <c r="K268" i="8" s="1"/>
  <c r="L268" i="8" s="1"/>
  <c r="M268" i="8" s="1"/>
  <c r="N268" i="8" s="1"/>
  <c r="E267" i="8"/>
  <c r="F267" i="8" s="1"/>
  <c r="G267" i="8" s="1"/>
  <c r="H267" i="8" s="1"/>
  <c r="I267" i="8" s="1"/>
  <c r="J267" i="8" s="1"/>
  <c r="K267" i="8" s="1"/>
  <c r="L267" i="8" s="1"/>
  <c r="M267" i="8" s="1"/>
  <c r="N267" i="8" s="1"/>
  <c r="D265" i="8"/>
  <c r="E265" i="8" s="1"/>
  <c r="F265" i="8" s="1"/>
  <c r="G265" i="8" s="1"/>
  <c r="H265" i="8" s="1"/>
  <c r="I265" i="8" s="1"/>
  <c r="J265" i="8" s="1"/>
  <c r="K265" i="8" s="1"/>
  <c r="L265" i="8" s="1"/>
  <c r="M265" i="8" s="1"/>
  <c r="N265" i="8" s="1"/>
  <c r="J186" i="8"/>
  <c r="E179" i="8"/>
  <c r="G179" i="8" s="1"/>
  <c r="G187" i="8" s="1"/>
  <c r="E113" i="8"/>
  <c r="G113" i="8" s="1"/>
  <c r="G127" i="8" s="1"/>
  <c r="I50" i="8"/>
  <c r="I53" i="8"/>
  <c r="K54" i="8"/>
  <c r="G68" i="8"/>
  <c r="J54" i="8"/>
  <c r="J130" i="8"/>
  <c r="G144" i="8"/>
  <c r="I130" i="8"/>
  <c r="K130" i="8"/>
  <c r="H180" i="8"/>
  <c r="K180" i="8"/>
  <c r="J180" i="8"/>
  <c r="G194" i="8"/>
  <c r="G63" i="8"/>
  <c r="K49" i="8"/>
  <c r="J49" i="8"/>
  <c r="J120" i="8"/>
  <c r="G134" i="8"/>
  <c r="K120" i="8"/>
  <c r="H120" i="8"/>
  <c r="H184" i="8"/>
  <c r="K184" i="8"/>
  <c r="G198" i="8"/>
  <c r="J184" i="8"/>
  <c r="E48" i="8"/>
  <c r="G48" i="8" s="1"/>
  <c r="H49" i="8"/>
  <c r="G66" i="8"/>
  <c r="K52" i="8"/>
  <c r="J52" i="8"/>
  <c r="I117" i="8"/>
  <c r="G64" i="8"/>
  <c r="K50" i="8"/>
  <c r="J50" i="8"/>
  <c r="G67" i="8"/>
  <c r="K53" i="8"/>
  <c r="J53" i="8"/>
  <c r="H54" i="8"/>
  <c r="J116" i="8"/>
  <c r="H116" i="8"/>
  <c r="K116" i="8"/>
  <c r="K51" i="8"/>
  <c r="G65" i="8"/>
  <c r="J51" i="8"/>
  <c r="H52" i="8"/>
  <c r="G129" i="8"/>
  <c r="H115" i="8"/>
  <c r="K115" i="8"/>
  <c r="J115" i="8"/>
  <c r="H185" i="8"/>
  <c r="J185" i="8"/>
  <c r="K185" i="8"/>
  <c r="G199" i="8"/>
  <c r="F103" i="8"/>
  <c r="G196" i="8"/>
  <c r="H182" i="8"/>
  <c r="H181" i="8"/>
  <c r="G195" i="8"/>
  <c r="J181" i="8"/>
  <c r="J182" i="8"/>
  <c r="G197" i="8"/>
  <c r="H183" i="8"/>
  <c r="K183" i="8"/>
  <c r="G131" i="8"/>
  <c r="K117" i="8"/>
  <c r="J117" i="8"/>
  <c r="G132" i="8"/>
  <c r="K118" i="8"/>
  <c r="H119" i="8"/>
  <c r="G133" i="8"/>
  <c r="K181" i="8"/>
  <c r="K182" i="8"/>
  <c r="J183" i="8"/>
  <c r="G200" i="8"/>
  <c r="H186" i="8"/>
  <c r="F235" i="8"/>
  <c r="F169" i="8"/>
  <c r="J114" i="8" l="1"/>
  <c r="C55" i="8"/>
  <c r="K114" i="8"/>
  <c r="C121" i="8"/>
  <c r="H114" i="8"/>
  <c r="I114" i="8" s="1"/>
  <c r="G121" i="8"/>
  <c r="H179" i="8"/>
  <c r="H187" i="8" s="1"/>
  <c r="L51" i="8"/>
  <c r="O244" i="8"/>
  <c r="G193" i="8"/>
  <c r="G201" i="8" s="1"/>
  <c r="E243" i="8"/>
  <c r="D253" i="8"/>
  <c r="O245" i="8"/>
  <c r="O252" i="8"/>
  <c r="O251" i="8"/>
  <c r="O249" i="8"/>
  <c r="L53" i="8"/>
  <c r="O260" i="8"/>
  <c r="L118" i="8"/>
  <c r="O265" i="8"/>
  <c r="O264" i="8"/>
  <c r="O259" i="8"/>
  <c r="G258" i="8"/>
  <c r="F269" i="8"/>
  <c r="O262" i="8"/>
  <c r="O266" i="8"/>
  <c r="E269" i="8"/>
  <c r="D269" i="8"/>
  <c r="O267" i="8"/>
  <c r="O268" i="8"/>
  <c r="O263" i="8"/>
  <c r="O261" i="8"/>
  <c r="L117" i="8"/>
  <c r="H113" i="8"/>
  <c r="J113" i="8"/>
  <c r="K113" i="8"/>
  <c r="J179" i="8"/>
  <c r="J187" i="8" s="1"/>
  <c r="K179" i="8"/>
  <c r="K187" i="8" s="1"/>
  <c r="L130" i="8"/>
  <c r="L50" i="8"/>
  <c r="J47" i="8"/>
  <c r="G75" i="8"/>
  <c r="I75" i="8" s="1"/>
  <c r="G55" i="8"/>
  <c r="I61" i="8"/>
  <c r="K47" i="8"/>
  <c r="J61" i="8"/>
  <c r="H47" i="8"/>
  <c r="I47" i="8" s="1"/>
  <c r="K132" i="8"/>
  <c r="J132" i="8"/>
  <c r="I132" i="8"/>
  <c r="G146" i="8"/>
  <c r="J195" i="8"/>
  <c r="G209" i="8"/>
  <c r="I195" i="8"/>
  <c r="K195" i="8"/>
  <c r="K197" i="8"/>
  <c r="G211" i="8"/>
  <c r="J197" i="8"/>
  <c r="I197" i="8"/>
  <c r="I182" i="8"/>
  <c r="L182" i="8" s="1"/>
  <c r="I185" i="8"/>
  <c r="L185" i="8" s="1"/>
  <c r="I52" i="8"/>
  <c r="L52" i="8" s="1"/>
  <c r="K67" i="8"/>
  <c r="I67" i="8"/>
  <c r="G81" i="8"/>
  <c r="J67" i="8"/>
  <c r="K198" i="8"/>
  <c r="J198" i="8"/>
  <c r="I198" i="8"/>
  <c r="G212" i="8"/>
  <c r="I186" i="8"/>
  <c r="L186" i="8" s="1"/>
  <c r="G210" i="8"/>
  <c r="I196" i="8"/>
  <c r="K196" i="8"/>
  <c r="J196" i="8"/>
  <c r="J199" i="8"/>
  <c r="G213" i="8"/>
  <c r="I199" i="8"/>
  <c r="K199" i="8"/>
  <c r="K129" i="8"/>
  <c r="J129" i="8"/>
  <c r="I129" i="8"/>
  <c r="G143" i="8"/>
  <c r="I116" i="8"/>
  <c r="L116" i="8" s="1"/>
  <c r="I49" i="8"/>
  <c r="L49" i="8" s="1"/>
  <c r="K194" i="8"/>
  <c r="J194" i="8"/>
  <c r="G208" i="8"/>
  <c r="I194" i="8"/>
  <c r="I119" i="8"/>
  <c r="L119" i="8" s="1"/>
  <c r="G145" i="8"/>
  <c r="I131" i="8"/>
  <c r="J131" i="8"/>
  <c r="K131" i="8"/>
  <c r="I183" i="8"/>
  <c r="L183" i="8" s="1"/>
  <c r="K64" i="8"/>
  <c r="J64" i="8"/>
  <c r="G78" i="8"/>
  <c r="I64" i="8"/>
  <c r="K128" i="8"/>
  <c r="G142" i="8"/>
  <c r="J128" i="8"/>
  <c r="I128" i="8"/>
  <c r="I181" i="8"/>
  <c r="L181" i="8" s="1"/>
  <c r="I115" i="8"/>
  <c r="L115" i="8" s="1"/>
  <c r="I54" i="8"/>
  <c r="L54" i="8" s="1"/>
  <c r="G80" i="8"/>
  <c r="I66" i="8"/>
  <c r="J66" i="8"/>
  <c r="K66" i="8"/>
  <c r="I120" i="8"/>
  <c r="L120" i="8" s="1"/>
  <c r="K63" i="8"/>
  <c r="G77" i="8"/>
  <c r="I63" i="8"/>
  <c r="J63" i="8"/>
  <c r="I180" i="8"/>
  <c r="L180" i="8" s="1"/>
  <c r="I144" i="8"/>
  <c r="J144" i="8"/>
  <c r="K144" i="8"/>
  <c r="K68" i="8"/>
  <c r="J68" i="8"/>
  <c r="I68" i="8"/>
  <c r="G82" i="8"/>
  <c r="G214" i="8"/>
  <c r="I200" i="8"/>
  <c r="J200" i="8"/>
  <c r="K200" i="8"/>
  <c r="K133" i="8"/>
  <c r="J133" i="8"/>
  <c r="G147" i="8"/>
  <c r="I133" i="8"/>
  <c r="J65" i="8"/>
  <c r="G79" i="8"/>
  <c r="I65" i="8"/>
  <c r="K65" i="8"/>
  <c r="G62" i="8"/>
  <c r="K48" i="8"/>
  <c r="J48" i="8"/>
  <c r="H48" i="8"/>
  <c r="I184" i="8"/>
  <c r="L184" i="8" s="1"/>
  <c r="J134" i="8"/>
  <c r="G148" i="8"/>
  <c r="I134" i="8"/>
  <c r="K134" i="8"/>
  <c r="G141" i="8"/>
  <c r="I127" i="8"/>
  <c r="G135" i="8"/>
  <c r="K127" i="8"/>
  <c r="J127" i="8"/>
  <c r="K121" i="8" l="1"/>
  <c r="J121" i="8"/>
  <c r="L114" i="8"/>
  <c r="I179" i="8"/>
  <c r="I187" i="8" s="1"/>
  <c r="H121" i="8"/>
  <c r="I193" i="8"/>
  <c r="I201" i="8" s="1"/>
  <c r="J193" i="8"/>
  <c r="K193" i="8"/>
  <c r="K201" i="8" s="1"/>
  <c r="G207" i="8"/>
  <c r="J207" i="8" s="1"/>
  <c r="L67" i="8"/>
  <c r="E253" i="8"/>
  <c r="F243" i="8"/>
  <c r="G269" i="8"/>
  <c r="H258" i="8"/>
  <c r="L132" i="8"/>
  <c r="L200" i="8"/>
  <c r="L195" i="8"/>
  <c r="L198" i="8"/>
  <c r="I113" i="8"/>
  <c r="L113" i="8" s="1"/>
  <c r="L121" i="8" s="1"/>
  <c r="L134" i="8"/>
  <c r="L144" i="8"/>
  <c r="L66" i="8"/>
  <c r="K75" i="8"/>
  <c r="L194" i="8"/>
  <c r="H55" i="8"/>
  <c r="J75" i="8"/>
  <c r="J55" i="8"/>
  <c r="L47" i="8"/>
  <c r="L61" i="8"/>
  <c r="K55" i="8"/>
  <c r="L129" i="8"/>
  <c r="L63" i="8"/>
  <c r="I135" i="8"/>
  <c r="L127" i="8"/>
  <c r="I79" i="8"/>
  <c r="K79" i="8"/>
  <c r="J79" i="8"/>
  <c r="K145" i="8"/>
  <c r="J145" i="8"/>
  <c r="I145" i="8"/>
  <c r="C164" i="8"/>
  <c r="E164" i="8" s="1"/>
  <c r="G164" i="8" s="1"/>
  <c r="K81" i="8"/>
  <c r="J81" i="8"/>
  <c r="I81" i="8"/>
  <c r="K211" i="8"/>
  <c r="J211" i="8"/>
  <c r="I211" i="8"/>
  <c r="G149" i="8"/>
  <c r="K141" i="8"/>
  <c r="I141" i="8"/>
  <c r="J141" i="8"/>
  <c r="I148" i="8"/>
  <c r="K148" i="8"/>
  <c r="J148" i="8"/>
  <c r="K135" i="8"/>
  <c r="L133" i="8"/>
  <c r="J82" i="8"/>
  <c r="I82" i="8"/>
  <c r="K82" i="8"/>
  <c r="L128" i="8"/>
  <c r="L64" i="8"/>
  <c r="I213" i="8"/>
  <c r="J213" i="8"/>
  <c r="K213" i="8"/>
  <c r="L196" i="8"/>
  <c r="L197" i="8"/>
  <c r="K142" i="8"/>
  <c r="J142" i="8"/>
  <c r="I142" i="8"/>
  <c r="J143" i="8"/>
  <c r="I143" i="8"/>
  <c r="K143" i="8"/>
  <c r="J135" i="8"/>
  <c r="I48" i="8"/>
  <c r="I55" i="8" s="1"/>
  <c r="G76" i="8"/>
  <c r="I62" i="8"/>
  <c r="J62" i="8"/>
  <c r="J69" i="8" s="1"/>
  <c r="K62" i="8"/>
  <c r="K69" i="8" s="1"/>
  <c r="G69" i="8"/>
  <c r="K214" i="8"/>
  <c r="J214" i="8"/>
  <c r="I214" i="8"/>
  <c r="K77" i="8"/>
  <c r="J77" i="8"/>
  <c r="I77" i="8"/>
  <c r="K80" i="8"/>
  <c r="I80" i="8"/>
  <c r="J80" i="8"/>
  <c r="J208" i="8"/>
  <c r="I208" i="8"/>
  <c r="K208" i="8"/>
  <c r="L199" i="8"/>
  <c r="I209" i="8"/>
  <c r="K209" i="8"/>
  <c r="J209" i="8"/>
  <c r="L179" i="8"/>
  <c r="L65" i="8"/>
  <c r="J147" i="8"/>
  <c r="I147" i="8"/>
  <c r="K147" i="8"/>
  <c r="L68" i="8"/>
  <c r="J78" i="8"/>
  <c r="I78" i="8"/>
  <c r="K78" i="8"/>
  <c r="L131" i="8"/>
  <c r="K210" i="8"/>
  <c r="I210" i="8"/>
  <c r="J210" i="8"/>
  <c r="J212" i="8"/>
  <c r="I212" i="8"/>
  <c r="K212" i="8"/>
  <c r="K146" i="8"/>
  <c r="J146" i="8"/>
  <c r="I146" i="8"/>
  <c r="K207" i="8" l="1"/>
  <c r="K215" i="8" s="1"/>
  <c r="L193" i="8"/>
  <c r="L201" i="8" s="1"/>
  <c r="J201" i="8"/>
  <c r="G215" i="8"/>
  <c r="I207" i="8"/>
  <c r="I215" i="8" s="1"/>
  <c r="L211" i="8"/>
  <c r="C231" i="8" s="1"/>
  <c r="E231" i="8" s="1"/>
  <c r="G231" i="8" s="1"/>
  <c r="F253" i="8"/>
  <c r="G243" i="8"/>
  <c r="L48" i="8"/>
  <c r="L55" i="8" s="1"/>
  <c r="L75" i="8"/>
  <c r="C95" i="8" s="1"/>
  <c r="E95" i="8" s="1"/>
  <c r="L146" i="8"/>
  <c r="C166" i="8" s="1"/>
  <c r="E166" i="8" s="1"/>
  <c r="G166" i="8" s="1"/>
  <c r="I258" i="8"/>
  <c r="H269" i="8"/>
  <c r="L210" i="8"/>
  <c r="C230" i="8" s="1"/>
  <c r="E230" i="8" s="1"/>
  <c r="G230" i="8" s="1"/>
  <c r="L209" i="8"/>
  <c r="C229" i="8" s="1"/>
  <c r="E229" i="8" s="1"/>
  <c r="G229" i="8" s="1"/>
  <c r="L214" i="8"/>
  <c r="C234" i="8" s="1"/>
  <c r="E234" i="8" s="1"/>
  <c r="G234" i="8" s="1"/>
  <c r="L148" i="8"/>
  <c r="C168" i="8" s="1"/>
  <c r="E168" i="8" s="1"/>
  <c r="G168" i="8" s="1"/>
  <c r="I121" i="8"/>
  <c r="L147" i="8"/>
  <c r="C167" i="8" s="1"/>
  <c r="E167" i="8" s="1"/>
  <c r="G167" i="8" s="1"/>
  <c r="L145" i="8"/>
  <c r="C165" i="8" s="1"/>
  <c r="E165" i="8" s="1"/>
  <c r="G165" i="8" s="1"/>
  <c r="L81" i="8"/>
  <c r="C101" i="8" s="1"/>
  <c r="E101" i="8" s="1"/>
  <c r="G101" i="8" s="1"/>
  <c r="L208" i="8"/>
  <c r="C228" i="8" s="1"/>
  <c r="E228" i="8" s="1"/>
  <c r="G228" i="8" s="1"/>
  <c r="L77" i="8"/>
  <c r="C97" i="8" s="1"/>
  <c r="E97" i="8" s="1"/>
  <c r="G97" i="8" s="1"/>
  <c r="L78" i="8"/>
  <c r="C98" i="8" s="1"/>
  <c r="E98" i="8" s="1"/>
  <c r="G98" i="8" s="1"/>
  <c r="L62" i="8"/>
  <c r="L69" i="8" s="1"/>
  <c r="I69" i="8"/>
  <c r="L142" i="8"/>
  <c r="C162" i="8" s="1"/>
  <c r="E162" i="8" s="1"/>
  <c r="J149" i="8"/>
  <c r="L79" i="8"/>
  <c r="C99" i="8" s="1"/>
  <c r="E99" i="8" s="1"/>
  <c r="G99" i="8" s="1"/>
  <c r="L207" i="8"/>
  <c r="L187" i="8"/>
  <c r="K149" i="8"/>
  <c r="L212" i="8"/>
  <c r="C232" i="8" s="1"/>
  <c r="E232" i="8" s="1"/>
  <c r="G232" i="8" s="1"/>
  <c r="L82" i="8"/>
  <c r="C102" i="8" s="1"/>
  <c r="E102" i="8" s="1"/>
  <c r="G102" i="8" s="1"/>
  <c r="J215" i="8"/>
  <c r="L80" i="8"/>
  <c r="C100" i="8" s="1"/>
  <c r="E100" i="8" s="1"/>
  <c r="G100" i="8" s="1"/>
  <c r="K76" i="8"/>
  <c r="K83" i="8" s="1"/>
  <c r="J76" i="8"/>
  <c r="J83" i="8" s="1"/>
  <c r="I76" i="8"/>
  <c r="G83" i="8"/>
  <c r="L143" i="8"/>
  <c r="C163" i="8" s="1"/>
  <c r="E163" i="8" s="1"/>
  <c r="G163" i="8" s="1"/>
  <c r="L213" i="8"/>
  <c r="C233" i="8" s="1"/>
  <c r="E233" i="8" s="1"/>
  <c r="G233" i="8" s="1"/>
  <c r="L141" i="8"/>
  <c r="I149" i="8"/>
  <c r="L135" i="8"/>
  <c r="E325" i="8" l="1"/>
  <c r="G325" i="8" s="1"/>
  <c r="E331" i="8"/>
  <c r="G331" i="8" s="1"/>
  <c r="E322" i="8"/>
  <c r="G322" i="8" s="1"/>
  <c r="E332" i="8"/>
  <c r="G332" i="8" s="1"/>
  <c r="I332" i="8" s="1"/>
  <c r="E329" i="8"/>
  <c r="G329" i="8" s="1"/>
  <c r="G162" i="8"/>
  <c r="G253" i="8"/>
  <c r="H243" i="8"/>
  <c r="J258" i="8"/>
  <c r="I269" i="8"/>
  <c r="L215" i="8"/>
  <c r="H219" i="8" s="1"/>
  <c r="L149" i="8"/>
  <c r="L151" i="8" s="1"/>
  <c r="H154" i="8" s="1"/>
  <c r="C161" i="8"/>
  <c r="C227" i="8"/>
  <c r="G95" i="8"/>
  <c r="L76" i="8"/>
  <c r="I83" i="8"/>
  <c r="L217" i="8"/>
  <c r="H220" i="8" s="1"/>
  <c r="M332" i="8" l="1"/>
  <c r="E353" i="8"/>
  <c r="I329" i="8"/>
  <c r="I243" i="8"/>
  <c r="H253" i="8"/>
  <c r="J269" i="8"/>
  <c r="K258" i="8"/>
  <c r="H153" i="8"/>
  <c r="E161" i="8"/>
  <c r="C169" i="8"/>
  <c r="L83" i="8"/>
  <c r="C96" i="8"/>
  <c r="E227" i="8"/>
  <c r="C235" i="8"/>
  <c r="G353" i="8" l="1"/>
  <c r="D353" i="8"/>
  <c r="M329" i="8"/>
  <c r="E351" i="8"/>
  <c r="E326" i="8"/>
  <c r="G326" i="8" s="1"/>
  <c r="I326" i="8" s="1"/>
  <c r="M326" i="8" s="1"/>
  <c r="E323" i="8"/>
  <c r="G323" i="8" s="1"/>
  <c r="I323" i="8" s="1"/>
  <c r="M323" i="8" s="1"/>
  <c r="E320" i="8"/>
  <c r="G320" i="8" s="1"/>
  <c r="I320" i="8" s="1"/>
  <c r="J243" i="8"/>
  <c r="I253" i="8"/>
  <c r="K269" i="8"/>
  <c r="L258" i="8"/>
  <c r="E235" i="8"/>
  <c r="G227" i="8"/>
  <c r="G235" i="8" s="1"/>
  <c r="L85" i="8"/>
  <c r="H88" i="8" s="1"/>
  <c r="H87" i="8"/>
  <c r="E96" i="8"/>
  <c r="C103" i="8"/>
  <c r="G161" i="8"/>
  <c r="G169" i="8" s="1"/>
  <c r="E169" i="8"/>
  <c r="D351" i="8" l="1"/>
  <c r="G351" i="8"/>
  <c r="M320" i="8"/>
  <c r="E349" i="8"/>
  <c r="J253" i="8"/>
  <c r="K243" i="8"/>
  <c r="M258" i="8"/>
  <c r="L269" i="8"/>
  <c r="G96" i="8"/>
  <c r="G103" i="8" s="1"/>
  <c r="E103" i="8"/>
  <c r="D349" i="8" l="1"/>
  <c r="G349" i="8"/>
  <c r="G363" i="8" s="1"/>
  <c r="K253" i="8"/>
  <c r="L243" i="8"/>
  <c r="M269" i="8"/>
  <c r="N258" i="8"/>
  <c r="M243" i="8" l="1"/>
  <c r="L253" i="8"/>
  <c r="N269" i="8"/>
  <c r="O258" i="8"/>
  <c r="O269" i="8" s="1"/>
  <c r="M253" i="8" l="1"/>
  <c r="N243" i="8"/>
  <c r="N253" i="8" l="1"/>
  <c r="O243" i="8"/>
  <c r="O25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Area de Sistemas</author>
    <author>c705la</author>
  </authors>
  <commentList>
    <comment ref="C47" authorId="0" shapeId="0" xr:uid="{FB798812-E15E-467D-A880-32BC59663DA2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Salario menor a 2 mínimos + auxilio de transporte</t>
        </r>
      </text>
    </comment>
    <comment ref="E94" authorId="1" shapeId="0" xr:uid="{DF18EAD0-8108-4289-B256-72345D0034E1}">
      <text>
        <r>
          <rPr>
            <sz val="8"/>
            <color indexed="81"/>
            <rFont val="Tahoma"/>
            <family val="2"/>
          </rPr>
          <t>Este es el valor hora por cargo asumiendo una sola persona por cargo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95" authorId="1" shapeId="0" xr:uid="{39683DBA-AC32-4C52-9720-928CCEF7952C}">
      <text>
        <r>
          <rPr>
            <sz val="8"/>
            <color indexed="81"/>
            <rFont val="Tahoma"/>
            <family val="2"/>
          </rPr>
          <t xml:space="preserve">Este es el valor hora acumulado teniendo en cuenta el total de personas que laboran para el cargo mencionado
</t>
        </r>
      </text>
    </comment>
    <comment ref="C114" authorId="0" shapeId="0" xr:uid="{7DAA8B88-FFFD-4CF1-81B0-5F4D181AC393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Salario mínimo + auxilio de transporte</t>
        </r>
      </text>
    </comment>
    <comment ref="E160" authorId="1" shapeId="0" xr:uid="{75CD4A72-7209-42A6-BAE9-8CD0331E73F2}">
      <text>
        <r>
          <rPr>
            <sz val="8"/>
            <color indexed="81"/>
            <rFont val="Tahoma"/>
            <family val="2"/>
          </rPr>
          <t>Este es el valor hora por cargo asumiendo una sola persona por cargo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61" authorId="1" shapeId="0" xr:uid="{8A13C1D3-30D3-44F2-92EC-54EF6A21DDEE}">
      <text>
        <r>
          <rPr>
            <sz val="8"/>
            <color indexed="81"/>
            <rFont val="Tahoma"/>
            <family val="2"/>
          </rPr>
          <t xml:space="preserve">Este es el valor hora acumulado teniendo en cuenta el total de personas que laboran para el cargo mencionado
</t>
        </r>
      </text>
    </comment>
    <comment ref="E226" authorId="1" shapeId="0" xr:uid="{6F35B03C-4194-4CC5-9E97-76E8D80D7C36}">
      <text>
        <r>
          <rPr>
            <sz val="8"/>
            <color indexed="81"/>
            <rFont val="Tahoma"/>
            <family val="2"/>
          </rPr>
          <t>Este es el valor hora por cargo asumiendo una sola persona por cargo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27" authorId="1" shapeId="0" xr:uid="{5828CE69-5908-4CF9-9989-23DDB1DFB5DC}">
      <text>
        <r>
          <rPr>
            <sz val="8"/>
            <color indexed="81"/>
            <rFont val="Tahoma"/>
            <family val="2"/>
          </rPr>
          <t xml:space="preserve">Este es el valor hora acumulado teniendo en cuenta el total de personas que laboran para el cargo mencionado
</t>
        </r>
      </text>
    </comment>
    <comment ref="C243" authorId="2" shapeId="0" xr:uid="{E9E6A4EF-1C05-4BDA-A6DD-DF86A99870C6}">
      <text>
        <r>
          <rPr>
            <sz val="9"/>
            <color indexed="81"/>
            <rFont val="Tahoma"/>
            <family val="2"/>
          </rPr>
          <t>Agua=55000
Luz=75000</t>
        </r>
      </text>
    </comment>
    <comment ref="C246" authorId="0" shapeId="0" xr:uid="{75A98363-4785-4A27-AACF-346D1FC1BC8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Deprecicación genera a 10 años.
Se llevara 12 meses * 10 años</t>
        </r>
      </text>
    </comment>
    <comment ref="B250" authorId="0" shapeId="0" xr:uid="{53A4D800-76EA-414A-A93F-B895E468554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Telefonica + plan Internet=80000</t>
        </r>
      </text>
    </comment>
    <comment ref="C252" authorId="0" shapeId="0" xr:uid="{52CBD4F5-E53E-482E-98B5-1A6227CE1B9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 encontraba $1,400,000</t>
        </r>
      </text>
    </comment>
    <comment ref="C258" authorId="2" shapeId="0" xr:uid="{53D247AF-B62C-4C21-88A9-16E5CF424478}">
      <text>
        <r>
          <rPr>
            <sz val="9"/>
            <color indexed="81"/>
            <rFont val="Tahoma"/>
            <family val="2"/>
          </rPr>
          <t>INSERTE EL VALOR MENSUAL DEL GASTO ESTIMADO</t>
        </r>
      </text>
    </comment>
    <comment ref="C265" authorId="0" shapeId="0" xr:uid="{AED276D0-EE01-47CC-942F-756D85AF518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Deprecicación genera a 12 años.
Se llevara 12 meses * 12 años</t>
        </r>
      </text>
    </comment>
    <comment ref="C275" authorId="2" shapeId="0" xr:uid="{BF89526E-9032-4364-862A-75C8E760BF56}">
      <text>
        <r>
          <rPr>
            <sz val="9"/>
            <color indexed="81"/>
            <rFont val="Tahoma"/>
            <family val="2"/>
          </rPr>
          <t>INSERTE EL VALOR MENSUAL DEL GASTO ESTIMADO</t>
        </r>
      </text>
    </comment>
    <comment ref="B345" authorId="0" shapeId="0" xr:uid="{17763FC1-042D-4C5E-A4BC-9657C0FA5681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Mantenimiento realizado 3 veces al año (700 USD)</t>
        </r>
      </text>
    </comment>
    <comment ref="B357" authorId="0" shapeId="0" xr:uid="{0A584E8B-83CA-44FC-9C6F-82392ABBE9E1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(tara:3800 kg + 16 ton mini planta) en tracto camion de 3 ejes_tractomula con semiremolque de 3 ejes</t>
        </r>
      </text>
    </comment>
    <comment ref="B359" authorId="0" shapeId="0" xr:uid="{EADB053A-D6DB-479D-B336-E2766016F32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de m2 de concreto $142.062</t>
        </r>
      </text>
    </comment>
    <comment ref="B361" authorId="0" shapeId="0" xr:uid="{0EF63C47-9F41-416A-9085-8B4B38DCD1F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Cubierta cotización arquitecto Luis Alberto Garzon Jimenez  1m2=$426.954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<sst xmlns="http://schemas.openxmlformats.org/spreadsheetml/2006/main" count="623" uniqueCount="320">
  <si>
    <t>TOTAL</t>
  </si>
  <si>
    <t>ITEM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</si>
  <si>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</si>
  <si>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</si>
  <si>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</si>
  <si>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</si>
  <si>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</si>
  <si>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</si>
  <si>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</si>
  <si>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</si>
  <si>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</si>
  <si>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</si>
  <si>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</si>
  <si>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</si>
  <si>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TOTALES</t>
  </si>
  <si>
    <t>Servicios Públicos</t>
  </si>
  <si>
    <t>Impuestos Diferentes renta</t>
  </si>
  <si>
    <t>Transportes</t>
  </si>
  <si>
    <t>PRESUPUESTO GASTOS ADMINISTRATIVOS Y DE VENTAS</t>
  </si>
  <si>
    <t>Depreciaciones Edificios, Mueb.y Ens.</t>
  </si>
  <si>
    <t>Provisión Deudas Malas</t>
  </si>
  <si>
    <t>Propaganda y otros Gastos</t>
  </si>
  <si>
    <t>BASES DE CALCULO</t>
  </si>
  <si>
    <r>
      <t xml:space="preserve">                </t>
    </r>
    <r>
      <rPr>
        <sz val="9"/>
        <color indexed="60"/>
        <rFont val="Arial"/>
        <family val="2"/>
      </rPr>
      <t xml:space="preserve">(1)   </t>
    </r>
    <r>
      <rPr>
        <sz val="9"/>
        <rFont val="Arial"/>
        <family val="2"/>
      </rPr>
      <t xml:space="preserve">     LOS SALARIOS DEBEN OBEDECER A LAS CONDICIONES MINIMAS QUE OFERTA EL MERCADO Y LA REGULACION DE LA LEY,  LAS CIFRAS SE EXPRESAN MENSUALIZADAS Y</t>
    </r>
  </si>
  <si>
    <t xml:space="preserve">                             DEBEN INVOLUCRAR TODOS LOS SALARIOS TANTO DE ADMINISTRATIVOS COMO DE PRODUCCION Y MERCADEO O VENTAS</t>
  </si>
  <si>
    <r>
      <t xml:space="preserve">                </t>
    </r>
    <r>
      <rPr>
        <sz val="9"/>
        <color indexed="60"/>
        <rFont val="Arial"/>
        <family val="2"/>
      </rPr>
      <t>(2)</t>
    </r>
    <r>
      <rPr>
        <sz val="9"/>
        <rFont val="Arial"/>
        <family val="2"/>
      </rPr>
      <t xml:space="preserve">        LA CANTIDAD DE CARGOS Y DE PERSONAS OBEDECEN A LAS NECESIDADES DE CAPACIDAD INSTALADA DEL ESCENARIO PROBABLE</t>
    </r>
  </si>
  <si>
    <r>
      <t xml:space="preserve">                </t>
    </r>
    <r>
      <rPr>
        <sz val="9"/>
        <color indexed="60"/>
        <rFont val="Arial"/>
        <family val="2"/>
      </rPr>
      <t>(3)</t>
    </r>
    <r>
      <rPr>
        <sz val="9"/>
        <rFont val="Arial"/>
        <family val="2"/>
      </rPr>
      <t xml:space="preserve">        SE DEBEN CALCULAR LAS PRESTACIONES SOCIALES Y LOS FACTORES DE SEGURIDAD SOCIAL CONSIDERADOS POR LA LEY LABORAL</t>
    </r>
  </si>
  <si>
    <r>
      <t xml:space="preserve">               </t>
    </r>
    <r>
      <rPr>
        <sz val="9"/>
        <color indexed="60"/>
        <rFont val="Arial"/>
        <family val="2"/>
      </rPr>
      <t xml:space="preserve"> (4) </t>
    </r>
    <r>
      <rPr>
        <sz val="9"/>
        <rFont val="Arial"/>
        <family val="2"/>
      </rPr>
      <t xml:space="preserve">       EN EL PASO DE UN AÑO A OTRO SE DEBE CONSIDERAR COMO MINIMO AUMENTOS QUE CUBRAN LA INFLACION A FIN DE GARANTIZAR UNA ESCALA SALARIAL QUE MOTIVE</t>
    </r>
  </si>
  <si>
    <t xml:space="preserve">                             Y GARANTICE EMPLEO DIGNO.</t>
  </si>
  <si>
    <r>
      <rPr>
        <sz val="9"/>
        <color indexed="60"/>
        <rFont val="Arial"/>
        <family val="2"/>
      </rPr>
      <t xml:space="preserve">                (5)</t>
    </r>
    <r>
      <rPr>
        <sz val="9"/>
        <rFont val="Arial"/>
        <family val="2"/>
      </rPr>
      <t xml:space="preserve">       ENCONTRARÁ TRES TABLAS DE NOMINA, DISEÑADA PARA EL INGRESO DE:</t>
    </r>
  </si>
  <si>
    <t xml:space="preserve">                            * NOMBRES DE CARGO </t>
  </si>
  <si>
    <t xml:space="preserve">                            * SALARIO BÁSICO</t>
  </si>
  <si>
    <t>(6) AL FINAL DE LA TABLA APARECEN LOS CARGOS Y EL VALOR HORA, ESTA ULTIMA RESULTANTE DE EL VALOR DE NOMINA DIVIDIDO 190 HORAS QUE SON LAS HORAS REALES DE TRABAJO AL MES</t>
  </si>
  <si>
    <t>(7) EN CASO DE QUE LA PROYECCION DE LA CAPACIDAD INSTALADA INVOLUCRE HORAS EXTRAS, EN CADA CASO SE DEBE HACER EL ESTIMATIVO CON EL AUMENTO DEL COSTO ESTIMADO EN LA LEY</t>
  </si>
  <si>
    <t>NOMINA DEPARTAMENTO DE PRODUCCIÓN PRIMER MES (AÑO 1)</t>
  </si>
  <si>
    <t>PRESTACIONES SOCIALES</t>
  </si>
  <si>
    <t>NOMBRE</t>
  </si>
  <si>
    <t>SALARIO BASE</t>
  </si>
  <si>
    <t>FACTOR</t>
  </si>
  <si>
    <t>SALARIO</t>
  </si>
  <si>
    <t>N. PERSONAS</t>
  </si>
  <si>
    <t>VALOR</t>
  </si>
  <si>
    <t>CESANTIA</t>
  </si>
  <si>
    <t>INT CESANTIA</t>
  </si>
  <si>
    <t>PRIMA</t>
  </si>
  <si>
    <t>VACACIONES</t>
  </si>
  <si>
    <t>SUBTOTAL</t>
  </si>
  <si>
    <t>DE CARGO</t>
  </si>
  <si>
    <t>(A)</t>
  </si>
  <si>
    <t>INFLACION</t>
  </si>
  <si>
    <t>INDEXADO</t>
  </si>
  <si>
    <t>(B)</t>
  </si>
  <si>
    <t>NOMINA BASE</t>
  </si>
  <si>
    <t>(C) X 0.0833 =(D)</t>
  </si>
  <si>
    <t xml:space="preserve"> (D) X 0.01</t>
  </si>
  <si>
    <t>(C) X 0.0833</t>
  </si>
  <si>
    <t>(C) X 0.0416</t>
  </si>
  <si>
    <t>PRESTACIONES (H)</t>
  </si>
  <si>
    <t>(A) X (B) =(C)</t>
  </si>
  <si>
    <t>(D)</t>
  </si>
  <si>
    <t>(E)</t>
  </si>
  <si>
    <t>(F)</t>
  </si>
  <si>
    <t>(G)</t>
  </si>
  <si>
    <t>(D+E+F+G = H)</t>
  </si>
  <si>
    <t>SEGURIDAD SOCIAL</t>
  </si>
  <si>
    <t>EPS</t>
  </si>
  <si>
    <t>FPP</t>
  </si>
  <si>
    <t>ARP</t>
  </si>
  <si>
    <t>(C) X 0.085</t>
  </si>
  <si>
    <t>(C) X 0.11625</t>
  </si>
  <si>
    <t>(C) X 0.0522</t>
  </si>
  <si>
    <t>SEGURIDAD (L)</t>
  </si>
  <si>
    <t>(A) + (B) =(C)</t>
  </si>
  <si>
    <t>(I)</t>
  </si>
  <si>
    <t>(J)</t>
  </si>
  <si>
    <t>(K)</t>
  </si>
  <si>
    <t xml:space="preserve"> (I +J+K =L)</t>
  </si>
  <si>
    <t>PARAFISCALES</t>
  </si>
  <si>
    <t>CAJA</t>
  </si>
  <si>
    <t>ICBF</t>
  </si>
  <si>
    <t>SENA</t>
  </si>
  <si>
    <t>(C) X 0.04</t>
  </si>
  <si>
    <t>(C) X 0.03</t>
  </si>
  <si>
    <t>(C) X 0.02</t>
  </si>
  <si>
    <t>PARAFISCALES (O)</t>
  </si>
  <si>
    <t>(M)</t>
  </si>
  <si>
    <t>(N)</t>
  </si>
  <si>
    <t>(Ñ)</t>
  </si>
  <si>
    <t xml:space="preserve"> (M+N+Ñ =O)</t>
  </si>
  <si>
    <t>TOTAL COSTOS LABORALES MES C+ H+L+O = P</t>
  </si>
  <si>
    <t>(P)</t>
  </si>
  <si>
    <t>DATOS PARA INFORMES ECONOMICOS Y FINANCIEROS</t>
  </si>
  <si>
    <t>COSTOS MENSUALES PAGADOS (CAJA)</t>
  </si>
  <si>
    <t>(C+O+L)</t>
  </si>
  <si>
    <t>COSTOS MENSUALES CAUSADOS</t>
  </si>
  <si>
    <t>TABLA DE SALARIOS PRIMER MES (AÑO 1) - RESUMEN PARA PRESUPUESTO PRODUCCIÓN</t>
  </si>
  <si>
    <t>NOMBRE DEL CARGO</t>
  </si>
  <si>
    <t>COSTO LABORAL</t>
  </si>
  <si>
    <t>N. HORAS /</t>
  </si>
  <si>
    <t>VALOR HORA</t>
  </si>
  <si>
    <t>PERSONAS</t>
  </si>
  <si>
    <t>POR CARGO</t>
  </si>
  <si>
    <t>PTO TOTAL</t>
  </si>
  <si>
    <t>NOMINA DEPARTAMENTO ADMINISTRACIÓN PRIMER MES (AÑO 1)</t>
  </si>
  <si>
    <t>TABLA DE SALARIOS PRIMER MES (AÑO 1) - RESUMEN PARA PRESUPUESTO DE ADMINISTRACIÓN</t>
  </si>
  <si>
    <t>NOMINA DEPARTAMENTO VENTAS PRIMER MES (AÑO 1)</t>
  </si>
  <si>
    <t>TABLA DE SALARIOS PRIMER MES (AÑO 1) - RESUMEN PARA PRESUPUESTO DE VENTAS</t>
  </si>
  <si>
    <t>Tasa de cambio Salario Base</t>
  </si>
  <si>
    <t>Muebles y Enseres</t>
  </si>
  <si>
    <t>Descripción</t>
  </si>
  <si>
    <t>Cantidad</t>
  </si>
  <si>
    <t>Internet</t>
  </si>
  <si>
    <t>Archivador</t>
  </si>
  <si>
    <t>Escritorios</t>
  </si>
  <si>
    <t>Sillas</t>
  </si>
  <si>
    <t>Costo Total</t>
  </si>
  <si>
    <t>Fijo</t>
  </si>
  <si>
    <t>Tipo de gasto</t>
  </si>
  <si>
    <t>Costo unitario</t>
  </si>
  <si>
    <t>Necesidad</t>
  </si>
  <si>
    <t>Tipo de activo</t>
  </si>
  <si>
    <t>Único</t>
  </si>
  <si>
    <t>Equipos de oficina</t>
  </si>
  <si>
    <t>Comunicaciones (celular)</t>
  </si>
  <si>
    <t>Equipo cafetería</t>
  </si>
  <si>
    <t>Licencias y software</t>
  </si>
  <si>
    <t>Intangible</t>
  </si>
  <si>
    <t>Suscripción anual</t>
  </si>
  <si>
    <t>No aplica</t>
  </si>
  <si>
    <t>Técnico Mantenimiento</t>
  </si>
  <si>
    <t>Presidente CEO</t>
  </si>
  <si>
    <t>PRESUPUESTO DE COSTOS LABORALES</t>
  </si>
  <si>
    <t>Presupuesto de costo administrativo</t>
  </si>
  <si>
    <t xml:space="preserve">        SE PLANTEA EN ESTE CASO; SERVICIOS PÚBLICOS, MANTENIMIENTO DE MAQUINARIA, DEPRECIACIONES, IMPUESTOS DIFERENTES DE RENTA Y GASTOS VARIOS, SI EL PROYECTO PRESENTA OTROS; DIGITELOS.</t>
  </si>
  <si>
    <t xml:space="preserve">        SE PLANTEA; ARRIENDOS, HONORARIOS, SERVICIOS PÚBLICOS, DEPRECIACIONES, GASTOS GENERALES, SUMINISTROS Y OTROS ADMINISTRATIVOS, EN EL EVENTO DE REQUERIR OTROS, DIGITELOS</t>
  </si>
  <si>
    <t>Arrendamiento de Oficina</t>
  </si>
  <si>
    <t>Depreciación Equipos</t>
  </si>
  <si>
    <t>Mantenimiento equipos de computo</t>
  </si>
  <si>
    <t>Transportes por viaticos</t>
  </si>
  <si>
    <t>Gastos Administración de representación</t>
  </si>
  <si>
    <t xml:space="preserve">        SE PLANTEA; LAS ESTRATEGIAS DE PUBLICIDAD PARA LAS 4P: Producto, Precio, Plaza, Promoción. Todo lo pagado para publicidad: Pauta segmentada, Google Ads, Eventos, Voluntariado, publicidad en radio.</t>
  </si>
  <si>
    <t>Outosorcing Honorarios Abogado</t>
  </si>
  <si>
    <t>Outosorcing Honorarios Contador</t>
  </si>
  <si>
    <t>Gastos Menores</t>
  </si>
  <si>
    <t>Muebles y enseres</t>
  </si>
  <si>
    <t xml:space="preserve">Mesa de reunión 6 puestos </t>
  </si>
  <si>
    <t xml:space="preserve">multifunciona: Impresora + scanner + fotocopiadora </t>
  </si>
  <si>
    <t>Telefono + Contestadora</t>
  </si>
  <si>
    <t>Gastos de Puesta en marcha</t>
  </si>
  <si>
    <t>Disco duro portatil 1000 Gb</t>
  </si>
  <si>
    <t xml:space="preserve">Computadore de escritorio RAM de 8Gb - 500 Gb </t>
  </si>
  <si>
    <t xml:space="preserve">Computadore portatil RAM de 8Gb - 250 Gb </t>
  </si>
  <si>
    <t>Licencia de software Diseño - AutoCad</t>
  </si>
  <si>
    <t>Licencia software planificador de proyectos - Office Project</t>
  </si>
  <si>
    <t>Licencia de Antivirus</t>
  </si>
  <si>
    <t>Acta de constitución, registro de estatutos y registro en la cámara de comercio de Sogamoso</t>
  </si>
  <si>
    <t>Registro de documento en Gobernación de Boyacá</t>
  </si>
  <si>
    <t>Apertura cuenta bancaria a titulo de la empresa</t>
  </si>
  <si>
    <t>Total Muebles y enseres</t>
  </si>
  <si>
    <t>Total Equipos de oficina</t>
  </si>
  <si>
    <t>Total Licencias y software</t>
  </si>
  <si>
    <t>Total Gastos de Puesta en marcha</t>
  </si>
  <si>
    <t>Total general</t>
  </si>
  <si>
    <t>Suit de Office 365</t>
  </si>
  <si>
    <t>Papeleria</t>
  </si>
  <si>
    <t>Polizas de seguro (para proyectos)</t>
  </si>
  <si>
    <t>PROYECCIÓN COSTOS DE PRODUCCIÓN</t>
  </si>
  <si>
    <t>Servicios ofrecidos</t>
  </si>
  <si>
    <t># de horas por servicio</t>
  </si>
  <si>
    <t>Cantidad de horas por servicios</t>
  </si>
  <si>
    <t>Importación de maquinaria, equipos y repuestos con enfoque en el cuidado del medio ambiente</t>
  </si>
  <si>
    <t>Venta de maquinaria, equipos y repuestos</t>
  </si>
  <si>
    <t>Soporte técnico</t>
  </si>
  <si>
    <t>Mantenimiento de maquinaria o equipos</t>
  </si>
  <si>
    <t>Capacitación</t>
  </si>
  <si>
    <t>Recurso Humano</t>
  </si>
  <si>
    <t>Costo M.O x Hora</t>
  </si>
  <si>
    <t>Costo x Servicio</t>
  </si>
  <si>
    <t>Nombre del cargo</t>
  </si>
  <si>
    <t>Funciones</t>
  </si>
  <si>
    <t>Analista</t>
  </si>
  <si>
    <t>N/A</t>
  </si>
  <si>
    <t>Horas total de servicio</t>
  </si>
  <si>
    <t>Costo M.O x horas de servicio</t>
  </si>
  <si>
    <t>Cantidad de servicios</t>
  </si>
  <si>
    <t>Costo Total x Servicios</t>
  </si>
  <si>
    <t># de servicios disponibles x RRHH</t>
  </si>
  <si>
    <t>Horas x mes</t>
  </si>
  <si>
    <t>Miniplanta de Pirolisis de 1,5 Ton</t>
  </si>
  <si>
    <t>TRM</t>
  </si>
  <si>
    <t>Cortador de llanta</t>
  </si>
  <si>
    <t>Sistema hidraulico de carga</t>
  </si>
  <si>
    <t>Implantación 60m2 de concreto (12m x 5m)</t>
  </si>
  <si>
    <t>Cubierta de 60m2 (12m x 5m)</t>
  </si>
  <si>
    <t>Precio de compra (USD)</t>
  </si>
  <si>
    <t>Precio de compra (COP)</t>
  </si>
  <si>
    <t xml:space="preserve">Transporte maritimo a puerto China-Cartagena </t>
  </si>
  <si>
    <t>Transporte terrestre TICE-TAC Cartagena-Duitama 1*40HQ</t>
  </si>
  <si>
    <t>Total Producto #1</t>
  </si>
  <si>
    <t>Producto ofrecido #1 Miniplanta de Pirolisis</t>
  </si>
  <si>
    <t>IVA 19% + Arancel 10% (Impuesto nacionalización)</t>
  </si>
  <si>
    <t>Repuestos para mantenimiento</t>
  </si>
  <si>
    <t>Cargo y funciones INPIAL S.A.S</t>
  </si>
  <si>
    <t>PRESUPUESTO DE NÓMINA: OPERACIONAL, ADMINISTRATIVA Y DE VENTAS INPIAL S.A.S</t>
  </si>
  <si>
    <t>PRESUPUESTO COSTOS INDIRECTOS DE FABRICACIÓN - CIF // INPIAL S.A.S</t>
  </si>
  <si>
    <t>PRESUPUESTO GASTOS DE MERCADEO // INPIAL S.A.S</t>
  </si>
  <si>
    <t>PRESUPUESTO INVERSIÓN INICIAL //  INPIAL S.A.S</t>
  </si>
  <si>
    <t>Proyección de costos // INPIAL S.A.S</t>
  </si>
  <si>
    <t>Telefonia celular</t>
  </si>
  <si>
    <t>Servicio de aseo</t>
  </si>
  <si>
    <t>Link de compra</t>
  </si>
  <si>
    <t>https://www.falabella.com.co/falabella-co/product/33256933/Escritorio-Pc-Madesa-Alaska-3-Cajones-1-Puerta/33256934</t>
  </si>
  <si>
    <t>https://www.homecenter.com.co/homecenter-co/product/296038/mesa-de-juntas-73x180x100cm-pedestal-en-v/296038/</t>
  </si>
  <si>
    <t>https://www.falabella.com.co/falabella-co/product/58754146/Silla-De-Oficina-Gerencial-En-Cuero-Color-Negro/58754147</t>
  </si>
  <si>
    <t>https://www.falabella.com.co/falabella-co/product/118647742/Archivador-horizontal-3-gavetas-gris-atardecer/118647745</t>
  </si>
  <si>
    <t>https://www.exito.com/cafetera-electrica-6-tz-universal-65660-negro-100029991-mp/p</t>
  </si>
  <si>
    <t>https://www.exito.com/computador-hp-core-i3-10gen-8gb-512gb-slim-monitor-de-215-102261499-mp/p</t>
  </si>
  <si>
    <t>https://www.exito.com/computador-portatil-hp-pavilion-intel-core-i5-1135g7-8-gb-256-gb-ssd-15-eg0500la-3094735/p</t>
  </si>
  <si>
    <t>https://www.mercadolibre.com.co/disco-duro-externo-toshiba-canvio-basics-hdtb410xk3aa-1tb-negro/p/MCO10687522#searchVariation=MCO10687522&amp;position=1&amp;search_layout=stack&amp;type=product&amp;tracking_id=35299816-fd0a-4b75-b194-df64b740d1d3</t>
  </si>
  <si>
    <t>https://www.mercadolibre.com.co/impresora-multifuncion-hp-laserjet-432fdn-blanca-110v/p/MCO17006233?matt_tool=56249061&amp;matt_word=&amp;matt_source=google&amp;matt_campaign_id=14634237764&amp;matt_ad_group_id=153732147348&amp;matt_match_type=&amp;matt_network=g&amp;matt_device=c&amp;matt_creative=644988712045&amp;matt_keyword=&amp;matt_ad_position=&amp;matt_ad_type=pla&amp;matt_merchant_id=264123794&amp;matt_product_id=MCO17006233-product&amp;matt_product_partition_id=1940804807171&amp;matt_target_id=pla-1940804807171&amp;gclid=Cj0KCQjw27mhBhC9ARIsAIFsETFXCLt2bRFilVATMJa5R-GosWapRNF3eySwbuakiSH-aQh0-roDaCUaAhYtEALw_wcB</t>
  </si>
  <si>
    <t>https://www.alkosto.com/telefono-inalambrico-dect-panasonic-contestadoratgc360-negro/p/5025232842056?fuente=google&amp;medio=cpc&amp;campaign=AK_COL_MAX_PEF_CPC_AON_TLP_Panasonic_Mar20_EXP_MAR&amp;keyword=&amp;gclid=Cj0KCQjw27mhBhC9ARIsAIFsETHU54cHsbbpHF29XkyF4kMbDwX2AjbUQ8rtypbfhuWin8b0meWiIVYaApGKEALw_wcB</t>
  </si>
  <si>
    <t>https://www.exito.com/celular-samsung-galaxy-a13-64-gb-azul-3067059/p</t>
  </si>
  <si>
    <t>https://www.exito.com/office-365-personal-suscripcion-1-usuario-1-ano-100044498-mp/p</t>
  </si>
  <si>
    <t>https://tecnodigital.shop/programas/39-microsoft-project-profesional-2021-descarga-digital-vitalicio-para-windows.html?gclid=Cj0KCQjw27mhBhC9ARIsAIFsETHpWWFwyDO41npx8V2oTwwhaLo-1PE46JNDSWGKyxONBVnTwXtrsrIaAnFHEALw_wcB</t>
  </si>
  <si>
    <t>https://articulo.mercadolibre.com.co/MCO-961749546-autocad-lt-2023-1-usuario-suscripcion-anual-pc-mac-os-_JM#position=4&amp;search_layout=stack&amp;type=item&amp;tracking_id=7c4eba7d-f9c5-4e0c-aa3e-78188d0178de</t>
  </si>
  <si>
    <t>https://tecnodigital.shop/busqueda?controller=search&amp;s=antivirus</t>
  </si>
  <si>
    <t xml:space="preserve">Descripcion </t>
  </si>
  <si>
    <t xml:space="preserve">Imagen </t>
  </si>
  <si>
    <t>Mesa de reunión 6 puestos </t>
  </si>
  <si>
    <t>Equipos de Oficina</t>
  </si>
  <si>
    <t>Computadores de escritorio RAM de 8Gb - 500 Gb </t>
  </si>
  <si>
    <t>Computador portatil RAM de 8Gb - 250 Gb </t>
  </si>
  <si>
    <t>multifuncional: Impresora + scanner + fotocopiadora </t>
  </si>
  <si>
    <t>Licencias y Software</t>
  </si>
  <si>
    <t>Suit de Officce 365</t>
  </si>
  <si>
    <t>Producto evaluado</t>
  </si>
  <si>
    <t>Año 1</t>
  </si>
  <si>
    <t>Año 2</t>
  </si>
  <si>
    <t>Año 3</t>
  </si>
  <si>
    <t>Año 4</t>
  </si>
  <si>
    <t>Año 5</t>
  </si>
  <si>
    <t>Miniplanta de pirolisis</t>
  </si>
  <si>
    <t>Participación del mercado</t>
  </si>
  <si>
    <t>Crecimiento en ventas %</t>
  </si>
  <si>
    <t>Mercado</t>
  </si>
  <si>
    <t>Proyección de ventas y participación del mercado INPIAL S.A.S</t>
  </si>
  <si>
    <t>Inversión inicial</t>
  </si>
  <si>
    <t>Costo desarrollo de marca – Imagotipo e Isotipo</t>
  </si>
  <si>
    <t>Costo desarrollo de sitio web</t>
  </si>
  <si>
    <t>Costo redes sociales</t>
  </si>
  <si>
    <t>Costo material para presentaciones, videos e infografías</t>
  </si>
  <si>
    <t>Costo de relaciones para comunicación y alianza estratégica</t>
  </si>
  <si>
    <t>Seguimiento, medición y análisis</t>
  </si>
  <si>
    <t>Presupuesto plan de mercadeo inicial</t>
  </si>
  <si>
    <t>TOTAL:</t>
  </si>
  <si>
    <t>Costo visitas directas</t>
  </si>
  <si>
    <t>INGRESOS/VENTAS DEL PRIMER AÑO</t>
  </si>
  <si>
    <t>CRECIMIENTO PORCENTUAL  EN VTAS</t>
  </si>
  <si>
    <t>NOMBRE DEL PRODUCTO O SERVICIO</t>
  </si>
  <si>
    <t>CANT.</t>
  </si>
  <si>
    <t>PRECIO DE VENTA UNITARIO SIN IVA</t>
  </si>
  <si>
    <t>INGRESOS TOTALES</t>
  </si>
  <si>
    <t>AÑO:</t>
  </si>
  <si>
    <t>Miniplanta de Pirolisis</t>
  </si>
  <si>
    <t xml:space="preserve"> TOTAL </t>
  </si>
  <si>
    <t>NÓMINAS:</t>
  </si>
  <si>
    <t>VALOR AÑO 1</t>
  </si>
  <si>
    <t>ADMINISTRATIVA:</t>
  </si>
  <si>
    <t>VENTAS:</t>
  </si>
  <si>
    <t>TOTAL NÓMINAS</t>
  </si>
  <si>
    <t>PRODUCCIÓN / SERVICIO:</t>
  </si>
  <si>
    <t>CANTIDAD</t>
  </si>
  <si>
    <t>DESCRIPCIÓN</t>
  </si>
  <si>
    <t>BALANCE</t>
  </si>
  <si>
    <t>AÑO 0</t>
  </si>
  <si>
    <t xml:space="preserve">ACTIVO </t>
  </si>
  <si>
    <t>CAJA/BANCOS</t>
  </si>
  <si>
    <t>FIJO NO DEPRECIABLE</t>
  </si>
  <si>
    <t>FIJO DEPRECIABLE</t>
  </si>
  <si>
    <t>DEPRECIACIÓN ACUMULADA</t>
  </si>
  <si>
    <t>ACTIVO FIJO NETO</t>
  </si>
  <si>
    <t>TOTAL ACTIVO</t>
  </si>
  <si>
    <t>PASIVO</t>
  </si>
  <si>
    <t>Impuestos X Pagar</t>
  </si>
  <si>
    <t>TOTAL PASIVO CORRIENTE</t>
  </si>
  <si>
    <t>Obligaciones Financieras</t>
  </si>
  <si>
    <t>PATRIMONIO</t>
  </si>
  <si>
    <t>Capital Social</t>
  </si>
  <si>
    <t>Utilidades del Ejercicio</t>
  </si>
  <si>
    <t>TOTAL PATRIMONIO</t>
  </si>
  <si>
    <t>TOTAL PAS + PAT</t>
  </si>
  <si>
    <t>CUADRE (ACT = PAS+PAT)</t>
  </si>
  <si>
    <t>FLUJO DE CAJA DEL PROYECTO:</t>
  </si>
  <si>
    <t>CAPITAL INVERTIDO</t>
  </si>
  <si>
    <t>Activos Corrientes</t>
  </si>
  <si>
    <t>Pasivos Corrientes</t>
  </si>
  <si>
    <t>KTNO</t>
  </si>
  <si>
    <t>Activo Fijo Neto</t>
  </si>
  <si>
    <t>Depreciación Acumulada</t>
  </si>
  <si>
    <t>Activo Fijo Bruto</t>
  </si>
  <si>
    <t>Total Capital Operativo Neto</t>
  </si>
  <si>
    <t>CALCULO DEL FLUJO DE CAJA LIBRE</t>
  </si>
  <si>
    <t>EBIT</t>
  </si>
  <si>
    <t>Impuestos</t>
  </si>
  <si>
    <t>NOPLAT</t>
  </si>
  <si>
    <t>Inversión Neta</t>
  </si>
  <si>
    <t>Flujo de Caja Libre del periódo</t>
  </si>
  <si>
    <t>FLUJO DE CAJA DE PROYECTO</t>
  </si>
  <si>
    <t>INVERSIÓN AÑO</t>
  </si>
  <si>
    <t>VALOR PRESENTE NETO DEL PROYECTO =</t>
  </si>
  <si>
    <t>TASA DE EVALUACIÓN DEL PROYECTO</t>
  </si>
  <si>
    <t>4,24 años</t>
  </si>
  <si>
    <t>TASA INTERNA DE RETORNO</t>
  </si>
  <si>
    <t>PERIODO DE RECUPERACIÓN</t>
  </si>
  <si>
    <t>PUNTO DE EQULIBRIO</t>
  </si>
  <si>
    <t>MARGEN DE CONTRIBUCIÓN UNITARIO</t>
  </si>
  <si>
    <t>PARTICIPACIÓN % EN VENTAS TOTALES</t>
  </si>
  <si>
    <t>MARGEN DE CONTRIBUCIÓN PONDERADO</t>
  </si>
  <si>
    <t>PTO EQUILIBRIO POR REFERENCIA DE PDTO O SERVICIO</t>
  </si>
  <si>
    <t>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</si>
</sst>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#,##0"/>
    <numFmt numFmtId="165" formatCode="&quot;$&quot;\ #,##0"/>
    <numFmt numFmtId="166" formatCode="_-&quot;$&quot;\ * #,##0.0_-;\-&quot;$&quot;\ * #,##0.0_-;_-&quot;$&quot;\ * &quot;-&quot;??_-;_-@_-"/>
    <numFmt numFmtId="167" formatCode="_-&quot;$&quot;\ * #,##0.0_-;\-&quot;$&quot;\ * #,##0.0_-;_-&quot;$&quot;\ * &quot;-&quot;?_-;_-@_-"/>
    <numFmt numFmtId="168" formatCode="_-&quot;$&quot;\ * #,##0_-;\-&quot;$&quot;\ * #,##0_-;_-&quot;$&quot;\ * &quot;-&quot;??_-;_-@_-"/>
    <numFmt numFmtId="173" formatCode="_(&quot;$&quot;\ * #,##0.00_);_(&quot;$&quot;\ * \(#,##0.00\);_(&quot;$&quot;\ * &quot;-&quot;??_);_(@_)"/>
    <numFmt numFmtId="178" formatCode="_(&quot;$&quot;\ * #,##0.0_);_(&quot;$&quot;\ * \(#,##0.0\);_(&quot;$&quot;\ * &quot;-&quot;?_);_(@_)"/>
    <numFmt numFmtId="179" formatCode="_(* #,##0.00_);_(* \(#,##0.00\);_(* &quot;-&quot;??_);_(@_)"/>
    <numFmt numFmtId="180" formatCode="_(* #,##0_);_(* \(#,##0\);_(* &quot;-&quot;??_);_(@_)"/>
    <numFmt numFmtId="181" formatCode="_ &quot;$&quot;\ * #,##0_ ;_ &quot;$&quot;\ * \-#,##0_ ;_ &quot;$&quot;\ * &quot;-&quot;??_ ;_ @_ "/>
    <numFmt numFmtId="182" formatCode="_ &quot;$&quot;\ * #,##0.0_ ;_ &quot;$&quot;\ * \-#,##0.0_ ;_ &quot;$&quot;\ * &quot;-&quot;??_ ;_ @_ "/>
    <numFmt numFmtId="183" formatCode="&quot;$&quot;#,##0.00"/>
    <numFmt numFmtId="184" formatCode="&quot;$&quot;\ #,##0.00_);[Red]\(&quot;$&quot;\ #,##0.00\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i/>
      <sz val="14"/>
      <name val="Arial"/>
      <family val="2"/>
    </font>
    <font>
      <b/>
      <i/>
      <u/>
      <sz val="9"/>
      <color indexed="62"/>
      <name val="Arial"/>
      <family val="2"/>
    </font>
    <font>
      <sz val="9"/>
      <name val="Arial"/>
      <family val="2"/>
    </font>
    <font>
      <sz val="9"/>
      <color indexed="60"/>
      <name val="Arial"/>
      <family val="2"/>
    </font>
    <font>
      <sz val="9"/>
      <color rgb="FFC00000"/>
      <name val="Arial"/>
      <family val="2"/>
    </font>
    <font>
      <b/>
      <u/>
      <sz val="12"/>
      <color theme="0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b/>
      <u/>
      <sz val="10"/>
      <color indexed="62"/>
      <name val="Arial"/>
      <family val="2"/>
    </font>
    <font>
      <b/>
      <u/>
      <sz val="10"/>
      <color indexed="12"/>
      <name val="Arial"/>
      <family val="2"/>
    </font>
    <font>
      <sz val="8"/>
      <color indexed="81"/>
      <name val="Tahoma"/>
      <family val="2"/>
    </font>
    <font>
      <sz val="10"/>
      <color theme="0"/>
      <name val="Arial"/>
      <family val="2"/>
    </font>
    <font>
      <sz val="14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"/>
      <name val="Calibri"/>
      <family val="2"/>
      <scheme val="minor"/>
    </font>
    <font>
      <sz val="8"/>
      <color rgb="FFC00000"/>
      <name val="Arial"/>
      <family val="2"/>
    </font>
    <font>
      <b/>
      <sz val="9"/>
      <color indexed="81"/>
      <name val="Tahoma"/>
      <family val="2"/>
    </font>
    <font>
      <b/>
      <u/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Aharoni"/>
      <charset val="177"/>
    </font>
    <font>
      <b/>
      <sz val="12"/>
      <color theme="1"/>
      <name val="Aharoni"/>
      <charset val="177"/>
    </font>
    <font>
      <b/>
      <sz val="10"/>
      <color rgb="FF000000"/>
      <name val="Aharoni"/>
      <charset val="177"/>
    </font>
    <font>
      <sz val="10"/>
      <color theme="1"/>
      <name val="Calibri"/>
      <family val="2"/>
    </font>
    <font>
      <sz val="10"/>
      <color rgb="FF000000"/>
      <name val="Aharoni"/>
      <charset val="177"/>
    </font>
    <font>
      <b/>
      <sz val="10"/>
      <color rgb="FF00000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2"/>
      <color theme="1"/>
      <name val="Aharoni"/>
      <charset val="177"/>
    </font>
    <font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4B65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rgb="FF000000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79" fontId="6" fillId="0" borderId="0" applyFont="0" applyFill="0" applyBorder="0" applyAlignment="0" applyProtection="0"/>
  </cellStyleXfs>
  <cellXfs count="376">
    <xf numFmtId="0" fontId="0" fillId="0" borderId="0" xfId="0"/>
    <xf numFmtId="0" fontId="3" fillId="2" borderId="2" xfId="0" applyFont="1" applyFill="1" applyBorder="1" applyAlignment="1">
      <alignment horizontal="center"/>
    </xf>
    <xf numFmtId="164" fontId="4" fillId="0" borderId="2" xfId="0" applyNumberFormat="1" applyFont="1" applyBorder="1"/>
    <xf numFmtId="164" fontId="4" fillId="3" borderId="2" xfId="0" applyNumberFormat="1" applyFont="1" applyFill="1" applyBorder="1"/>
    <xf numFmtId="0" fontId="8" fillId="2" borderId="3" xfId="0" applyFont="1" applyFill="1" applyBorder="1"/>
    <xf numFmtId="0" fontId="9" fillId="2" borderId="3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0" fillId="2" borderId="4" xfId="0" applyFont="1" applyFill="1" applyBorder="1"/>
    <xf numFmtId="0" fontId="3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3" fontId="4" fillId="0" borderId="6" xfId="0" applyNumberFormat="1" applyFont="1" applyBorder="1"/>
    <xf numFmtId="3" fontId="3" fillId="0" borderId="6" xfId="0" applyNumberFormat="1" applyFont="1" applyBorder="1"/>
    <xf numFmtId="3" fontId="4" fillId="0" borderId="7" xfId="0" applyNumberFormat="1" applyFont="1" applyBorder="1"/>
    <xf numFmtId="0" fontId="14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3" fillId="0" borderId="0" xfId="0" applyNumberFormat="1" applyFont="1"/>
    <xf numFmtId="3" fontId="4" fillId="0" borderId="8" xfId="0" applyNumberFormat="1" applyFont="1" applyBorder="1"/>
    <xf numFmtId="0" fontId="4" fillId="5" borderId="9" xfId="0" applyFont="1" applyFill="1" applyBorder="1"/>
    <xf numFmtId="0" fontId="4" fillId="5" borderId="10" xfId="0" applyFont="1" applyFill="1" applyBorder="1" applyAlignment="1">
      <alignment horizontal="center"/>
    </xf>
    <xf numFmtId="0" fontId="4" fillId="5" borderId="10" xfId="0" applyFont="1" applyFill="1" applyBorder="1"/>
    <xf numFmtId="0" fontId="3" fillId="7" borderId="12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3" fontId="3" fillId="7" borderId="12" xfId="0" applyNumberFormat="1" applyFont="1" applyFill="1" applyBorder="1" applyAlignment="1">
      <alignment horizontal="center"/>
    </xf>
    <xf numFmtId="3" fontId="3" fillId="7" borderId="6" xfId="0" applyNumberFormat="1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49" fontId="3" fillId="7" borderId="13" xfId="0" applyNumberFormat="1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3" fontId="3" fillId="7" borderId="13" xfId="0" applyNumberFormat="1" applyFont="1" applyFill="1" applyBorder="1" applyAlignment="1">
      <alignment horizontal="center"/>
    </xf>
    <xf numFmtId="3" fontId="3" fillId="7" borderId="0" xfId="0" applyNumberFormat="1" applyFont="1" applyFill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3" fontId="3" fillId="7" borderId="14" xfId="0" applyNumberFormat="1" applyFont="1" applyFill="1" applyBorder="1" applyAlignment="1">
      <alignment horizontal="center"/>
    </xf>
    <xf numFmtId="3" fontId="3" fillId="7" borderId="15" xfId="0" applyNumberFormat="1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6" fillId="8" borderId="16" xfId="0" applyFont="1" applyFill="1" applyBorder="1"/>
    <xf numFmtId="0" fontId="6" fillId="8" borderId="17" xfId="0" applyFont="1" applyFill="1" applyBorder="1"/>
    <xf numFmtId="0" fontId="6" fillId="5" borderId="17" xfId="0" applyFont="1" applyFill="1" applyBorder="1"/>
    <xf numFmtId="10" fontId="4" fillId="8" borderId="18" xfId="0" applyNumberFormat="1" applyFont="1" applyFill="1" applyBorder="1" applyAlignment="1">
      <alignment horizontal="center"/>
    </xf>
    <xf numFmtId="164" fontId="4" fillId="8" borderId="19" xfId="0" applyNumberFormat="1" applyFont="1" applyFill="1" applyBorder="1"/>
    <xf numFmtId="164" fontId="4" fillId="5" borderId="19" xfId="0" applyNumberFormat="1" applyFont="1" applyFill="1" applyBorder="1"/>
    <xf numFmtId="164" fontId="4" fillId="8" borderId="18" xfId="0" applyNumberFormat="1" applyFont="1" applyFill="1" applyBorder="1"/>
    <xf numFmtId="10" fontId="4" fillId="8" borderId="20" xfId="0" applyNumberFormat="1" applyFont="1" applyFill="1" applyBorder="1" applyAlignment="1">
      <alignment horizontal="center"/>
    </xf>
    <xf numFmtId="164" fontId="4" fillId="8" borderId="21" xfId="0" applyNumberFormat="1" applyFont="1" applyFill="1" applyBorder="1"/>
    <xf numFmtId="164" fontId="4" fillId="5" borderId="21" xfId="0" applyNumberFormat="1" applyFont="1" applyFill="1" applyBorder="1"/>
    <xf numFmtId="164" fontId="4" fillId="8" borderId="20" xfId="0" applyNumberFormat="1" applyFont="1" applyFill="1" applyBorder="1"/>
    <xf numFmtId="0" fontId="3" fillId="2" borderId="14" xfId="0" applyFont="1" applyFill="1" applyBorder="1"/>
    <xf numFmtId="3" fontId="3" fillId="2" borderId="14" xfId="0" applyNumberFormat="1" applyFont="1" applyFill="1" applyBorder="1"/>
    <xf numFmtId="3" fontId="3" fillId="2" borderId="15" xfId="0" applyNumberFormat="1" applyFont="1" applyFill="1" applyBorder="1"/>
    <xf numFmtId="3" fontId="3" fillId="2" borderId="14" xfId="0" applyNumberFormat="1" applyFont="1" applyFill="1" applyBorder="1" applyAlignment="1">
      <alignment horizontal="center"/>
    </xf>
    <xf numFmtId="164" fontId="15" fillId="2" borderId="15" xfId="0" applyNumberFormat="1" applyFont="1" applyFill="1" applyBorder="1"/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15" fillId="2" borderId="14" xfId="0" applyNumberFormat="1" applyFont="1" applyFill="1" applyBorder="1"/>
    <xf numFmtId="0" fontId="3" fillId="0" borderId="3" xfId="0" applyFont="1" applyBorder="1"/>
    <xf numFmtId="3" fontId="3" fillId="0" borderId="8" xfId="0" applyNumberFormat="1" applyFont="1" applyBorder="1"/>
    <xf numFmtId="0" fontId="6" fillId="0" borderId="3" xfId="0" applyFont="1" applyBorder="1"/>
    <xf numFmtId="164" fontId="6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3" fillId="2" borderId="12" xfId="0" applyFont="1" applyFill="1" applyBorder="1" applyAlignment="1">
      <alignment horizontal="center"/>
    </xf>
    <xf numFmtId="3" fontId="3" fillId="2" borderId="22" xfId="0" applyNumberFormat="1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164" fontId="3" fillId="2" borderId="24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64" fontId="3" fillId="2" borderId="25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2" borderId="27" xfId="0" applyNumberFormat="1" applyFont="1" applyFill="1" applyBorder="1" applyAlignment="1">
      <alignment horizontal="center"/>
    </xf>
    <xf numFmtId="164" fontId="3" fillId="2" borderId="28" xfId="0" applyNumberFormat="1" applyFont="1" applyFill="1" applyBorder="1" applyAlignment="1">
      <alignment horizontal="center"/>
    </xf>
    <xf numFmtId="164" fontId="3" fillId="2" borderId="29" xfId="0" applyNumberFormat="1" applyFont="1" applyFill="1" applyBorder="1" applyAlignment="1">
      <alignment horizontal="center"/>
    </xf>
    <xf numFmtId="3" fontId="4" fillId="9" borderId="13" xfId="0" applyNumberFormat="1" applyFont="1" applyFill="1" applyBorder="1"/>
    <xf numFmtId="164" fontId="4" fillId="9" borderId="30" xfId="0" applyNumberFormat="1" applyFont="1" applyFill="1" applyBorder="1"/>
    <xf numFmtId="164" fontId="4" fillId="9" borderId="31" xfId="0" applyNumberFormat="1" applyFont="1" applyFill="1" applyBorder="1"/>
    <xf numFmtId="164" fontId="4" fillId="9" borderId="32" xfId="0" applyNumberFormat="1" applyFont="1" applyFill="1" applyBorder="1"/>
    <xf numFmtId="164" fontId="4" fillId="9" borderId="25" xfId="0" applyNumberFormat="1" applyFont="1" applyFill="1" applyBorder="1"/>
    <xf numFmtId="164" fontId="4" fillId="9" borderId="1" xfId="0" applyNumberFormat="1" applyFont="1" applyFill="1" applyBorder="1"/>
    <xf numFmtId="164" fontId="4" fillId="9" borderId="26" xfId="0" applyNumberFormat="1" applyFont="1" applyFill="1" applyBorder="1"/>
    <xf numFmtId="3" fontId="3" fillId="2" borderId="2" xfId="0" applyNumberFormat="1" applyFont="1" applyFill="1" applyBorder="1"/>
    <xf numFmtId="164" fontId="3" fillId="2" borderId="33" xfId="0" applyNumberFormat="1" applyFont="1" applyFill="1" applyBorder="1"/>
    <xf numFmtId="164" fontId="3" fillId="2" borderId="34" xfId="0" applyNumberFormat="1" applyFont="1" applyFill="1" applyBorder="1"/>
    <xf numFmtId="164" fontId="15" fillId="2" borderId="35" xfId="0" applyNumberFormat="1" applyFont="1" applyFill="1" applyBorder="1"/>
    <xf numFmtId="3" fontId="3" fillId="3" borderId="0" xfId="0" applyNumberFormat="1" applyFont="1" applyFill="1"/>
    <xf numFmtId="164" fontId="6" fillId="0" borderId="8" xfId="0" applyNumberFormat="1" applyFont="1" applyBorder="1"/>
    <xf numFmtId="164" fontId="3" fillId="2" borderId="2" xfId="0" applyNumberFormat="1" applyFont="1" applyFill="1" applyBorder="1"/>
    <xf numFmtId="164" fontId="3" fillId="0" borderId="0" xfId="0" applyNumberFormat="1" applyFont="1"/>
    <xf numFmtId="164" fontId="3" fillId="0" borderId="8" xfId="0" applyNumberFormat="1" applyFont="1" applyBorder="1"/>
    <xf numFmtId="0" fontId="5" fillId="2" borderId="9" xfId="0" applyFont="1" applyFill="1" applyBorder="1"/>
    <xf numFmtId="0" fontId="5" fillId="2" borderId="10" xfId="0" applyFont="1" applyFill="1" applyBorder="1"/>
    <xf numFmtId="3" fontId="3" fillId="2" borderId="10" xfId="0" applyNumberFormat="1" applyFont="1" applyFill="1" applyBorder="1"/>
    <xf numFmtId="3" fontId="5" fillId="2" borderId="10" xfId="0" applyNumberFormat="1" applyFont="1" applyFill="1" applyBorder="1"/>
    <xf numFmtId="164" fontId="3" fillId="2" borderId="10" xfId="0" applyNumberFormat="1" applyFont="1" applyFill="1" applyBorder="1"/>
    <xf numFmtId="164" fontId="15" fillId="2" borderId="11" xfId="0" applyNumberFormat="1" applyFont="1" applyFill="1" applyBorder="1"/>
    <xf numFmtId="0" fontId="5" fillId="0" borderId="3" xfId="0" applyFont="1" applyBorder="1"/>
    <xf numFmtId="0" fontId="5" fillId="0" borderId="0" xfId="0" applyFont="1"/>
    <xf numFmtId="3" fontId="5" fillId="0" borderId="0" xfId="0" applyNumberFormat="1" applyFont="1"/>
    <xf numFmtId="3" fontId="5" fillId="0" borderId="8" xfId="0" applyNumberFormat="1" applyFont="1" applyBorder="1"/>
    <xf numFmtId="0" fontId="5" fillId="2" borderId="5" xfId="0" applyFont="1" applyFill="1" applyBorder="1"/>
    <xf numFmtId="0" fontId="5" fillId="2" borderId="6" xfId="0" applyFont="1" applyFill="1" applyBorder="1"/>
    <xf numFmtId="0" fontId="6" fillId="2" borderId="6" xfId="0" applyFont="1" applyFill="1" applyBorder="1"/>
    <xf numFmtId="3" fontId="5" fillId="2" borderId="7" xfId="0" applyNumberFormat="1" applyFont="1" applyFill="1" applyBorder="1"/>
    <xf numFmtId="0" fontId="5" fillId="2" borderId="4" xfId="0" applyFont="1" applyFill="1" applyBorder="1"/>
    <xf numFmtId="0" fontId="5" fillId="2" borderId="15" xfId="0" applyFont="1" applyFill="1" applyBorder="1"/>
    <xf numFmtId="0" fontId="6" fillId="2" borderId="15" xfId="0" applyFont="1" applyFill="1" applyBorder="1"/>
    <xf numFmtId="3" fontId="5" fillId="2" borderId="36" xfId="0" applyNumberFormat="1" applyFont="1" applyFill="1" applyBorder="1"/>
    <xf numFmtId="0" fontId="5" fillId="0" borderId="6" xfId="0" applyFont="1" applyBorder="1"/>
    <xf numFmtId="0" fontId="6" fillId="0" borderId="6" xfId="0" applyFont="1" applyBorder="1"/>
    <xf numFmtId="3" fontId="5" fillId="0" borderId="6" xfId="0" applyNumberFormat="1" applyFont="1" applyBorder="1"/>
    <xf numFmtId="3" fontId="5" fillId="0" borderId="7" xfId="0" applyNumberFormat="1" applyFont="1" applyBorder="1"/>
    <xf numFmtId="0" fontId="17" fillId="0" borderId="3" xfId="0" applyFont="1" applyBorder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15" fillId="2" borderId="27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3" fontId="15" fillId="2" borderId="28" xfId="0" applyNumberFormat="1" applyFont="1" applyFill="1" applyBorder="1" applyAlignment="1">
      <alignment horizontal="center"/>
    </xf>
    <xf numFmtId="3" fontId="15" fillId="2" borderId="29" xfId="0" applyNumberFormat="1" applyFont="1" applyFill="1" applyBorder="1" applyAlignment="1">
      <alignment horizontal="center"/>
    </xf>
    <xf numFmtId="0" fontId="4" fillId="10" borderId="30" xfId="0" applyFont="1" applyFill="1" applyBorder="1"/>
    <xf numFmtId="164" fontId="4" fillId="10" borderId="31" xfId="0" applyNumberFormat="1" applyFont="1" applyFill="1" applyBorder="1"/>
    <xf numFmtId="0" fontId="4" fillId="10" borderId="31" xfId="0" applyFont="1" applyFill="1" applyBorder="1" applyAlignment="1">
      <alignment horizontal="center"/>
    </xf>
    <xf numFmtId="3" fontId="4" fillId="10" borderId="31" xfId="0" applyNumberFormat="1" applyFont="1" applyFill="1" applyBorder="1" applyAlignment="1">
      <alignment horizontal="center"/>
    </xf>
    <xf numFmtId="164" fontId="4" fillId="10" borderId="32" xfId="0" applyNumberFormat="1" applyFont="1" applyFill="1" applyBorder="1"/>
    <xf numFmtId="3" fontId="6" fillId="0" borderId="8" xfId="0" applyNumberFormat="1" applyFont="1" applyBorder="1"/>
    <xf numFmtId="0" fontId="4" fillId="10" borderId="25" xfId="0" applyFont="1" applyFill="1" applyBorder="1"/>
    <xf numFmtId="164" fontId="4" fillId="10" borderId="1" xfId="0" applyNumberFormat="1" applyFont="1" applyFill="1" applyBorder="1"/>
    <xf numFmtId="0" fontId="4" fillId="10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164" fontId="4" fillId="10" borderId="26" xfId="0" applyNumberFormat="1" applyFont="1" applyFill="1" applyBorder="1"/>
    <xf numFmtId="0" fontId="4" fillId="10" borderId="37" xfId="0" applyFont="1" applyFill="1" applyBorder="1"/>
    <xf numFmtId="164" fontId="4" fillId="10" borderId="38" xfId="0" applyNumberFormat="1" applyFont="1" applyFill="1" applyBorder="1"/>
    <xf numFmtId="0" fontId="4" fillId="10" borderId="38" xfId="0" applyFont="1" applyFill="1" applyBorder="1" applyAlignment="1">
      <alignment horizontal="center"/>
    </xf>
    <xf numFmtId="3" fontId="4" fillId="10" borderId="38" xfId="0" applyNumberFormat="1" applyFont="1" applyFill="1" applyBorder="1" applyAlignment="1">
      <alignment horizontal="center"/>
    </xf>
    <xf numFmtId="164" fontId="4" fillId="10" borderId="39" xfId="0" applyNumberFormat="1" applyFont="1" applyFill="1" applyBorder="1"/>
    <xf numFmtId="0" fontId="3" fillId="2" borderId="33" xfId="0" applyFont="1" applyFill="1" applyBorder="1"/>
    <xf numFmtId="3" fontId="3" fillId="2" borderId="34" xfId="0" applyNumberFormat="1" applyFont="1" applyFill="1" applyBorder="1" applyAlignment="1">
      <alignment horizontal="center"/>
    </xf>
    <xf numFmtId="164" fontId="3" fillId="2" borderId="35" xfId="0" applyNumberFormat="1" applyFont="1" applyFill="1" applyBorder="1"/>
    <xf numFmtId="0" fontId="6" fillId="0" borderId="15" xfId="0" applyFont="1" applyBorder="1"/>
    <xf numFmtId="3" fontId="6" fillId="0" borderId="15" xfId="0" applyNumberFormat="1" applyFont="1" applyBorder="1"/>
    <xf numFmtId="3" fontId="6" fillId="0" borderId="36" xfId="0" applyNumberFormat="1" applyFont="1" applyBorder="1"/>
    <xf numFmtId="0" fontId="16" fillId="0" borderId="3" xfId="0" applyFont="1" applyBorder="1"/>
    <xf numFmtId="0" fontId="16" fillId="0" borderId="0" xfId="0" applyFont="1"/>
    <xf numFmtId="0" fontId="19" fillId="4" borderId="0" xfId="0" applyFont="1" applyFill="1"/>
    <xf numFmtId="0" fontId="20" fillId="0" borderId="0" xfId="0" applyFont="1"/>
    <xf numFmtId="9" fontId="21" fillId="4" borderId="0" xfId="0" applyNumberFormat="1" applyFont="1" applyFill="1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wrapText="1"/>
    </xf>
    <xf numFmtId="164" fontId="4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0" fontId="19" fillId="4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4" borderId="0" xfId="0" applyFont="1" applyFill="1" applyAlignment="1">
      <alignment wrapText="1"/>
    </xf>
    <xf numFmtId="0" fontId="22" fillId="2" borderId="2" xfId="0" applyFont="1" applyFill="1" applyBorder="1"/>
    <xf numFmtId="165" fontId="10" fillId="2" borderId="2" xfId="0" applyNumberFormat="1" applyFont="1" applyFill="1" applyBorder="1"/>
    <xf numFmtId="165" fontId="22" fillId="2" borderId="2" xfId="0" applyNumberFormat="1" applyFont="1" applyFill="1" applyBorder="1" applyAlignment="1">
      <alignment wrapText="1"/>
    </xf>
    <xf numFmtId="0" fontId="25" fillId="0" borderId="36" xfId="0" applyFont="1" applyBorder="1" applyAlignment="1">
      <alignment vertical="center" wrapText="1"/>
    </xf>
    <xf numFmtId="0" fontId="25" fillId="0" borderId="36" xfId="0" applyFont="1" applyBorder="1" applyAlignment="1">
      <alignment horizontal="center" vertical="center" wrapText="1"/>
    </xf>
    <xf numFmtId="6" fontId="25" fillId="0" borderId="36" xfId="0" applyNumberFormat="1" applyFont="1" applyBorder="1" applyAlignment="1">
      <alignment horizontal="right" vertical="center" wrapText="1"/>
    </xf>
    <xf numFmtId="0" fontId="15" fillId="2" borderId="22" xfId="0" applyFont="1" applyFill="1" applyBorder="1" applyAlignment="1">
      <alignment horizontal="center" wrapText="1"/>
    </xf>
    <xf numFmtId="0" fontId="15" fillId="2" borderId="23" xfId="0" applyFont="1" applyFill="1" applyBorder="1" applyAlignment="1">
      <alignment horizontal="center" wrapText="1"/>
    </xf>
    <xf numFmtId="3" fontId="15" fillId="2" borderId="23" xfId="0" applyNumberFormat="1" applyFont="1" applyFill="1" applyBorder="1" applyAlignment="1">
      <alignment horizontal="center" wrapText="1"/>
    </xf>
    <xf numFmtId="3" fontId="15" fillId="2" borderId="24" xfId="0" applyNumberFormat="1" applyFont="1" applyFill="1" applyBorder="1" applyAlignment="1">
      <alignment horizontal="center" wrapText="1"/>
    </xf>
    <xf numFmtId="0" fontId="30" fillId="0" borderId="0" xfId="0" applyFont="1"/>
    <xf numFmtId="0" fontId="10" fillId="0" borderId="0" xfId="0" applyFont="1"/>
    <xf numFmtId="0" fontId="2" fillId="0" borderId="0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6" fontId="34" fillId="0" borderId="0" xfId="0" applyNumberFormat="1" applyFont="1" applyBorder="1" applyAlignment="1">
      <alignment horizontal="right" vertical="center" wrapText="1"/>
    </xf>
    <xf numFmtId="166" fontId="23" fillId="0" borderId="19" xfId="1" applyNumberFormat="1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164" fontId="26" fillId="0" borderId="48" xfId="0" applyNumberFormat="1" applyFont="1" applyFill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168" fontId="0" fillId="0" borderId="1" xfId="1" applyNumberFormat="1" applyFont="1" applyBorder="1" applyAlignment="1">
      <alignment horizontal="center" vertical="center"/>
    </xf>
    <xf numFmtId="164" fontId="4" fillId="12" borderId="18" xfId="0" applyNumberFormat="1" applyFont="1" applyFill="1" applyBorder="1" applyAlignment="1">
      <alignment horizontal="center" wrapText="1"/>
    </xf>
    <xf numFmtId="1" fontId="4" fillId="12" borderId="18" xfId="0" applyNumberFormat="1" applyFont="1" applyFill="1" applyBorder="1" applyAlignment="1">
      <alignment horizontal="center" wrapText="1"/>
    </xf>
    <xf numFmtId="9" fontId="4" fillId="12" borderId="2" xfId="0" applyNumberFormat="1" applyFont="1" applyFill="1" applyBorder="1" applyAlignment="1">
      <alignment horizontal="center"/>
    </xf>
    <xf numFmtId="164" fontId="4" fillId="12" borderId="18" xfId="0" applyNumberFormat="1" applyFont="1" applyFill="1" applyBorder="1" applyAlignment="1">
      <alignment horizontal="right"/>
    </xf>
    <xf numFmtId="164" fontId="4" fillId="12" borderId="18" xfId="0" applyNumberFormat="1" applyFont="1" applyFill="1" applyBorder="1" applyAlignment="1">
      <alignment horizontal="center"/>
    </xf>
    <xf numFmtId="164" fontId="4" fillId="12" borderId="20" xfId="0" applyNumberFormat="1" applyFont="1" applyFill="1" applyBorder="1" applyAlignment="1">
      <alignment horizontal="center"/>
    </xf>
    <xf numFmtId="164" fontId="4" fillId="12" borderId="20" xfId="0" applyNumberFormat="1" applyFont="1" applyFill="1" applyBorder="1" applyAlignment="1">
      <alignment horizontal="right"/>
    </xf>
    <xf numFmtId="3" fontId="4" fillId="12" borderId="18" xfId="0" applyNumberFormat="1" applyFont="1" applyFill="1" applyBorder="1" applyAlignment="1">
      <alignment horizontal="center"/>
    </xf>
    <xf numFmtId="3" fontId="4" fillId="12" borderId="20" xfId="0" applyNumberFormat="1" applyFont="1" applyFill="1" applyBorder="1" applyAlignment="1">
      <alignment horizontal="center"/>
    </xf>
    <xf numFmtId="9" fontId="4" fillId="12" borderId="1" xfId="0" applyNumberFormat="1" applyFont="1" applyFill="1" applyBorder="1" applyAlignment="1">
      <alignment horizontal="center"/>
    </xf>
    <xf numFmtId="0" fontId="4" fillId="12" borderId="2" xfId="0" applyFont="1" applyFill="1" applyBorder="1" applyAlignment="1">
      <alignment horizontal="justify" vertical="justify" wrapText="1"/>
    </xf>
    <xf numFmtId="0" fontId="31" fillId="12" borderId="2" xfId="0" applyFont="1" applyFill="1" applyBorder="1" applyAlignment="1">
      <alignment horizontal="justify" vertical="justify" wrapText="1"/>
    </xf>
    <xf numFmtId="0" fontId="4" fillId="12" borderId="2" xfId="0" applyFont="1" applyFill="1" applyBorder="1" applyAlignment="1">
      <alignment horizontal="left" vertical="justify" wrapText="1"/>
    </xf>
    <xf numFmtId="164" fontId="4" fillId="12" borderId="2" xfId="0" applyNumberFormat="1" applyFont="1" applyFill="1" applyBorder="1"/>
    <xf numFmtId="0" fontId="4" fillId="12" borderId="2" xfId="0" applyFont="1" applyFill="1" applyBorder="1" applyAlignment="1">
      <alignment horizontal="justify" vertical="justify"/>
    </xf>
    <xf numFmtId="0" fontId="31" fillId="12" borderId="2" xfId="0" applyFont="1" applyFill="1" applyBorder="1" applyAlignment="1">
      <alignment horizontal="left" vertical="justify" wrapText="1"/>
    </xf>
    <xf numFmtId="0" fontId="24" fillId="12" borderId="2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center" wrapText="1"/>
    </xf>
    <xf numFmtId="0" fontId="35" fillId="12" borderId="1" xfId="0" applyFont="1" applyFill="1" applyBorder="1" applyAlignment="1">
      <alignment horizontal="center" vertical="center" wrapText="1"/>
    </xf>
    <xf numFmtId="0" fontId="40" fillId="0" borderId="5" xfId="0" applyFont="1" applyBorder="1"/>
    <xf numFmtId="0" fontId="39" fillId="0" borderId="0" xfId="0" applyFont="1"/>
    <xf numFmtId="0" fontId="5" fillId="7" borderId="12" xfId="0" applyFont="1" applyFill="1" applyBorder="1" applyAlignment="1">
      <alignment horizontal="center" vertical="center" wrapText="1"/>
    </xf>
    <xf numFmtId="0" fontId="39" fillId="0" borderId="3" xfId="0" applyFont="1" applyFill="1" applyBorder="1"/>
    <xf numFmtId="0" fontId="33" fillId="13" borderId="6" xfId="0" applyFont="1" applyFill="1" applyBorder="1" applyAlignment="1">
      <alignment horizontal="center" vertical="center" wrapText="1"/>
    </xf>
    <xf numFmtId="6" fontId="33" fillId="13" borderId="0" xfId="0" applyNumberFormat="1" applyFont="1" applyFill="1" applyBorder="1" applyAlignment="1">
      <alignment horizontal="right" vertical="center" wrapText="1"/>
    </xf>
    <xf numFmtId="0" fontId="0" fillId="13" borderId="0" xfId="0" applyFill="1"/>
    <xf numFmtId="0" fontId="38" fillId="13" borderId="0" xfId="0" applyFont="1" applyFill="1" applyAlignment="1">
      <alignment horizontal="right"/>
    </xf>
    <xf numFmtId="168" fontId="27" fillId="13" borderId="0" xfId="0" applyNumberFormat="1" applyFont="1" applyFill="1"/>
    <xf numFmtId="6" fontId="25" fillId="13" borderId="36" xfId="0" applyNumberFormat="1" applyFont="1" applyFill="1" applyBorder="1" applyAlignment="1">
      <alignment horizontal="right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2" applyFont="1" applyBorder="1" applyAlignment="1">
      <alignment horizontal="center" vertical="center" wrapText="1"/>
    </xf>
    <xf numFmtId="0" fontId="42" fillId="0" borderId="1" xfId="2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/>
    </xf>
    <xf numFmtId="0" fontId="25" fillId="11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46" fillId="0" borderId="1" xfId="2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38" xfId="2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10" fontId="0" fillId="0" borderId="1" xfId="3" applyNumberFormat="1" applyFont="1" applyBorder="1"/>
    <xf numFmtId="2" fontId="0" fillId="0" borderId="26" xfId="0" applyNumberFormat="1" applyBorder="1"/>
    <xf numFmtId="10" fontId="0" fillId="0" borderId="26" xfId="3" applyNumberFormat="1" applyFont="1" applyBorder="1"/>
    <xf numFmtId="0" fontId="0" fillId="0" borderId="28" xfId="0" applyBorder="1"/>
    <xf numFmtId="9" fontId="0" fillId="0" borderId="28" xfId="3" applyFont="1" applyBorder="1"/>
    <xf numFmtId="9" fontId="0" fillId="0" borderId="29" xfId="3" applyFont="1" applyBorder="1"/>
    <xf numFmtId="0" fontId="27" fillId="16" borderId="25" xfId="0" applyFont="1" applyFill="1" applyBorder="1" applyAlignment="1">
      <alignment horizontal="center"/>
    </xf>
    <xf numFmtId="0" fontId="27" fillId="14" borderId="24" xfId="0" applyFont="1" applyFill="1" applyBorder="1" applyAlignment="1">
      <alignment horizontal="center" vertical="center"/>
    </xf>
    <xf numFmtId="0" fontId="27" fillId="14" borderId="26" xfId="0" applyFont="1" applyFill="1" applyBorder="1" applyAlignment="1">
      <alignment horizontal="center" vertical="center"/>
    </xf>
    <xf numFmtId="0" fontId="27" fillId="15" borderId="22" xfId="0" applyFont="1" applyFill="1" applyBorder="1" applyAlignment="1">
      <alignment horizontal="center"/>
    </xf>
    <xf numFmtId="0" fontId="27" fillId="15" borderId="23" xfId="0" applyFont="1" applyFill="1" applyBorder="1" applyAlignment="1">
      <alignment horizontal="center"/>
    </xf>
    <xf numFmtId="0" fontId="48" fillId="0" borderId="25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8" fillId="0" borderId="27" xfId="0" applyFont="1" applyBorder="1" applyAlignment="1">
      <alignment horizontal="center"/>
    </xf>
    <xf numFmtId="0" fontId="48" fillId="0" borderId="28" xfId="0" applyFont="1" applyBorder="1" applyAlignment="1">
      <alignment horizontal="center"/>
    </xf>
    <xf numFmtId="0" fontId="27" fillId="14" borderId="23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5" fillId="0" borderId="5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3" fontId="3" fillId="6" borderId="7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8" xfId="0" applyFont="1" applyFill="1" applyBorder="1" applyAlignment="1">
      <alignment horizontal="center"/>
    </xf>
    <xf numFmtId="3" fontId="3" fillId="6" borderId="9" xfId="0" applyNumberFormat="1" applyFont="1" applyFill="1" applyBorder="1" applyAlignment="1">
      <alignment horizontal="center"/>
    </xf>
    <xf numFmtId="3" fontId="3" fillId="6" borderId="10" xfId="0" applyNumberFormat="1" applyFont="1" applyFill="1" applyBorder="1" applyAlignment="1">
      <alignment horizontal="center"/>
    </xf>
    <xf numFmtId="3" fontId="3" fillId="6" borderId="11" xfId="0" applyNumberFormat="1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9" xfId="0" applyBorder="1" applyAlignment="1">
      <alignment horizontal="center"/>
    </xf>
    <xf numFmtId="0" fontId="36" fillId="0" borderId="40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6" fillId="0" borderId="45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167" fontId="23" fillId="13" borderId="38" xfId="0" applyNumberFormat="1" applyFont="1" applyFill="1" applyBorder="1" applyAlignment="1">
      <alignment horizontal="center" vertical="center"/>
    </xf>
    <xf numFmtId="0" fontId="23" fillId="13" borderId="52" xfId="0" applyFont="1" applyFill="1" applyBorder="1" applyAlignment="1">
      <alignment horizontal="center" vertical="center"/>
    </xf>
    <xf numFmtId="0" fontId="23" fillId="13" borderId="31" xfId="0" applyFont="1" applyFill="1" applyBorder="1" applyAlignment="1">
      <alignment horizontal="center"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167" fontId="23" fillId="0" borderId="38" xfId="0" applyNumberFormat="1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/>
    </xf>
    <xf numFmtId="168" fontId="23" fillId="0" borderId="49" xfId="0" applyNumberFormat="1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37" fillId="0" borderId="45" xfId="0" applyFont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37" fillId="0" borderId="4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68" fontId="23" fillId="0" borderId="48" xfId="1" applyNumberFormat="1" applyFont="1" applyBorder="1" applyAlignment="1">
      <alignment horizontal="center"/>
    </xf>
    <xf numFmtId="168" fontId="23" fillId="0" borderId="19" xfId="1" applyNumberFormat="1" applyFont="1" applyBorder="1" applyAlignment="1">
      <alignment horizontal="center"/>
    </xf>
    <xf numFmtId="168" fontId="23" fillId="0" borderId="45" xfId="1" applyNumberFormat="1" applyFont="1" applyBorder="1" applyAlignment="1">
      <alignment horizontal="center"/>
    </xf>
    <xf numFmtId="168" fontId="23" fillId="0" borderId="46" xfId="1" applyNumberFormat="1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168" fontId="23" fillId="0" borderId="41" xfId="1" applyNumberFormat="1" applyFont="1" applyBorder="1" applyAlignment="1">
      <alignment horizont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168" fontId="0" fillId="0" borderId="19" xfId="1" applyNumberFormat="1" applyFont="1" applyBorder="1" applyAlignment="1">
      <alignment horizontal="center" wrapText="1"/>
    </xf>
    <xf numFmtId="0" fontId="27" fillId="17" borderId="19" xfId="0" applyFont="1" applyFill="1" applyBorder="1" applyAlignment="1">
      <alignment horizontal="center" wrapText="1"/>
    </xf>
    <xf numFmtId="168" fontId="27" fillId="17" borderId="19" xfId="1" applyNumberFormat="1" applyFont="1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7" fillId="9" borderId="19" xfId="0" applyFont="1" applyFill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51" fillId="0" borderId="15" xfId="0" applyFont="1" applyBorder="1" applyAlignment="1">
      <alignment vertical="center" wrapText="1"/>
    </xf>
    <xf numFmtId="0" fontId="51" fillId="0" borderId="15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right" vertical="center" wrapText="1"/>
    </xf>
    <xf numFmtId="0" fontId="52" fillId="0" borderId="15" xfId="0" applyFont="1" applyBorder="1" applyAlignment="1">
      <alignment vertical="center" wrapText="1"/>
    </xf>
    <xf numFmtId="0" fontId="52" fillId="0" borderId="15" xfId="0" applyFont="1" applyBorder="1" applyAlignment="1">
      <alignment horizontal="center" vertical="center" wrapText="1"/>
    </xf>
    <xf numFmtId="6" fontId="52" fillId="0" borderId="15" xfId="0" applyNumberFormat="1" applyFont="1" applyBorder="1" applyAlignment="1">
      <alignment vertical="center" wrapText="1"/>
    </xf>
    <xf numFmtId="9" fontId="52" fillId="0" borderId="15" xfId="0" applyNumberFormat="1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/>
    </xf>
    <xf numFmtId="164" fontId="0" fillId="0" borderId="0" xfId="0" applyNumberFormat="1"/>
    <xf numFmtId="0" fontId="27" fillId="18" borderId="19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168" fontId="0" fillId="0" borderId="19" xfId="1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68" fontId="0" fillId="0" borderId="19" xfId="1" applyNumberFormat="1" applyFont="1" applyBorder="1" applyAlignment="1">
      <alignment horizontal="center" vertical="center" wrapText="1"/>
    </xf>
    <xf numFmtId="168" fontId="27" fillId="19" borderId="19" xfId="1" applyNumberFormat="1" applyFont="1" applyFill="1" applyBorder="1" applyAlignment="1">
      <alignment horizontal="center" vertical="center" wrapText="1"/>
    </xf>
    <xf numFmtId="0" fontId="27" fillId="19" borderId="19" xfId="0" applyFont="1" applyFill="1" applyBorder="1" applyAlignment="1">
      <alignment horizontal="right"/>
    </xf>
    <xf numFmtId="0" fontId="0" fillId="0" borderId="19" xfId="0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" fontId="0" fillId="0" borderId="19" xfId="0" applyNumberFormat="1" applyBorder="1" applyAlignment="1">
      <alignment horizontal="center" vertical="center" wrapText="1"/>
    </xf>
    <xf numFmtId="0" fontId="27" fillId="19" borderId="19" xfId="0" applyFont="1" applyFill="1" applyBorder="1" applyAlignment="1">
      <alignment horizontal="center" vertical="center" wrapText="1"/>
    </xf>
    <xf numFmtId="165" fontId="27" fillId="19" borderId="19" xfId="0" applyNumberFormat="1" applyFont="1" applyFill="1" applyBorder="1" applyAlignment="1">
      <alignment horizontal="center" vertical="center" wrapText="1"/>
    </xf>
    <xf numFmtId="0" fontId="27" fillId="13" borderId="19" xfId="0" applyFont="1" applyFill="1" applyBorder="1"/>
    <xf numFmtId="0" fontId="55" fillId="0" borderId="0" xfId="0" applyFont="1" applyAlignment="1" applyProtection="1">
      <alignment horizontal="center" wrapText="1"/>
      <protection hidden="1"/>
    </xf>
    <xf numFmtId="0" fontId="56" fillId="0" borderId="0" xfId="0" applyFont="1" applyAlignment="1" applyProtection="1">
      <alignment wrapText="1"/>
      <protection hidden="1"/>
    </xf>
    <xf numFmtId="0" fontId="57" fillId="0" borderId="0" xfId="0" applyFont="1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horizontal="center" wrapText="1"/>
      <protection hidden="1"/>
    </xf>
    <xf numFmtId="173" fontId="56" fillId="0" borderId="0" xfId="0" applyNumberFormat="1" applyFont="1" applyAlignment="1" applyProtection="1">
      <alignment wrapText="1"/>
      <protection hidden="1"/>
    </xf>
    <xf numFmtId="0" fontId="58" fillId="0" borderId="54" xfId="0" applyFont="1" applyBorder="1" applyAlignment="1" applyProtection="1">
      <alignment wrapText="1"/>
      <protection hidden="1"/>
    </xf>
    <xf numFmtId="173" fontId="58" fillId="0" borderId="54" xfId="0" applyNumberFormat="1" applyFont="1" applyBorder="1" applyAlignment="1" applyProtection="1">
      <alignment wrapText="1"/>
      <protection hidden="1"/>
    </xf>
    <xf numFmtId="178" fontId="56" fillId="0" borderId="0" xfId="0" applyNumberFormat="1" applyFont="1" applyAlignment="1" applyProtection="1">
      <alignment wrapText="1"/>
      <protection hidden="1"/>
    </xf>
    <xf numFmtId="173" fontId="56" fillId="0" borderId="0" xfId="1" applyNumberFormat="1" applyFont="1" applyFill="1" applyBorder="1" applyAlignment="1" applyProtection="1">
      <alignment wrapText="1"/>
      <protection hidden="1"/>
    </xf>
    <xf numFmtId="0" fontId="56" fillId="20" borderId="0" xfId="0" applyFont="1" applyFill="1" applyAlignment="1" applyProtection="1">
      <alignment wrapText="1"/>
      <protection hidden="1"/>
    </xf>
    <xf numFmtId="173" fontId="56" fillId="20" borderId="0" xfId="0" applyNumberFormat="1" applyFont="1" applyFill="1" applyAlignment="1" applyProtection="1">
      <alignment wrapText="1"/>
      <protection hidden="1"/>
    </xf>
    <xf numFmtId="0" fontId="50" fillId="0" borderId="0" xfId="0" applyFont="1"/>
    <xf numFmtId="0" fontId="59" fillId="0" borderId="0" xfId="0" applyFont="1" applyProtection="1">
      <protection hidden="1"/>
    </xf>
    <xf numFmtId="0" fontId="60" fillId="0" borderId="0" xfId="0" applyFont="1" applyProtection="1">
      <protection hidden="1"/>
    </xf>
    <xf numFmtId="181" fontId="5" fillId="0" borderId="0" xfId="1" applyNumberFormat="1" applyFont="1" applyFill="1" applyProtection="1">
      <protection hidden="1"/>
    </xf>
    <xf numFmtId="181" fontId="5" fillId="0" borderId="54" xfId="1" applyNumberFormat="1" applyFont="1" applyFill="1" applyBorder="1" applyProtection="1">
      <protection hidden="1"/>
    </xf>
    <xf numFmtId="0" fontId="54" fillId="0" borderId="19" xfId="0" applyFont="1" applyBorder="1" applyAlignment="1" applyProtection="1">
      <alignment horizontal="center"/>
      <protection hidden="1"/>
    </xf>
    <xf numFmtId="0" fontId="6" fillId="0" borderId="19" xfId="0" applyFont="1" applyBorder="1" applyProtection="1">
      <protection hidden="1"/>
    </xf>
    <xf numFmtId="181" fontId="50" fillId="0" borderId="19" xfId="1" applyNumberFormat="1" applyFont="1" applyFill="1" applyBorder="1" applyProtection="1">
      <protection hidden="1"/>
    </xf>
    <xf numFmtId="0" fontId="6" fillId="0" borderId="0" xfId="0" applyFont="1" applyProtection="1">
      <protection hidden="1"/>
    </xf>
    <xf numFmtId="181" fontId="50" fillId="0" borderId="55" xfId="1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5" fillId="0" borderId="19" xfId="0" applyFont="1" applyBorder="1" applyProtection="1">
      <protection hidden="1"/>
    </xf>
    <xf numFmtId="181" fontId="50" fillId="0" borderId="0" xfId="1" applyNumberFormat="1" applyFont="1" applyFill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49" fillId="0" borderId="19" xfId="0" applyFont="1" applyBorder="1" applyAlignment="1" applyProtection="1">
      <alignment horizontal="center"/>
      <protection hidden="1"/>
    </xf>
    <xf numFmtId="180" fontId="61" fillId="0" borderId="19" xfId="4" applyNumberFormat="1" applyFont="1" applyFill="1" applyBorder="1" applyProtection="1"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center"/>
      <protection hidden="1"/>
    </xf>
    <xf numFmtId="182" fontId="0" fillId="0" borderId="0" xfId="1" applyNumberFormat="1" applyFont="1" applyFill="1" applyProtection="1">
      <protection hidden="1"/>
    </xf>
    <xf numFmtId="182" fontId="0" fillId="0" borderId="55" xfId="1" applyNumberFormat="1" applyFont="1" applyFill="1" applyBorder="1" applyProtection="1">
      <protection hidden="1"/>
    </xf>
    <xf numFmtId="181" fontId="5" fillId="8" borderId="54" xfId="1" applyNumberFormat="1" applyFont="1" applyFill="1" applyBorder="1" applyProtection="1">
      <protection hidden="1"/>
    </xf>
    <xf numFmtId="0" fontId="60" fillId="8" borderId="0" xfId="0" applyFont="1" applyFill="1" applyAlignment="1" applyProtection="1">
      <alignment wrapText="1"/>
      <protection hidden="1"/>
    </xf>
    <xf numFmtId="0" fontId="53" fillId="0" borderId="0" xfId="0" applyFont="1" applyAlignment="1" applyProtection="1">
      <protection hidden="1"/>
    </xf>
    <xf numFmtId="0" fontId="49" fillId="0" borderId="15" xfId="0" applyFont="1" applyBorder="1" applyAlignment="1" applyProtection="1">
      <alignment horizontal="center"/>
      <protection hidden="1"/>
    </xf>
    <xf numFmtId="183" fontId="63" fillId="0" borderId="17" xfId="0" applyNumberFormat="1" applyFont="1" applyBorder="1" applyProtection="1">
      <protection hidden="1"/>
    </xf>
    <xf numFmtId="183" fontId="63" fillId="0" borderId="19" xfId="0" applyNumberFormat="1" applyFont="1" applyBorder="1" applyProtection="1">
      <protection hidden="1"/>
    </xf>
    <xf numFmtId="0" fontId="27" fillId="0" borderId="17" xfId="0" applyFont="1" applyBorder="1" applyAlignment="1" applyProtection="1">
      <alignment horizontal="center" vertical="center"/>
      <protection hidden="1"/>
    </xf>
    <xf numFmtId="0" fontId="63" fillId="0" borderId="19" xfId="0" applyFont="1" applyBorder="1" applyAlignment="1" applyProtection="1">
      <alignment horizontal="center" vertical="center"/>
      <protection hidden="1"/>
    </xf>
    <xf numFmtId="0" fontId="27" fillId="0" borderId="19" xfId="0" applyFont="1" applyBorder="1" applyAlignment="1">
      <alignment horizontal="left"/>
    </xf>
    <xf numFmtId="10" fontId="27" fillId="0" borderId="19" xfId="0" applyNumberFormat="1" applyFont="1" applyBorder="1"/>
    <xf numFmtId="0" fontId="0" fillId="0" borderId="19" xfId="0" applyBorder="1" applyAlignment="1">
      <alignment horizontal="left"/>
    </xf>
    <xf numFmtId="184" fontId="0" fillId="0" borderId="19" xfId="0" applyNumberFormat="1" applyBorder="1"/>
    <xf numFmtId="10" fontId="0" fillId="0" borderId="19" xfId="0" applyNumberFormat="1" applyBorder="1"/>
    <xf numFmtId="0" fontId="0" fillId="0" borderId="19" xfId="0" applyBorder="1" applyAlignment="1">
      <alignment horizontal="right"/>
    </xf>
    <xf numFmtId="0" fontId="27" fillId="0" borderId="19" xfId="0" applyFont="1" applyBorder="1" applyAlignment="1">
      <alignment horizontal="center"/>
    </xf>
    <xf numFmtId="0" fontId="27" fillId="0" borderId="19" xfId="0" applyFont="1" applyBorder="1" applyAlignment="1">
      <alignment wrapText="1"/>
    </xf>
    <xf numFmtId="0" fontId="0" fillId="0" borderId="19" xfId="0" applyBorder="1" applyAlignment="1">
      <alignment wrapText="1"/>
    </xf>
    <xf numFmtId="165" fontId="0" fillId="0" borderId="19" xfId="0" applyNumberFormat="1" applyBorder="1" applyAlignment="1">
      <alignment horizontal="left" wrapText="1"/>
    </xf>
    <xf numFmtId="9" fontId="0" fillId="0" borderId="19" xfId="0" applyNumberFormat="1" applyBorder="1" applyAlignment="1">
      <alignment horizontal="center" wrapText="1"/>
    </xf>
    <xf numFmtId="2" fontId="0" fillId="0" borderId="19" xfId="0" applyNumberFormat="1" applyBorder="1" applyAlignment="1">
      <alignment horizontal="center" wrapText="1"/>
    </xf>
    <xf numFmtId="0" fontId="27" fillId="0" borderId="19" xfId="0" applyFont="1" applyBorder="1" applyAlignment="1">
      <alignment horizontal="right" wrapText="1"/>
    </xf>
    <xf numFmtId="173" fontId="27" fillId="0" borderId="19" xfId="0" applyNumberFormat="1" applyFont="1" applyBorder="1" applyAlignment="1">
      <alignment horizontal="center"/>
    </xf>
    <xf numFmtId="9" fontId="27" fillId="0" borderId="19" xfId="0" applyNumberFormat="1" applyFont="1" applyBorder="1" applyAlignment="1">
      <alignment horizontal="center"/>
    </xf>
    <xf numFmtId="2" fontId="27" fillId="0" borderId="19" xfId="0" applyNumberFormat="1" applyFont="1" applyBorder="1" applyAlignment="1">
      <alignment horizontal="center"/>
    </xf>
    <xf numFmtId="0" fontId="27" fillId="0" borderId="19" xfId="0" applyFont="1" applyBorder="1" applyAlignment="1">
      <alignment horizontal="center" wrapText="1"/>
    </xf>
  </cellXfs>
  <cellStyles count="5">
    <cellStyle name="Hipervínculo" xfId="2" builtinId="8"/>
    <cellStyle name="Millares_Modelo Financiero ACME Final 2" xfId="4" xr:uid="{9FB38876-BB52-46C7-AB40-8D6F689D2BF6}"/>
    <cellStyle name="Moneda" xfId="1" builtinId="4"/>
    <cellStyle name="Normal" xfId="0" builtinId="0"/>
    <cellStyle name="Porcentaje" xfId="3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44B6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1</xdr:row>
      <xdr:rowOff>104776</xdr:rowOff>
    </xdr:from>
    <xdr:to>
      <xdr:col>4</xdr:col>
      <xdr:colOff>1581150</xdr:colOff>
      <xdr:row>1</xdr:row>
      <xdr:rowOff>1550176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D67640-7321-484C-9EC8-12DA985E3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5" t="6711" r="6040" b="4698"/>
        <a:stretch/>
      </xdr:blipFill>
      <xdr:spPr>
        <a:xfrm>
          <a:off x="3562350" y="428626"/>
          <a:ext cx="1390650" cy="1445400"/>
        </a:xfrm>
        <a:prstGeom prst="rect">
          <a:avLst/>
        </a:prstGeom>
      </xdr:spPr>
    </xdr:pic>
    <xdr:clientData/>
  </xdr:twoCellAnchor>
  <xdr:twoCellAnchor editAs="oneCell">
    <xdr:from>
      <xdr:col>4</xdr:col>
      <xdr:colOff>1828801</xdr:colOff>
      <xdr:row>1</xdr:row>
      <xdr:rowOff>342900</xdr:rowOff>
    </xdr:from>
    <xdr:to>
      <xdr:col>4</xdr:col>
      <xdr:colOff>3486151</xdr:colOff>
      <xdr:row>1</xdr:row>
      <xdr:rowOff>1930780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3DC6A7-B94F-4F45-83ED-DF0E3E6C0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4" t="8602" r="4301" b="5376"/>
        <a:stretch/>
      </xdr:blipFill>
      <xdr:spPr>
        <a:xfrm>
          <a:off x="5200651" y="666750"/>
          <a:ext cx="1657350" cy="158788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4</xdr:row>
      <xdr:rowOff>19050</xdr:rowOff>
    </xdr:from>
    <xdr:to>
      <xdr:col>4</xdr:col>
      <xdr:colOff>1628774</xdr:colOff>
      <xdr:row>4</xdr:row>
      <xdr:rowOff>1903040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341FFA-E949-49A4-B163-FF6F89A304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94" t="9216" r="16129" b="13826"/>
        <a:stretch/>
      </xdr:blipFill>
      <xdr:spPr>
        <a:xfrm>
          <a:off x="3409949" y="7391400"/>
          <a:ext cx="1590675" cy="1883990"/>
        </a:xfrm>
        <a:prstGeom prst="rect">
          <a:avLst/>
        </a:prstGeom>
      </xdr:spPr>
    </xdr:pic>
    <xdr:clientData/>
  </xdr:twoCellAnchor>
  <xdr:twoCellAnchor editAs="oneCell">
    <xdr:from>
      <xdr:col>4</xdr:col>
      <xdr:colOff>1598423</xdr:colOff>
      <xdr:row>4</xdr:row>
      <xdr:rowOff>695324</xdr:rowOff>
    </xdr:from>
    <xdr:to>
      <xdr:col>4</xdr:col>
      <xdr:colOff>3419475</xdr:colOff>
      <xdr:row>4</xdr:row>
      <xdr:rowOff>2486025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E84845-AEE6-49BB-8A8B-7D8D169E3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48" t="10986" r="17746" b="22535"/>
        <a:stretch/>
      </xdr:blipFill>
      <xdr:spPr>
        <a:xfrm>
          <a:off x="4970273" y="8067674"/>
          <a:ext cx="1821052" cy="1790701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7</xdr:row>
      <xdr:rowOff>114300</xdr:rowOff>
    </xdr:from>
    <xdr:to>
      <xdr:col>4</xdr:col>
      <xdr:colOff>3286124</xdr:colOff>
      <xdr:row>7</xdr:row>
      <xdr:rowOff>2721340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32DD3EF-3DFC-4D1F-9CD3-6D040BBBD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5"/>
        <a:stretch/>
      </xdr:blipFill>
      <xdr:spPr>
        <a:xfrm>
          <a:off x="3648075" y="14601825"/>
          <a:ext cx="3009899" cy="2607040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409575</xdr:colOff>
      <xdr:row>3</xdr:row>
      <xdr:rowOff>9525</xdr:rowOff>
    </xdr:from>
    <xdr:to>
      <xdr:col>4</xdr:col>
      <xdr:colOff>3009900</xdr:colOff>
      <xdr:row>3</xdr:row>
      <xdr:rowOff>2609850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91961A3-2002-4048-B861-CAF22BB5B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5" y="4638675"/>
          <a:ext cx="2600325" cy="2600325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2</xdr:row>
      <xdr:rowOff>228998</xdr:rowOff>
    </xdr:from>
    <xdr:to>
      <xdr:col>4</xdr:col>
      <xdr:colOff>3371849</xdr:colOff>
      <xdr:row>2</xdr:row>
      <xdr:rowOff>1933575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CC4312B-000F-4081-9083-272C0CAAE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54" b="25065"/>
        <a:stretch/>
      </xdr:blipFill>
      <xdr:spPr>
        <a:xfrm>
          <a:off x="3495675" y="2543573"/>
          <a:ext cx="3248024" cy="1704577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6</xdr:row>
      <xdr:rowOff>142875</xdr:rowOff>
    </xdr:from>
    <xdr:to>
      <xdr:col>4</xdr:col>
      <xdr:colOff>3153440</xdr:colOff>
      <xdr:row>6</xdr:row>
      <xdr:rowOff>2638373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F2F0F3F-F0AD-42F4-94CF-76F95FB84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9"/>
        <a:stretch/>
      </xdr:blipFill>
      <xdr:spPr>
        <a:xfrm>
          <a:off x="3838575" y="11915775"/>
          <a:ext cx="2686715" cy="2495498"/>
        </a:xfrm>
        <a:prstGeom prst="rect">
          <a:avLst/>
        </a:prstGeom>
      </xdr:spPr>
    </xdr:pic>
    <xdr:clientData/>
  </xdr:twoCellAnchor>
  <xdr:twoCellAnchor editAs="oneCell">
    <xdr:from>
      <xdr:col>4</xdr:col>
      <xdr:colOff>819149</xdr:colOff>
      <xdr:row>8</xdr:row>
      <xdr:rowOff>114299</xdr:rowOff>
    </xdr:from>
    <xdr:to>
      <xdr:col>4</xdr:col>
      <xdr:colOff>3131467</xdr:colOff>
      <xdr:row>8</xdr:row>
      <xdr:rowOff>1285875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B063254-6834-4476-B6F8-80E29E175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06"/>
        <a:stretch/>
      </xdr:blipFill>
      <xdr:spPr>
        <a:xfrm>
          <a:off x="4190999" y="17487899"/>
          <a:ext cx="2312318" cy="1171576"/>
        </a:xfrm>
        <a:prstGeom prst="rect">
          <a:avLst/>
        </a:prstGeom>
      </xdr:spPr>
    </xdr:pic>
    <xdr:clientData/>
  </xdr:twoCellAnchor>
  <xdr:twoCellAnchor editAs="oneCell">
    <xdr:from>
      <xdr:col>4</xdr:col>
      <xdr:colOff>1133475</xdr:colOff>
      <xdr:row>5</xdr:row>
      <xdr:rowOff>38537</xdr:rowOff>
    </xdr:from>
    <xdr:to>
      <xdr:col>4</xdr:col>
      <xdr:colOff>2495550</xdr:colOff>
      <xdr:row>5</xdr:row>
      <xdr:rowOff>1790772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9A53735-9905-40B2-AE1F-F2651DF73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9944537"/>
          <a:ext cx="1362075" cy="1752235"/>
        </a:xfrm>
        <a:prstGeom prst="rect">
          <a:avLst/>
        </a:prstGeom>
      </xdr:spPr>
    </xdr:pic>
    <xdr:clientData/>
  </xdr:twoCellAnchor>
  <xdr:twoCellAnchor editAs="oneCell">
    <xdr:from>
      <xdr:col>4</xdr:col>
      <xdr:colOff>592651</xdr:colOff>
      <xdr:row>9</xdr:row>
      <xdr:rowOff>76200</xdr:rowOff>
    </xdr:from>
    <xdr:to>
      <xdr:col>4</xdr:col>
      <xdr:colOff>3019424</xdr:colOff>
      <xdr:row>9</xdr:row>
      <xdr:rowOff>2644535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D878DB5-C721-47B5-B7AB-7E4EEFF0D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4501" y="18783300"/>
          <a:ext cx="2426773" cy="2568335"/>
        </a:xfrm>
        <a:prstGeom prst="rect">
          <a:avLst/>
        </a:prstGeom>
      </xdr:spPr>
    </xdr:pic>
    <xdr:clientData/>
  </xdr:twoCellAnchor>
  <xdr:twoCellAnchor editAs="oneCell">
    <xdr:from>
      <xdr:col>4</xdr:col>
      <xdr:colOff>1152525</xdr:colOff>
      <xdr:row>10</xdr:row>
      <xdr:rowOff>89059</xdr:rowOff>
    </xdr:from>
    <xdr:to>
      <xdr:col>4</xdr:col>
      <xdr:colOff>2371724</xdr:colOff>
      <xdr:row>10</xdr:row>
      <xdr:rowOff>1827461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C6F045F-8F8A-4C0E-9DB9-0B333F0F9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21510784"/>
          <a:ext cx="1219199" cy="1738402"/>
        </a:xfrm>
        <a:prstGeom prst="rect">
          <a:avLst/>
        </a:prstGeom>
      </xdr:spPr>
    </xdr:pic>
    <xdr:clientData/>
  </xdr:twoCellAnchor>
  <xdr:twoCellAnchor editAs="oneCell">
    <xdr:from>
      <xdr:col>4</xdr:col>
      <xdr:colOff>995049</xdr:colOff>
      <xdr:row>11</xdr:row>
      <xdr:rowOff>142874</xdr:rowOff>
    </xdr:from>
    <xdr:to>
      <xdr:col>4</xdr:col>
      <xdr:colOff>2515171</xdr:colOff>
      <xdr:row>11</xdr:row>
      <xdr:rowOff>1974091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512B855-709D-4B66-8D5A-E759BEFCE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6899" y="23498174"/>
          <a:ext cx="1520122" cy="1831217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695324</xdr:colOff>
      <xdr:row>12</xdr:row>
      <xdr:rowOff>42974</xdr:rowOff>
    </xdr:from>
    <xdr:to>
      <xdr:col>4</xdr:col>
      <xdr:colOff>2086421</xdr:colOff>
      <xdr:row>12</xdr:row>
      <xdr:rowOff>1972294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304633D-203E-4C61-8EE4-966AE26A1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25512824"/>
          <a:ext cx="1391097" cy="1929320"/>
        </a:xfrm>
        <a:prstGeom prst="rect">
          <a:avLst/>
        </a:prstGeom>
      </xdr:spPr>
    </xdr:pic>
    <xdr:clientData/>
  </xdr:twoCellAnchor>
  <xdr:twoCellAnchor editAs="oneCell">
    <xdr:from>
      <xdr:col>4</xdr:col>
      <xdr:colOff>914400</xdr:colOff>
      <xdr:row>13</xdr:row>
      <xdr:rowOff>82031</xdr:rowOff>
    </xdr:from>
    <xdr:to>
      <xdr:col>4</xdr:col>
      <xdr:colOff>2266950</xdr:colOff>
      <xdr:row>13</xdr:row>
      <xdr:rowOff>1935984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98C25DB-31C6-4455-852F-B40EC4A02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27580706"/>
          <a:ext cx="1352550" cy="1853953"/>
        </a:xfrm>
        <a:prstGeom prst="rect">
          <a:avLst/>
        </a:prstGeom>
      </xdr:spPr>
    </xdr:pic>
    <xdr:clientData/>
  </xdr:twoCellAnchor>
  <xdr:twoCellAnchor editAs="oneCell">
    <xdr:from>
      <xdr:col>4</xdr:col>
      <xdr:colOff>323849</xdr:colOff>
      <xdr:row>14</xdr:row>
      <xdr:rowOff>198178</xdr:rowOff>
    </xdr:from>
    <xdr:to>
      <xdr:col>4</xdr:col>
      <xdr:colOff>3181350</xdr:colOff>
      <xdr:row>14</xdr:row>
      <xdr:rowOff>1124293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FC8A15F-E03D-4AB8-A5A8-17798DCA2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699" y="29697103"/>
          <a:ext cx="2857501" cy="92611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1016403</xdr:colOff>
      <xdr:row>15</xdr:row>
      <xdr:rowOff>19050</xdr:rowOff>
    </xdr:from>
    <xdr:to>
      <xdr:col>4</xdr:col>
      <xdr:colOff>2609850</xdr:colOff>
      <xdr:row>15</xdr:row>
      <xdr:rowOff>1851659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5157AFD-8202-47B5-B919-80DA38EF1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16" b="11024"/>
        <a:stretch/>
      </xdr:blipFill>
      <xdr:spPr>
        <a:xfrm>
          <a:off x="4388253" y="30889575"/>
          <a:ext cx="1593447" cy="183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xito.com/cafetera-electrica-6-tz-universal-65660-negro-100029991-mp/p" TargetMode="External"/><Relationship Id="rId13" Type="http://schemas.openxmlformats.org/officeDocument/2006/relationships/hyperlink" Target="https://tecnodigital.shop/busqueda?controller=search&amp;s=antivirus" TargetMode="External"/><Relationship Id="rId3" Type="http://schemas.openxmlformats.org/officeDocument/2006/relationships/hyperlink" Target="https://www.falabella.com.co/falabella-co/product/58754146/Silla-De-Oficina-Gerencial-En-Cuero-Color-Negro/58754147" TargetMode="External"/><Relationship Id="rId7" Type="http://schemas.openxmlformats.org/officeDocument/2006/relationships/hyperlink" Target="https://www.mercadolibre.com.co/disco-duro-externo-toshiba-canvio-basics-hdtb410xk3aa-1tb-negro/p/MCO10687522" TargetMode="External"/><Relationship Id="rId12" Type="http://schemas.openxmlformats.org/officeDocument/2006/relationships/hyperlink" Target="https://articulo.mercadolibre.com.co/MCO-961749546-autocad-lt-2023-1-usuario-suscripcion-anual-pc-mac-os-_JM" TargetMode="External"/><Relationship Id="rId2" Type="http://schemas.openxmlformats.org/officeDocument/2006/relationships/hyperlink" Target="https://www.homecenter.com.co/homecenter-co/product/296038/mesa-de-juntas-73x180x100cm-pedestal-en-v/296038/" TargetMode="External"/><Relationship Id="rId1" Type="http://schemas.openxmlformats.org/officeDocument/2006/relationships/hyperlink" Target="https://www.falabella.com.co/falabella-co/product/33256933/Escritorio-Pc-Madesa-Alaska-3-Cajones-1-Puerta/33256934" TargetMode="External"/><Relationship Id="rId6" Type="http://schemas.openxmlformats.org/officeDocument/2006/relationships/hyperlink" Target="https://www.exito.com/computador-portatil-hp-pavilion-intel-core-i5-1135g7-8-gb-256-gb-ssd-15-eg0500la-3094735/p" TargetMode="External"/><Relationship Id="rId11" Type="http://schemas.openxmlformats.org/officeDocument/2006/relationships/hyperlink" Target="https://tecnodigital.shop/programas/39-microsoft-project-profesional-2021-descarga-digital-vitalicio-para-windows.html?gclid=Cj0KCQjw27mhBhC9ARIsAIFsETHpWWFwyDO41npx8V2oTwwhaLo-1PE46JNDSWGKyxONBVnTwXtrsrIaAnFHEALw_wcB" TargetMode="External"/><Relationship Id="rId5" Type="http://schemas.openxmlformats.org/officeDocument/2006/relationships/hyperlink" Target="https://www.exito.com/computador-hp-core-i3-10gen-8gb-512gb-slim-monitor-de-215-102261499-mp/p" TargetMode="External"/><Relationship Id="rId10" Type="http://schemas.openxmlformats.org/officeDocument/2006/relationships/hyperlink" Target="https://www.exito.com/office-365-personal-suscripcion-1-usuario-1-ano-100044498-mp/p" TargetMode="External"/><Relationship Id="rId4" Type="http://schemas.openxmlformats.org/officeDocument/2006/relationships/hyperlink" Target="https://www.falabella.com.co/falabella-co/product/118647742/Archivador-horizontal-3-gavetas-gris-atardecer/118647745" TargetMode="External"/><Relationship Id="rId9" Type="http://schemas.openxmlformats.org/officeDocument/2006/relationships/hyperlink" Target="https://www.exito.com/celular-samsung-galaxy-a13-64-gb-azul-3067059/p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75DF-B78B-4930-B9E5-4122BCAD094B}">
  <dimension ref="A2:Q384"/>
  <sheetViews>
    <sheetView tabSelected="1" topLeftCell="A38" workbookViewId="0">
      <selection activeCell="O40" sqref="O40"/>
    </sheetView>
  </sheetViews>
  <sheetFormatPr baseColWidth="10" defaultRowHeight="15" outlineLevelRow="2" x14ac:dyDescent="0.25"/>
  <cols>
    <col min="4" max="4" width="13.28515625" customWidth="1"/>
    <col min="5" max="5" width="12.42578125" customWidth="1"/>
    <col min="7" max="7" width="14" bestFit="1" customWidth="1"/>
    <col min="8" max="8" width="12" customWidth="1"/>
  </cols>
  <sheetData>
    <row r="2" spans="2:13" ht="15.75" x14ac:dyDescent="0.25">
      <c r="B2" s="201" t="s">
        <v>202</v>
      </c>
    </row>
    <row r="3" spans="2:13" ht="15.75" thickBot="1" x14ac:dyDescent="0.3"/>
    <row r="4" spans="2:13" ht="27" customHeight="1" x14ac:dyDescent="0.25">
      <c r="B4" s="200" t="s">
        <v>178</v>
      </c>
      <c r="C4" s="200" t="s">
        <v>187</v>
      </c>
      <c r="D4" s="262" t="s">
        <v>179</v>
      </c>
      <c r="E4" s="263"/>
      <c r="F4" s="263"/>
      <c r="G4" s="263"/>
      <c r="H4" s="263"/>
      <c r="I4" s="263"/>
      <c r="J4" s="263"/>
      <c r="K4" s="263"/>
      <c r="L4" s="263"/>
      <c r="M4" s="263"/>
    </row>
    <row r="5" spans="2:13" ht="23.25" x14ac:dyDescent="0.25">
      <c r="B5" s="178" t="s">
        <v>130</v>
      </c>
      <c r="C5" s="179">
        <v>190</v>
      </c>
      <c r="D5" s="253"/>
      <c r="E5" s="254"/>
      <c r="F5" s="254"/>
      <c r="G5" s="254"/>
      <c r="H5" s="254"/>
      <c r="I5" s="254"/>
      <c r="J5" s="254"/>
      <c r="K5" s="254"/>
      <c r="L5" s="254"/>
      <c r="M5" s="255"/>
    </row>
    <row r="6" spans="2:13" x14ac:dyDescent="0.25">
      <c r="B6" s="178" t="s">
        <v>180</v>
      </c>
      <c r="C6" s="179">
        <v>190</v>
      </c>
      <c r="D6" s="253"/>
      <c r="E6" s="254"/>
      <c r="F6" s="254"/>
      <c r="G6" s="254"/>
      <c r="H6" s="254"/>
      <c r="I6" s="254"/>
      <c r="J6" s="254"/>
      <c r="K6" s="254"/>
      <c r="L6" s="254"/>
      <c r="M6" s="255"/>
    </row>
    <row r="7" spans="2:13" ht="23.25" x14ac:dyDescent="0.25">
      <c r="B7" s="178" t="s">
        <v>129</v>
      </c>
      <c r="C7" s="179">
        <v>190</v>
      </c>
      <c r="D7" s="253"/>
      <c r="E7" s="254"/>
      <c r="F7" s="254"/>
      <c r="G7" s="254"/>
      <c r="H7" s="254"/>
      <c r="I7" s="254"/>
      <c r="J7" s="254"/>
      <c r="K7" s="254"/>
      <c r="L7" s="254"/>
      <c r="M7" s="255"/>
    </row>
    <row r="8" spans="2:13" x14ac:dyDescent="0.25">
      <c r="B8" s="178" t="s">
        <v>181</v>
      </c>
      <c r="C8" s="179">
        <v>190</v>
      </c>
      <c r="D8" s="253"/>
      <c r="E8" s="254"/>
      <c r="F8" s="254"/>
      <c r="G8" s="254"/>
      <c r="H8" s="254"/>
      <c r="I8" s="254"/>
      <c r="J8" s="254"/>
      <c r="K8" s="254"/>
      <c r="L8" s="254"/>
      <c r="M8" s="255"/>
    </row>
    <row r="9" spans="2:13" x14ac:dyDescent="0.25">
      <c r="B9" s="178"/>
      <c r="C9" s="179"/>
      <c r="D9" s="253"/>
      <c r="E9" s="254"/>
      <c r="F9" s="254"/>
      <c r="G9" s="254"/>
      <c r="H9" s="254"/>
      <c r="I9" s="254"/>
      <c r="J9" s="254"/>
      <c r="K9" s="254"/>
      <c r="L9" s="254"/>
      <c r="M9" s="255"/>
    </row>
    <row r="10" spans="2:13" x14ac:dyDescent="0.25">
      <c r="B10" s="178"/>
      <c r="C10" s="179"/>
      <c r="D10" s="253"/>
      <c r="E10" s="254"/>
      <c r="F10" s="254"/>
      <c r="G10" s="254"/>
      <c r="H10" s="254"/>
      <c r="I10" s="254"/>
      <c r="J10" s="254"/>
      <c r="K10" s="254"/>
      <c r="L10" s="254"/>
      <c r="M10" s="255"/>
    </row>
    <row r="11" spans="2:13" x14ac:dyDescent="0.25">
      <c r="B11" s="178"/>
      <c r="C11" s="179"/>
      <c r="D11" s="253"/>
      <c r="E11" s="254"/>
      <c r="F11" s="254"/>
      <c r="G11" s="254"/>
      <c r="H11" s="254"/>
      <c r="I11" s="254"/>
      <c r="J11" s="254"/>
      <c r="K11" s="254"/>
      <c r="L11" s="254"/>
      <c r="M11" s="255"/>
    </row>
    <row r="12" spans="2:13" x14ac:dyDescent="0.25">
      <c r="B12" s="178"/>
      <c r="C12" s="179"/>
      <c r="D12" s="253"/>
      <c r="E12" s="254"/>
      <c r="F12" s="254"/>
      <c r="G12" s="254"/>
      <c r="H12" s="254"/>
      <c r="I12" s="254"/>
      <c r="J12" s="254"/>
      <c r="K12" s="254"/>
      <c r="L12" s="254"/>
      <c r="M12" s="255"/>
    </row>
    <row r="13" spans="2:13" x14ac:dyDescent="0.25">
      <c r="B13" s="178"/>
      <c r="C13" s="179"/>
      <c r="D13" s="253"/>
      <c r="E13" s="254"/>
      <c r="F13" s="254"/>
      <c r="G13" s="254"/>
      <c r="H13" s="254"/>
      <c r="I13" s="254"/>
      <c r="J13" s="254"/>
      <c r="K13" s="254"/>
      <c r="L13" s="254"/>
      <c r="M13" s="255"/>
    </row>
    <row r="14" spans="2:13" x14ac:dyDescent="0.25">
      <c r="B14" s="178"/>
      <c r="C14" s="179"/>
      <c r="D14" s="253"/>
      <c r="E14" s="254"/>
      <c r="F14" s="254"/>
      <c r="G14" s="254"/>
      <c r="H14" s="254"/>
      <c r="I14" s="254"/>
      <c r="J14" s="254"/>
      <c r="K14" s="254"/>
      <c r="L14" s="254"/>
      <c r="M14" s="255"/>
    </row>
    <row r="15" spans="2:13" x14ac:dyDescent="0.25">
      <c r="B15" s="178"/>
      <c r="C15" s="179"/>
      <c r="D15" s="253"/>
      <c r="E15" s="254"/>
      <c r="F15" s="254"/>
      <c r="G15" s="254"/>
      <c r="H15" s="254"/>
      <c r="I15" s="254"/>
      <c r="J15" s="254"/>
      <c r="K15" s="254"/>
      <c r="L15" s="254"/>
      <c r="M15" s="255"/>
    </row>
    <row r="16" spans="2:13" x14ac:dyDescent="0.25">
      <c r="B16" s="178"/>
      <c r="C16" s="179"/>
      <c r="D16" s="253"/>
      <c r="E16" s="254"/>
      <c r="F16" s="254"/>
      <c r="G16" s="254"/>
      <c r="H16" s="254"/>
      <c r="I16" s="254"/>
      <c r="J16" s="254"/>
      <c r="K16" s="254"/>
      <c r="L16" s="254"/>
      <c r="M16" s="255"/>
    </row>
    <row r="17" spans="2:15" x14ac:dyDescent="0.25">
      <c r="B17" s="178"/>
      <c r="C17" s="179"/>
      <c r="D17" s="253"/>
      <c r="E17" s="254"/>
      <c r="F17" s="254"/>
      <c r="G17" s="254"/>
      <c r="H17" s="254"/>
      <c r="I17" s="254"/>
      <c r="J17" s="254"/>
      <c r="K17" s="254"/>
      <c r="L17" s="254"/>
      <c r="M17" s="255"/>
    </row>
    <row r="18" spans="2:15" x14ac:dyDescent="0.25">
      <c r="B18" s="178"/>
      <c r="C18" s="179"/>
      <c r="D18" s="253"/>
      <c r="E18" s="254"/>
      <c r="F18" s="254"/>
      <c r="G18" s="254"/>
      <c r="H18" s="254"/>
      <c r="I18" s="254"/>
      <c r="J18" s="254"/>
      <c r="K18" s="254"/>
      <c r="L18" s="254"/>
      <c r="M18" s="255"/>
    </row>
    <row r="19" spans="2:15" x14ac:dyDescent="0.25">
      <c r="B19" s="178"/>
      <c r="C19" s="179"/>
      <c r="D19" s="253"/>
      <c r="E19" s="254"/>
      <c r="F19" s="254"/>
      <c r="G19" s="254"/>
      <c r="H19" s="254"/>
      <c r="I19" s="254"/>
      <c r="J19" s="254"/>
      <c r="K19" s="254"/>
      <c r="L19" s="254"/>
      <c r="M19" s="255"/>
    </row>
    <row r="23" spans="2:15" x14ac:dyDescent="0.25">
      <c r="B23" s="165" t="s">
        <v>131</v>
      </c>
    </row>
    <row r="24" spans="2:15" ht="15.75" x14ac:dyDescent="0.25">
      <c r="B24" s="201" t="s">
        <v>203</v>
      </c>
      <c r="N24" s="145" t="s">
        <v>107</v>
      </c>
      <c r="O24" s="152"/>
    </row>
    <row r="25" spans="2:15" ht="18.75" hidden="1" outlineLevel="1" x14ac:dyDescent="0.3">
      <c r="B25" s="4"/>
      <c r="N25" s="146"/>
      <c r="O25" s="153"/>
    </row>
    <row r="26" spans="2:15" hidden="1" outlineLevel="1" x14ac:dyDescent="0.25">
      <c r="B26" s="5" t="s">
        <v>22</v>
      </c>
      <c r="N26" s="147">
        <f>1+0</f>
        <v>1</v>
      </c>
      <c r="O26" s="154"/>
    </row>
    <row r="27" spans="2:15" hidden="1" outlineLevel="1" x14ac:dyDescent="0.25">
      <c r="B27" s="6" t="s">
        <v>23</v>
      </c>
      <c r="O27" s="148"/>
    </row>
    <row r="28" spans="2:15" hidden="1" outlineLevel="1" x14ac:dyDescent="0.25">
      <c r="B28" s="6" t="s">
        <v>24</v>
      </c>
      <c r="O28" s="148"/>
    </row>
    <row r="29" spans="2:15" hidden="1" outlineLevel="1" x14ac:dyDescent="0.25">
      <c r="B29" s="6" t="s">
        <v>25</v>
      </c>
      <c r="O29" s="148"/>
    </row>
    <row r="30" spans="2:15" hidden="1" outlineLevel="1" x14ac:dyDescent="0.25">
      <c r="B30" s="6" t="s">
        <v>26</v>
      </c>
      <c r="O30" s="148"/>
    </row>
    <row r="31" spans="2:15" hidden="1" outlineLevel="1" x14ac:dyDescent="0.25">
      <c r="B31" s="6" t="s">
        <v>27</v>
      </c>
      <c r="O31" s="148"/>
    </row>
    <row r="32" spans="2:15" hidden="1" outlineLevel="1" x14ac:dyDescent="0.25">
      <c r="B32" s="6" t="s">
        <v>28</v>
      </c>
      <c r="O32" s="148"/>
    </row>
    <row r="33" spans="2:15" hidden="1" outlineLevel="1" x14ac:dyDescent="0.25">
      <c r="B33" s="6" t="s">
        <v>29</v>
      </c>
      <c r="O33" s="148"/>
    </row>
    <row r="34" spans="2:15" hidden="1" outlineLevel="1" x14ac:dyDescent="0.25">
      <c r="B34" s="7" t="s">
        <v>30</v>
      </c>
      <c r="O34" s="148"/>
    </row>
    <row r="35" spans="2:15" hidden="1" outlineLevel="1" x14ac:dyDescent="0.25">
      <c r="B35" s="7" t="s">
        <v>31</v>
      </c>
      <c r="O35" s="148"/>
    </row>
    <row r="36" spans="2:15" hidden="1" outlineLevel="1" x14ac:dyDescent="0.25">
      <c r="B36" s="6" t="s">
        <v>32</v>
      </c>
      <c r="O36" s="148"/>
    </row>
    <row r="37" spans="2:15" ht="15.75" hidden="1" outlineLevel="1" thickBot="1" x14ac:dyDescent="0.3">
      <c r="B37" s="8" t="s">
        <v>33</v>
      </c>
      <c r="O37" s="148"/>
    </row>
    <row r="38" spans="2:15" ht="15.75" collapsed="1" thickBot="1" x14ac:dyDescent="0.3">
      <c r="O38" s="148"/>
    </row>
    <row r="39" spans="2:15" x14ac:dyDescent="0.25">
      <c r="B39" s="9"/>
      <c r="C39" s="10"/>
      <c r="D39" s="11"/>
      <c r="E39" s="11"/>
      <c r="F39" s="11"/>
      <c r="G39" s="11"/>
      <c r="H39" s="12"/>
      <c r="I39" s="13"/>
      <c r="J39" s="12"/>
      <c r="K39" s="12"/>
      <c r="L39" s="14"/>
      <c r="O39" s="148"/>
    </row>
    <row r="40" spans="2:15" ht="15.75" x14ac:dyDescent="0.25">
      <c r="B40" s="247" t="s">
        <v>34</v>
      </c>
      <c r="C40" s="248"/>
      <c r="D40" s="248"/>
      <c r="E40" s="248"/>
      <c r="F40" s="248"/>
      <c r="G40" s="248"/>
      <c r="H40" s="248"/>
      <c r="I40" s="248"/>
      <c r="J40" s="248"/>
      <c r="K40" s="248"/>
      <c r="L40" s="249"/>
      <c r="O40" s="148"/>
    </row>
    <row r="41" spans="2:15" ht="15.75" thickBot="1" x14ac:dyDescent="0.3">
      <c r="B41" s="15"/>
      <c r="C41" s="16"/>
      <c r="D41" s="17"/>
      <c r="E41" s="17"/>
      <c r="F41" s="17"/>
      <c r="G41" s="17"/>
      <c r="H41" s="18"/>
      <c r="I41" s="19"/>
      <c r="J41" s="18"/>
      <c r="K41" s="18"/>
      <c r="L41" s="20"/>
      <c r="O41" s="148"/>
    </row>
    <row r="42" spans="2:15" ht="15.75" thickBot="1" x14ac:dyDescent="0.3">
      <c r="B42" s="21"/>
      <c r="C42" s="22"/>
      <c r="D42" s="23"/>
      <c r="E42" s="23"/>
      <c r="F42" s="23"/>
      <c r="G42" s="23"/>
      <c r="H42" s="250" t="s">
        <v>35</v>
      </c>
      <c r="I42" s="251"/>
      <c r="J42" s="251"/>
      <c r="K42" s="251"/>
      <c r="L42" s="252"/>
      <c r="O42" s="148"/>
    </row>
    <row r="43" spans="2:15" x14ac:dyDescent="0.25">
      <c r="B43" s="24" t="s">
        <v>36</v>
      </c>
      <c r="C43" s="24" t="s">
        <v>37</v>
      </c>
      <c r="D43" s="24" t="s">
        <v>38</v>
      </c>
      <c r="E43" s="25" t="s">
        <v>39</v>
      </c>
      <c r="F43" s="24" t="s">
        <v>40</v>
      </c>
      <c r="G43" s="25" t="s">
        <v>41</v>
      </c>
      <c r="H43" s="26" t="s">
        <v>42</v>
      </c>
      <c r="I43" s="27" t="s">
        <v>43</v>
      </c>
      <c r="J43" s="26" t="s">
        <v>44</v>
      </c>
      <c r="K43" s="27" t="s">
        <v>45</v>
      </c>
      <c r="L43" s="26" t="s">
        <v>46</v>
      </c>
      <c r="O43" s="148"/>
    </row>
    <row r="44" spans="2:15" ht="15.75" thickBot="1" x14ac:dyDescent="0.3">
      <c r="B44" s="28" t="s">
        <v>47</v>
      </c>
      <c r="C44" s="29" t="s">
        <v>48</v>
      </c>
      <c r="D44" s="28" t="s">
        <v>49</v>
      </c>
      <c r="E44" s="30" t="s">
        <v>50</v>
      </c>
      <c r="F44" s="29" t="s">
        <v>51</v>
      </c>
      <c r="G44" s="30" t="s">
        <v>52</v>
      </c>
      <c r="H44" s="31" t="s">
        <v>53</v>
      </c>
      <c r="I44" s="32" t="s">
        <v>54</v>
      </c>
      <c r="J44" s="31" t="s">
        <v>55</v>
      </c>
      <c r="K44" s="32" t="s">
        <v>56</v>
      </c>
      <c r="L44" s="31" t="s">
        <v>57</v>
      </c>
      <c r="O44" s="148"/>
    </row>
    <row r="45" spans="2:15" ht="15.75" thickBot="1" x14ac:dyDescent="0.3">
      <c r="B45" s="33"/>
      <c r="C45" s="33"/>
      <c r="D45" s="180">
        <v>0</v>
      </c>
      <c r="E45" s="34"/>
      <c r="F45" s="33"/>
      <c r="G45" s="34" t="s">
        <v>58</v>
      </c>
      <c r="H45" s="35" t="s">
        <v>59</v>
      </c>
      <c r="I45" s="36" t="s">
        <v>60</v>
      </c>
      <c r="J45" s="35" t="s">
        <v>61</v>
      </c>
      <c r="K45" s="36" t="s">
        <v>62</v>
      </c>
      <c r="L45" s="35" t="s">
        <v>63</v>
      </c>
      <c r="O45" s="148"/>
    </row>
    <row r="46" spans="2:15" x14ac:dyDescent="0.25">
      <c r="B46" s="37"/>
      <c r="C46" s="37"/>
      <c r="D46" s="38"/>
      <c r="E46" s="39"/>
      <c r="F46" s="37"/>
      <c r="G46" s="40"/>
      <c r="H46" s="38"/>
      <c r="I46" s="39"/>
      <c r="J46" s="38"/>
      <c r="K46" s="39"/>
      <c r="L46" s="38"/>
      <c r="O46" s="148"/>
    </row>
    <row r="47" spans="2:15" ht="26.25" customHeight="1" x14ac:dyDescent="0.25">
      <c r="B47" s="178" t="s">
        <v>129</v>
      </c>
      <c r="C47" s="181">
        <f>(1500000+140606)*$N$26</f>
        <v>1640606</v>
      </c>
      <c r="D47" s="41">
        <f t="shared" ref="D47:D54" si="0">(1+$D$89)-1</f>
        <v>0</v>
      </c>
      <c r="E47" s="42">
        <f t="shared" ref="E47:E54" si="1">+D47*C47+C47</f>
        <v>1640606</v>
      </c>
      <c r="F47" s="185">
        <v>1</v>
      </c>
      <c r="G47" s="43">
        <f t="shared" ref="G47:G54" si="2">+F47*E47</f>
        <v>1640606</v>
      </c>
      <c r="H47" s="44">
        <f t="shared" ref="H47:H54" si="3">+G47*0.0833</f>
        <v>136662.4798</v>
      </c>
      <c r="I47" s="42">
        <f t="shared" ref="I47:I54" si="4">+H47*0.01</f>
        <v>1366.6247980000001</v>
      </c>
      <c r="J47" s="44">
        <f t="shared" ref="J47:J54" si="5">+G47*0.0833</f>
        <v>136662.4798</v>
      </c>
      <c r="K47" s="42">
        <f t="shared" ref="K47:K54" si="6">+G47*0.0416</f>
        <v>68249.209600000002</v>
      </c>
      <c r="L47" s="44">
        <f t="shared" ref="L47:L54" si="7">SUM(H47:K47)</f>
        <v>342940.79399800004</v>
      </c>
      <c r="O47" s="148"/>
    </row>
    <row r="48" spans="2:15" hidden="1" outlineLevel="1" x14ac:dyDescent="0.25">
      <c r="B48" s="182"/>
      <c r="C48" s="181"/>
      <c r="D48" s="41">
        <f t="shared" si="0"/>
        <v>0</v>
      </c>
      <c r="E48" s="42">
        <f t="shared" si="1"/>
        <v>0</v>
      </c>
      <c r="F48" s="185">
        <v>0</v>
      </c>
      <c r="G48" s="43">
        <f t="shared" si="2"/>
        <v>0</v>
      </c>
      <c r="H48" s="44">
        <f t="shared" si="3"/>
        <v>0</v>
      </c>
      <c r="I48" s="42">
        <f t="shared" si="4"/>
        <v>0</v>
      </c>
      <c r="J48" s="44">
        <f t="shared" si="5"/>
        <v>0</v>
      </c>
      <c r="K48" s="42">
        <f t="shared" si="6"/>
        <v>0</v>
      </c>
      <c r="L48" s="44">
        <f t="shared" si="7"/>
        <v>0</v>
      </c>
      <c r="O48" s="148"/>
    </row>
    <row r="49" spans="2:15" hidden="1" outlineLevel="1" x14ac:dyDescent="0.25">
      <c r="B49" s="182"/>
      <c r="C49" s="181"/>
      <c r="D49" s="41">
        <f t="shared" si="0"/>
        <v>0</v>
      </c>
      <c r="E49" s="42">
        <f t="shared" si="1"/>
        <v>0</v>
      </c>
      <c r="F49" s="185">
        <v>0</v>
      </c>
      <c r="G49" s="43">
        <f t="shared" si="2"/>
        <v>0</v>
      </c>
      <c r="H49" s="44">
        <f t="shared" si="3"/>
        <v>0</v>
      </c>
      <c r="I49" s="42">
        <f t="shared" si="4"/>
        <v>0</v>
      </c>
      <c r="J49" s="44">
        <f t="shared" si="5"/>
        <v>0</v>
      </c>
      <c r="K49" s="42">
        <f t="shared" si="6"/>
        <v>0</v>
      </c>
      <c r="L49" s="44">
        <f t="shared" si="7"/>
        <v>0</v>
      </c>
      <c r="O49" s="148"/>
    </row>
    <row r="50" spans="2:15" hidden="1" outlineLevel="1" x14ac:dyDescent="0.25">
      <c r="B50" s="182"/>
      <c r="C50" s="181"/>
      <c r="D50" s="41">
        <f t="shared" si="0"/>
        <v>0</v>
      </c>
      <c r="E50" s="42">
        <f t="shared" si="1"/>
        <v>0</v>
      </c>
      <c r="F50" s="185">
        <v>0</v>
      </c>
      <c r="G50" s="43">
        <f t="shared" si="2"/>
        <v>0</v>
      </c>
      <c r="H50" s="44">
        <f t="shared" si="3"/>
        <v>0</v>
      </c>
      <c r="I50" s="42">
        <f t="shared" si="4"/>
        <v>0</v>
      </c>
      <c r="J50" s="44">
        <f t="shared" si="5"/>
        <v>0</v>
      </c>
      <c r="K50" s="42">
        <f t="shared" si="6"/>
        <v>0</v>
      </c>
      <c r="L50" s="44">
        <f t="shared" si="7"/>
        <v>0</v>
      </c>
      <c r="O50" s="148"/>
    </row>
    <row r="51" spans="2:15" hidden="1" outlineLevel="1" x14ac:dyDescent="0.25">
      <c r="B51" s="182"/>
      <c r="C51" s="181"/>
      <c r="D51" s="41">
        <f t="shared" si="0"/>
        <v>0</v>
      </c>
      <c r="E51" s="42">
        <f t="shared" si="1"/>
        <v>0</v>
      </c>
      <c r="F51" s="185"/>
      <c r="G51" s="43">
        <f t="shared" si="2"/>
        <v>0</v>
      </c>
      <c r="H51" s="44">
        <f t="shared" si="3"/>
        <v>0</v>
      </c>
      <c r="I51" s="42">
        <f t="shared" si="4"/>
        <v>0</v>
      </c>
      <c r="J51" s="44">
        <f t="shared" si="5"/>
        <v>0</v>
      </c>
      <c r="K51" s="42">
        <f t="shared" si="6"/>
        <v>0</v>
      </c>
      <c r="L51" s="44">
        <f t="shared" si="7"/>
        <v>0</v>
      </c>
      <c r="O51" s="148"/>
    </row>
    <row r="52" spans="2:15" hidden="1" outlineLevel="1" x14ac:dyDescent="0.25">
      <c r="B52" s="182"/>
      <c r="C52" s="181"/>
      <c r="D52" s="41">
        <f t="shared" si="0"/>
        <v>0</v>
      </c>
      <c r="E52" s="42">
        <f t="shared" si="1"/>
        <v>0</v>
      </c>
      <c r="F52" s="185"/>
      <c r="G52" s="43">
        <f t="shared" si="2"/>
        <v>0</v>
      </c>
      <c r="H52" s="44">
        <f t="shared" si="3"/>
        <v>0</v>
      </c>
      <c r="I52" s="42">
        <f t="shared" si="4"/>
        <v>0</v>
      </c>
      <c r="J52" s="44">
        <f t="shared" si="5"/>
        <v>0</v>
      </c>
      <c r="K52" s="42">
        <f t="shared" si="6"/>
        <v>0</v>
      </c>
      <c r="L52" s="44">
        <f t="shared" si="7"/>
        <v>0</v>
      </c>
      <c r="O52" s="148"/>
    </row>
    <row r="53" spans="2:15" hidden="1" outlineLevel="1" x14ac:dyDescent="0.25">
      <c r="B53" s="182"/>
      <c r="C53" s="181"/>
      <c r="D53" s="41">
        <f t="shared" si="0"/>
        <v>0</v>
      </c>
      <c r="E53" s="42">
        <f t="shared" si="1"/>
        <v>0</v>
      </c>
      <c r="F53" s="185"/>
      <c r="G53" s="43">
        <f t="shared" si="2"/>
        <v>0</v>
      </c>
      <c r="H53" s="44">
        <f t="shared" si="3"/>
        <v>0</v>
      </c>
      <c r="I53" s="42">
        <f t="shared" si="4"/>
        <v>0</v>
      </c>
      <c r="J53" s="44">
        <f t="shared" si="5"/>
        <v>0</v>
      </c>
      <c r="K53" s="42">
        <f t="shared" si="6"/>
        <v>0</v>
      </c>
      <c r="L53" s="44">
        <f t="shared" si="7"/>
        <v>0</v>
      </c>
      <c r="O53" s="148"/>
    </row>
    <row r="54" spans="2:15" ht="15.75" hidden="1" outlineLevel="1" thickBot="1" x14ac:dyDescent="0.3">
      <c r="B54" s="183"/>
      <c r="C54" s="184"/>
      <c r="D54" s="45">
        <f t="shared" si="0"/>
        <v>0</v>
      </c>
      <c r="E54" s="46">
        <f t="shared" si="1"/>
        <v>0</v>
      </c>
      <c r="F54" s="186"/>
      <c r="G54" s="47">
        <f t="shared" si="2"/>
        <v>0</v>
      </c>
      <c r="H54" s="48">
        <f t="shared" si="3"/>
        <v>0</v>
      </c>
      <c r="I54" s="46">
        <f t="shared" si="4"/>
        <v>0</v>
      </c>
      <c r="J54" s="48">
        <f t="shared" si="5"/>
        <v>0</v>
      </c>
      <c r="K54" s="46">
        <f t="shared" si="6"/>
        <v>0</v>
      </c>
      <c r="L54" s="48">
        <f t="shared" si="7"/>
        <v>0</v>
      </c>
      <c r="O54" s="148"/>
    </row>
    <row r="55" spans="2:15" ht="15.75" collapsed="1" thickBot="1" x14ac:dyDescent="0.3">
      <c r="B55" s="49" t="s">
        <v>14</v>
      </c>
      <c r="C55" s="50">
        <f>SUM(C47:C54)</f>
        <v>1640606</v>
      </c>
      <c r="D55" s="50"/>
      <c r="E55" s="51"/>
      <c r="F55" s="52">
        <f>SUM(F47:F54)</f>
        <v>1</v>
      </c>
      <c r="G55" s="53">
        <f t="shared" ref="G55:L55" si="8">SUM(G47:G54)</f>
        <v>1640606</v>
      </c>
      <c r="H55" s="54">
        <f t="shared" si="8"/>
        <v>136662.4798</v>
      </c>
      <c r="I55" s="55">
        <f t="shared" si="8"/>
        <v>1366.6247980000001</v>
      </c>
      <c r="J55" s="54">
        <f t="shared" si="8"/>
        <v>136662.4798</v>
      </c>
      <c r="K55" s="55">
        <f t="shared" si="8"/>
        <v>68249.209600000002</v>
      </c>
      <c r="L55" s="56">
        <f t="shared" si="8"/>
        <v>342940.79399800004</v>
      </c>
      <c r="O55" s="148"/>
    </row>
    <row r="56" spans="2:15" ht="15.75" thickBot="1" x14ac:dyDescent="0.3">
      <c r="B56" s="57"/>
      <c r="C56" s="19"/>
      <c r="D56" s="19"/>
      <c r="E56" s="19"/>
      <c r="F56" s="19"/>
      <c r="G56" s="19"/>
      <c r="H56" s="19"/>
      <c r="I56" s="19"/>
      <c r="J56" s="19"/>
      <c r="K56" s="19"/>
      <c r="L56" s="58"/>
      <c r="O56" s="148"/>
    </row>
    <row r="57" spans="2:15" ht="15.75" thickBot="1" x14ac:dyDescent="0.3">
      <c r="B57" s="59"/>
      <c r="C57" s="60"/>
      <c r="D57" s="61"/>
      <c r="E57" s="61"/>
      <c r="F57" s="61"/>
      <c r="G57" s="61"/>
      <c r="H57" s="62"/>
      <c r="I57" s="244" t="s">
        <v>64</v>
      </c>
      <c r="J57" s="245"/>
      <c r="K57" s="245"/>
      <c r="L57" s="246"/>
      <c r="O57" s="148"/>
    </row>
    <row r="58" spans="2:15" x14ac:dyDescent="0.25">
      <c r="B58" s="59"/>
      <c r="C58" s="60"/>
      <c r="D58" s="61"/>
      <c r="E58" s="61"/>
      <c r="F58" s="61"/>
      <c r="G58" s="63" t="s">
        <v>41</v>
      </c>
      <c r="H58" s="62"/>
      <c r="I58" s="64" t="s">
        <v>65</v>
      </c>
      <c r="J58" s="65" t="s">
        <v>66</v>
      </c>
      <c r="K58" s="65" t="s">
        <v>67</v>
      </c>
      <c r="L58" s="66" t="s">
        <v>46</v>
      </c>
      <c r="O58" s="148"/>
    </row>
    <row r="59" spans="2:15" x14ac:dyDescent="0.25">
      <c r="B59" s="59"/>
      <c r="C59" s="60"/>
      <c r="D59" s="61"/>
      <c r="E59" s="61"/>
      <c r="F59" s="61"/>
      <c r="G59" s="67" t="s">
        <v>52</v>
      </c>
      <c r="H59" s="62"/>
      <c r="I59" s="68" t="s">
        <v>68</v>
      </c>
      <c r="J59" s="69" t="s">
        <v>69</v>
      </c>
      <c r="K59" s="69" t="s">
        <v>70</v>
      </c>
      <c r="L59" s="70" t="s">
        <v>71</v>
      </c>
      <c r="O59" s="148"/>
    </row>
    <row r="60" spans="2:15" ht="15.75" thickBot="1" x14ac:dyDescent="0.3">
      <c r="B60" s="59"/>
      <c r="C60" s="60"/>
      <c r="D60" s="61"/>
      <c r="E60" s="61"/>
      <c r="F60" s="61"/>
      <c r="G60" s="71" t="s">
        <v>72</v>
      </c>
      <c r="H60" s="72"/>
      <c r="I60" s="73" t="s">
        <v>73</v>
      </c>
      <c r="J60" s="74" t="s">
        <v>74</v>
      </c>
      <c r="K60" s="74" t="s">
        <v>75</v>
      </c>
      <c r="L60" s="75" t="s">
        <v>76</v>
      </c>
      <c r="O60" s="148"/>
    </row>
    <row r="61" spans="2:15" x14ac:dyDescent="0.25">
      <c r="B61" s="59"/>
      <c r="C61" s="60"/>
      <c r="D61" s="61"/>
      <c r="E61" s="61"/>
      <c r="F61" s="61"/>
      <c r="G61" s="76">
        <f t="shared" ref="G61:G68" si="9">+G47</f>
        <v>1640606</v>
      </c>
      <c r="H61" s="18"/>
      <c r="I61" s="77">
        <f t="shared" ref="I61:I68" si="10">+G61*0.085</f>
        <v>139451.51</v>
      </c>
      <c r="J61" s="78">
        <f t="shared" ref="J61:J68" si="11">+G61*0.11625</f>
        <v>190720.44750000001</v>
      </c>
      <c r="K61" s="78">
        <f t="shared" ref="K61:K68" si="12">+G61*0.0522</f>
        <v>85639.633200000011</v>
      </c>
      <c r="L61" s="79">
        <f t="shared" ref="L61:L68" si="13">SUM(I61:K61)</f>
        <v>415811.59070000006</v>
      </c>
      <c r="O61" s="148"/>
    </row>
    <row r="62" spans="2:15" ht="15.75" thickBot="1" x14ac:dyDescent="0.3">
      <c r="B62" s="59"/>
      <c r="C62" s="60"/>
      <c r="D62" s="61"/>
      <c r="E62" s="61"/>
      <c r="F62" s="61"/>
      <c r="G62" s="76">
        <f t="shared" si="9"/>
        <v>0</v>
      </c>
      <c r="H62" s="18"/>
      <c r="I62" s="80">
        <f t="shared" si="10"/>
        <v>0</v>
      </c>
      <c r="J62" s="81">
        <f t="shared" si="11"/>
        <v>0</v>
      </c>
      <c r="K62" s="81">
        <f t="shared" si="12"/>
        <v>0</v>
      </c>
      <c r="L62" s="82">
        <f t="shared" si="13"/>
        <v>0</v>
      </c>
      <c r="O62" s="148"/>
    </row>
    <row r="63" spans="2:15" hidden="1" outlineLevel="1" x14ac:dyDescent="0.25">
      <c r="B63" s="59"/>
      <c r="C63" s="60"/>
      <c r="D63" s="61"/>
      <c r="E63" s="61"/>
      <c r="F63" s="61"/>
      <c r="G63" s="76">
        <f t="shared" si="9"/>
        <v>0</v>
      </c>
      <c r="H63" s="18"/>
      <c r="I63" s="80">
        <f t="shared" si="10"/>
        <v>0</v>
      </c>
      <c r="J63" s="81">
        <f t="shared" si="11"/>
        <v>0</v>
      </c>
      <c r="K63" s="81">
        <f t="shared" si="12"/>
        <v>0</v>
      </c>
      <c r="L63" s="82">
        <f t="shared" si="13"/>
        <v>0</v>
      </c>
      <c r="O63" s="148"/>
    </row>
    <row r="64" spans="2:15" hidden="1" outlineLevel="1" x14ac:dyDescent="0.25">
      <c r="B64" s="59"/>
      <c r="C64" s="60"/>
      <c r="D64" s="61"/>
      <c r="E64" s="61"/>
      <c r="F64" s="61"/>
      <c r="G64" s="76">
        <f t="shared" si="9"/>
        <v>0</v>
      </c>
      <c r="H64" s="18"/>
      <c r="I64" s="80">
        <f t="shared" si="10"/>
        <v>0</v>
      </c>
      <c r="J64" s="81">
        <f t="shared" si="11"/>
        <v>0</v>
      </c>
      <c r="K64" s="81">
        <f t="shared" si="12"/>
        <v>0</v>
      </c>
      <c r="L64" s="82">
        <f t="shared" si="13"/>
        <v>0</v>
      </c>
      <c r="O64" s="148"/>
    </row>
    <row r="65" spans="2:15" hidden="1" outlineLevel="1" x14ac:dyDescent="0.25">
      <c r="B65" s="59"/>
      <c r="C65" s="60"/>
      <c r="D65" s="61"/>
      <c r="E65" s="61"/>
      <c r="F65" s="61"/>
      <c r="G65" s="76">
        <f t="shared" si="9"/>
        <v>0</v>
      </c>
      <c r="H65" s="18"/>
      <c r="I65" s="80">
        <f t="shared" si="10"/>
        <v>0</v>
      </c>
      <c r="J65" s="81">
        <f t="shared" si="11"/>
        <v>0</v>
      </c>
      <c r="K65" s="81">
        <f t="shared" si="12"/>
        <v>0</v>
      </c>
      <c r="L65" s="82">
        <f t="shared" si="13"/>
        <v>0</v>
      </c>
      <c r="O65" s="148"/>
    </row>
    <row r="66" spans="2:15" hidden="1" outlineLevel="1" x14ac:dyDescent="0.25">
      <c r="B66" s="59"/>
      <c r="C66" s="61"/>
      <c r="D66" s="61"/>
      <c r="E66" s="61"/>
      <c r="F66" s="61"/>
      <c r="G66" s="76">
        <f t="shared" si="9"/>
        <v>0</v>
      </c>
      <c r="H66" s="18"/>
      <c r="I66" s="80">
        <f t="shared" si="10"/>
        <v>0</v>
      </c>
      <c r="J66" s="81">
        <f t="shared" si="11"/>
        <v>0</v>
      </c>
      <c r="K66" s="81">
        <f t="shared" si="12"/>
        <v>0</v>
      </c>
      <c r="L66" s="82">
        <f t="shared" si="13"/>
        <v>0</v>
      </c>
      <c r="O66" s="148"/>
    </row>
    <row r="67" spans="2:15" hidden="1" outlineLevel="1" x14ac:dyDescent="0.25">
      <c r="B67" s="59"/>
      <c r="C67" s="61"/>
      <c r="D67" s="61"/>
      <c r="E67" s="61"/>
      <c r="F67" s="61"/>
      <c r="G67" s="76">
        <f t="shared" si="9"/>
        <v>0</v>
      </c>
      <c r="H67" s="18"/>
      <c r="I67" s="80">
        <f t="shared" si="10"/>
        <v>0</v>
      </c>
      <c r="J67" s="81">
        <f t="shared" si="11"/>
        <v>0</v>
      </c>
      <c r="K67" s="81">
        <f t="shared" si="12"/>
        <v>0</v>
      </c>
      <c r="L67" s="82">
        <f t="shared" si="13"/>
        <v>0</v>
      </c>
      <c r="O67" s="148"/>
    </row>
    <row r="68" spans="2:15" ht="15.75" hidden="1" outlineLevel="1" thickBot="1" x14ac:dyDescent="0.3">
      <c r="B68" s="59"/>
      <c r="C68" s="61"/>
      <c r="D68" s="61"/>
      <c r="E68" s="61"/>
      <c r="F68" s="61"/>
      <c r="G68" s="76">
        <f t="shared" si="9"/>
        <v>0</v>
      </c>
      <c r="H68" s="18"/>
      <c r="I68" s="80">
        <f t="shared" si="10"/>
        <v>0</v>
      </c>
      <c r="J68" s="81">
        <f t="shared" si="11"/>
        <v>0</v>
      </c>
      <c r="K68" s="81">
        <f t="shared" si="12"/>
        <v>0</v>
      </c>
      <c r="L68" s="82">
        <f t="shared" si="13"/>
        <v>0</v>
      </c>
      <c r="O68" s="148"/>
    </row>
    <row r="69" spans="2:15" ht="15.75" collapsed="1" thickBot="1" x14ac:dyDescent="0.3">
      <c r="B69" s="59"/>
      <c r="C69" s="61"/>
      <c r="D69" s="61"/>
      <c r="E69" s="61"/>
      <c r="F69" s="61"/>
      <c r="G69" s="83">
        <f>SUM(G61:G68)</f>
        <v>1640606</v>
      </c>
      <c r="H69" s="62"/>
      <c r="I69" s="84">
        <f>SUM(I61:I68)</f>
        <v>139451.51</v>
      </c>
      <c r="J69" s="85">
        <f>SUM(J61:J68)</f>
        <v>190720.44750000001</v>
      </c>
      <c r="K69" s="85">
        <f>SUM(K61:K68)</f>
        <v>85639.633200000011</v>
      </c>
      <c r="L69" s="86">
        <f>SUM(L61:L68)</f>
        <v>415811.59070000006</v>
      </c>
      <c r="O69" s="148"/>
    </row>
    <row r="70" spans="2:15" ht="15.75" thickBot="1" x14ac:dyDescent="0.3">
      <c r="B70" s="59"/>
      <c r="C70" s="61"/>
      <c r="D70" s="61"/>
      <c r="E70" s="61"/>
      <c r="F70" s="61"/>
      <c r="G70" s="87"/>
      <c r="H70" s="62"/>
      <c r="I70" s="60"/>
      <c r="J70" s="60"/>
      <c r="K70" s="60"/>
      <c r="L70" s="88"/>
      <c r="O70" s="148"/>
    </row>
    <row r="71" spans="2:15" ht="15.75" thickBot="1" x14ac:dyDescent="0.3">
      <c r="B71" s="59"/>
      <c r="C71" s="61"/>
      <c r="D71" s="61"/>
      <c r="E71" s="61"/>
      <c r="F71" s="61"/>
      <c r="G71" s="61"/>
      <c r="H71" s="62"/>
      <c r="I71" s="244" t="s">
        <v>77</v>
      </c>
      <c r="J71" s="245"/>
      <c r="K71" s="245"/>
      <c r="L71" s="246"/>
      <c r="O71" s="148"/>
    </row>
    <row r="72" spans="2:15" x14ac:dyDescent="0.25">
      <c r="B72" s="59"/>
      <c r="C72" s="61"/>
      <c r="D72" s="61"/>
      <c r="E72" s="61"/>
      <c r="F72" s="61"/>
      <c r="G72" s="63" t="s">
        <v>41</v>
      </c>
      <c r="H72" s="62"/>
      <c r="I72" s="64" t="s">
        <v>78</v>
      </c>
      <c r="J72" s="65" t="s">
        <v>79</v>
      </c>
      <c r="K72" s="65" t="s">
        <v>80</v>
      </c>
      <c r="L72" s="66" t="s">
        <v>46</v>
      </c>
      <c r="O72" s="148"/>
    </row>
    <row r="73" spans="2:15" x14ac:dyDescent="0.25">
      <c r="B73" s="59"/>
      <c r="C73" s="61"/>
      <c r="D73" s="61"/>
      <c r="E73" s="61"/>
      <c r="F73" s="61"/>
      <c r="G73" s="67" t="s">
        <v>52</v>
      </c>
      <c r="H73" s="62"/>
      <c r="I73" s="68" t="s">
        <v>81</v>
      </c>
      <c r="J73" s="69" t="s">
        <v>82</v>
      </c>
      <c r="K73" s="69" t="s">
        <v>83</v>
      </c>
      <c r="L73" s="70" t="s">
        <v>84</v>
      </c>
      <c r="O73" s="148"/>
    </row>
    <row r="74" spans="2:15" ht="15.75" thickBot="1" x14ac:dyDescent="0.3">
      <c r="B74" s="59"/>
      <c r="C74" s="61"/>
      <c r="D74" s="61"/>
      <c r="E74" s="61"/>
      <c r="F74" s="61"/>
      <c r="G74" s="71" t="s">
        <v>72</v>
      </c>
      <c r="H74" s="72"/>
      <c r="I74" s="73" t="s">
        <v>85</v>
      </c>
      <c r="J74" s="74" t="s">
        <v>86</v>
      </c>
      <c r="K74" s="74" t="s">
        <v>87</v>
      </c>
      <c r="L74" s="75" t="s">
        <v>88</v>
      </c>
      <c r="O74" s="148"/>
    </row>
    <row r="75" spans="2:15" x14ac:dyDescent="0.25">
      <c r="B75" s="59"/>
      <c r="C75" s="61"/>
      <c r="D75" s="61"/>
      <c r="E75" s="61"/>
      <c r="F75" s="61"/>
      <c r="G75" s="76">
        <f t="shared" ref="G75:G82" si="14">+G61</f>
        <v>1640606</v>
      </c>
      <c r="H75" s="18"/>
      <c r="I75" s="77">
        <f t="shared" ref="I75:I82" si="15">+G75*0.04</f>
        <v>65624.240000000005</v>
      </c>
      <c r="J75" s="78">
        <f t="shared" ref="J75:J82" si="16">+G75*0.03</f>
        <v>49218.18</v>
      </c>
      <c r="K75" s="78">
        <f t="shared" ref="K75:K82" si="17">+G75*0.02</f>
        <v>32812.120000000003</v>
      </c>
      <c r="L75" s="79">
        <f t="shared" ref="L75:L82" si="18">SUM(I75:K75)</f>
        <v>147654.54</v>
      </c>
      <c r="O75" s="148"/>
    </row>
    <row r="76" spans="2:15" ht="15.75" thickBot="1" x14ac:dyDescent="0.3">
      <c r="B76" s="59"/>
      <c r="C76" s="61"/>
      <c r="D76" s="61"/>
      <c r="E76" s="61"/>
      <c r="F76" s="61"/>
      <c r="G76" s="76">
        <f t="shared" si="14"/>
        <v>0</v>
      </c>
      <c r="H76" s="18"/>
      <c r="I76" s="80">
        <f t="shared" si="15"/>
        <v>0</v>
      </c>
      <c r="J76" s="81">
        <f t="shared" si="16"/>
        <v>0</v>
      </c>
      <c r="K76" s="81">
        <f t="shared" si="17"/>
        <v>0</v>
      </c>
      <c r="L76" s="82">
        <f t="shared" si="18"/>
        <v>0</v>
      </c>
      <c r="O76" s="148"/>
    </row>
    <row r="77" spans="2:15" hidden="1" outlineLevel="1" x14ac:dyDescent="0.25">
      <c r="B77" s="59"/>
      <c r="C77" s="61"/>
      <c r="D77" s="61"/>
      <c r="E77" s="61"/>
      <c r="F77" s="61"/>
      <c r="G77" s="76">
        <f t="shared" si="14"/>
        <v>0</v>
      </c>
      <c r="H77" s="18"/>
      <c r="I77" s="80">
        <f t="shared" si="15"/>
        <v>0</v>
      </c>
      <c r="J77" s="81">
        <f t="shared" si="16"/>
        <v>0</v>
      </c>
      <c r="K77" s="81">
        <f t="shared" si="17"/>
        <v>0</v>
      </c>
      <c r="L77" s="82">
        <f t="shared" si="18"/>
        <v>0</v>
      </c>
      <c r="O77" s="148"/>
    </row>
    <row r="78" spans="2:15" hidden="1" outlineLevel="1" x14ac:dyDescent="0.25">
      <c r="B78" s="59"/>
      <c r="C78" s="61"/>
      <c r="D78" s="61"/>
      <c r="E78" s="61"/>
      <c r="F78" s="61"/>
      <c r="G78" s="76">
        <f t="shared" si="14"/>
        <v>0</v>
      </c>
      <c r="H78" s="18"/>
      <c r="I78" s="80">
        <f t="shared" si="15"/>
        <v>0</v>
      </c>
      <c r="J78" s="81">
        <f t="shared" si="16"/>
        <v>0</v>
      </c>
      <c r="K78" s="81">
        <f t="shared" si="17"/>
        <v>0</v>
      </c>
      <c r="L78" s="82">
        <f t="shared" si="18"/>
        <v>0</v>
      </c>
      <c r="O78" s="148"/>
    </row>
    <row r="79" spans="2:15" hidden="1" outlineLevel="1" x14ac:dyDescent="0.25">
      <c r="B79" s="59"/>
      <c r="C79" s="61"/>
      <c r="D79" s="61"/>
      <c r="E79" s="61"/>
      <c r="F79" s="61"/>
      <c r="G79" s="76">
        <f t="shared" si="14"/>
        <v>0</v>
      </c>
      <c r="H79" s="18"/>
      <c r="I79" s="80">
        <f t="shared" si="15"/>
        <v>0</v>
      </c>
      <c r="J79" s="81">
        <f t="shared" si="16"/>
        <v>0</v>
      </c>
      <c r="K79" s="81">
        <f t="shared" si="17"/>
        <v>0</v>
      </c>
      <c r="L79" s="82">
        <f t="shared" si="18"/>
        <v>0</v>
      </c>
      <c r="O79" s="148"/>
    </row>
    <row r="80" spans="2:15" hidden="1" outlineLevel="1" x14ac:dyDescent="0.25">
      <c r="B80" s="59"/>
      <c r="C80" s="61"/>
      <c r="D80" s="61"/>
      <c r="E80" s="61"/>
      <c r="F80" s="61"/>
      <c r="G80" s="76">
        <f t="shared" si="14"/>
        <v>0</v>
      </c>
      <c r="H80" s="18"/>
      <c r="I80" s="80">
        <f t="shared" si="15"/>
        <v>0</v>
      </c>
      <c r="J80" s="81">
        <f t="shared" si="16"/>
        <v>0</v>
      </c>
      <c r="K80" s="81">
        <f t="shared" si="17"/>
        <v>0</v>
      </c>
      <c r="L80" s="82">
        <f t="shared" si="18"/>
        <v>0</v>
      </c>
      <c r="O80" s="148"/>
    </row>
    <row r="81" spans="2:15" hidden="1" outlineLevel="1" x14ac:dyDescent="0.25">
      <c r="B81" s="59"/>
      <c r="C81" s="61"/>
      <c r="D81" s="61"/>
      <c r="E81" s="61"/>
      <c r="F81" s="61"/>
      <c r="G81" s="76">
        <f t="shared" si="14"/>
        <v>0</v>
      </c>
      <c r="H81" s="18"/>
      <c r="I81" s="80">
        <f t="shared" si="15"/>
        <v>0</v>
      </c>
      <c r="J81" s="81">
        <f t="shared" si="16"/>
        <v>0</v>
      </c>
      <c r="K81" s="81">
        <f t="shared" si="17"/>
        <v>0</v>
      </c>
      <c r="L81" s="82">
        <f t="shared" si="18"/>
        <v>0</v>
      </c>
      <c r="O81" s="148"/>
    </row>
    <row r="82" spans="2:15" ht="15.75" hidden="1" outlineLevel="1" thickBot="1" x14ac:dyDescent="0.3">
      <c r="B82" s="59"/>
      <c r="C82" s="61"/>
      <c r="D82" s="61"/>
      <c r="E82" s="61"/>
      <c r="F82" s="61"/>
      <c r="G82" s="76">
        <f t="shared" si="14"/>
        <v>0</v>
      </c>
      <c r="H82" s="18"/>
      <c r="I82" s="80">
        <f t="shared" si="15"/>
        <v>0</v>
      </c>
      <c r="J82" s="81">
        <f t="shared" si="16"/>
        <v>0</v>
      </c>
      <c r="K82" s="81">
        <f t="shared" si="17"/>
        <v>0</v>
      </c>
      <c r="L82" s="82">
        <f t="shared" si="18"/>
        <v>0</v>
      </c>
      <c r="O82" s="148"/>
    </row>
    <row r="83" spans="2:15" ht="15.75" collapsed="1" thickBot="1" x14ac:dyDescent="0.3">
      <c r="B83" s="59"/>
      <c r="C83" s="61"/>
      <c r="D83" s="61"/>
      <c r="E83" s="61"/>
      <c r="F83" s="61"/>
      <c r="G83" s="83">
        <f>SUM(G75:G82)</f>
        <v>1640606</v>
      </c>
      <c r="H83" s="62"/>
      <c r="I83" s="84">
        <f>SUM(I75:I82)</f>
        <v>65624.240000000005</v>
      </c>
      <c r="J83" s="84">
        <f>SUM(J75:J82)</f>
        <v>49218.18</v>
      </c>
      <c r="K83" s="84">
        <f>SUM(K75:K82)</f>
        <v>32812.120000000003</v>
      </c>
      <c r="L83" s="89">
        <f>SUM(L75:L82)</f>
        <v>147654.54</v>
      </c>
      <c r="O83" s="148"/>
    </row>
    <row r="84" spans="2:15" ht="15.75" thickBot="1" x14ac:dyDescent="0.3">
      <c r="B84" s="59"/>
      <c r="C84" s="61"/>
      <c r="D84" s="61"/>
      <c r="E84" s="61"/>
      <c r="F84" s="61"/>
      <c r="G84" s="19"/>
      <c r="H84" s="62"/>
      <c r="I84" s="90"/>
      <c r="J84" s="90"/>
      <c r="K84" s="90"/>
      <c r="L84" s="91"/>
      <c r="O84" s="148"/>
    </row>
    <row r="85" spans="2:15" ht="15.75" thickBot="1" x14ac:dyDescent="0.3">
      <c r="B85" s="92" t="s">
        <v>89</v>
      </c>
      <c r="C85" s="93"/>
      <c r="D85" s="93"/>
      <c r="E85" s="93"/>
      <c r="F85" s="93"/>
      <c r="G85" s="94"/>
      <c r="H85" s="95"/>
      <c r="I85" s="96"/>
      <c r="J85" s="96"/>
      <c r="K85" s="96" t="s">
        <v>90</v>
      </c>
      <c r="L85" s="97">
        <f>+G55+L55+L69+L83</f>
        <v>2547012.9246979998</v>
      </c>
      <c r="O85" s="148"/>
    </row>
    <row r="86" spans="2:15" ht="15.75" thickBot="1" x14ac:dyDescent="0.3">
      <c r="B86" s="98" t="s">
        <v>91</v>
      </c>
      <c r="C86" s="99"/>
      <c r="D86" s="99"/>
      <c r="E86" s="99"/>
      <c r="F86" s="99"/>
      <c r="G86" s="99"/>
      <c r="H86" s="100"/>
      <c r="I86" s="100"/>
      <c r="J86" s="100"/>
      <c r="K86" s="100"/>
      <c r="L86" s="101"/>
      <c r="O86" s="148"/>
    </row>
    <row r="87" spans="2:15" x14ac:dyDescent="0.25">
      <c r="B87" s="102" t="s">
        <v>92</v>
      </c>
      <c r="C87" s="103"/>
      <c r="D87" s="103" t="s">
        <v>93</v>
      </c>
      <c r="E87" s="103"/>
      <c r="F87" s="103"/>
      <c r="G87" s="104"/>
      <c r="H87" s="105">
        <f>+G83+L69+L83</f>
        <v>2204072.1307000001</v>
      </c>
      <c r="I87" s="100"/>
      <c r="J87" s="100"/>
      <c r="K87" s="100"/>
      <c r="L87" s="101"/>
      <c r="O87" s="148"/>
    </row>
    <row r="88" spans="2:15" ht="15.75" thickBot="1" x14ac:dyDescent="0.3">
      <c r="B88" s="106" t="s">
        <v>94</v>
      </c>
      <c r="C88" s="107"/>
      <c r="D88" s="107" t="s">
        <v>90</v>
      </c>
      <c r="E88" s="107"/>
      <c r="F88" s="107"/>
      <c r="G88" s="108"/>
      <c r="H88" s="109">
        <f>+L85</f>
        <v>2547012.9246979998</v>
      </c>
      <c r="I88" s="100"/>
      <c r="J88" s="100"/>
      <c r="K88" s="100"/>
      <c r="L88" s="101"/>
      <c r="O88" s="148"/>
    </row>
    <row r="89" spans="2:15" ht="15.75" thickBot="1" x14ac:dyDescent="0.3">
      <c r="B89" s="98"/>
      <c r="C89" s="99"/>
      <c r="D89" s="99"/>
      <c r="E89" s="99"/>
      <c r="F89" s="99"/>
      <c r="G89" s="61"/>
      <c r="H89" s="100"/>
      <c r="I89" s="100"/>
      <c r="J89" s="100"/>
      <c r="K89" s="100"/>
      <c r="L89" s="101"/>
      <c r="O89" s="148"/>
    </row>
    <row r="90" spans="2:15" x14ac:dyDescent="0.25">
      <c r="B90" s="198" t="s">
        <v>95</v>
      </c>
      <c r="C90" s="110"/>
      <c r="D90" s="110"/>
      <c r="E90" s="110"/>
      <c r="F90" s="110"/>
      <c r="G90" s="111"/>
      <c r="H90" s="112"/>
      <c r="I90" s="112"/>
      <c r="J90" s="112"/>
      <c r="K90" s="112"/>
      <c r="L90" s="113"/>
      <c r="O90" s="148"/>
    </row>
    <row r="91" spans="2:15" x14ac:dyDescent="0.25">
      <c r="B91" s="114"/>
      <c r="C91" s="99"/>
      <c r="D91" s="99"/>
      <c r="E91" s="99"/>
      <c r="F91" s="99"/>
      <c r="G91" s="61"/>
      <c r="H91" s="100"/>
      <c r="I91" s="100"/>
      <c r="J91" s="100"/>
      <c r="K91" s="100"/>
      <c r="L91" s="101"/>
      <c r="O91" s="148"/>
    </row>
    <row r="92" spans="2:15" ht="15.75" thickBot="1" x14ac:dyDescent="0.3">
      <c r="B92" s="98"/>
      <c r="C92" s="99"/>
      <c r="D92" s="99"/>
      <c r="E92" s="99"/>
      <c r="F92" s="99"/>
      <c r="G92" s="61"/>
      <c r="H92" s="100"/>
      <c r="I92" s="100"/>
      <c r="J92" s="100"/>
      <c r="K92" s="100"/>
      <c r="L92" s="101"/>
      <c r="O92" s="148"/>
    </row>
    <row r="93" spans="2:15" ht="30" customHeight="1" x14ac:dyDescent="0.25">
      <c r="B93" s="161" t="s">
        <v>96</v>
      </c>
      <c r="C93" s="162" t="s">
        <v>97</v>
      </c>
      <c r="D93" s="163" t="s">
        <v>98</v>
      </c>
      <c r="E93" s="163" t="s">
        <v>99</v>
      </c>
      <c r="F93" s="162" t="s">
        <v>40</v>
      </c>
      <c r="G93" s="164" t="s">
        <v>99</v>
      </c>
      <c r="H93" s="61"/>
      <c r="I93" s="115"/>
      <c r="J93" s="116"/>
      <c r="K93" s="100"/>
      <c r="L93" s="101"/>
      <c r="O93" s="148"/>
    </row>
    <row r="94" spans="2:15" ht="15.75" thickBot="1" x14ac:dyDescent="0.3">
      <c r="B94" s="117"/>
      <c r="C94" s="118" t="s">
        <v>0</v>
      </c>
      <c r="D94" s="118" t="s">
        <v>100</v>
      </c>
      <c r="E94" s="118" t="s">
        <v>101</v>
      </c>
      <c r="F94" s="119"/>
      <c r="G94" s="120" t="s">
        <v>102</v>
      </c>
      <c r="H94" s="61"/>
      <c r="I94" s="115"/>
      <c r="J94" s="116"/>
      <c r="K94" s="100"/>
      <c r="L94" s="101"/>
      <c r="O94" s="148"/>
    </row>
    <row r="95" spans="2:15" ht="15.75" thickBot="1" x14ac:dyDescent="0.3">
      <c r="B95" s="121" t="str">
        <f t="shared" ref="B95:B103" si="19">+B47</f>
        <v>Técnico Mantenimiento</v>
      </c>
      <c r="C95" s="122">
        <f>+G47+L47+L61+L75</f>
        <v>2547012.9246979998</v>
      </c>
      <c r="D95" s="123">
        <v>190</v>
      </c>
      <c r="E95" s="122">
        <f t="shared" ref="E95:E102" si="20">+C95/D95</f>
        <v>13405.331182621052</v>
      </c>
      <c r="F95" s="124">
        <f t="shared" ref="F95:F102" si="21">+F47</f>
        <v>1</v>
      </c>
      <c r="G95" s="125">
        <f t="shared" ref="G95:G102" si="22">+F95*E95</f>
        <v>13405.331182621052</v>
      </c>
      <c r="H95" s="61"/>
      <c r="I95" s="61"/>
      <c r="J95" s="61"/>
      <c r="K95" s="62"/>
      <c r="L95" s="126"/>
      <c r="O95" s="148"/>
    </row>
    <row r="96" spans="2:15" hidden="1" outlineLevel="1" x14ac:dyDescent="0.25">
      <c r="B96" s="127">
        <f t="shared" si="19"/>
        <v>0</v>
      </c>
      <c r="C96" s="128">
        <f t="shared" ref="C96:C102" si="23">+G48+L48+L62+L76</f>
        <v>0</v>
      </c>
      <c r="D96" s="129">
        <v>190</v>
      </c>
      <c r="E96" s="128">
        <f t="shared" si="20"/>
        <v>0</v>
      </c>
      <c r="F96" s="130">
        <f t="shared" si="21"/>
        <v>0</v>
      </c>
      <c r="G96" s="131">
        <f t="shared" si="22"/>
        <v>0</v>
      </c>
      <c r="H96" s="61"/>
      <c r="I96" s="61"/>
      <c r="J96" s="61"/>
      <c r="K96" s="62"/>
      <c r="L96" s="126"/>
      <c r="O96" s="148"/>
    </row>
    <row r="97" spans="2:15" hidden="1" outlineLevel="1" x14ac:dyDescent="0.25">
      <c r="B97" s="127">
        <f t="shared" si="19"/>
        <v>0</v>
      </c>
      <c r="C97" s="128">
        <f t="shared" si="23"/>
        <v>0</v>
      </c>
      <c r="D97" s="129">
        <v>190</v>
      </c>
      <c r="E97" s="128">
        <f t="shared" si="20"/>
        <v>0</v>
      </c>
      <c r="F97" s="130">
        <f t="shared" si="21"/>
        <v>0</v>
      </c>
      <c r="G97" s="131">
        <f t="shared" si="22"/>
        <v>0</v>
      </c>
      <c r="H97" s="61"/>
      <c r="I97" s="61"/>
      <c r="J97" s="61"/>
      <c r="K97" s="62"/>
      <c r="L97" s="126"/>
      <c r="O97" s="148"/>
    </row>
    <row r="98" spans="2:15" hidden="1" outlineLevel="1" x14ac:dyDescent="0.25">
      <c r="B98" s="127">
        <f t="shared" si="19"/>
        <v>0</v>
      </c>
      <c r="C98" s="128">
        <f t="shared" si="23"/>
        <v>0</v>
      </c>
      <c r="D98" s="129">
        <v>190</v>
      </c>
      <c r="E98" s="128">
        <f t="shared" si="20"/>
        <v>0</v>
      </c>
      <c r="F98" s="130">
        <f t="shared" si="21"/>
        <v>0</v>
      </c>
      <c r="G98" s="131">
        <f t="shared" si="22"/>
        <v>0</v>
      </c>
      <c r="H98" s="61"/>
      <c r="I98" s="61"/>
      <c r="J98" s="61"/>
      <c r="K98" s="62"/>
      <c r="L98" s="126"/>
      <c r="O98" s="148"/>
    </row>
    <row r="99" spans="2:15" hidden="1" outlineLevel="1" x14ac:dyDescent="0.25">
      <c r="B99" s="127">
        <f t="shared" si="19"/>
        <v>0</v>
      </c>
      <c r="C99" s="128">
        <f t="shared" si="23"/>
        <v>0</v>
      </c>
      <c r="D99" s="129">
        <v>190</v>
      </c>
      <c r="E99" s="128">
        <f t="shared" si="20"/>
        <v>0</v>
      </c>
      <c r="F99" s="130">
        <f t="shared" si="21"/>
        <v>0</v>
      </c>
      <c r="G99" s="131">
        <f t="shared" si="22"/>
        <v>0</v>
      </c>
      <c r="H99" s="61"/>
      <c r="I99" s="61"/>
      <c r="J99" s="61"/>
      <c r="K99" s="62"/>
      <c r="L99" s="126"/>
      <c r="O99" s="148"/>
    </row>
    <row r="100" spans="2:15" hidden="1" outlineLevel="1" x14ac:dyDescent="0.25">
      <c r="B100" s="127">
        <f t="shared" si="19"/>
        <v>0</v>
      </c>
      <c r="C100" s="128">
        <f t="shared" si="23"/>
        <v>0</v>
      </c>
      <c r="D100" s="129">
        <v>190</v>
      </c>
      <c r="E100" s="128">
        <f t="shared" si="20"/>
        <v>0</v>
      </c>
      <c r="F100" s="130">
        <f t="shared" si="21"/>
        <v>0</v>
      </c>
      <c r="G100" s="131">
        <f t="shared" si="22"/>
        <v>0</v>
      </c>
      <c r="H100" s="61"/>
      <c r="I100" s="61"/>
      <c r="J100" s="61"/>
      <c r="K100" s="62"/>
      <c r="L100" s="126"/>
      <c r="O100" s="148"/>
    </row>
    <row r="101" spans="2:15" hidden="1" outlineLevel="1" x14ac:dyDescent="0.25">
      <c r="B101" s="127">
        <f t="shared" si="19"/>
        <v>0</v>
      </c>
      <c r="C101" s="128">
        <f t="shared" si="23"/>
        <v>0</v>
      </c>
      <c r="D101" s="129">
        <v>190</v>
      </c>
      <c r="E101" s="128">
        <f t="shared" si="20"/>
        <v>0</v>
      </c>
      <c r="F101" s="130">
        <f t="shared" si="21"/>
        <v>0</v>
      </c>
      <c r="G101" s="131">
        <f t="shared" si="22"/>
        <v>0</v>
      </c>
      <c r="H101" s="61"/>
      <c r="I101" s="61"/>
      <c r="J101" s="61"/>
      <c r="K101" s="62"/>
      <c r="L101" s="126"/>
      <c r="O101" s="148"/>
    </row>
    <row r="102" spans="2:15" ht="15.75" hidden="1" outlineLevel="1" thickBot="1" x14ac:dyDescent="0.3">
      <c r="B102" s="132">
        <f t="shared" si="19"/>
        <v>0</v>
      </c>
      <c r="C102" s="133">
        <f t="shared" si="23"/>
        <v>0</v>
      </c>
      <c r="D102" s="134">
        <v>190</v>
      </c>
      <c r="E102" s="133">
        <f t="shared" si="20"/>
        <v>0</v>
      </c>
      <c r="F102" s="135">
        <f t="shared" si="21"/>
        <v>0</v>
      </c>
      <c r="G102" s="136">
        <f t="shared" si="22"/>
        <v>0</v>
      </c>
      <c r="H102" s="61"/>
      <c r="I102" s="61"/>
      <c r="J102" s="61"/>
      <c r="K102" s="62"/>
      <c r="L102" s="126"/>
      <c r="O102" s="148"/>
    </row>
    <row r="103" spans="2:15" ht="15.75" collapsed="1" thickBot="1" x14ac:dyDescent="0.3">
      <c r="B103" s="137" t="str">
        <f t="shared" si="19"/>
        <v>TOTALES</v>
      </c>
      <c r="C103" s="85">
        <f>SUM(C95:C102)</f>
        <v>2547012.9246979998</v>
      </c>
      <c r="D103" s="85">
        <f>SUM(D95:D102)</f>
        <v>1520</v>
      </c>
      <c r="E103" s="85">
        <f>SUM(E95:E102)</f>
        <v>13405.331182621052</v>
      </c>
      <c r="F103" s="138">
        <f>SUM(F95:F102)</f>
        <v>1</v>
      </c>
      <c r="G103" s="139">
        <f>SUM(G95:G102)</f>
        <v>13405.331182621052</v>
      </c>
      <c r="H103" s="140"/>
      <c r="I103" s="140"/>
      <c r="J103" s="140"/>
      <c r="K103" s="141"/>
      <c r="L103" s="142"/>
      <c r="O103" s="148"/>
    </row>
    <row r="104" spans="2:15" x14ac:dyDescent="0.25">
      <c r="B104" s="61"/>
      <c r="C104" s="61"/>
      <c r="D104" s="61"/>
      <c r="E104" s="61"/>
      <c r="F104" s="61"/>
      <c r="G104" s="61"/>
      <c r="H104" s="62"/>
      <c r="I104" s="62"/>
      <c r="J104" s="62"/>
      <c r="K104" s="62"/>
      <c r="L104" s="62"/>
      <c r="O104" s="148"/>
    </row>
    <row r="105" spans="2:15" x14ac:dyDescent="0.25">
      <c r="B105" s="61"/>
      <c r="C105" s="61"/>
      <c r="D105" s="61"/>
      <c r="E105" s="61"/>
      <c r="F105" s="61"/>
      <c r="G105" s="61"/>
      <c r="H105" s="62"/>
      <c r="I105" s="62"/>
      <c r="J105" s="62"/>
      <c r="K105" s="62"/>
      <c r="L105" s="62"/>
      <c r="O105" s="148"/>
    </row>
    <row r="106" spans="2:15" ht="15.75" x14ac:dyDescent="0.25">
      <c r="B106" s="247" t="s">
        <v>103</v>
      </c>
      <c r="C106" s="248"/>
      <c r="D106" s="248"/>
      <c r="E106" s="248"/>
      <c r="F106" s="248"/>
      <c r="G106" s="248"/>
      <c r="H106" s="248"/>
      <c r="I106" s="248"/>
      <c r="J106" s="248"/>
      <c r="K106" s="248"/>
      <c r="L106" s="249"/>
      <c r="O106" s="148"/>
    </row>
    <row r="107" spans="2:15" ht="15.75" thickBot="1" x14ac:dyDescent="0.3">
      <c r="B107" s="143"/>
      <c r="C107" s="16"/>
      <c r="D107" s="17"/>
      <c r="E107" s="17"/>
      <c r="F107" s="17"/>
      <c r="G107" s="17"/>
      <c r="H107" s="18"/>
      <c r="I107" s="19"/>
      <c r="J107" s="18"/>
      <c r="K107" s="18"/>
      <c r="L107" s="20"/>
      <c r="O107" s="148"/>
    </row>
    <row r="108" spans="2:15" ht="15.75" thickBot="1" x14ac:dyDescent="0.3">
      <c r="B108" s="21"/>
      <c r="C108" s="22"/>
      <c r="D108" s="23"/>
      <c r="E108" s="23"/>
      <c r="F108" s="23"/>
      <c r="G108" s="23"/>
      <c r="H108" s="250" t="s">
        <v>35</v>
      </c>
      <c r="I108" s="251"/>
      <c r="J108" s="251"/>
      <c r="K108" s="251"/>
      <c r="L108" s="252"/>
      <c r="O108" s="148"/>
    </row>
    <row r="109" spans="2:15" x14ac:dyDescent="0.25">
      <c r="B109" s="24" t="s">
        <v>36</v>
      </c>
      <c r="C109" s="24" t="s">
        <v>37</v>
      </c>
      <c r="D109" s="24" t="s">
        <v>38</v>
      </c>
      <c r="E109" s="25" t="s">
        <v>39</v>
      </c>
      <c r="F109" s="24" t="s">
        <v>40</v>
      </c>
      <c r="G109" s="25" t="s">
        <v>41</v>
      </c>
      <c r="H109" s="26" t="s">
        <v>42</v>
      </c>
      <c r="I109" s="27" t="s">
        <v>43</v>
      </c>
      <c r="J109" s="26" t="s">
        <v>44</v>
      </c>
      <c r="K109" s="27" t="s">
        <v>45</v>
      </c>
      <c r="L109" s="26" t="s">
        <v>46</v>
      </c>
      <c r="O109" s="148"/>
    </row>
    <row r="110" spans="2:15" ht="15.75" thickBot="1" x14ac:dyDescent="0.3">
      <c r="B110" s="28" t="s">
        <v>47</v>
      </c>
      <c r="C110" s="29" t="s">
        <v>48</v>
      </c>
      <c r="D110" s="28" t="s">
        <v>49</v>
      </c>
      <c r="E110" s="30" t="s">
        <v>50</v>
      </c>
      <c r="F110" s="29" t="s">
        <v>51</v>
      </c>
      <c r="G110" s="30" t="s">
        <v>52</v>
      </c>
      <c r="H110" s="31" t="s">
        <v>53</v>
      </c>
      <c r="I110" s="32" t="s">
        <v>54</v>
      </c>
      <c r="J110" s="31" t="s">
        <v>55</v>
      </c>
      <c r="K110" s="32" t="s">
        <v>56</v>
      </c>
      <c r="L110" s="31" t="s">
        <v>57</v>
      </c>
      <c r="O110" s="148"/>
    </row>
    <row r="111" spans="2:15" ht="15.75" thickBot="1" x14ac:dyDescent="0.3">
      <c r="B111" s="33"/>
      <c r="C111" s="33"/>
      <c r="D111" s="180">
        <f>+$D$89</f>
        <v>0</v>
      </c>
      <c r="E111" s="34"/>
      <c r="F111" s="33"/>
      <c r="G111" s="34" t="s">
        <v>58</v>
      </c>
      <c r="H111" s="35" t="s">
        <v>59</v>
      </c>
      <c r="I111" s="36" t="s">
        <v>60</v>
      </c>
      <c r="J111" s="35" t="s">
        <v>61</v>
      </c>
      <c r="K111" s="36" t="s">
        <v>62</v>
      </c>
      <c r="L111" s="35" t="s">
        <v>63</v>
      </c>
      <c r="O111" s="148"/>
    </row>
    <row r="112" spans="2:15" hidden="1" x14ac:dyDescent="0.25">
      <c r="B112" s="37"/>
      <c r="C112" s="37"/>
      <c r="D112" s="38"/>
      <c r="E112" s="39"/>
      <c r="F112" s="37"/>
      <c r="G112" s="40"/>
      <c r="H112" s="38"/>
      <c r="I112" s="39"/>
      <c r="J112" s="38"/>
      <c r="K112" s="39"/>
      <c r="L112" s="38"/>
      <c r="O112" s="148"/>
    </row>
    <row r="113" spans="2:15" x14ac:dyDescent="0.25">
      <c r="B113" s="182" t="s">
        <v>130</v>
      </c>
      <c r="C113" s="181">
        <f>2700000*$N$26</f>
        <v>2700000</v>
      </c>
      <c r="D113" s="41">
        <f t="shared" ref="D113:D120" si="24">(1+$D$89)-1</f>
        <v>0</v>
      </c>
      <c r="E113" s="42">
        <f t="shared" ref="E113:E120" si="25">+D113*C113+C113</f>
        <v>2700000</v>
      </c>
      <c r="F113" s="185">
        <v>1</v>
      </c>
      <c r="G113" s="43">
        <f t="shared" ref="G113:G120" si="26">+F113*E113</f>
        <v>2700000</v>
      </c>
      <c r="H113" s="44">
        <f t="shared" ref="H113:H120" si="27">+G113*0.0833</f>
        <v>224910</v>
      </c>
      <c r="I113" s="42">
        <f t="shared" ref="I113:I120" si="28">+H113*0.01</f>
        <v>2249.1</v>
      </c>
      <c r="J113" s="44">
        <f t="shared" ref="J113:J120" si="29">+G113*0.0833</f>
        <v>224910</v>
      </c>
      <c r="K113" s="42">
        <f t="shared" ref="K113:K120" si="30">+G113*0.0416</f>
        <v>112320</v>
      </c>
      <c r="L113" s="44">
        <f t="shared" ref="L113:L120" si="31">SUM(H113:K113)</f>
        <v>564389.1</v>
      </c>
      <c r="O113" s="148"/>
    </row>
    <row r="114" spans="2:15" x14ac:dyDescent="0.25">
      <c r="B114" s="182" t="s">
        <v>180</v>
      </c>
      <c r="C114" s="181">
        <f>(1160000+140606)*$N$26</f>
        <v>1300606</v>
      </c>
      <c r="D114" s="41">
        <f t="shared" si="24"/>
        <v>0</v>
      </c>
      <c r="E114" s="42">
        <f t="shared" si="25"/>
        <v>1300606</v>
      </c>
      <c r="F114" s="185">
        <v>1</v>
      </c>
      <c r="G114" s="43">
        <f t="shared" si="26"/>
        <v>1300606</v>
      </c>
      <c r="H114" s="44">
        <f t="shared" si="27"/>
        <v>108340.4798</v>
      </c>
      <c r="I114" s="42">
        <f t="shared" si="28"/>
        <v>1083.404798</v>
      </c>
      <c r="J114" s="44">
        <f t="shared" si="29"/>
        <v>108340.4798</v>
      </c>
      <c r="K114" s="42">
        <f t="shared" si="30"/>
        <v>54105.209599999995</v>
      </c>
      <c r="L114" s="44">
        <f t="shared" si="31"/>
        <v>271869.57399800001</v>
      </c>
      <c r="O114" s="148"/>
    </row>
    <row r="115" spans="2:15" hidden="1" outlineLevel="1" x14ac:dyDescent="0.25">
      <c r="B115" s="182"/>
      <c r="C115" s="181">
        <v>0</v>
      </c>
      <c r="D115" s="41">
        <f t="shared" si="24"/>
        <v>0</v>
      </c>
      <c r="E115" s="42">
        <f t="shared" si="25"/>
        <v>0</v>
      </c>
      <c r="F115" s="185"/>
      <c r="G115" s="43">
        <f t="shared" si="26"/>
        <v>0</v>
      </c>
      <c r="H115" s="44">
        <f t="shared" si="27"/>
        <v>0</v>
      </c>
      <c r="I115" s="42">
        <f t="shared" si="28"/>
        <v>0</v>
      </c>
      <c r="J115" s="44">
        <f t="shared" si="29"/>
        <v>0</v>
      </c>
      <c r="K115" s="42">
        <f t="shared" si="30"/>
        <v>0</v>
      </c>
      <c r="L115" s="44">
        <f t="shared" si="31"/>
        <v>0</v>
      </c>
      <c r="O115" s="148"/>
    </row>
    <row r="116" spans="2:15" hidden="1" outlineLevel="1" x14ac:dyDescent="0.25">
      <c r="B116" s="182"/>
      <c r="C116" s="181">
        <v>0</v>
      </c>
      <c r="D116" s="41">
        <f t="shared" si="24"/>
        <v>0</v>
      </c>
      <c r="E116" s="42">
        <f t="shared" si="25"/>
        <v>0</v>
      </c>
      <c r="F116" s="185"/>
      <c r="G116" s="43">
        <f t="shared" si="26"/>
        <v>0</v>
      </c>
      <c r="H116" s="44">
        <f t="shared" si="27"/>
        <v>0</v>
      </c>
      <c r="I116" s="42">
        <f t="shared" si="28"/>
        <v>0</v>
      </c>
      <c r="J116" s="44">
        <f t="shared" si="29"/>
        <v>0</v>
      </c>
      <c r="K116" s="42">
        <f t="shared" si="30"/>
        <v>0</v>
      </c>
      <c r="L116" s="44">
        <f t="shared" si="31"/>
        <v>0</v>
      </c>
      <c r="O116" s="148"/>
    </row>
    <row r="117" spans="2:15" hidden="1" outlineLevel="1" x14ac:dyDescent="0.25">
      <c r="B117" s="182"/>
      <c r="C117" s="181"/>
      <c r="D117" s="41">
        <f t="shared" si="24"/>
        <v>0</v>
      </c>
      <c r="E117" s="42">
        <f t="shared" si="25"/>
        <v>0</v>
      </c>
      <c r="F117" s="185"/>
      <c r="G117" s="43">
        <f t="shared" si="26"/>
        <v>0</v>
      </c>
      <c r="H117" s="44">
        <f t="shared" si="27"/>
        <v>0</v>
      </c>
      <c r="I117" s="42">
        <f t="shared" si="28"/>
        <v>0</v>
      </c>
      <c r="J117" s="44">
        <f t="shared" si="29"/>
        <v>0</v>
      </c>
      <c r="K117" s="42">
        <f t="shared" si="30"/>
        <v>0</v>
      </c>
      <c r="L117" s="44">
        <f t="shared" si="31"/>
        <v>0</v>
      </c>
      <c r="O117" s="148"/>
    </row>
    <row r="118" spans="2:15" hidden="1" outlineLevel="1" x14ac:dyDescent="0.25">
      <c r="B118" s="182"/>
      <c r="C118" s="181"/>
      <c r="D118" s="41">
        <f t="shared" si="24"/>
        <v>0</v>
      </c>
      <c r="E118" s="42">
        <f t="shared" si="25"/>
        <v>0</v>
      </c>
      <c r="F118" s="185"/>
      <c r="G118" s="43">
        <f t="shared" si="26"/>
        <v>0</v>
      </c>
      <c r="H118" s="44">
        <f t="shared" si="27"/>
        <v>0</v>
      </c>
      <c r="I118" s="42">
        <f t="shared" si="28"/>
        <v>0</v>
      </c>
      <c r="J118" s="44">
        <f t="shared" si="29"/>
        <v>0</v>
      </c>
      <c r="K118" s="42">
        <f t="shared" si="30"/>
        <v>0</v>
      </c>
      <c r="L118" s="44">
        <f t="shared" si="31"/>
        <v>0</v>
      </c>
      <c r="O118" s="148"/>
    </row>
    <row r="119" spans="2:15" hidden="1" outlineLevel="1" x14ac:dyDescent="0.25">
      <c r="B119" s="182"/>
      <c r="C119" s="181"/>
      <c r="D119" s="41">
        <f t="shared" si="24"/>
        <v>0</v>
      </c>
      <c r="E119" s="42">
        <f t="shared" si="25"/>
        <v>0</v>
      </c>
      <c r="F119" s="185"/>
      <c r="G119" s="43">
        <f t="shared" si="26"/>
        <v>0</v>
      </c>
      <c r="H119" s="44">
        <f t="shared" si="27"/>
        <v>0</v>
      </c>
      <c r="I119" s="42">
        <f t="shared" si="28"/>
        <v>0</v>
      </c>
      <c r="J119" s="44">
        <f t="shared" si="29"/>
        <v>0</v>
      </c>
      <c r="K119" s="42">
        <f t="shared" si="30"/>
        <v>0</v>
      </c>
      <c r="L119" s="44">
        <f t="shared" si="31"/>
        <v>0</v>
      </c>
      <c r="O119" s="148"/>
    </row>
    <row r="120" spans="2:15" ht="15.75" hidden="1" outlineLevel="1" thickBot="1" x14ac:dyDescent="0.3">
      <c r="B120" s="183"/>
      <c r="C120" s="184"/>
      <c r="D120" s="45">
        <f t="shared" si="24"/>
        <v>0</v>
      </c>
      <c r="E120" s="46">
        <f t="shared" si="25"/>
        <v>0</v>
      </c>
      <c r="F120" s="186"/>
      <c r="G120" s="47">
        <f t="shared" si="26"/>
        <v>0</v>
      </c>
      <c r="H120" s="48">
        <f t="shared" si="27"/>
        <v>0</v>
      </c>
      <c r="I120" s="46">
        <f t="shared" si="28"/>
        <v>0</v>
      </c>
      <c r="J120" s="48">
        <f t="shared" si="29"/>
        <v>0</v>
      </c>
      <c r="K120" s="46">
        <f t="shared" si="30"/>
        <v>0</v>
      </c>
      <c r="L120" s="48">
        <f t="shared" si="31"/>
        <v>0</v>
      </c>
      <c r="O120" s="148"/>
    </row>
    <row r="121" spans="2:15" ht="15.75" collapsed="1" thickBot="1" x14ac:dyDescent="0.3">
      <c r="B121" s="49" t="s">
        <v>14</v>
      </c>
      <c r="C121" s="50">
        <f>SUM(C113:C120)</f>
        <v>4000606</v>
      </c>
      <c r="D121" s="50"/>
      <c r="E121" s="51"/>
      <c r="F121" s="52">
        <f>SUM(F113:F120)</f>
        <v>2</v>
      </c>
      <c r="G121" s="53">
        <f t="shared" ref="G121:L121" si="32">SUM(G113:G120)</f>
        <v>4000606</v>
      </c>
      <c r="H121" s="54">
        <f t="shared" si="32"/>
        <v>333250.47979999997</v>
      </c>
      <c r="I121" s="55">
        <f t="shared" si="32"/>
        <v>3332.5047979999999</v>
      </c>
      <c r="J121" s="54">
        <f t="shared" si="32"/>
        <v>333250.47979999997</v>
      </c>
      <c r="K121" s="55">
        <f t="shared" si="32"/>
        <v>166425.2096</v>
      </c>
      <c r="L121" s="56">
        <f t="shared" si="32"/>
        <v>836258.67399799998</v>
      </c>
      <c r="O121" s="148"/>
    </row>
    <row r="122" spans="2:15" ht="15.75" thickBot="1" x14ac:dyDescent="0.3">
      <c r="B122" s="57"/>
      <c r="C122" s="19"/>
      <c r="D122" s="19"/>
      <c r="E122" s="19"/>
      <c r="F122" s="19"/>
      <c r="G122" s="19"/>
      <c r="H122" s="19"/>
      <c r="I122" s="19"/>
      <c r="J122" s="19"/>
      <c r="K122" s="19"/>
      <c r="L122" s="58"/>
      <c r="O122" s="148"/>
    </row>
    <row r="123" spans="2:15" ht="15.75" thickBot="1" x14ac:dyDescent="0.3">
      <c r="B123" s="59"/>
      <c r="C123" s="60"/>
      <c r="D123" s="61"/>
      <c r="E123" s="61"/>
      <c r="F123" s="61"/>
      <c r="G123" s="61"/>
      <c r="H123" s="62"/>
      <c r="I123" s="244" t="s">
        <v>64</v>
      </c>
      <c r="J123" s="245"/>
      <c r="K123" s="245"/>
      <c r="L123" s="246"/>
      <c r="O123" s="148"/>
    </row>
    <row r="124" spans="2:15" x14ac:dyDescent="0.25">
      <c r="B124" s="59"/>
      <c r="C124" s="60"/>
      <c r="D124" s="61"/>
      <c r="E124" s="61"/>
      <c r="F124" s="61"/>
      <c r="G124" s="63" t="s">
        <v>41</v>
      </c>
      <c r="H124" s="62"/>
      <c r="I124" s="64" t="s">
        <v>65</v>
      </c>
      <c r="J124" s="65" t="s">
        <v>66</v>
      </c>
      <c r="K124" s="65" t="s">
        <v>67</v>
      </c>
      <c r="L124" s="66" t="s">
        <v>46</v>
      </c>
      <c r="O124" s="148"/>
    </row>
    <row r="125" spans="2:15" x14ac:dyDescent="0.25">
      <c r="B125" s="59"/>
      <c r="C125" s="60"/>
      <c r="D125" s="61"/>
      <c r="E125" s="61"/>
      <c r="F125" s="61"/>
      <c r="G125" s="67" t="s">
        <v>52</v>
      </c>
      <c r="H125" s="62"/>
      <c r="I125" s="68" t="s">
        <v>68</v>
      </c>
      <c r="J125" s="69" t="s">
        <v>69</v>
      </c>
      <c r="K125" s="69" t="s">
        <v>70</v>
      </c>
      <c r="L125" s="70" t="s">
        <v>71</v>
      </c>
      <c r="O125" s="148"/>
    </row>
    <row r="126" spans="2:15" ht="15.75" thickBot="1" x14ac:dyDescent="0.3">
      <c r="B126" s="59"/>
      <c r="C126" s="61"/>
      <c r="D126" s="61"/>
      <c r="E126" s="61"/>
      <c r="F126" s="61"/>
      <c r="G126" s="71" t="s">
        <v>72</v>
      </c>
      <c r="H126" s="72"/>
      <c r="I126" s="73" t="s">
        <v>73</v>
      </c>
      <c r="J126" s="74" t="s">
        <v>74</v>
      </c>
      <c r="K126" s="74" t="s">
        <v>75</v>
      </c>
      <c r="L126" s="75" t="s">
        <v>76</v>
      </c>
      <c r="O126" s="148"/>
    </row>
    <row r="127" spans="2:15" x14ac:dyDescent="0.25">
      <c r="B127" s="59"/>
      <c r="C127" s="61"/>
      <c r="D127" s="61"/>
      <c r="E127" s="61"/>
      <c r="F127" s="61"/>
      <c r="G127" s="76">
        <f t="shared" ref="G127:G134" si="33">+G113</f>
        <v>2700000</v>
      </c>
      <c r="H127" s="18"/>
      <c r="I127" s="77">
        <f t="shared" ref="I127:I134" si="34">+G127*0.085</f>
        <v>229500.00000000003</v>
      </c>
      <c r="J127" s="78">
        <f t="shared" ref="J127:J134" si="35">+G127*0.11625</f>
        <v>313875</v>
      </c>
      <c r="K127" s="78">
        <f t="shared" ref="K127:K134" si="36">+G127*0.0522</f>
        <v>140940</v>
      </c>
      <c r="L127" s="79">
        <f t="shared" ref="L127:L134" si="37">SUM(I127:K127)</f>
        <v>684315</v>
      </c>
      <c r="O127" s="148"/>
    </row>
    <row r="128" spans="2:15" x14ac:dyDescent="0.25">
      <c r="B128" s="59"/>
      <c r="C128" s="61"/>
      <c r="D128" s="61"/>
      <c r="E128" s="61"/>
      <c r="F128" s="61"/>
      <c r="G128" s="76">
        <f t="shared" si="33"/>
        <v>1300606</v>
      </c>
      <c r="H128" s="18"/>
      <c r="I128" s="80">
        <f t="shared" si="34"/>
        <v>110551.51000000001</v>
      </c>
      <c r="J128" s="81">
        <f t="shared" si="35"/>
        <v>151195.44750000001</v>
      </c>
      <c r="K128" s="81">
        <f t="shared" si="36"/>
        <v>67891.633200000011</v>
      </c>
      <c r="L128" s="82">
        <f t="shared" si="37"/>
        <v>329638.59070000006</v>
      </c>
      <c r="O128" s="148"/>
    </row>
    <row r="129" spans="2:15" ht="15.75" thickBot="1" x14ac:dyDescent="0.3">
      <c r="B129" s="59"/>
      <c r="C129" s="61"/>
      <c r="D129" s="61"/>
      <c r="E129" s="61"/>
      <c r="F129" s="61"/>
      <c r="G129" s="76">
        <f t="shared" si="33"/>
        <v>0</v>
      </c>
      <c r="H129" s="18"/>
      <c r="I129" s="80">
        <f t="shared" si="34"/>
        <v>0</v>
      </c>
      <c r="J129" s="81">
        <f t="shared" si="35"/>
        <v>0</v>
      </c>
      <c r="K129" s="81">
        <f t="shared" si="36"/>
        <v>0</v>
      </c>
      <c r="L129" s="82">
        <f t="shared" si="37"/>
        <v>0</v>
      </c>
      <c r="O129" s="148"/>
    </row>
    <row r="130" spans="2:15" hidden="1" outlineLevel="1" x14ac:dyDescent="0.25">
      <c r="B130" s="59"/>
      <c r="C130" s="61"/>
      <c r="D130" s="61"/>
      <c r="E130" s="61"/>
      <c r="F130" s="61"/>
      <c r="G130" s="76">
        <f t="shared" si="33"/>
        <v>0</v>
      </c>
      <c r="H130" s="18"/>
      <c r="I130" s="80">
        <f t="shared" si="34"/>
        <v>0</v>
      </c>
      <c r="J130" s="81">
        <f t="shared" si="35"/>
        <v>0</v>
      </c>
      <c r="K130" s="81">
        <f t="shared" si="36"/>
        <v>0</v>
      </c>
      <c r="L130" s="82">
        <f t="shared" si="37"/>
        <v>0</v>
      </c>
      <c r="O130" s="148"/>
    </row>
    <row r="131" spans="2:15" hidden="1" outlineLevel="1" x14ac:dyDescent="0.25">
      <c r="B131" s="59"/>
      <c r="C131" s="61"/>
      <c r="D131" s="61"/>
      <c r="E131" s="61"/>
      <c r="F131" s="61"/>
      <c r="G131" s="76">
        <f t="shared" si="33"/>
        <v>0</v>
      </c>
      <c r="H131" s="18"/>
      <c r="I131" s="80">
        <f t="shared" si="34"/>
        <v>0</v>
      </c>
      <c r="J131" s="81">
        <f t="shared" si="35"/>
        <v>0</v>
      </c>
      <c r="K131" s="81">
        <f t="shared" si="36"/>
        <v>0</v>
      </c>
      <c r="L131" s="82">
        <f t="shared" si="37"/>
        <v>0</v>
      </c>
      <c r="O131" s="148"/>
    </row>
    <row r="132" spans="2:15" hidden="1" outlineLevel="1" x14ac:dyDescent="0.25">
      <c r="B132" s="59"/>
      <c r="C132" s="61"/>
      <c r="D132" s="61"/>
      <c r="E132" s="61"/>
      <c r="F132" s="61"/>
      <c r="G132" s="76">
        <f t="shared" si="33"/>
        <v>0</v>
      </c>
      <c r="H132" s="18"/>
      <c r="I132" s="80">
        <f t="shared" si="34"/>
        <v>0</v>
      </c>
      <c r="J132" s="81">
        <f t="shared" si="35"/>
        <v>0</v>
      </c>
      <c r="K132" s="81">
        <f t="shared" si="36"/>
        <v>0</v>
      </c>
      <c r="L132" s="82">
        <f t="shared" si="37"/>
        <v>0</v>
      </c>
      <c r="O132" s="148"/>
    </row>
    <row r="133" spans="2:15" hidden="1" outlineLevel="1" x14ac:dyDescent="0.25">
      <c r="B133" s="59"/>
      <c r="C133" s="61"/>
      <c r="D133" s="61"/>
      <c r="E133" s="61"/>
      <c r="F133" s="61"/>
      <c r="G133" s="76">
        <f t="shared" si="33"/>
        <v>0</v>
      </c>
      <c r="H133" s="18"/>
      <c r="I133" s="80">
        <f t="shared" si="34"/>
        <v>0</v>
      </c>
      <c r="J133" s="81">
        <f t="shared" si="35"/>
        <v>0</v>
      </c>
      <c r="K133" s="81">
        <f t="shared" si="36"/>
        <v>0</v>
      </c>
      <c r="L133" s="82">
        <f t="shared" si="37"/>
        <v>0</v>
      </c>
      <c r="O133" s="148"/>
    </row>
    <row r="134" spans="2:15" ht="15.75" hidden="1" outlineLevel="1" thickBot="1" x14ac:dyDescent="0.3">
      <c r="B134" s="59"/>
      <c r="C134" s="61"/>
      <c r="D134" s="61"/>
      <c r="E134" s="61"/>
      <c r="F134" s="61"/>
      <c r="G134" s="76">
        <f t="shared" si="33"/>
        <v>0</v>
      </c>
      <c r="H134" s="18"/>
      <c r="I134" s="80">
        <f t="shared" si="34"/>
        <v>0</v>
      </c>
      <c r="J134" s="81">
        <f t="shared" si="35"/>
        <v>0</v>
      </c>
      <c r="K134" s="81">
        <f t="shared" si="36"/>
        <v>0</v>
      </c>
      <c r="L134" s="82">
        <f t="shared" si="37"/>
        <v>0</v>
      </c>
      <c r="O134" s="148"/>
    </row>
    <row r="135" spans="2:15" ht="15.75" collapsed="1" thickBot="1" x14ac:dyDescent="0.3">
      <c r="B135" s="59"/>
      <c r="C135" s="61"/>
      <c r="D135" s="61"/>
      <c r="E135" s="61"/>
      <c r="F135" s="61"/>
      <c r="G135" s="83">
        <f>SUM(G127:G134)</f>
        <v>4000606</v>
      </c>
      <c r="H135" s="62"/>
      <c r="I135" s="84">
        <f>SUM(I127:I134)</f>
        <v>340051.51</v>
      </c>
      <c r="J135" s="85">
        <f>SUM(J127:J134)</f>
        <v>465070.44750000001</v>
      </c>
      <c r="K135" s="85">
        <f>SUM(K127:K134)</f>
        <v>208831.63320000001</v>
      </c>
      <c r="L135" s="86">
        <f>SUM(L127:L134)</f>
        <v>1013953.5907000001</v>
      </c>
      <c r="O135" s="148"/>
    </row>
    <row r="136" spans="2:15" ht="15.75" thickBot="1" x14ac:dyDescent="0.3">
      <c r="B136" s="59"/>
      <c r="C136" s="61"/>
      <c r="D136" s="61"/>
      <c r="E136" s="61"/>
      <c r="F136" s="61"/>
      <c r="G136" s="87"/>
      <c r="H136" s="62"/>
      <c r="I136" s="60"/>
      <c r="J136" s="60"/>
      <c r="K136" s="60"/>
      <c r="L136" s="88"/>
      <c r="O136" s="148"/>
    </row>
    <row r="137" spans="2:15" ht="15.75" thickBot="1" x14ac:dyDescent="0.3">
      <c r="B137" s="59"/>
      <c r="C137" s="61"/>
      <c r="D137" s="61"/>
      <c r="E137" s="61"/>
      <c r="F137" s="61"/>
      <c r="G137" s="61"/>
      <c r="H137" s="62"/>
      <c r="I137" s="244" t="s">
        <v>77</v>
      </c>
      <c r="J137" s="245"/>
      <c r="K137" s="245"/>
      <c r="L137" s="246"/>
      <c r="O137" s="148"/>
    </row>
    <row r="138" spans="2:15" x14ac:dyDescent="0.25">
      <c r="B138" s="59"/>
      <c r="C138" s="61"/>
      <c r="D138" s="61"/>
      <c r="E138" s="61"/>
      <c r="F138" s="61"/>
      <c r="G138" s="63" t="s">
        <v>41</v>
      </c>
      <c r="H138" s="62"/>
      <c r="I138" s="64" t="s">
        <v>78</v>
      </c>
      <c r="J138" s="65" t="s">
        <v>79</v>
      </c>
      <c r="K138" s="65" t="s">
        <v>80</v>
      </c>
      <c r="L138" s="66" t="s">
        <v>46</v>
      </c>
      <c r="O138" s="148"/>
    </row>
    <row r="139" spans="2:15" x14ac:dyDescent="0.25">
      <c r="B139" s="59"/>
      <c r="C139" s="61"/>
      <c r="D139" s="61"/>
      <c r="E139" s="61"/>
      <c r="F139" s="61"/>
      <c r="G139" s="67" t="s">
        <v>52</v>
      </c>
      <c r="H139" s="62"/>
      <c r="I139" s="68" t="s">
        <v>81</v>
      </c>
      <c r="J139" s="69" t="s">
        <v>82</v>
      </c>
      <c r="K139" s="69" t="s">
        <v>83</v>
      </c>
      <c r="L139" s="70" t="s">
        <v>84</v>
      </c>
      <c r="O139" s="148"/>
    </row>
    <row r="140" spans="2:15" ht="15.75" thickBot="1" x14ac:dyDescent="0.3">
      <c r="B140" s="59"/>
      <c r="C140" s="61"/>
      <c r="D140" s="61"/>
      <c r="E140" s="61"/>
      <c r="F140" s="61"/>
      <c r="G140" s="71" t="s">
        <v>72</v>
      </c>
      <c r="H140" s="72"/>
      <c r="I140" s="73" t="s">
        <v>85</v>
      </c>
      <c r="J140" s="74" t="s">
        <v>86</v>
      </c>
      <c r="K140" s="74" t="s">
        <v>87</v>
      </c>
      <c r="L140" s="75" t="s">
        <v>88</v>
      </c>
      <c r="O140" s="148"/>
    </row>
    <row r="141" spans="2:15" x14ac:dyDescent="0.25">
      <c r="B141" s="59"/>
      <c r="C141" s="61"/>
      <c r="D141" s="61"/>
      <c r="E141" s="61"/>
      <c r="F141" s="61"/>
      <c r="G141" s="76">
        <f t="shared" ref="G141:G148" si="38">+G127</f>
        <v>2700000</v>
      </c>
      <c r="H141" s="18"/>
      <c r="I141" s="77">
        <f t="shared" ref="I141:I148" si="39">+G141*0.04</f>
        <v>108000</v>
      </c>
      <c r="J141" s="78">
        <f t="shared" ref="J141:J148" si="40">+G141*0.03</f>
        <v>81000</v>
      </c>
      <c r="K141" s="78">
        <f t="shared" ref="K141:K148" si="41">+G141*0.02</f>
        <v>54000</v>
      </c>
      <c r="L141" s="79">
        <f t="shared" ref="L141:L148" si="42">SUM(I141:K141)</f>
        <v>243000</v>
      </c>
      <c r="O141" s="148"/>
    </row>
    <row r="142" spans="2:15" x14ac:dyDescent="0.25">
      <c r="B142" s="59"/>
      <c r="C142" s="61"/>
      <c r="D142" s="61"/>
      <c r="E142" s="61"/>
      <c r="F142" s="61"/>
      <c r="G142" s="76">
        <f t="shared" si="38"/>
        <v>1300606</v>
      </c>
      <c r="H142" s="18"/>
      <c r="I142" s="80">
        <f t="shared" si="39"/>
        <v>52024.24</v>
      </c>
      <c r="J142" s="81">
        <f t="shared" si="40"/>
        <v>39018.18</v>
      </c>
      <c r="K142" s="81">
        <f t="shared" si="41"/>
        <v>26012.12</v>
      </c>
      <c r="L142" s="82">
        <f t="shared" si="42"/>
        <v>117054.54</v>
      </c>
      <c r="O142" s="148"/>
    </row>
    <row r="143" spans="2:15" ht="15.75" thickBot="1" x14ac:dyDescent="0.3">
      <c r="B143" s="59"/>
      <c r="C143" s="61"/>
      <c r="D143" s="61"/>
      <c r="E143" s="61"/>
      <c r="F143" s="61"/>
      <c r="G143" s="76">
        <f t="shared" si="38"/>
        <v>0</v>
      </c>
      <c r="H143" s="18"/>
      <c r="I143" s="80">
        <f t="shared" si="39"/>
        <v>0</v>
      </c>
      <c r="J143" s="81">
        <f t="shared" si="40"/>
        <v>0</v>
      </c>
      <c r="K143" s="81">
        <f t="shared" si="41"/>
        <v>0</v>
      </c>
      <c r="L143" s="82">
        <f t="shared" si="42"/>
        <v>0</v>
      </c>
      <c r="O143" s="148"/>
    </row>
    <row r="144" spans="2:15" hidden="1" outlineLevel="1" x14ac:dyDescent="0.25">
      <c r="B144" s="59"/>
      <c r="C144" s="61"/>
      <c r="D144" s="61"/>
      <c r="E144" s="61"/>
      <c r="F144" s="61"/>
      <c r="G144" s="76">
        <f t="shared" si="38"/>
        <v>0</v>
      </c>
      <c r="H144" s="18"/>
      <c r="I144" s="80">
        <f t="shared" si="39"/>
        <v>0</v>
      </c>
      <c r="J144" s="81">
        <f t="shared" si="40"/>
        <v>0</v>
      </c>
      <c r="K144" s="81">
        <f t="shared" si="41"/>
        <v>0</v>
      </c>
      <c r="L144" s="82">
        <f t="shared" si="42"/>
        <v>0</v>
      </c>
      <c r="O144" s="148"/>
    </row>
    <row r="145" spans="2:15" hidden="1" outlineLevel="1" x14ac:dyDescent="0.25">
      <c r="B145" s="59"/>
      <c r="C145" s="61"/>
      <c r="D145" s="61"/>
      <c r="E145" s="61"/>
      <c r="F145" s="61"/>
      <c r="G145" s="76">
        <f t="shared" si="38"/>
        <v>0</v>
      </c>
      <c r="H145" s="18"/>
      <c r="I145" s="80">
        <f t="shared" si="39"/>
        <v>0</v>
      </c>
      <c r="J145" s="81">
        <f t="shared" si="40"/>
        <v>0</v>
      </c>
      <c r="K145" s="81">
        <f t="shared" si="41"/>
        <v>0</v>
      </c>
      <c r="L145" s="82">
        <f t="shared" si="42"/>
        <v>0</v>
      </c>
      <c r="O145" s="148"/>
    </row>
    <row r="146" spans="2:15" hidden="1" outlineLevel="1" x14ac:dyDescent="0.25">
      <c r="B146" s="59"/>
      <c r="C146" s="61"/>
      <c r="D146" s="61"/>
      <c r="E146" s="61"/>
      <c r="F146" s="61"/>
      <c r="G146" s="76">
        <f t="shared" si="38"/>
        <v>0</v>
      </c>
      <c r="H146" s="18"/>
      <c r="I146" s="80">
        <f t="shared" si="39"/>
        <v>0</v>
      </c>
      <c r="J146" s="81">
        <f t="shared" si="40"/>
        <v>0</v>
      </c>
      <c r="K146" s="81">
        <f t="shared" si="41"/>
        <v>0</v>
      </c>
      <c r="L146" s="82">
        <f t="shared" si="42"/>
        <v>0</v>
      </c>
      <c r="O146" s="148"/>
    </row>
    <row r="147" spans="2:15" hidden="1" outlineLevel="1" x14ac:dyDescent="0.25">
      <c r="B147" s="59"/>
      <c r="C147" s="61"/>
      <c r="D147" s="61"/>
      <c r="E147" s="61"/>
      <c r="F147" s="61"/>
      <c r="G147" s="76">
        <f t="shared" si="38"/>
        <v>0</v>
      </c>
      <c r="H147" s="18"/>
      <c r="I147" s="80">
        <f t="shared" si="39"/>
        <v>0</v>
      </c>
      <c r="J147" s="81">
        <f t="shared" si="40"/>
        <v>0</v>
      </c>
      <c r="K147" s="81">
        <f t="shared" si="41"/>
        <v>0</v>
      </c>
      <c r="L147" s="82">
        <f t="shared" si="42"/>
        <v>0</v>
      </c>
      <c r="O147" s="148"/>
    </row>
    <row r="148" spans="2:15" ht="15.75" hidden="1" outlineLevel="1" thickBot="1" x14ac:dyDescent="0.3">
      <c r="B148" s="59"/>
      <c r="C148" s="61"/>
      <c r="D148" s="61"/>
      <c r="E148" s="61"/>
      <c r="F148" s="61"/>
      <c r="G148" s="76">
        <f t="shared" si="38"/>
        <v>0</v>
      </c>
      <c r="H148" s="18"/>
      <c r="I148" s="80">
        <f t="shared" si="39"/>
        <v>0</v>
      </c>
      <c r="J148" s="81">
        <f t="shared" si="40"/>
        <v>0</v>
      </c>
      <c r="K148" s="81">
        <f t="shared" si="41"/>
        <v>0</v>
      </c>
      <c r="L148" s="82">
        <f t="shared" si="42"/>
        <v>0</v>
      </c>
      <c r="O148" s="148"/>
    </row>
    <row r="149" spans="2:15" ht="15.75" collapsed="1" thickBot="1" x14ac:dyDescent="0.3">
      <c r="B149" s="59"/>
      <c r="C149" s="61"/>
      <c r="D149" s="61"/>
      <c r="E149" s="61"/>
      <c r="F149" s="61"/>
      <c r="G149" s="83">
        <f>SUM(G141:G148)</f>
        <v>4000606</v>
      </c>
      <c r="H149" s="62"/>
      <c r="I149" s="84">
        <f>SUM(I141:I148)</f>
        <v>160024.24</v>
      </c>
      <c r="J149" s="84">
        <f>SUM(J141:J148)</f>
        <v>120018.18</v>
      </c>
      <c r="K149" s="84">
        <f>SUM(K141:K148)</f>
        <v>80012.12</v>
      </c>
      <c r="L149" s="89">
        <f>SUM(L141:L148)</f>
        <v>360054.54</v>
      </c>
      <c r="O149" s="148"/>
    </row>
    <row r="150" spans="2:15" ht="15.75" thickBot="1" x14ac:dyDescent="0.3">
      <c r="B150" s="59"/>
      <c r="C150" s="61"/>
      <c r="D150" s="61"/>
      <c r="E150" s="61"/>
      <c r="F150" s="61"/>
      <c r="G150" s="19"/>
      <c r="H150" s="62"/>
      <c r="I150" s="90"/>
      <c r="J150" s="90"/>
      <c r="K150" s="90"/>
      <c r="L150" s="91"/>
      <c r="O150" s="148"/>
    </row>
    <row r="151" spans="2:15" ht="15.75" thickBot="1" x14ac:dyDescent="0.3">
      <c r="B151" s="92" t="s">
        <v>89</v>
      </c>
      <c r="C151" s="93"/>
      <c r="D151" s="93"/>
      <c r="E151" s="93"/>
      <c r="F151" s="93"/>
      <c r="G151" s="94"/>
      <c r="H151" s="95"/>
      <c r="I151" s="96"/>
      <c r="J151" s="96"/>
      <c r="K151" s="96" t="s">
        <v>90</v>
      </c>
      <c r="L151" s="97">
        <f>+G121+L121+L135+L149</f>
        <v>6210872.8046980007</v>
      </c>
      <c r="O151" s="148"/>
    </row>
    <row r="152" spans="2:15" ht="15.75" thickBot="1" x14ac:dyDescent="0.3">
      <c r="B152" s="98" t="s">
        <v>91</v>
      </c>
      <c r="C152" s="99"/>
      <c r="D152" s="99"/>
      <c r="E152" s="99"/>
      <c r="F152" s="99"/>
      <c r="G152" s="99"/>
      <c r="H152" s="100"/>
      <c r="I152" s="100"/>
      <c r="J152" s="100"/>
      <c r="K152" s="100"/>
      <c r="L152" s="101"/>
      <c r="O152" s="148"/>
    </row>
    <row r="153" spans="2:15" x14ac:dyDescent="0.25">
      <c r="B153" s="102" t="s">
        <v>92</v>
      </c>
      <c r="C153" s="103"/>
      <c r="D153" s="103" t="s">
        <v>93</v>
      </c>
      <c r="E153" s="103"/>
      <c r="F153" s="103"/>
      <c r="G153" s="104"/>
      <c r="H153" s="105">
        <f>+G149+L135+L149</f>
        <v>5374614.1307000006</v>
      </c>
      <c r="I153" s="100"/>
      <c r="J153" s="100"/>
      <c r="K153" s="100"/>
      <c r="L153" s="101"/>
      <c r="O153" s="148"/>
    </row>
    <row r="154" spans="2:15" ht="15.75" thickBot="1" x14ac:dyDescent="0.3">
      <c r="B154" s="106" t="s">
        <v>94</v>
      </c>
      <c r="C154" s="107"/>
      <c r="D154" s="107" t="s">
        <v>90</v>
      </c>
      <c r="E154" s="107"/>
      <c r="F154" s="107"/>
      <c r="G154" s="108"/>
      <c r="H154" s="109">
        <f>+L151</f>
        <v>6210872.8046980007</v>
      </c>
      <c r="I154" s="100"/>
      <c r="J154" s="100"/>
      <c r="K154" s="100"/>
      <c r="L154" s="101"/>
      <c r="O154" s="148"/>
    </row>
    <row r="155" spans="2:15" ht="15.75" thickBot="1" x14ac:dyDescent="0.3">
      <c r="B155" s="98"/>
      <c r="C155" s="99"/>
      <c r="D155" s="99"/>
      <c r="E155" s="99"/>
      <c r="F155" s="99"/>
      <c r="G155" s="61"/>
      <c r="H155" s="100"/>
      <c r="I155" s="100"/>
      <c r="J155" s="100"/>
      <c r="K155" s="100"/>
      <c r="L155" s="101"/>
      <c r="O155" s="148"/>
    </row>
    <row r="156" spans="2:15" x14ac:dyDescent="0.25">
      <c r="B156" s="198" t="s">
        <v>104</v>
      </c>
      <c r="C156" s="110"/>
      <c r="D156" s="110"/>
      <c r="E156" s="110"/>
      <c r="F156" s="110"/>
      <c r="G156" s="111"/>
      <c r="H156" s="112"/>
      <c r="I156" s="112"/>
      <c r="J156" s="112"/>
      <c r="K156" s="112"/>
      <c r="L156" s="113"/>
      <c r="O156" s="148"/>
    </row>
    <row r="157" spans="2:15" x14ac:dyDescent="0.25">
      <c r="B157" s="114"/>
      <c r="C157" s="99"/>
      <c r="D157" s="99"/>
      <c r="E157" s="99"/>
      <c r="F157" s="99"/>
      <c r="G157" s="61"/>
      <c r="H157" s="100"/>
      <c r="I157" s="100"/>
      <c r="J157" s="100"/>
      <c r="K157" s="100"/>
      <c r="L157" s="101"/>
      <c r="O157" s="148"/>
    </row>
    <row r="158" spans="2:15" ht="15.75" thickBot="1" x14ac:dyDescent="0.3">
      <c r="B158" s="98"/>
      <c r="C158" s="99"/>
      <c r="D158" s="99"/>
      <c r="E158" s="99"/>
      <c r="F158" s="99"/>
      <c r="G158" s="61"/>
      <c r="H158" s="100"/>
      <c r="I158" s="100"/>
      <c r="J158" s="100"/>
      <c r="K158" s="100"/>
      <c r="L158" s="101"/>
      <c r="O158" s="148"/>
    </row>
    <row r="159" spans="2:15" ht="25.5" customHeight="1" x14ac:dyDescent="0.25">
      <c r="B159" s="161" t="s">
        <v>96</v>
      </c>
      <c r="C159" s="162" t="s">
        <v>97</v>
      </c>
      <c r="D159" s="163" t="s">
        <v>98</v>
      </c>
      <c r="E159" s="163" t="s">
        <v>99</v>
      </c>
      <c r="F159" s="162" t="s">
        <v>40</v>
      </c>
      <c r="G159" s="164" t="s">
        <v>99</v>
      </c>
      <c r="H159" s="61"/>
      <c r="I159" s="115"/>
      <c r="J159" s="116"/>
      <c r="K159" s="100"/>
      <c r="L159" s="101"/>
      <c r="O159" s="148"/>
    </row>
    <row r="160" spans="2:15" ht="15.75" thickBot="1" x14ac:dyDescent="0.3">
      <c r="B160" s="117"/>
      <c r="C160" s="118" t="s">
        <v>0</v>
      </c>
      <c r="D160" s="118" t="s">
        <v>100</v>
      </c>
      <c r="E160" s="118" t="s">
        <v>101</v>
      </c>
      <c r="F160" s="119"/>
      <c r="G160" s="120" t="s">
        <v>102</v>
      </c>
      <c r="H160" s="61"/>
      <c r="I160" s="115"/>
      <c r="J160" s="116"/>
      <c r="K160" s="100"/>
      <c r="L160" s="101"/>
      <c r="O160" s="148"/>
    </row>
    <row r="161" spans="2:15" x14ac:dyDescent="0.25">
      <c r="B161" s="121" t="str">
        <f t="shared" ref="B161:B169" si="43">+B113</f>
        <v>Presidente CEO</v>
      </c>
      <c r="C161" s="122">
        <f t="shared" ref="C161:C168" si="44">+G113+L113+L127+L141</f>
        <v>4191704.1</v>
      </c>
      <c r="D161" s="123">
        <v>190</v>
      </c>
      <c r="E161" s="122">
        <f t="shared" ref="E161:E168" si="45">+C161/D161</f>
        <v>22061.600526315789</v>
      </c>
      <c r="F161" s="124">
        <f t="shared" ref="F161:F168" si="46">+F113</f>
        <v>1</v>
      </c>
      <c r="G161" s="125">
        <f t="shared" ref="G161:G168" si="47">+F161*E161</f>
        <v>22061.600526315789</v>
      </c>
      <c r="H161" s="61"/>
      <c r="I161" s="61"/>
      <c r="J161" s="61"/>
      <c r="K161" s="62"/>
      <c r="L161" s="126"/>
      <c r="O161" s="148"/>
    </row>
    <row r="162" spans="2:15" ht="15.75" thickBot="1" x14ac:dyDescent="0.3">
      <c r="B162" s="127" t="str">
        <f t="shared" si="43"/>
        <v>Analista</v>
      </c>
      <c r="C162" s="128">
        <f t="shared" si="44"/>
        <v>2019168.7046980001</v>
      </c>
      <c r="D162" s="129">
        <v>190</v>
      </c>
      <c r="E162" s="128">
        <f t="shared" si="45"/>
        <v>10627.203708936842</v>
      </c>
      <c r="F162" s="130">
        <f t="shared" si="46"/>
        <v>1</v>
      </c>
      <c r="G162" s="131">
        <f t="shared" si="47"/>
        <v>10627.203708936842</v>
      </c>
      <c r="H162" s="61"/>
      <c r="I162" s="61"/>
      <c r="J162" s="61"/>
      <c r="K162" s="62"/>
      <c r="L162" s="126"/>
      <c r="O162" s="148"/>
    </row>
    <row r="163" spans="2:15" hidden="1" outlineLevel="1" x14ac:dyDescent="0.25">
      <c r="B163" s="127">
        <f t="shared" si="43"/>
        <v>0</v>
      </c>
      <c r="C163" s="128">
        <f t="shared" si="44"/>
        <v>0</v>
      </c>
      <c r="D163" s="129">
        <v>190</v>
      </c>
      <c r="E163" s="128">
        <f t="shared" si="45"/>
        <v>0</v>
      </c>
      <c r="F163" s="130">
        <f t="shared" si="46"/>
        <v>0</v>
      </c>
      <c r="G163" s="131">
        <f t="shared" si="47"/>
        <v>0</v>
      </c>
      <c r="H163" s="61"/>
      <c r="I163" s="61"/>
      <c r="J163" s="61"/>
      <c r="K163" s="62"/>
      <c r="L163" s="126"/>
      <c r="O163" s="148"/>
    </row>
    <row r="164" spans="2:15" hidden="1" outlineLevel="1" x14ac:dyDescent="0.25">
      <c r="B164" s="127">
        <f t="shared" si="43"/>
        <v>0</v>
      </c>
      <c r="C164" s="128">
        <f t="shared" si="44"/>
        <v>0</v>
      </c>
      <c r="D164" s="129">
        <v>190</v>
      </c>
      <c r="E164" s="128">
        <f t="shared" si="45"/>
        <v>0</v>
      </c>
      <c r="F164" s="130">
        <f t="shared" si="46"/>
        <v>0</v>
      </c>
      <c r="G164" s="131">
        <f t="shared" si="47"/>
        <v>0</v>
      </c>
      <c r="H164" s="61"/>
      <c r="I164" s="61"/>
      <c r="J164" s="61"/>
      <c r="K164" s="62"/>
      <c r="L164" s="126"/>
      <c r="O164" s="148"/>
    </row>
    <row r="165" spans="2:15" hidden="1" outlineLevel="1" x14ac:dyDescent="0.25">
      <c r="B165" s="127">
        <f t="shared" si="43"/>
        <v>0</v>
      </c>
      <c r="C165" s="128">
        <f t="shared" si="44"/>
        <v>0</v>
      </c>
      <c r="D165" s="129">
        <v>190</v>
      </c>
      <c r="E165" s="128">
        <f t="shared" si="45"/>
        <v>0</v>
      </c>
      <c r="F165" s="130">
        <f t="shared" si="46"/>
        <v>0</v>
      </c>
      <c r="G165" s="131">
        <f t="shared" si="47"/>
        <v>0</v>
      </c>
      <c r="H165" s="61"/>
      <c r="I165" s="61"/>
      <c r="J165" s="61"/>
      <c r="K165" s="62"/>
      <c r="L165" s="126"/>
      <c r="O165" s="148"/>
    </row>
    <row r="166" spans="2:15" hidden="1" outlineLevel="1" x14ac:dyDescent="0.25">
      <c r="B166" s="127">
        <f t="shared" si="43"/>
        <v>0</v>
      </c>
      <c r="C166" s="128">
        <f t="shared" si="44"/>
        <v>0</v>
      </c>
      <c r="D166" s="129">
        <v>190</v>
      </c>
      <c r="E166" s="128">
        <f t="shared" si="45"/>
        <v>0</v>
      </c>
      <c r="F166" s="130">
        <f t="shared" si="46"/>
        <v>0</v>
      </c>
      <c r="G166" s="131">
        <f t="shared" si="47"/>
        <v>0</v>
      </c>
      <c r="H166" s="61"/>
      <c r="I166" s="61"/>
      <c r="J166" s="61"/>
      <c r="K166" s="62"/>
      <c r="L166" s="126"/>
      <c r="O166" s="148"/>
    </row>
    <row r="167" spans="2:15" hidden="1" outlineLevel="1" x14ac:dyDescent="0.25">
      <c r="B167" s="127">
        <f t="shared" si="43"/>
        <v>0</v>
      </c>
      <c r="C167" s="128">
        <f t="shared" si="44"/>
        <v>0</v>
      </c>
      <c r="D167" s="129">
        <v>190</v>
      </c>
      <c r="E167" s="128">
        <f t="shared" si="45"/>
        <v>0</v>
      </c>
      <c r="F167" s="130">
        <f t="shared" si="46"/>
        <v>0</v>
      </c>
      <c r="G167" s="131">
        <f t="shared" si="47"/>
        <v>0</v>
      </c>
      <c r="H167" s="61"/>
      <c r="I167" s="61"/>
      <c r="J167" s="61"/>
      <c r="K167" s="62"/>
      <c r="L167" s="126"/>
      <c r="O167" s="148"/>
    </row>
    <row r="168" spans="2:15" ht="15.75" hidden="1" outlineLevel="1" thickBot="1" x14ac:dyDescent="0.3">
      <c r="B168" s="132">
        <f t="shared" si="43"/>
        <v>0</v>
      </c>
      <c r="C168" s="133">
        <f t="shared" si="44"/>
        <v>0</v>
      </c>
      <c r="D168" s="134">
        <v>190</v>
      </c>
      <c r="E168" s="133">
        <f t="shared" si="45"/>
        <v>0</v>
      </c>
      <c r="F168" s="135">
        <f t="shared" si="46"/>
        <v>0</v>
      </c>
      <c r="G168" s="136">
        <f t="shared" si="47"/>
        <v>0</v>
      </c>
      <c r="H168" s="61"/>
      <c r="I168" s="61"/>
      <c r="J168" s="61"/>
      <c r="K168" s="62"/>
      <c r="L168" s="126"/>
      <c r="O168" s="148"/>
    </row>
    <row r="169" spans="2:15" ht="15.75" collapsed="1" thickBot="1" x14ac:dyDescent="0.3">
      <c r="B169" s="137" t="str">
        <f t="shared" si="43"/>
        <v>TOTALES</v>
      </c>
      <c r="C169" s="85">
        <f>SUM(C161:C168)</f>
        <v>6210872.8046979997</v>
      </c>
      <c r="D169" s="85">
        <f>SUM(D161:D168)</f>
        <v>1520</v>
      </c>
      <c r="E169" s="85">
        <f>SUM(E161:E168)</f>
        <v>32688.804235252632</v>
      </c>
      <c r="F169" s="138">
        <f>SUM(F161:F168)</f>
        <v>2</v>
      </c>
      <c r="G169" s="139">
        <f>SUM(G161:G168)</f>
        <v>32688.804235252632</v>
      </c>
      <c r="H169" s="140"/>
      <c r="I169" s="140"/>
      <c r="J169" s="140"/>
      <c r="K169" s="141"/>
      <c r="L169" s="142"/>
      <c r="N169" s="306">
        <f>C169*12</f>
        <v>74530473.656376004</v>
      </c>
      <c r="O169" s="148"/>
    </row>
    <row r="170" spans="2:15" x14ac:dyDescent="0.25">
      <c r="B170" s="144"/>
      <c r="C170" s="16"/>
      <c r="D170" s="17"/>
      <c r="E170" s="17"/>
      <c r="F170" s="17"/>
      <c r="G170" s="17"/>
      <c r="H170" s="18"/>
      <c r="I170" s="19"/>
      <c r="J170" s="18"/>
      <c r="K170" s="18"/>
      <c r="L170" s="18"/>
      <c r="O170" s="148"/>
    </row>
    <row r="171" spans="2:15" x14ac:dyDescent="0.25">
      <c r="B171" s="144"/>
      <c r="C171" s="16"/>
      <c r="D171" s="17"/>
      <c r="E171" s="17"/>
      <c r="F171" s="17"/>
      <c r="G171" s="17"/>
      <c r="H171" s="18"/>
      <c r="I171" s="19"/>
      <c r="J171" s="18"/>
      <c r="K171" s="18"/>
      <c r="L171" s="18"/>
      <c r="O171" s="148"/>
    </row>
    <row r="172" spans="2:15" ht="15.75" x14ac:dyDescent="0.25">
      <c r="B172" s="247" t="s">
        <v>105</v>
      </c>
      <c r="C172" s="248"/>
      <c r="D172" s="248"/>
      <c r="E172" s="248"/>
      <c r="F172" s="248"/>
      <c r="G172" s="248"/>
      <c r="H172" s="248"/>
      <c r="I172" s="248"/>
      <c r="J172" s="248"/>
      <c r="K172" s="248"/>
      <c r="L172" s="249"/>
      <c r="O172" s="148"/>
    </row>
    <row r="173" spans="2:15" ht="15.75" thickBot="1" x14ac:dyDescent="0.3">
      <c r="B173" s="143"/>
      <c r="C173" s="16"/>
      <c r="D173" s="17"/>
      <c r="E173" s="17"/>
      <c r="F173" s="17"/>
      <c r="G173" s="17"/>
      <c r="H173" s="18"/>
      <c r="I173" s="19"/>
      <c r="J173" s="18"/>
      <c r="K173" s="18"/>
      <c r="L173" s="20"/>
      <c r="O173" s="148"/>
    </row>
    <row r="174" spans="2:15" ht="15.75" thickBot="1" x14ac:dyDescent="0.3">
      <c r="B174" s="21"/>
      <c r="C174" s="22"/>
      <c r="D174" s="23"/>
      <c r="E174" s="23"/>
      <c r="F174" s="23"/>
      <c r="G174" s="23"/>
      <c r="H174" s="250" t="s">
        <v>35</v>
      </c>
      <c r="I174" s="251"/>
      <c r="J174" s="251"/>
      <c r="K174" s="251"/>
      <c r="L174" s="252"/>
      <c r="O174" s="148"/>
    </row>
    <row r="175" spans="2:15" x14ac:dyDescent="0.25">
      <c r="B175" s="24" t="s">
        <v>36</v>
      </c>
      <c r="C175" s="24" t="s">
        <v>37</v>
      </c>
      <c r="D175" s="24" t="s">
        <v>38</v>
      </c>
      <c r="E175" s="25" t="s">
        <v>39</v>
      </c>
      <c r="F175" s="24" t="s">
        <v>40</v>
      </c>
      <c r="G175" s="25" t="s">
        <v>41</v>
      </c>
      <c r="H175" s="26" t="s">
        <v>42</v>
      </c>
      <c r="I175" s="27" t="s">
        <v>43</v>
      </c>
      <c r="J175" s="26" t="s">
        <v>44</v>
      </c>
      <c r="K175" s="27" t="s">
        <v>45</v>
      </c>
      <c r="L175" s="26" t="s">
        <v>46</v>
      </c>
      <c r="O175" s="148"/>
    </row>
    <row r="176" spans="2:15" x14ac:dyDescent="0.25">
      <c r="B176" s="28" t="s">
        <v>47</v>
      </c>
      <c r="C176" s="29" t="s">
        <v>48</v>
      </c>
      <c r="D176" s="28" t="s">
        <v>49</v>
      </c>
      <c r="E176" s="30" t="s">
        <v>50</v>
      </c>
      <c r="F176" s="29" t="s">
        <v>51</v>
      </c>
      <c r="G176" s="30" t="s">
        <v>52</v>
      </c>
      <c r="H176" s="31" t="s">
        <v>53</v>
      </c>
      <c r="I176" s="32" t="s">
        <v>54</v>
      </c>
      <c r="J176" s="31" t="s">
        <v>55</v>
      </c>
      <c r="K176" s="32" t="s">
        <v>56</v>
      </c>
      <c r="L176" s="31" t="s">
        <v>57</v>
      </c>
      <c r="O176" s="148"/>
    </row>
    <row r="177" spans="2:15" ht="15.75" thickBot="1" x14ac:dyDescent="0.3">
      <c r="B177" s="33"/>
      <c r="C177" s="33"/>
      <c r="D177" s="187">
        <f>+$D$89</f>
        <v>0</v>
      </c>
      <c r="E177" s="34"/>
      <c r="F177" s="33"/>
      <c r="G177" s="34" t="s">
        <v>58</v>
      </c>
      <c r="H177" s="35" t="s">
        <v>59</v>
      </c>
      <c r="I177" s="36" t="s">
        <v>60</v>
      </c>
      <c r="J177" s="35" t="s">
        <v>61</v>
      </c>
      <c r="K177" s="36" t="s">
        <v>62</v>
      </c>
      <c r="L177" s="35" t="s">
        <v>63</v>
      </c>
      <c r="O177" s="148"/>
    </row>
    <row r="178" spans="2:15" x14ac:dyDescent="0.25">
      <c r="B178" s="37"/>
      <c r="C178" s="37"/>
      <c r="D178" s="38"/>
      <c r="E178" s="39"/>
      <c r="F178" s="37"/>
      <c r="G178" s="40"/>
      <c r="H178" s="38"/>
      <c r="I178" s="39"/>
      <c r="J178" s="38"/>
      <c r="K178" s="39"/>
      <c r="L178" s="38"/>
      <c r="O178" s="148"/>
    </row>
    <row r="179" spans="2:15" x14ac:dyDescent="0.25">
      <c r="B179" s="182"/>
      <c r="C179" s="181">
        <v>0</v>
      </c>
      <c r="D179" s="41">
        <f t="shared" ref="D179:D186" si="48">(1+$D$89)-1</f>
        <v>0</v>
      </c>
      <c r="E179" s="42">
        <f t="shared" ref="E179:E186" si="49">+D179*C179+C179</f>
        <v>0</v>
      </c>
      <c r="F179" s="185">
        <v>0</v>
      </c>
      <c r="G179" s="43">
        <f t="shared" ref="G179:G186" si="50">+F179*E179</f>
        <v>0</v>
      </c>
      <c r="H179" s="44">
        <f t="shared" ref="H179:H186" si="51">+G179*0.0833</f>
        <v>0</v>
      </c>
      <c r="I179" s="42">
        <f t="shared" ref="I179:I186" si="52">+H179*0.01</f>
        <v>0</v>
      </c>
      <c r="J179" s="44">
        <f t="shared" ref="J179:J186" si="53">+G179*0.0833</f>
        <v>0</v>
      </c>
      <c r="K179" s="42">
        <f t="shared" ref="K179:K186" si="54">+G179*0.0416</f>
        <v>0</v>
      </c>
      <c r="L179" s="44">
        <f t="shared" ref="L179:L186" si="55">SUM(H179:K179)</f>
        <v>0</v>
      </c>
      <c r="O179" s="148"/>
    </row>
    <row r="180" spans="2:15" hidden="1" outlineLevel="1" x14ac:dyDescent="0.25">
      <c r="B180" s="182"/>
      <c r="C180" s="181">
        <v>0</v>
      </c>
      <c r="D180" s="41">
        <f t="shared" si="48"/>
        <v>0</v>
      </c>
      <c r="E180" s="42">
        <f t="shared" si="49"/>
        <v>0</v>
      </c>
      <c r="F180" s="185">
        <v>0</v>
      </c>
      <c r="G180" s="43">
        <f t="shared" si="50"/>
        <v>0</v>
      </c>
      <c r="H180" s="44">
        <f t="shared" si="51"/>
        <v>0</v>
      </c>
      <c r="I180" s="42">
        <f t="shared" si="52"/>
        <v>0</v>
      </c>
      <c r="J180" s="44">
        <f t="shared" si="53"/>
        <v>0</v>
      </c>
      <c r="K180" s="42">
        <f t="shared" si="54"/>
        <v>0</v>
      </c>
      <c r="L180" s="44">
        <f t="shared" si="55"/>
        <v>0</v>
      </c>
      <c r="O180" s="148"/>
    </row>
    <row r="181" spans="2:15" hidden="1" outlineLevel="1" x14ac:dyDescent="0.25">
      <c r="B181" s="182"/>
      <c r="C181" s="181"/>
      <c r="D181" s="41">
        <f t="shared" si="48"/>
        <v>0</v>
      </c>
      <c r="E181" s="42">
        <f t="shared" si="49"/>
        <v>0</v>
      </c>
      <c r="F181" s="185"/>
      <c r="G181" s="43">
        <f t="shared" si="50"/>
        <v>0</v>
      </c>
      <c r="H181" s="44">
        <f t="shared" si="51"/>
        <v>0</v>
      </c>
      <c r="I181" s="42">
        <f t="shared" si="52"/>
        <v>0</v>
      </c>
      <c r="J181" s="44">
        <f t="shared" si="53"/>
        <v>0</v>
      </c>
      <c r="K181" s="42">
        <f t="shared" si="54"/>
        <v>0</v>
      </c>
      <c r="L181" s="44">
        <f t="shared" si="55"/>
        <v>0</v>
      </c>
      <c r="O181" s="148"/>
    </row>
    <row r="182" spans="2:15" hidden="1" outlineLevel="1" x14ac:dyDescent="0.25">
      <c r="B182" s="182"/>
      <c r="C182" s="181"/>
      <c r="D182" s="41">
        <f t="shared" si="48"/>
        <v>0</v>
      </c>
      <c r="E182" s="42">
        <f t="shared" si="49"/>
        <v>0</v>
      </c>
      <c r="F182" s="185"/>
      <c r="G182" s="43">
        <f t="shared" si="50"/>
        <v>0</v>
      </c>
      <c r="H182" s="44">
        <f t="shared" si="51"/>
        <v>0</v>
      </c>
      <c r="I182" s="42">
        <f t="shared" si="52"/>
        <v>0</v>
      </c>
      <c r="J182" s="44">
        <f t="shared" si="53"/>
        <v>0</v>
      </c>
      <c r="K182" s="42">
        <f t="shared" si="54"/>
        <v>0</v>
      </c>
      <c r="L182" s="44">
        <f t="shared" si="55"/>
        <v>0</v>
      </c>
      <c r="O182" s="148"/>
    </row>
    <row r="183" spans="2:15" hidden="1" outlineLevel="1" x14ac:dyDescent="0.25">
      <c r="B183" s="182"/>
      <c r="C183" s="181"/>
      <c r="D183" s="41">
        <f t="shared" si="48"/>
        <v>0</v>
      </c>
      <c r="E183" s="42">
        <f t="shared" si="49"/>
        <v>0</v>
      </c>
      <c r="F183" s="185"/>
      <c r="G183" s="43">
        <f t="shared" si="50"/>
        <v>0</v>
      </c>
      <c r="H183" s="44">
        <f t="shared" si="51"/>
        <v>0</v>
      </c>
      <c r="I183" s="42">
        <f t="shared" si="52"/>
        <v>0</v>
      </c>
      <c r="J183" s="44">
        <f t="shared" si="53"/>
        <v>0</v>
      </c>
      <c r="K183" s="42">
        <f t="shared" si="54"/>
        <v>0</v>
      </c>
      <c r="L183" s="44">
        <f t="shared" si="55"/>
        <v>0</v>
      </c>
      <c r="O183" s="148"/>
    </row>
    <row r="184" spans="2:15" hidden="1" outlineLevel="1" x14ac:dyDescent="0.25">
      <c r="B184" s="182"/>
      <c r="C184" s="181"/>
      <c r="D184" s="41">
        <f t="shared" si="48"/>
        <v>0</v>
      </c>
      <c r="E184" s="42">
        <f t="shared" si="49"/>
        <v>0</v>
      </c>
      <c r="F184" s="185"/>
      <c r="G184" s="43">
        <f t="shared" si="50"/>
        <v>0</v>
      </c>
      <c r="H184" s="44">
        <f t="shared" si="51"/>
        <v>0</v>
      </c>
      <c r="I184" s="42">
        <f t="shared" si="52"/>
        <v>0</v>
      </c>
      <c r="J184" s="44">
        <f t="shared" si="53"/>
        <v>0</v>
      </c>
      <c r="K184" s="42">
        <f t="shared" si="54"/>
        <v>0</v>
      </c>
      <c r="L184" s="44">
        <f t="shared" si="55"/>
        <v>0</v>
      </c>
      <c r="O184" s="148"/>
    </row>
    <row r="185" spans="2:15" hidden="1" outlineLevel="1" x14ac:dyDescent="0.25">
      <c r="B185" s="182"/>
      <c r="C185" s="181"/>
      <c r="D185" s="41">
        <f t="shared" si="48"/>
        <v>0</v>
      </c>
      <c r="E185" s="42">
        <f t="shared" si="49"/>
        <v>0</v>
      </c>
      <c r="F185" s="185"/>
      <c r="G185" s="43">
        <f t="shared" si="50"/>
        <v>0</v>
      </c>
      <c r="H185" s="44">
        <f t="shared" si="51"/>
        <v>0</v>
      </c>
      <c r="I185" s="42">
        <f t="shared" si="52"/>
        <v>0</v>
      </c>
      <c r="J185" s="44">
        <f t="shared" si="53"/>
        <v>0</v>
      </c>
      <c r="K185" s="42">
        <f t="shared" si="54"/>
        <v>0</v>
      </c>
      <c r="L185" s="44">
        <f t="shared" si="55"/>
        <v>0</v>
      </c>
      <c r="O185" s="148"/>
    </row>
    <row r="186" spans="2:15" ht="15.75" hidden="1" outlineLevel="1" thickBot="1" x14ac:dyDescent="0.3">
      <c r="B186" s="183"/>
      <c r="C186" s="184"/>
      <c r="D186" s="45">
        <f t="shared" si="48"/>
        <v>0</v>
      </c>
      <c r="E186" s="46">
        <f t="shared" si="49"/>
        <v>0</v>
      </c>
      <c r="F186" s="186"/>
      <c r="G186" s="47">
        <f t="shared" si="50"/>
        <v>0</v>
      </c>
      <c r="H186" s="48">
        <f t="shared" si="51"/>
        <v>0</v>
      </c>
      <c r="I186" s="46">
        <f t="shared" si="52"/>
        <v>0</v>
      </c>
      <c r="J186" s="48">
        <f t="shared" si="53"/>
        <v>0</v>
      </c>
      <c r="K186" s="46">
        <f t="shared" si="54"/>
        <v>0</v>
      </c>
      <c r="L186" s="48">
        <f t="shared" si="55"/>
        <v>0</v>
      </c>
      <c r="O186" s="148"/>
    </row>
    <row r="187" spans="2:15" ht="15.75" collapsed="1" thickBot="1" x14ac:dyDescent="0.3">
      <c r="B187" s="49" t="s">
        <v>14</v>
      </c>
      <c r="C187" s="50">
        <f>SUM(C179:C186)</f>
        <v>0</v>
      </c>
      <c r="D187" s="50"/>
      <c r="E187" s="51"/>
      <c r="F187" s="52">
        <f>SUM(F179:F186)</f>
        <v>0</v>
      </c>
      <c r="G187" s="53">
        <f t="shared" ref="G187:L187" si="56">SUM(G179:G186)</f>
        <v>0</v>
      </c>
      <c r="H187" s="54">
        <f t="shared" si="56"/>
        <v>0</v>
      </c>
      <c r="I187" s="55">
        <f t="shared" si="56"/>
        <v>0</v>
      </c>
      <c r="J187" s="54">
        <f t="shared" si="56"/>
        <v>0</v>
      </c>
      <c r="K187" s="55">
        <f t="shared" si="56"/>
        <v>0</v>
      </c>
      <c r="L187" s="56">
        <f t="shared" si="56"/>
        <v>0</v>
      </c>
      <c r="O187" s="148"/>
    </row>
    <row r="188" spans="2:15" ht="15.75" thickBot="1" x14ac:dyDescent="0.3">
      <c r="B188" s="57"/>
      <c r="C188" s="19"/>
      <c r="D188" s="19"/>
      <c r="E188" s="19"/>
      <c r="F188" s="19"/>
      <c r="G188" s="19"/>
      <c r="H188" s="19"/>
      <c r="I188" s="19"/>
      <c r="J188" s="19"/>
      <c r="K188" s="19"/>
      <c r="L188" s="58"/>
      <c r="O188" s="148"/>
    </row>
    <row r="189" spans="2:15" ht="15.75" thickBot="1" x14ac:dyDescent="0.3">
      <c r="B189" s="59"/>
      <c r="C189" s="60"/>
      <c r="D189" s="61"/>
      <c r="E189" s="61"/>
      <c r="F189" s="61"/>
      <c r="G189" s="61"/>
      <c r="H189" s="62"/>
      <c r="I189" s="244" t="s">
        <v>64</v>
      </c>
      <c r="J189" s="245"/>
      <c r="K189" s="245"/>
      <c r="L189" s="246"/>
      <c r="O189" s="148"/>
    </row>
    <row r="190" spans="2:15" x14ac:dyDescent="0.25">
      <c r="B190" s="59"/>
      <c r="C190" s="60"/>
      <c r="D190" s="61"/>
      <c r="E190" s="61"/>
      <c r="F190" s="61"/>
      <c r="G190" s="63" t="s">
        <v>41</v>
      </c>
      <c r="H190" s="62"/>
      <c r="I190" s="64" t="s">
        <v>65</v>
      </c>
      <c r="J190" s="65" t="s">
        <v>66</v>
      </c>
      <c r="K190" s="65" t="s">
        <v>67</v>
      </c>
      <c r="L190" s="66" t="s">
        <v>46</v>
      </c>
      <c r="O190" s="148"/>
    </row>
    <row r="191" spans="2:15" x14ac:dyDescent="0.25">
      <c r="B191" s="59"/>
      <c r="C191" s="60"/>
      <c r="D191" s="61"/>
      <c r="E191" s="61"/>
      <c r="F191" s="61"/>
      <c r="G191" s="67" t="s">
        <v>52</v>
      </c>
      <c r="H191" s="62"/>
      <c r="I191" s="68" t="s">
        <v>68</v>
      </c>
      <c r="J191" s="69" t="s">
        <v>69</v>
      </c>
      <c r="K191" s="69" t="s">
        <v>70</v>
      </c>
      <c r="L191" s="70" t="s">
        <v>71</v>
      </c>
      <c r="O191" s="148"/>
    </row>
    <row r="192" spans="2:15" ht="15.75" thickBot="1" x14ac:dyDescent="0.3">
      <c r="B192" s="59"/>
      <c r="C192" s="61"/>
      <c r="D192" s="61"/>
      <c r="E192" s="61"/>
      <c r="F192" s="61"/>
      <c r="G192" s="71" t="s">
        <v>72</v>
      </c>
      <c r="H192" s="72"/>
      <c r="I192" s="73" t="s">
        <v>73</v>
      </c>
      <c r="J192" s="74" t="s">
        <v>74</v>
      </c>
      <c r="K192" s="74" t="s">
        <v>75</v>
      </c>
      <c r="L192" s="75" t="s">
        <v>76</v>
      </c>
      <c r="O192" s="148"/>
    </row>
    <row r="193" spans="2:15" ht="15.75" thickBot="1" x14ac:dyDescent="0.3">
      <c r="B193" s="59"/>
      <c r="C193" s="61"/>
      <c r="D193" s="61"/>
      <c r="E193" s="61"/>
      <c r="F193" s="61"/>
      <c r="G193" s="76">
        <f t="shared" ref="G193:G200" si="57">+G179</f>
        <v>0</v>
      </c>
      <c r="H193" s="18"/>
      <c r="I193" s="77">
        <f t="shared" ref="I193:I200" si="58">+G193*0.085</f>
        <v>0</v>
      </c>
      <c r="J193" s="78">
        <f t="shared" ref="J193:J200" si="59">+G193*0.11625</f>
        <v>0</v>
      </c>
      <c r="K193" s="78">
        <f t="shared" ref="K193:K200" si="60">+G193*0.0522</f>
        <v>0</v>
      </c>
      <c r="L193" s="79">
        <f t="shared" ref="L193:L200" si="61">SUM(I193:K193)</f>
        <v>0</v>
      </c>
      <c r="O193" s="148"/>
    </row>
    <row r="194" spans="2:15" hidden="1" outlineLevel="1" x14ac:dyDescent="0.25">
      <c r="B194" s="59"/>
      <c r="C194" s="61"/>
      <c r="D194" s="61"/>
      <c r="E194" s="61"/>
      <c r="F194" s="61"/>
      <c r="G194" s="76">
        <f t="shared" si="57"/>
        <v>0</v>
      </c>
      <c r="H194" s="18"/>
      <c r="I194" s="80">
        <f t="shared" si="58"/>
        <v>0</v>
      </c>
      <c r="J194" s="81">
        <f t="shared" si="59"/>
        <v>0</v>
      </c>
      <c r="K194" s="81">
        <f t="shared" si="60"/>
        <v>0</v>
      </c>
      <c r="L194" s="82">
        <f t="shared" si="61"/>
        <v>0</v>
      </c>
      <c r="O194" s="148"/>
    </row>
    <row r="195" spans="2:15" hidden="1" outlineLevel="1" x14ac:dyDescent="0.25">
      <c r="B195" s="59"/>
      <c r="C195" s="61"/>
      <c r="D195" s="61"/>
      <c r="E195" s="61"/>
      <c r="F195" s="61"/>
      <c r="G195" s="76">
        <f t="shared" si="57"/>
        <v>0</v>
      </c>
      <c r="H195" s="18"/>
      <c r="I195" s="80">
        <f t="shared" si="58"/>
        <v>0</v>
      </c>
      <c r="J195" s="81">
        <f t="shared" si="59"/>
        <v>0</v>
      </c>
      <c r="K195" s="81">
        <f t="shared" si="60"/>
        <v>0</v>
      </c>
      <c r="L195" s="82">
        <f t="shared" si="61"/>
        <v>0</v>
      </c>
      <c r="O195" s="148"/>
    </row>
    <row r="196" spans="2:15" hidden="1" outlineLevel="1" x14ac:dyDescent="0.25">
      <c r="B196" s="59"/>
      <c r="C196" s="61"/>
      <c r="D196" s="61"/>
      <c r="E196" s="61"/>
      <c r="F196" s="61"/>
      <c r="G196" s="76">
        <f t="shared" si="57"/>
        <v>0</v>
      </c>
      <c r="H196" s="18"/>
      <c r="I196" s="80">
        <f t="shared" si="58"/>
        <v>0</v>
      </c>
      <c r="J196" s="81">
        <f t="shared" si="59"/>
        <v>0</v>
      </c>
      <c r="K196" s="81">
        <f t="shared" si="60"/>
        <v>0</v>
      </c>
      <c r="L196" s="82">
        <f t="shared" si="61"/>
        <v>0</v>
      </c>
      <c r="O196" s="148"/>
    </row>
    <row r="197" spans="2:15" hidden="1" outlineLevel="1" x14ac:dyDescent="0.25">
      <c r="B197" s="59"/>
      <c r="C197" s="61"/>
      <c r="D197" s="61"/>
      <c r="E197" s="61"/>
      <c r="F197" s="61"/>
      <c r="G197" s="76">
        <f t="shared" si="57"/>
        <v>0</v>
      </c>
      <c r="H197" s="18"/>
      <c r="I197" s="80">
        <f t="shared" si="58"/>
        <v>0</v>
      </c>
      <c r="J197" s="81">
        <f t="shared" si="59"/>
        <v>0</v>
      </c>
      <c r="K197" s="81">
        <f t="shared" si="60"/>
        <v>0</v>
      </c>
      <c r="L197" s="82">
        <f t="shared" si="61"/>
        <v>0</v>
      </c>
      <c r="O197" s="148"/>
    </row>
    <row r="198" spans="2:15" hidden="1" outlineLevel="1" x14ac:dyDescent="0.25">
      <c r="B198" s="59"/>
      <c r="C198" s="61"/>
      <c r="D198" s="61"/>
      <c r="E198" s="61"/>
      <c r="F198" s="61"/>
      <c r="G198" s="76">
        <f t="shared" si="57"/>
        <v>0</v>
      </c>
      <c r="H198" s="18"/>
      <c r="I198" s="80">
        <f t="shared" si="58"/>
        <v>0</v>
      </c>
      <c r="J198" s="81">
        <f t="shared" si="59"/>
        <v>0</v>
      </c>
      <c r="K198" s="81">
        <f t="shared" si="60"/>
        <v>0</v>
      </c>
      <c r="L198" s="82">
        <f t="shared" si="61"/>
        <v>0</v>
      </c>
      <c r="O198" s="148"/>
    </row>
    <row r="199" spans="2:15" hidden="1" outlineLevel="1" x14ac:dyDescent="0.25">
      <c r="B199" s="59"/>
      <c r="C199" s="61"/>
      <c r="D199" s="61"/>
      <c r="E199" s="61"/>
      <c r="F199" s="61"/>
      <c r="G199" s="76">
        <f t="shared" si="57"/>
        <v>0</v>
      </c>
      <c r="H199" s="18"/>
      <c r="I199" s="80">
        <f t="shared" si="58"/>
        <v>0</v>
      </c>
      <c r="J199" s="81">
        <f t="shared" si="59"/>
        <v>0</v>
      </c>
      <c r="K199" s="81">
        <f t="shared" si="60"/>
        <v>0</v>
      </c>
      <c r="L199" s="82">
        <f t="shared" si="61"/>
        <v>0</v>
      </c>
      <c r="O199" s="148"/>
    </row>
    <row r="200" spans="2:15" ht="15.75" hidden="1" outlineLevel="1" thickBot="1" x14ac:dyDescent="0.3">
      <c r="B200" s="59"/>
      <c r="C200" s="61"/>
      <c r="D200" s="61"/>
      <c r="E200" s="61"/>
      <c r="F200" s="61"/>
      <c r="G200" s="76">
        <f t="shared" si="57"/>
        <v>0</v>
      </c>
      <c r="H200" s="18"/>
      <c r="I200" s="80">
        <f t="shared" si="58"/>
        <v>0</v>
      </c>
      <c r="J200" s="81">
        <f t="shared" si="59"/>
        <v>0</v>
      </c>
      <c r="K200" s="81">
        <f t="shared" si="60"/>
        <v>0</v>
      </c>
      <c r="L200" s="82">
        <f t="shared" si="61"/>
        <v>0</v>
      </c>
      <c r="O200" s="148"/>
    </row>
    <row r="201" spans="2:15" ht="15.75" collapsed="1" thickBot="1" x14ac:dyDescent="0.3">
      <c r="B201" s="59"/>
      <c r="C201" s="61"/>
      <c r="D201" s="61"/>
      <c r="E201" s="61"/>
      <c r="F201" s="61"/>
      <c r="G201" s="83">
        <f>SUM(G193:G200)</f>
        <v>0</v>
      </c>
      <c r="H201" s="62"/>
      <c r="I201" s="84">
        <f>SUM(I193:I200)</f>
        <v>0</v>
      </c>
      <c r="J201" s="85">
        <f>SUM(J193:J200)</f>
        <v>0</v>
      </c>
      <c r="K201" s="85">
        <f>SUM(K193:K200)</f>
        <v>0</v>
      </c>
      <c r="L201" s="86">
        <f>SUM(L193:L200)</f>
        <v>0</v>
      </c>
      <c r="O201" s="148"/>
    </row>
    <row r="202" spans="2:15" ht="15.75" thickBot="1" x14ac:dyDescent="0.3">
      <c r="B202" s="59"/>
      <c r="C202" s="61"/>
      <c r="D202" s="61"/>
      <c r="E202" s="61"/>
      <c r="F202" s="61"/>
      <c r="G202" s="87"/>
      <c r="H202" s="62"/>
      <c r="I202" s="60"/>
      <c r="J202" s="60"/>
      <c r="K202" s="60"/>
      <c r="L202" s="88"/>
      <c r="O202" s="148"/>
    </row>
    <row r="203" spans="2:15" ht="15.75" thickBot="1" x14ac:dyDescent="0.3">
      <c r="B203" s="59"/>
      <c r="C203" s="61"/>
      <c r="D203" s="61"/>
      <c r="E203" s="61"/>
      <c r="F203" s="61"/>
      <c r="G203" s="61"/>
      <c r="H203" s="62"/>
      <c r="I203" s="244" t="s">
        <v>77</v>
      </c>
      <c r="J203" s="245"/>
      <c r="K203" s="245"/>
      <c r="L203" s="246"/>
      <c r="O203" s="148"/>
    </row>
    <row r="204" spans="2:15" x14ac:dyDescent="0.25">
      <c r="B204" s="59"/>
      <c r="C204" s="61"/>
      <c r="D204" s="61"/>
      <c r="E204" s="61"/>
      <c r="F204" s="61"/>
      <c r="G204" s="63" t="s">
        <v>41</v>
      </c>
      <c r="H204" s="62"/>
      <c r="I204" s="64" t="s">
        <v>78</v>
      </c>
      <c r="J204" s="65" t="s">
        <v>79</v>
      </c>
      <c r="K204" s="65" t="s">
        <v>80</v>
      </c>
      <c r="L204" s="66" t="s">
        <v>46</v>
      </c>
      <c r="O204" s="148"/>
    </row>
    <row r="205" spans="2:15" x14ac:dyDescent="0.25">
      <c r="B205" s="59"/>
      <c r="C205" s="61"/>
      <c r="D205" s="61"/>
      <c r="E205" s="61"/>
      <c r="F205" s="61"/>
      <c r="G205" s="67" t="s">
        <v>52</v>
      </c>
      <c r="H205" s="62"/>
      <c r="I205" s="68" t="s">
        <v>81</v>
      </c>
      <c r="J205" s="69" t="s">
        <v>82</v>
      </c>
      <c r="K205" s="69" t="s">
        <v>83</v>
      </c>
      <c r="L205" s="70" t="s">
        <v>84</v>
      </c>
      <c r="O205" s="148"/>
    </row>
    <row r="206" spans="2:15" ht="15.75" thickBot="1" x14ac:dyDescent="0.3">
      <c r="B206" s="59"/>
      <c r="C206" s="61"/>
      <c r="D206" s="61"/>
      <c r="E206" s="61"/>
      <c r="F206" s="61"/>
      <c r="G206" s="71" t="s">
        <v>72</v>
      </c>
      <c r="H206" s="72"/>
      <c r="I206" s="73" t="s">
        <v>85</v>
      </c>
      <c r="J206" s="74" t="s">
        <v>86</v>
      </c>
      <c r="K206" s="74" t="s">
        <v>87</v>
      </c>
      <c r="L206" s="75" t="s">
        <v>88</v>
      </c>
      <c r="O206" s="148"/>
    </row>
    <row r="207" spans="2:15" ht="15.75" thickBot="1" x14ac:dyDescent="0.3">
      <c r="B207" s="59"/>
      <c r="C207" s="61"/>
      <c r="D207" s="61"/>
      <c r="E207" s="61"/>
      <c r="F207" s="61"/>
      <c r="G207" s="76">
        <f t="shared" ref="G207:G214" si="62">+G193</f>
        <v>0</v>
      </c>
      <c r="H207" s="18"/>
      <c r="I207" s="77">
        <f t="shared" ref="I207:I214" si="63">+G207*0.04</f>
        <v>0</v>
      </c>
      <c r="J207" s="78">
        <f t="shared" ref="J207:J214" si="64">+G207*0.03</f>
        <v>0</v>
      </c>
      <c r="K207" s="78">
        <f t="shared" ref="K207:K214" si="65">+G207*0.02</f>
        <v>0</v>
      </c>
      <c r="L207" s="79">
        <f t="shared" ref="L207:L214" si="66">SUM(I207:K207)</f>
        <v>0</v>
      </c>
      <c r="O207" s="148"/>
    </row>
    <row r="208" spans="2:15" hidden="1" outlineLevel="1" x14ac:dyDescent="0.25">
      <c r="B208" s="59"/>
      <c r="C208" s="61"/>
      <c r="D208" s="61"/>
      <c r="E208" s="61"/>
      <c r="F208" s="61"/>
      <c r="G208" s="76">
        <f t="shared" si="62"/>
        <v>0</v>
      </c>
      <c r="H208" s="18"/>
      <c r="I208" s="80">
        <f t="shared" si="63"/>
        <v>0</v>
      </c>
      <c r="J208" s="81">
        <f t="shared" si="64"/>
        <v>0</v>
      </c>
      <c r="K208" s="81">
        <f t="shared" si="65"/>
        <v>0</v>
      </c>
      <c r="L208" s="82">
        <f t="shared" si="66"/>
        <v>0</v>
      </c>
      <c r="O208" s="148"/>
    </row>
    <row r="209" spans="2:15" hidden="1" outlineLevel="1" x14ac:dyDescent="0.25">
      <c r="B209" s="59"/>
      <c r="C209" s="61"/>
      <c r="D209" s="61"/>
      <c r="E209" s="61"/>
      <c r="F209" s="61"/>
      <c r="G209" s="76">
        <f t="shared" si="62"/>
        <v>0</v>
      </c>
      <c r="H209" s="18"/>
      <c r="I209" s="80">
        <f t="shared" si="63"/>
        <v>0</v>
      </c>
      <c r="J209" s="81">
        <f t="shared" si="64"/>
        <v>0</v>
      </c>
      <c r="K209" s="81">
        <f t="shared" si="65"/>
        <v>0</v>
      </c>
      <c r="L209" s="82">
        <f t="shared" si="66"/>
        <v>0</v>
      </c>
      <c r="O209" s="148"/>
    </row>
    <row r="210" spans="2:15" hidden="1" outlineLevel="1" x14ac:dyDescent="0.25">
      <c r="B210" s="59"/>
      <c r="C210" s="61"/>
      <c r="D210" s="61"/>
      <c r="E210" s="61"/>
      <c r="F210" s="61"/>
      <c r="G210" s="76">
        <f t="shared" si="62"/>
        <v>0</v>
      </c>
      <c r="H210" s="18"/>
      <c r="I210" s="80">
        <f t="shared" si="63"/>
        <v>0</v>
      </c>
      <c r="J210" s="81">
        <f t="shared" si="64"/>
        <v>0</v>
      </c>
      <c r="K210" s="81">
        <f t="shared" si="65"/>
        <v>0</v>
      </c>
      <c r="L210" s="82">
        <f t="shared" si="66"/>
        <v>0</v>
      </c>
      <c r="O210" s="148"/>
    </row>
    <row r="211" spans="2:15" hidden="1" outlineLevel="1" x14ac:dyDescent="0.25">
      <c r="B211" s="59"/>
      <c r="C211" s="61"/>
      <c r="D211" s="61"/>
      <c r="E211" s="61"/>
      <c r="F211" s="61"/>
      <c r="G211" s="76">
        <f t="shared" si="62"/>
        <v>0</v>
      </c>
      <c r="H211" s="18"/>
      <c r="I211" s="80">
        <f t="shared" si="63"/>
        <v>0</v>
      </c>
      <c r="J211" s="81">
        <f t="shared" si="64"/>
        <v>0</v>
      </c>
      <c r="K211" s="81">
        <f t="shared" si="65"/>
        <v>0</v>
      </c>
      <c r="L211" s="82">
        <f t="shared" si="66"/>
        <v>0</v>
      </c>
      <c r="O211" s="148"/>
    </row>
    <row r="212" spans="2:15" hidden="1" outlineLevel="1" x14ac:dyDescent="0.25">
      <c r="B212" s="59"/>
      <c r="C212" s="61"/>
      <c r="D212" s="61"/>
      <c r="E212" s="61"/>
      <c r="F212" s="61"/>
      <c r="G212" s="76">
        <f t="shared" si="62"/>
        <v>0</v>
      </c>
      <c r="H212" s="18"/>
      <c r="I212" s="80">
        <f t="shared" si="63"/>
        <v>0</v>
      </c>
      <c r="J212" s="81">
        <f t="shared" si="64"/>
        <v>0</v>
      </c>
      <c r="K212" s="81">
        <f t="shared" si="65"/>
        <v>0</v>
      </c>
      <c r="L212" s="82">
        <f t="shared" si="66"/>
        <v>0</v>
      </c>
      <c r="O212" s="148"/>
    </row>
    <row r="213" spans="2:15" hidden="1" outlineLevel="1" x14ac:dyDescent="0.25">
      <c r="B213" s="59"/>
      <c r="C213" s="61"/>
      <c r="D213" s="61"/>
      <c r="E213" s="61"/>
      <c r="F213" s="61"/>
      <c r="G213" s="76">
        <f t="shared" si="62"/>
        <v>0</v>
      </c>
      <c r="H213" s="18"/>
      <c r="I213" s="80">
        <f t="shared" si="63"/>
        <v>0</v>
      </c>
      <c r="J213" s="81">
        <f t="shared" si="64"/>
        <v>0</v>
      </c>
      <c r="K213" s="81">
        <f t="shared" si="65"/>
        <v>0</v>
      </c>
      <c r="L213" s="82">
        <f t="shared" si="66"/>
        <v>0</v>
      </c>
      <c r="O213" s="148"/>
    </row>
    <row r="214" spans="2:15" ht="15.75" hidden="1" outlineLevel="1" thickBot="1" x14ac:dyDescent="0.3">
      <c r="B214" s="59"/>
      <c r="C214" s="61"/>
      <c r="D214" s="61"/>
      <c r="E214" s="61"/>
      <c r="F214" s="61"/>
      <c r="G214" s="76">
        <f t="shared" si="62"/>
        <v>0</v>
      </c>
      <c r="H214" s="18"/>
      <c r="I214" s="80">
        <f t="shared" si="63"/>
        <v>0</v>
      </c>
      <c r="J214" s="81">
        <f t="shared" si="64"/>
        <v>0</v>
      </c>
      <c r="K214" s="81">
        <f t="shared" si="65"/>
        <v>0</v>
      </c>
      <c r="L214" s="82">
        <f t="shared" si="66"/>
        <v>0</v>
      </c>
      <c r="O214" s="148"/>
    </row>
    <row r="215" spans="2:15" ht="15.75" collapsed="1" thickBot="1" x14ac:dyDescent="0.3">
      <c r="B215" s="59"/>
      <c r="C215" s="61"/>
      <c r="D215" s="61"/>
      <c r="E215" s="61"/>
      <c r="F215" s="61"/>
      <c r="G215" s="83">
        <f>SUM(G207:G214)</f>
        <v>0</v>
      </c>
      <c r="H215" s="62"/>
      <c r="I215" s="84">
        <f>SUM(I207:I214)</f>
        <v>0</v>
      </c>
      <c r="J215" s="84">
        <f>SUM(J207:J214)</f>
        <v>0</v>
      </c>
      <c r="K215" s="84">
        <f>SUM(K207:K214)</f>
        <v>0</v>
      </c>
      <c r="L215" s="89">
        <f>SUM(L207:L214)</f>
        <v>0</v>
      </c>
      <c r="O215" s="148"/>
    </row>
    <row r="216" spans="2:15" ht="15.75" thickBot="1" x14ac:dyDescent="0.3">
      <c r="B216" s="59"/>
      <c r="C216" s="61"/>
      <c r="D216" s="61"/>
      <c r="E216" s="61"/>
      <c r="F216" s="61"/>
      <c r="G216" s="19"/>
      <c r="H216" s="62"/>
      <c r="I216" s="90"/>
      <c r="J216" s="90"/>
      <c r="K216" s="90"/>
      <c r="L216" s="91"/>
      <c r="O216" s="148"/>
    </row>
    <row r="217" spans="2:15" ht="15.75" thickBot="1" x14ac:dyDescent="0.3">
      <c r="B217" s="92" t="s">
        <v>89</v>
      </c>
      <c r="C217" s="93"/>
      <c r="D217" s="93"/>
      <c r="E217" s="93"/>
      <c r="F217" s="93"/>
      <c r="G217" s="94"/>
      <c r="H217" s="95"/>
      <c r="I217" s="96"/>
      <c r="J217" s="96"/>
      <c r="K217" s="96" t="s">
        <v>90</v>
      </c>
      <c r="L217" s="97">
        <f>+G187+L187+L201+L215</f>
        <v>0</v>
      </c>
      <c r="O217" s="148"/>
    </row>
    <row r="218" spans="2:15" ht="15.75" thickBot="1" x14ac:dyDescent="0.3">
      <c r="B218" s="98" t="s">
        <v>91</v>
      </c>
      <c r="C218" s="99"/>
      <c r="D218" s="99"/>
      <c r="E218" s="99"/>
      <c r="F218" s="99"/>
      <c r="G218" s="99"/>
      <c r="H218" s="100"/>
      <c r="I218" s="100"/>
      <c r="J218" s="100"/>
      <c r="K218" s="100"/>
      <c r="L218" s="101"/>
      <c r="O218" s="148"/>
    </row>
    <row r="219" spans="2:15" x14ac:dyDescent="0.25">
      <c r="B219" s="102" t="s">
        <v>92</v>
      </c>
      <c r="C219" s="103"/>
      <c r="D219" s="103" t="s">
        <v>93</v>
      </c>
      <c r="E219" s="103"/>
      <c r="F219" s="103"/>
      <c r="G219" s="104"/>
      <c r="H219" s="105">
        <f>+G215+L201+L215</f>
        <v>0</v>
      </c>
      <c r="I219" s="100"/>
      <c r="J219" s="100"/>
      <c r="K219" s="100"/>
      <c r="L219" s="101"/>
      <c r="O219" s="148"/>
    </row>
    <row r="220" spans="2:15" ht="15.75" thickBot="1" x14ac:dyDescent="0.3">
      <c r="B220" s="106" t="s">
        <v>94</v>
      </c>
      <c r="C220" s="107"/>
      <c r="D220" s="107" t="s">
        <v>90</v>
      </c>
      <c r="E220" s="107"/>
      <c r="F220" s="107"/>
      <c r="G220" s="108"/>
      <c r="H220" s="109">
        <f>+L217</f>
        <v>0</v>
      </c>
      <c r="I220" s="100"/>
      <c r="J220" s="100"/>
      <c r="K220" s="100"/>
      <c r="L220" s="101"/>
      <c r="O220" s="148"/>
    </row>
    <row r="221" spans="2:15" ht="15.75" thickBot="1" x14ac:dyDescent="0.3">
      <c r="B221" s="98"/>
      <c r="C221" s="99"/>
      <c r="D221" s="99"/>
      <c r="E221" s="99"/>
      <c r="F221" s="99"/>
      <c r="G221" s="61"/>
      <c r="H221" s="100"/>
      <c r="I221" s="100"/>
      <c r="J221" s="100"/>
      <c r="K221" s="100"/>
      <c r="L221" s="101"/>
      <c r="O221" s="148"/>
    </row>
    <row r="222" spans="2:15" x14ac:dyDescent="0.25">
      <c r="B222" s="198" t="s">
        <v>106</v>
      </c>
      <c r="C222" s="110"/>
      <c r="D222" s="110"/>
      <c r="E222" s="110"/>
      <c r="F222" s="110"/>
      <c r="G222" s="111"/>
      <c r="H222" s="112"/>
      <c r="I222" s="112"/>
      <c r="J222" s="112"/>
      <c r="K222" s="112"/>
      <c r="L222" s="113"/>
      <c r="O222" s="148"/>
    </row>
    <row r="223" spans="2:15" x14ac:dyDescent="0.25">
      <c r="B223" s="114"/>
      <c r="C223" s="99"/>
      <c r="D223" s="99"/>
      <c r="E223" s="99"/>
      <c r="F223" s="99"/>
      <c r="G223" s="61"/>
      <c r="H223" s="100"/>
      <c r="I223" s="100"/>
      <c r="J223" s="100"/>
      <c r="K223" s="100"/>
      <c r="L223" s="101"/>
      <c r="O223" s="148"/>
    </row>
    <row r="224" spans="2:15" ht="15.75" thickBot="1" x14ac:dyDescent="0.3">
      <c r="B224" s="98"/>
      <c r="C224" s="99"/>
      <c r="D224" s="99"/>
      <c r="E224" s="99"/>
      <c r="F224" s="99"/>
      <c r="G224" s="61"/>
      <c r="H224" s="100"/>
      <c r="I224" s="100"/>
      <c r="J224" s="100"/>
      <c r="K224" s="100"/>
      <c r="L224" s="101"/>
      <c r="O224" s="148"/>
    </row>
    <row r="225" spans="2:15" ht="30" customHeight="1" x14ac:dyDescent="0.25">
      <c r="B225" s="161" t="s">
        <v>96</v>
      </c>
      <c r="C225" s="162" t="s">
        <v>97</v>
      </c>
      <c r="D225" s="163" t="s">
        <v>98</v>
      </c>
      <c r="E225" s="163" t="s">
        <v>99</v>
      </c>
      <c r="F225" s="162" t="s">
        <v>40</v>
      </c>
      <c r="G225" s="164" t="s">
        <v>99</v>
      </c>
      <c r="H225" s="61"/>
      <c r="I225" s="115"/>
      <c r="J225" s="116"/>
      <c r="K225" s="100"/>
      <c r="L225" s="101"/>
      <c r="O225" s="148"/>
    </row>
    <row r="226" spans="2:15" ht="15.75" thickBot="1" x14ac:dyDescent="0.3">
      <c r="B226" s="117"/>
      <c r="C226" s="118" t="s">
        <v>0</v>
      </c>
      <c r="D226" s="118" t="s">
        <v>100</v>
      </c>
      <c r="E226" s="118" t="s">
        <v>101</v>
      </c>
      <c r="F226" s="119"/>
      <c r="G226" s="120" t="s">
        <v>102</v>
      </c>
      <c r="H226" s="61"/>
      <c r="I226" s="115"/>
      <c r="J226" s="116"/>
      <c r="K226" s="100"/>
      <c r="L226" s="101"/>
      <c r="O226" s="148"/>
    </row>
    <row r="227" spans="2:15" ht="15.75" thickBot="1" x14ac:dyDescent="0.3">
      <c r="B227" s="121">
        <f t="shared" ref="B227:B235" si="67">+B179</f>
        <v>0</v>
      </c>
      <c r="C227" s="122">
        <f t="shared" ref="C227:C234" si="68">+G179+L179+L193+L207</f>
        <v>0</v>
      </c>
      <c r="D227" s="123">
        <v>190</v>
      </c>
      <c r="E227" s="122">
        <f t="shared" ref="E227:E234" si="69">+C227/D227</f>
        <v>0</v>
      </c>
      <c r="F227" s="124">
        <f t="shared" ref="F227:F234" si="70">+F179</f>
        <v>0</v>
      </c>
      <c r="G227" s="125">
        <f t="shared" ref="G227:G234" si="71">+F227*E227</f>
        <v>0</v>
      </c>
      <c r="H227" s="61"/>
      <c r="I227" s="61"/>
      <c r="J227" s="61"/>
      <c r="K227" s="62"/>
      <c r="L227" s="126"/>
      <c r="O227" s="148"/>
    </row>
    <row r="228" spans="2:15" hidden="1" outlineLevel="1" x14ac:dyDescent="0.25">
      <c r="B228" s="127">
        <f t="shared" si="67"/>
        <v>0</v>
      </c>
      <c r="C228" s="128">
        <f t="shared" si="68"/>
        <v>0</v>
      </c>
      <c r="D228" s="129">
        <v>190</v>
      </c>
      <c r="E228" s="128">
        <f t="shared" si="69"/>
        <v>0</v>
      </c>
      <c r="F228" s="130">
        <f t="shared" si="70"/>
        <v>0</v>
      </c>
      <c r="G228" s="131">
        <f t="shared" si="71"/>
        <v>0</v>
      </c>
      <c r="H228" s="61"/>
      <c r="I228" s="61"/>
      <c r="J228" s="61"/>
      <c r="K228" s="62"/>
      <c r="L228" s="126"/>
      <c r="O228" s="148"/>
    </row>
    <row r="229" spans="2:15" hidden="1" outlineLevel="1" x14ac:dyDescent="0.25">
      <c r="B229" s="127">
        <f t="shared" si="67"/>
        <v>0</v>
      </c>
      <c r="C229" s="128">
        <f t="shared" si="68"/>
        <v>0</v>
      </c>
      <c r="D229" s="129">
        <v>190</v>
      </c>
      <c r="E229" s="128">
        <f t="shared" si="69"/>
        <v>0</v>
      </c>
      <c r="F229" s="130">
        <f t="shared" si="70"/>
        <v>0</v>
      </c>
      <c r="G229" s="131">
        <f t="shared" si="71"/>
        <v>0</v>
      </c>
      <c r="H229" s="61"/>
      <c r="I229" s="61"/>
      <c r="J229" s="61"/>
      <c r="K229" s="62"/>
      <c r="L229" s="126"/>
      <c r="O229" s="148"/>
    </row>
    <row r="230" spans="2:15" hidden="1" outlineLevel="1" x14ac:dyDescent="0.25">
      <c r="B230" s="127">
        <f t="shared" si="67"/>
        <v>0</v>
      </c>
      <c r="C230" s="128">
        <f t="shared" si="68"/>
        <v>0</v>
      </c>
      <c r="D230" s="129">
        <v>190</v>
      </c>
      <c r="E230" s="128">
        <f t="shared" si="69"/>
        <v>0</v>
      </c>
      <c r="F230" s="130">
        <f t="shared" si="70"/>
        <v>0</v>
      </c>
      <c r="G230" s="131">
        <f t="shared" si="71"/>
        <v>0</v>
      </c>
      <c r="H230" s="61"/>
      <c r="I230" s="61"/>
      <c r="J230" s="61"/>
      <c r="K230" s="62"/>
      <c r="L230" s="126"/>
      <c r="O230" s="148"/>
    </row>
    <row r="231" spans="2:15" hidden="1" outlineLevel="1" x14ac:dyDescent="0.25">
      <c r="B231" s="127">
        <f t="shared" si="67"/>
        <v>0</v>
      </c>
      <c r="C231" s="128">
        <f t="shared" si="68"/>
        <v>0</v>
      </c>
      <c r="D231" s="129">
        <v>190</v>
      </c>
      <c r="E231" s="128">
        <f t="shared" si="69"/>
        <v>0</v>
      </c>
      <c r="F231" s="130">
        <f t="shared" si="70"/>
        <v>0</v>
      </c>
      <c r="G231" s="131">
        <f t="shared" si="71"/>
        <v>0</v>
      </c>
      <c r="H231" s="61"/>
      <c r="I231" s="61"/>
      <c r="J231" s="61"/>
      <c r="K231" s="62"/>
      <c r="L231" s="126"/>
      <c r="O231" s="148"/>
    </row>
    <row r="232" spans="2:15" hidden="1" outlineLevel="1" x14ac:dyDescent="0.25">
      <c r="B232" s="127">
        <f t="shared" si="67"/>
        <v>0</v>
      </c>
      <c r="C232" s="128">
        <f t="shared" si="68"/>
        <v>0</v>
      </c>
      <c r="D232" s="129">
        <v>190</v>
      </c>
      <c r="E232" s="128">
        <f t="shared" si="69"/>
        <v>0</v>
      </c>
      <c r="F232" s="130">
        <f t="shared" si="70"/>
        <v>0</v>
      </c>
      <c r="G232" s="131">
        <f t="shared" si="71"/>
        <v>0</v>
      </c>
      <c r="H232" s="61"/>
      <c r="I232" s="61"/>
      <c r="J232" s="61"/>
      <c r="K232" s="62"/>
      <c r="L232" s="126"/>
      <c r="O232" s="148"/>
    </row>
    <row r="233" spans="2:15" hidden="1" outlineLevel="1" x14ac:dyDescent="0.25">
      <c r="B233" s="127">
        <f t="shared" si="67"/>
        <v>0</v>
      </c>
      <c r="C233" s="128">
        <f t="shared" si="68"/>
        <v>0</v>
      </c>
      <c r="D233" s="129">
        <v>190</v>
      </c>
      <c r="E233" s="128">
        <f t="shared" si="69"/>
        <v>0</v>
      </c>
      <c r="F233" s="130">
        <f t="shared" si="70"/>
        <v>0</v>
      </c>
      <c r="G233" s="131">
        <f t="shared" si="71"/>
        <v>0</v>
      </c>
      <c r="H233" s="61"/>
      <c r="I233" s="61"/>
      <c r="J233" s="61"/>
      <c r="K233" s="62"/>
      <c r="L233" s="126"/>
      <c r="O233" s="148"/>
    </row>
    <row r="234" spans="2:15" ht="15.75" hidden="1" outlineLevel="1" thickBot="1" x14ac:dyDescent="0.3">
      <c r="B234" s="132">
        <f t="shared" si="67"/>
        <v>0</v>
      </c>
      <c r="C234" s="133">
        <f t="shared" si="68"/>
        <v>0</v>
      </c>
      <c r="D234" s="134">
        <v>190</v>
      </c>
      <c r="E234" s="133">
        <f t="shared" si="69"/>
        <v>0</v>
      </c>
      <c r="F234" s="135">
        <f t="shared" si="70"/>
        <v>0</v>
      </c>
      <c r="G234" s="136">
        <f t="shared" si="71"/>
        <v>0</v>
      </c>
      <c r="H234" s="61"/>
      <c r="I234" s="61"/>
      <c r="J234" s="61"/>
      <c r="K234" s="62"/>
      <c r="L234" s="126"/>
      <c r="O234" s="148"/>
    </row>
    <row r="235" spans="2:15" ht="15.75" collapsed="1" thickBot="1" x14ac:dyDescent="0.3">
      <c r="B235" s="137" t="str">
        <f t="shared" si="67"/>
        <v>TOTALES</v>
      </c>
      <c r="C235" s="85">
        <f>SUM(C227:C234)</f>
        <v>0</v>
      </c>
      <c r="D235" s="85">
        <f>SUM(D227:D234)</f>
        <v>1520</v>
      </c>
      <c r="E235" s="85">
        <f>SUM(E227:E234)</f>
        <v>0</v>
      </c>
      <c r="F235" s="138">
        <f>SUM(F227:F234)</f>
        <v>0</v>
      </c>
      <c r="G235" s="139">
        <f>SUM(G227:G234)</f>
        <v>0</v>
      </c>
      <c r="H235" s="140"/>
      <c r="I235" s="140"/>
      <c r="J235" s="140"/>
      <c r="K235" s="141"/>
      <c r="L235" s="142"/>
      <c r="O235" s="148"/>
    </row>
    <row r="238" spans="2:15" x14ac:dyDescent="0.25">
      <c r="B238" s="165" t="s">
        <v>132</v>
      </c>
    </row>
    <row r="239" spans="2:15" x14ac:dyDescent="0.25">
      <c r="B239" s="165"/>
    </row>
    <row r="240" spans="2:15" ht="15.75" x14ac:dyDescent="0.25">
      <c r="B240" s="199" t="s">
        <v>204</v>
      </c>
    </row>
    <row r="241" spans="1:15" ht="15.75" thickBot="1" x14ac:dyDescent="0.3">
      <c r="B241" s="166" t="s">
        <v>133</v>
      </c>
    </row>
    <row r="242" spans="1:15" ht="15.75" thickBot="1" x14ac:dyDescent="0.3">
      <c r="B242" s="1" t="s">
        <v>1</v>
      </c>
      <c r="C242" s="1" t="s">
        <v>2</v>
      </c>
      <c r="D242" s="1" t="s">
        <v>3</v>
      </c>
      <c r="E242" s="1" t="s">
        <v>4</v>
      </c>
      <c r="F242" s="1" t="s">
        <v>5</v>
      </c>
      <c r="G242" s="1" t="s">
        <v>6</v>
      </c>
      <c r="H242" s="1" t="s">
        <v>7</v>
      </c>
      <c r="I242" s="1" t="s">
        <v>8</v>
      </c>
      <c r="J242" s="1" t="s">
        <v>9</v>
      </c>
      <c r="K242" s="1" t="s">
        <v>10</v>
      </c>
      <c r="L242" s="1" t="s">
        <v>11</v>
      </c>
      <c r="M242" s="1" t="s">
        <v>12</v>
      </c>
      <c r="N242" s="1" t="s">
        <v>13</v>
      </c>
      <c r="O242" s="149" t="s">
        <v>14</v>
      </c>
    </row>
    <row r="243" spans="1:15" ht="23.25" thickBot="1" x14ac:dyDescent="0.3">
      <c r="B243" s="188" t="s">
        <v>15</v>
      </c>
      <c r="C243" s="191">
        <f>55000+75000</f>
        <v>130000</v>
      </c>
      <c r="D243" s="2">
        <f t="shared" ref="D243:N252" si="72">+C243</f>
        <v>130000</v>
      </c>
      <c r="E243" s="2">
        <f t="shared" si="72"/>
        <v>130000</v>
      </c>
      <c r="F243" s="2">
        <f t="shared" si="72"/>
        <v>130000</v>
      </c>
      <c r="G243" s="2">
        <f t="shared" si="72"/>
        <v>130000</v>
      </c>
      <c r="H243" s="2">
        <f t="shared" si="72"/>
        <v>130000</v>
      </c>
      <c r="I243" s="2">
        <f t="shared" si="72"/>
        <v>130000</v>
      </c>
      <c r="J243" s="2">
        <f t="shared" si="72"/>
        <v>130000</v>
      </c>
      <c r="K243" s="2">
        <f t="shared" si="72"/>
        <v>130000</v>
      </c>
      <c r="L243" s="2">
        <f t="shared" si="72"/>
        <v>130000</v>
      </c>
      <c r="M243" s="2">
        <f t="shared" si="72"/>
        <v>130000</v>
      </c>
      <c r="N243" s="2">
        <f t="shared" si="72"/>
        <v>130000</v>
      </c>
      <c r="O243" s="150">
        <f>SUM(C243:N243)</f>
        <v>1560000</v>
      </c>
    </row>
    <row r="244" spans="1:15" ht="34.5" thickBot="1" x14ac:dyDescent="0.3">
      <c r="B244" s="188" t="s">
        <v>137</v>
      </c>
      <c r="C244" s="191">
        <v>30000</v>
      </c>
      <c r="D244" s="2">
        <f t="shared" si="72"/>
        <v>30000</v>
      </c>
      <c r="E244" s="2">
        <f t="shared" si="72"/>
        <v>30000</v>
      </c>
      <c r="F244" s="2">
        <f t="shared" si="72"/>
        <v>30000</v>
      </c>
      <c r="G244" s="2">
        <f t="shared" si="72"/>
        <v>30000</v>
      </c>
      <c r="H244" s="2">
        <f t="shared" si="72"/>
        <v>30000</v>
      </c>
      <c r="I244" s="2">
        <f t="shared" si="72"/>
        <v>30000</v>
      </c>
      <c r="J244" s="2">
        <f t="shared" si="72"/>
        <v>30000</v>
      </c>
      <c r="K244" s="2">
        <f t="shared" si="72"/>
        <v>30000</v>
      </c>
      <c r="L244" s="2">
        <f t="shared" si="72"/>
        <v>30000</v>
      </c>
      <c r="M244" s="2">
        <f t="shared" si="72"/>
        <v>30000</v>
      </c>
      <c r="N244" s="2">
        <f t="shared" si="72"/>
        <v>30000</v>
      </c>
      <c r="O244" s="150">
        <f t="shared" ref="O244:O252" si="73">SUM(C244:N244)</f>
        <v>360000</v>
      </c>
    </row>
    <row r="245" spans="1:15" ht="23.25" thickBot="1" x14ac:dyDescent="0.3">
      <c r="B245" s="188" t="s">
        <v>138</v>
      </c>
      <c r="C245" s="191">
        <v>500000</v>
      </c>
      <c r="D245" s="2">
        <f t="shared" ref="D245:N245" si="74">+C245</f>
        <v>500000</v>
      </c>
      <c r="E245" s="2">
        <f t="shared" si="74"/>
        <v>500000</v>
      </c>
      <c r="F245" s="2">
        <f t="shared" si="74"/>
        <v>500000</v>
      </c>
      <c r="G245" s="2">
        <f t="shared" si="74"/>
        <v>500000</v>
      </c>
      <c r="H245" s="2">
        <f t="shared" si="74"/>
        <v>500000</v>
      </c>
      <c r="I245" s="2">
        <f t="shared" si="74"/>
        <v>500000</v>
      </c>
      <c r="J245" s="2">
        <f t="shared" si="74"/>
        <v>500000</v>
      </c>
      <c r="K245" s="2">
        <f t="shared" si="74"/>
        <v>500000</v>
      </c>
      <c r="L245" s="2">
        <f t="shared" si="74"/>
        <v>500000</v>
      </c>
      <c r="M245" s="2">
        <f t="shared" si="74"/>
        <v>500000</v>
      </c>
      <c r="N245" s="2">
        <f t="shared" si="74"/>
        <v>500000</v>
      </c>
      <c r="O245" s="150">
        <f>SUM(C245:N245)</f>
        <v>6000000</v>
      </c>
    </row>
    <row r="246" spans="1:15" ht="23.25" thickBot="1" x14ac:dyDescent="0.3">
      <c r="A246" s="204"/>
      <c r="B246" s="188" t="s">
        <v>136</v>
      </c>
      <c r="C246" s="3">
        <f>H304/(12*10)</f>
        <v>127985.15</v>
      </c>
      <c r="D246" s="2">
        <f t="shared" si="72"/>
        <v>127985.15</v>
      </c>
      <c r="E246" s="2">
        <f t="shared" si="72"/>
        <v>127985.15</v>
      </c>
      <c r="F246" s="2">
        <f t="shared" si="72"/>
        <v>127985.15</v>
      </c>
      <c r="G246" s="2">
        <f t="shared" si="72"/>
        <v>127985.15</v>
      </c>
      <c r="H246" s="2">
        <f t="shared" si="72"/>
        <v>127985.15</v>
      </c>
      <c r="I246" s="2">
        <f t="shared" si="72"/>
        <v>127985.15</v>
      </c>
      <c r="J246" s="2">
        <f t="shared" si="72"/>
        <v>127985.15</v>
      </c>
      <c r="K246" s="2">
        <f t="shared" si="72"/>
        <v>127985.15</v>
      </c>
      <c r="L246" s="2">
        <f t="shared" si="72"/>
        <v>127985.15</v>
      </c>
      <c r="M246" s="2">
        <f t="shared" si="72"/>
        <v>127985.15</v>
      </c>
      <c r="N246" s="2">
        <f t="shared" si="72"/>
        <v>127985.15</v>
      </c>
      <c r="O246" s="150">
        <f t="shared" si="73"/>
        <v>1535821.7999999998</v>
      </c>
    </row>
    <row r="247" spans="1:15" ht="15.75" thickBot="1" x14ac:dyDescent="0.3">
      <c r="B247" s="188" t="s">
        <v>164</v>
      </c>
      <c r="C247" s="191">
        <v>50000</v>
      </c>
      <c r="D247" s="2">
        <f t="shared" ref="D247:N247" si="75">+C247</f>
        <v>50000</v>
      </c>
      <c r="E247" s="2">
        <f t="shared" si="75"/>
        <v>50000</v>
      </c>
      <c r="F247" s="2">
        <f t="shared" si="75"/>
        <v>50000</v>
      </c>
      <c r="G247" s="2">
        <f t="shared" si="75"/>
        <v>50000</v>
      </c>
      <c r="H247" s="2">
        <f t="shared" si="75"/>
        <v>50000</v>
      </c>
      <c r="I247" s="2">
        <f t="shared" si="75"/>
        <v>50000</v>
      </c>
      <c r="J247" s="2">
        <f t="shared" si="75"/>
        <v>50000</v>
      </c>
      <c r="K247" s="2">
        <f t="shared" si="75"/>
        <v>50000</v>
      </c>
      <c r="L247" s="2">
        <f t="shared" si="75"/>
        <v>50000</v>
      </c>
      <c r="M247" s="2">
        <f t="shared" si="75"/>
        <v>50000</v>
      </c>
      <c r="N247" s="2">
        <f t="shared" si="75"/>
        <v>50000</v>
      </c>
      <c r="O247" s="150">
        <f>SUM(C247:N247)</f>
        <v>600000</v>
      </c>
    </row>
    <row r="248" spans="1:15" ht="34.5" thickBot="1" x14ac:dyDescent="0.3">
      <c r="B248" s="188" t="s">
        <v>165</v>
      </c>
      <c r="C248" s="191">
        <v>400000</v>
      </c>
      <c r="D248" s="2">
        <f t="shared" ref="D248:N248" si="76">+C248</f>
        <v>400000</v>
      </c>
      <c r="E248" s="2">
        <f t="shared" si="76"/>
        <v>400000</v>
      </c>
      <c r="F248" s="2">
        <f t="shared" si="76"/>
        <v>400000</v>
      </c>
      <c r="G248" s="2">
        <f t="shared" si="76"/>
        <v>400000</v>
      </c>
      <c r="H248" s="2">
        <f t="shared" si="76"/>
        <v>400000</v>
      </c>
      <c r="I248" s="2">
        <f t="shared" si="76"/>
        <v>400000</v>
      </c>
      <c r="J248" s="2">
        <f t="shared" si="76"/>
        <v>400000</v>
      </c>
      <c r="K248" s="2">
        <f t="shared" si="76"/>
        <v>400000</v>
      </c>
      <c r="L248" s="2">
        <f t="shared" si="76"/>
        <v>400000</v>
      </c>
      <c r="M248" s="2">
        <f t="shared" si="76"/>
        <v>400000</v>
      </c>
      <c r="N248" s="2">
        <f t="shared" si="76"/>
        <v>400000</v>
      </c>
      <c r="O248" s="150">
        <f>SUM(C248:N248)</f>
        <v>4800000</v>
      </c>
    </row>
    <row r="249" spans="1:15" ht="23.25" thickBot="1" x14ac:dyDescent="0.3">
      <c r="B249" s="190" t="s">
        <v>208</v>
      </c>
      <c r="C249" s="191">
        <v>36000</v>
      </c>
      <c r="D249" s="2">
        <f t="shared" ref="D249:N249" si="77">+C249</f>
        <v>36000</v>
      </c>
      <c r="E249" s="2">
        <f t="shared" si="77"/>
        <v>36000</v>
      </c>
      <c r="F249" s="2">
        <f t="shared" si="77"/>
        <v>36000</v>
      </c>
      <c r="G249" s="2">
        <f t="shared" si="77"/>
        <v>36000</v>
      </c>
      <c r="H249" s="2">
        <f t="shared" si="77"/>
        <v>36000</v>
      </c>
      <c r="I249" s="2">
        <f t="shared" si="77"/>
        <v>36000</v>
      </c>
      <c r="J249" s="2">
        <f t="shared" si="77"/>
        <v>36000</v>
      </c>
      <c r="K249" s="2">
        <f t="shared" si="77"/>
        <v>36000</v>
      </c>
      <c r="L249" s="2">
        <f t="shared" si="77"/>
        <v>36000</v>
      </c>
      <c r="M249" s="2">
        <f t="shared" si="77"/>
        <v>36000</v>
      </c>
      <c r="N249" s="2">
        <f t="shared" si="77"/>
        <v>36000</v>
      </c>
      <c r="O249" s="150">
        <f>SUM(C249:N249)</f>
        <v>432000</v>
      </c>
    </row>
    <row r="250" spans="1:15" ht="15.75" thickBot="1" x14ac:dyDescent="0.3">
      <c r="B250" s="190" t="s">
        <v>111</v>
      </c>
      <c r="C250" s="191">
        <v>44000</v>
      </c>
      <c r="D250" s="2">
        <f t="shared" ref="D250:N250" si="78">+C250</f>
        <v>44000</v>
      </c>
      <c r="E250" s="2">
        <f t="shared" si="78"/>
        <v>44000</v>
      </c>
      <c r="F250" s="2">
        <f t="shared" si="78"/>
        <v>44000</v>
      </c>
      <c r="G250" s="2">
        <f t="shared" si="78"/>
        <v>44000</v>
      </c>
      <c r="H250" s="2">
        <f t="shared" si="78"/>
        <v>44000</v>
      </c>
      <c r="I250" s="2">
        <f t="shared" si="78"/>
        <v>44000</v>
      </c>
      <c r="J250" s="2">
        <f t="shared" si="78"/>
        <v>44000</v>
      </c>
      <c r="K250" s="2">
        <f t="shared" si="78"/>
        <v>44000</v>
      </c>
      <c r="L250" s="2">
        <f t="shared" si="78"/>
        <v>44000</v>
      </c>
      <c r="M250" s="2">
        <f t="shared" si="78"/>
        <v>44000</v>
      </c>
      <c r="N250" s="2">
        <f t="shared" si="78"/>
        <v>44000</v>
      </c>
      <c r="O250" s="150">
        <f>SUM(C250:N250)</f>
        <v>528000</v>
      </c>
    </row>
    <row r="251" spans="1:15" ht="23.25" thickBot="1" x14ac:dyDescent="0.3">
      <c r="B251" s="190" t="s">
        <v>209</v>
      </c>
      <c r="C251" s="191">
        <v>60000</v>
      </c>
      <c r="D251" s="2">
        <f t="shared" ref="D251:N251" si="79">+C251</f>
        <v>60000</v>
      </c>
      <c r="E251" s="2">
        <f t="shared" si="79"/>
        <v>60000</v>
      </c>
      <c r="F251" s="2">
        <f t="shared" si="79"/>
        <v>60000</v>
      </c>
      <c r="G251" s="2">
        <f t="shared" si="79"/>
        <v>60000</v>
      </c>
      <c r="H251" s="2">
        <f t="shared" si="79"/>
        <v>60000</v>
      </c>
      <c r="I251" s="2">
        <f t="shared" si="79"/>
        <v>60000</v>
      </c>
      <c r="J251" s="2">
        <f t="shared" si="79"/>
        <v>60000</v>
      </c>
      <c r="K251" s="2">
        <f t="shared" si="79"/>
        <v>60000</v>
      </c>
      <c r="L251" s="2">
        <f t="shared" si="79"/>
        <v>60000</v>
      </c>
      <c r="M251" s="2">
        <f t="shared" si="79"/>
        <v>60000</v>
      </c>
      <c r="N251" s="2">
        <f t="shared" si="79"/>
        <v>60000</v>
      </c>
      <c r="O251" s="150">
        <f>SUM(C251:N251)</f>
        <v>720000</v>
      </c>
    </row>
    <row r="252" spans="1:15" ht="34.5" thickBot="1" x14ac:dyDescent="0.3">
      <c r="B252" s="189" t="s">
        <v>16</v>
      </c>
      <c r="C252" s="191">
        <v>250000</v>
      </c>
      <c r="D252" s="2">
        <f t="shared" si="72"/>
        <v>250000</v>
      </c>
      <c r="E252" s="2">
        <f t="shared" si="72"/>
        <v>250000</v>
      </c>
      <c r="F252" s="2">
        <f t="shared" si="72"/>
        <v>250000</v>
      </c>
      <c r="G252" s="2">
        <f t="shared" si="72"/>
        <v>250000</v>
      </c>
      <c r="H252" s="2">
        <f t="shared" si="72"/>
        <v>250000</v>
      </c>
      <c r="I252" s="2">
        <f t="shared" si="72"/>
        <v>250000</v>
      </c>
      <c r="J252" s="2">
        <f t="shared" si="72"/>
        <v>250000</v>
      </c>
      <c r="K252" s="2">
        <f t="shared" si="72"/>
        <v>250000</v>
      </c>
      <c r="L252" s="2">
        <f t="shared" si="72"/>
        <v>250000</v>
      </c>
      <c r="M252" s="2">
        <f t="shared" si="72"/>
        <v>250000</v>
      </c>
      <c r="N252" s="2">
        <f t="shared" si="72"/>
        <v>250000</v>
      </c>
      <c r="O252" s="150">
        <f t="shared" si="73"/>
        <v>3000000</v>
      </c>
    </row>
    <row r="253" spans="1:15" ht="15.75" thickBot="1" x14ac:dyDescent="0.3">
      <c r="B253" s="155" t="s">
        <v>14</v>
      </c>
      <c r="C253" s="156">
        <f t="shared" ref="C253:O253" si="80">SUM(C243:C252)</f>
        <v>1627985.15</v>
      </c>
      <c r="D253" s="156">
        <f t="shared" si="80"/>
        <v>1627985.15</v>
      </c>
      <c r="E253" s="156">
        <f t="shared" si="80"/>
        <v>1627985.15</v>
      </c>
      <c r="F253" s="156">
        <f t="shared" si="80"/>
        <v>1627985.15</v>
      </c>
      <c r="G253" s="156">
        <f t="shared" si="80"/>
        <v>1627985.15</v>
      </c>
      <c r="H253" s="156">
        <f t="shared" si="80"/>
        <v>1627985.15</v>
      </c>
      <c r="I253" s="156">
        <f t="shared" si="80"/>
        <v>1627985.15</v>
      </c>
      <c r="J253" s="156">
        <f t="shared" si="80"/>
        <v>1627985.15</v>
      </c>
      <c r="K253" s="156">
        <f t="shared" si="80"/>
        <v>1627985.15</v>
      </c>
      <c r="L253" s="156">
        <f t="shared" si="80"/>
        <v>1627985.15</v>
      </c>
      <c r="M253" s="156">
        <f t="shared" si="80"/>
        <v>1627985.15</v>
      </c>
      <c r="N253" s="156">
        <f t="shared" si="80"/>
        <v>1627985.15</v>
      </c>
      <c r="O253" s="157">
        <f t="shared" si="80"/>
        <v>19535821.800000001</v>
      </c>
    </row>
    <row r="254" spans="1:15" x14ac:dyDescent="0.25">
      <c r="B254" s="165"/>
    </row>
    <row r="255" spans="1:15" ht="15.75" x14ac:dyDescent="0.25">
      <c r="B255" s="199" t="s">
        <v>18</v>
      </c>
    </row>
    <row r="256" spans="1:15" ht="15.75" thickBot="1" x14ac:dyDescent="0.3">
      <c r="B256" s="166" t="s">
        <v>134</v>
      </c>
    </row>
    <row r="257" spans="1:15" ht="15.75" thickBot="1" x14ac:dyDescent="0.3">
      <c r="B257" s="1" t="s">
        <v>1</v>
      </c>
      <c r="C257" s="1" t="s">
        <v>2</v>
      </c>
      <c r="D257" s="1" t="s">
        <v>3</v>
      </c>
      <c r="E257" s="1" t="s">
        <v>4</v>
      </c>
      <c r="F257" s="1" t="s">
        <v>5</v>
      </c>
      <c r="G257" s="1" t="s">
        <v>6</v>
      </c>
      <c r="H257" s="1" t="s">
        <v>7</v>
      </c>
      <c r="I257" s="1" t="s">
        <v>8</v>
      </c>
      <c r="J257" s="1" t="s">
        <v>9</v>
      </c>
      <c r="K257" s="1" t="s">
        <v>10</v>
      </c>
      <c r="L257" s="1" t="s">
        <v>11</v>
      </c>
      <c r="M257" s="1" t="s">
        <v>12</v>
      </c>
      <c r="N257" s="1" t="s">
        <v>13</v>
      </c>
      <c r="O257" s="149" t="s">
        <v>14</v>
      </c>
    </row>
    <row r="258" spans="1:15" ht="23.25" thickBot="1" x14ac:dyDescent="0.3">
      <c r="B258" s="188" t="s">
        <v>135</v>
      </c>
      <c r="C258" s="191">
        <v>600000</v>
      </c>
      <c r="D258" s="2">
        <f t="shared" ref="D258:N268" si="81">+C258</f>
        <v>600000</v>
      </c>
      <c r="E258" s="2">
        <f t="shared" si="81"/>
        <v>600000</v>
      </c>
      <c r="F258" s="2">
        <f t="shared" si="81"/>
        <v>600000</v>
      </c>
      <c r="G258" s="2">
        <f t="shared" si="81"/>
        <v>600000</v>
      </c>
      <c r="H258" s="2">
        <f t="shared" si="81"/>
        <v>600000</v>
      </c>
      <c r="I258" s="2">
        <f t="shared" si="81"/>
        <v>600000</v>
      </c>
      <c r="J258" s="2">
        <f t="shared" si="81"/>
        <v>600000</v>
      </c>
      <c r="K258" s="2">
        <f t="shared" si="81"/>
        <v>600000</v>
      </c>
      <c r="L258" s="2">
        <f t="shared" si="81"/>
        <v>600000</v>
      </c>
      <c r="M258" s="2">
        <f t="shared" si="81"/>
        <v>600000</v>
      </c>
      <c r="N258" s="2">
        <f t="shared" si="81"/>
        <v>600000</v>
      </c>
      <c r="O258" s="151">
        <f>SUM(C258:N258)</f>
        <v>7200000</v>
      </c>
    </row>
    <row r="259" spans="1:15" ht="34.5" thickBot="1" x14ac:dyDescent="0.3">
      <c r="B259" s="188" t="s">
        <v>141</v>
      </c>
      <c r="C259" s="191">
        <v>600000</v>
      </c>
      <c r="D259" s="2">
        <f t="shared" si="81"/>
        <v>600000</v>
      </c>
      <c r="E259" s="2">
        <f t="shared" si="81"/>
        <v>600000</v>
      </c>
      <c r="F259" s="2">
        <f t="shared" si="81"/>
        <v>600000</v>
      </c>
      <c r="G259" s="2">
        <f t="shared" si="81"/>
        <v>600000</v>
      </c>
      <c r="H259" s="2">
        <f t="shared" si="81"/>
        <v>600000</v>
      </c>
      <c r="I259" s="2">
        <f t="shared" si="81"/>
        <v>600000</v>
      </c>
      <c r="J259" s="2">
        <f t="shared" si="81"/>
        <v>600000</v>
      </c>
      <c r="K259" s="2">
        <f t="shared" si="81"/>
        <v>600000</v>
      </c>
      <c r="L259" s="2">
        <f t="shared" si="81"/>
        <v>600000</v>
      </c>
      <c r="M259" s="2">
        <f t="shared" si="81"/>
        <v>600000</v>
      </c>
      <c r="N259" s="2">
        <f t="shared" si="81"/>
        <v>600000</v>
      </c>
      <c r="O259" s="151">
        <f t="shared" ref="O259:O268" si="82">SUM(C259:N259)</f>
        <v>7200000</v>
      </c>
    </row>
    <row r="260" spans="1:15" ht="34.5" thickBot="1" x14ac:dyDescent="0.3">
      <c r="B260" s="188" t="s">
        <v>142</v>
      </c>
      <c r="C260" s="191">
        <v>600000</v>
      </c>
      <c r="D260" s="2">
        <f t="shared" ref="D260:N260" si="83">+C260</f>
        <v>600000</v>
      </c>
      <c r="E260" s="2">
        <f t="shared" si="83"/>
        <v>600000</v>
      </c>
      <c r="F260" s="2">
        <f t="shared" si="83"/>
        <v>600000</v>
      </c>
      <c r="G260" s="2">
        <f t="shared" si="83"/>
        <v>600000</v>
      </c>
      <c r="H260" s="2">
        <f t="shared" si="83"/>
        <v>600000</v>
      </c>
      <c r="I260" s="2">
        <f t="shared" si="83"/>
        <v>600000</v>
      </c>
      <c r="J260" s="2">
        <f t="shared" si="83"/>
        <v>600000</v>
      </c>
      <c r="K260" s="2">
        <f t="shared" si="83"/>
        <v>600000</v>
      </c>
      <c r="L260" s="2">
        <f t="shared" si="83"/>
        <v>600000</v>
      </c>
      <c r="M260" s="2">
        <f t="shared" si="83"/>
        <v>600000</v>
      </c>
      <c r="N260" s="2">
        <f t="shared" si="83"/>
        <v>600000</v>
      </c>
      <c r="O260" s="151">
        <f>SUM(C260:N260)</f>
        <v>7200000</v>
      </c>
    </row>
    <row r="261" spans="1:15" ht="45.75" thickBot="1" x14ac:dyDescent="0.3">
      <c r="B261" s="188" t="s">
        <v>139</v>
      </c>
      <c r="C261" s="191">
        <v>200000</v>
      </c>
      <c r="D261" s="2">
        <f t="shared" ref="D261:N261" si="84">+C261</f>
        <v>200000</v>
      </c>
      <c r="E261" s="2">
        <f t="shared" si="84"/>
        <v>200000</v>
      </c>
      <c r="F261" s="2">
        <f t="shared" si="84"/>
        <v>200000</v>
      </c>
      <c r="G261" s="2">
        <f t="shared" si="84"/>
        <v>200000</v>
      </c>
      <c r="H261" s="2">
        <f t="shared" si="84"/>
        <v>200000</v>
      </c>
      <c r="I261" s="2">
        <f t="shared" si="84"/>
        <v>200000</v>
      </c>
      <c r="J261" s="2">
        <f t="shared" si="84"/>
        <v>200000</v>
      </c>
      <c r="K261" s="2">
        <f t="shared" si="84"/>
        <v>200000</v>
      </c>
      <c r="L261" s="2">
        <f t="shared" si="84"/>
        <v>200000</v>
      </c>
      <c r="M261" s="2">
        <f t="shared" si="84"/>
        <v>200000</v>
      </c>
      <c r="N261" s="2">
        <f t="shared" si="84"/>
        <v>200000</v>
      </c>
      <c r="O261" s="151">
        <f>SUM(C261:N261)</f>
        <v>2400000</v>
      </c>
    </row>
    <row r="262" spans="1:15" ht="23.25" thickBot="1" x14ac:dyDescent="0.3">
      <c r="B262" s="188" t="s">
        <v>143</v>
      </c>
      <c r="C262" s="191">
        <v>30000</v>
      </c>
      <c r="D262" s="2">
        <f t="shared" ref="D262:N262" si="85">+C262</f>
        <v>30000</v>
      </c>
      <c r="E262" s="2">
        <f t="shared" si="85"/>
        <v>30000</v>
      </c>
      <c r="F262" s="2">
        <f t="shared" si="85"/>
        <v>30000</v>
      </c>
      <c r="G262" s="2">
        <f t="shared" si="85"/>
        <v>30000</v>
      </c>
      <c r="H262" s="2">
        <f t="shared" si="85"/>
        <v>30000</v>
      </c>
      <c r="I262" s="2">
        <f t="shared" si="85"/>
        <v>30000</v>
      </c>
      <c r="J262" s="2">
        <f t="shared" si="85"/>
        <v>30000</v>
      </c>
      <c r="K262" s="2">
        <f t="shared" si="85"/>
        <v>30000</v>
      </c>
      <c r="L262" s="2">
        <f t="shared" si="85"/>
        <v>30000</v>
      </c>
      <c r="M262" s="2">
        <f t="shared" si="85"/>
        <v>30000</v>
      </c>
      <c r="N262" s="2">
        <f t="shared" si="85"/>
        <v>30000</v>
      </c>
      <c r="O262" s="151">
        <f>SUM(C262:N262)</f>
        <v>360000</v>
      </c>
    </row>
    <row r="263" spans="1:15" ht="15.75" thickBot="1" x14ac:dyDescent="0.3">
      <c r="B263" s="188" t="s">
        <v>17</v>
      </c>
      <c r="C263" s="191">
        <v>50000</v>
      </c>
      <c r="D263" s="2">
        <f t="shared" ref="D263:N263" si="86">+C263</f>
        <v>50000</v>
      </c>
      <c r="E263" s="2">
        <f t="shared" si="86"/>
        <v>50000</v>
      </c>
      <c r="F263" s="2">
        <f t="shared" si="86"/>
        <v>50000</v>
      </c>
      <c r="G263" s="2">
        <f t="shared" si="86"/>
        <v>50000</v>
      </c>
      <c r="H263" s="2">
        <f t="shared" si="86"/>
        <v>50000</v>
      </c>
      <c r="I263" s="2">
        <f t="shared" si="86"/>
        <v>50000</v>
      </c>
      <c r="J263" s="2">
        <f t="shared" si="86"/>
        <v>50000</v>
      </c>
      <c r="K263" s="2">
        <f t="shared" si="86"/>
        <v>50000</v>
      </c>
      <c r="L263" s="2">
        <f t="shared" si="86"/>
        <v>50000</v>
      </c>
      <c r="M263" s="2">
        <f t="shared" si="86"/>
        <v>50000</v>
      </c>
      <c r="N263" s="2">
        <f t="shared" si="86"/>
        <v>50000</v>
      </c>
      <c r="O263" s="151">
        <f>SUM(C263:N263)</f>
        <v>600000</v>
      </c>
    </row>
    <row r="264" spans="1:15" ht="23.25" thickBot="1" x14ac:dyDescent="0.3">
      <c r="A264" s="204"/>
      <c r="B264" s="188" t="s">
        <v>20</v>
      </c>
      <c r="C264" s="3">
        <v>100000</v>
      </c>
      <c r="D264" s="2">
        <f t="shared" ref="D264:N264" si="87">+C264</f>
        <v>100000</v>
      </c>
      <c r="E264" s="2">
        <f t="shared" si="87"/>
        <v>100000</v>
      </c>
      <c r="F264" s="2">
        <f t="shared" si="87"/>
        <v>100000</v>
      </c>
      <c r="G264" s="2">
        <f t="shared" si="87"/>
        <v>100000</v>
      </c>
      <c r="H264" s="2">
        <f t="shared" si="87"/>
        <v>100000</v>
      </c>
      <c r="I264" s="2">
        <f t="shared" si="87"/>
        <v>100000</v>
      </c>
      <c r="J264" s="2">
        <f t="shared" si="87"/>
        <v>100000</v>
      </c>
      <c r="K264" s="2">
        <f t="shared" si="87"/>
        <v>100000</v>
      </c>
      <c r="L264" s="2">
        <f t="shared" si="87"/>
        <v>100000</v>
      </c>
      <c r="M264" s="2">
        <f t="shared" si="87"/>
        <v>100000</v>
      </c>
      <c r="N264" s="2">
        <f t="shared" si="87"/>
        <v>100000</v>
      </c>
      <c r="O264" s="151">
        <f>SUM(C264:N264)</f>
        <v>1200000</v>
      </c>
    </row>
    <row r="265" spans="1:15" ht="34.5" thickBot="1" x14ac:dyDescent="0.3">
      <c r="A265" s="204"/>
      <c r="B265" s="192" t="s">
        <v>19</v>
      </c>
      <c r="C265" s="3">
        <f>H297/(12*12)</f>
        <v>61090.972222222219</v>
      </c>
      <c r="D265" s="2">
        <f t="shared" si="81"/>
        <v>61090.972222222219</v>
      </c>
      <c r="E265" s="2">
        <f t="shared" si="81"/>
        <v>61090.972222222219</v>
      </c>
      <c r="F265" s="2">
        <f t="shared" si="81"/>
        <v>61090.972222222219</v>
      </c>
      <c r="G265" s="2">
        <f t="shared" si="81"/>
        <v>61090.972222222219</v>
      </c>
      <c r="H265" s="2">
        <f t="shared" si="81"/>
        <v>61090.972222222219</v>
      </c>
      <c r="I265" s="2">
        <f t="shared" si="81"/>
        <v>61090.972222222219</v>
      </c>
      <c r="J265" s="2">
        <f t="shared" si="81"/>
        <v>61090.972222222219</v>
      </c>
      <c r="K265" s="2">
        <f t="shared" si="81"/>
        <v>61090.972222222219</v>
      </c>
      <c r="L265" s="2">
        <f t="shared" si="81"/>
        <v>61090.972222222219</v>
      </c>
      <c r="M265" s="2">
        <f t="shared" si="81"/>
        <v>61090.972222222219</v>
      </c>
      <c r="N265" s="2">
        <f t="shared" si="81"/>
        <v>61090.972222222219</v>
      </c>
      <c r="O265" s="151">
        <f t="shared" si="82"/>
        <v>733091.66666666686</v>
      </c>
    </row>
    <row r="266" spans="1:15" ht="15.75" thickBot="1" x14ac:dyDescent="0.3">
      <c r="A266" s="204"/>
      <c r="B266" s="190"/>
      <c r="C266" s="191"/>
      <c r="D266" s="2">
        <f t="shared" si="81"/>
        <v>0</v>
      </c>
      <c r="E266" s="2">
        <f t="shared" si="81"/>
        <v>0</v>
      </c>
      <c r="F266" s="2">
        <f t="shared" si="81"/>
        <v>0</v>
      </c>
      <c r="G266" s="2">
        <f t="shared" si="81"/>
        <v>0</v>
      </c>
      <c r="H266" s="2">
        <f t="shared" si="81"/>
        <v>0</v>
      </c>
      <c r="I266" s="2">
        <f t="shared" si="81"/>
        <v>0</v>
      </c>
      <c r="J266" s="2">
        <f t="shared" si="81"/>
        <v>0</v>
      </c>
      <c r="K266" s="2">
        <f t="shared" si="81"/>
        <v>0</v>
      </c>
      <c r="L266" s="2">
        <f t="shared" si="81"/>
        <v>0</v>
      </c>
      <c r="M266" s="2">
        <f t="shared" si="81"/>
        <v>0</v>
      </c>
      <c r="N266" s="2">
        <f t="shared" si="81"/>
        <v>0</v>
      </c>
      <c r="O266" s="151">
        <f t="shared" si="82"/>
        <v>0</v>
      </c>
    </row>
    <row r="267" spans="1:15" ht="15.75" thickBot="1" x14ac:dyDescent="0.3">
      <c r="A267" s="204"/>
      <c r="B267" s="190"/>
      <c r="C267" s="191"/>
      <c r="D267" s="2">
        <f t="shared" ref="D267:N267" si="88">+C267</f>
        <v>0</v>
      </c>
      <c r="E267" s="2">
        <f t="shared" si="88"/>
        <v>0</v>
      </c>
      <c r="F267" s="2">
        <f t="shared" si="88"/>
        <v>0</v>
      </c>
      <c r="G267" s="2">
        <f t="shared" si="88"/>
        <v>0</v>
      </c>
      <c r="H267" s="2">
        <f t="shared" si="88"/>
        <v>0</v>
      </c>
      <c r="I267" s="2">
        <f t="shared" si="88"/>
        <v>0</v>
      </c>
      <c r="J267" s="2">
        <f t="shared" si="88"/>
        <v>0</v>
      </c>
      <c r="K267" s="2">
        <f t="shared" si="88"/>
        <v>0</v>
      </c>
      <c r="L267" s="2">
        <f t="shared" si="88"/>
        <v>0</v>
      </c>
      <c r="M267" s="2">
        <f t="shared" si="88"/>
        <v>0</v>
      </c>
      <c r="N267" s="2">
        <f t="shared" si="88"/>
        <v>0</v>
      </c>
      <c r="O267" s="151">
        <f>SUM(C267:N267)</f>
        <v>0</v>
      </c>
    </row>
    <row r="268" spans="1:15" ht="23.25" thickBot="1" x14ac:dyDescent="0.3">
      <c r="A268" s="204"/>
      <c r="B268" s="193" t="s">
        <v>21</v>
      </c>
      <c r="C268" s="191">
        <v>0</v>
      </c>
      <c r="D268" s="2">
        <f t="shared" si="81"/>
        <v>0</v>
      </c>
      <c r="E268" s="2">
        <f t="shared" si="81"/>
        <v>0</v>
      </c>
      <c r="F268" s="2">
        <f t="shared" si="81"/>
        <v>0</v>
      </c>
      <c r="G268" s="2">
        <f t="shared" si="81"/>
        <v>0</v>
      </c>
      <c r="H268" s="2">
        <f t="shared" si="81"/>
        <v>0</v>
      </c>
      <c r="I268" s="2">
        <f t="shared" si="81"/>
        <v>0</v>
      </c>
      <c r="J268" s="2">
        <f t="shared" si="81"/>
        <v>0</v>
      </c>
      <c r="K268" s="2">
        <f t="shared" si="81"/>
        <v>0</v>
      </c>
      <c r="L268" s="2">
        <f t="shared" si="81"/>
        <v>0</v>
      </c>
      <c r="M268" s="2">
        <f t="shared" si="81"/>
        <v>0</v>
      </c>
      <c r="N268" s="2">
        <f t="shared" si="81"/>
        <v>0</v>
      </c>
      <c r="O268" s="151">
        <f t="shared" si="82"/>
        <v>0</v>
      </c>
    </row>
    <row r="269" spans="1:15" ht="15.75" thickBot="1" x14ac:dyDescent="0.3">
      <c r="B269" s="155" t="s">
        <v>14</v>
      </c>
      <c r="C269" s="156">
        <f t="shared" ref="C269:O269" si="89">SUM(C258:C268)</f>
        <v>2241090.972222222</v>
      </c>
      <c r="D269" s="156">
        <f t="shared" si="89"/>
        <v>2241090.972222222</v>
      </c>
      <c r="E269" s="156">
        <f t="shared" si="89"/>
        <v>2241090.972222222</v>
      </c>
      <c r="F269" s="156">
        <f t="shared" si="89"/>
        <v>2241090.972222222</v>
      </c>
      <c r="G269" s="156">
        <f t="shared" si="89"/>
        <v>2241090.972222222</v>
      </c>
      <c r="H269" s="156">
        <f t="shared" si="89"/>
        <v>2241090.972222222</v>
      </c>
      <c r="I269" s="156">
        <f t="shared" si="89"/>
        <v>2241090.972222222</v>
      </c>
      <c r="J269" s="156">
        <f t="shared" si="89"/>
        <v>2241090.972222222</v>
      </c>
      <c r="K269" s="156">
        <f t="shared" si="89"/>
        <v>2241090.972222222</v>
      </c>
      <c r="L269" s="156">
        <f t="shared" si="89"/>
        <v>2241090.972222222</v>
      </c>
      <c r="M269" s="156">
        <f t="shared" si="89"/>
        <v>2241090.972222222</v>
      </c>
      <c r="N269" s="156">
        <f t="shared" si="89"/>
        <v>2241090.972222222</v>
      </c>
      <c r="O269" s="157">
        <f t="shared" si="89"/>
        <v>26893091.666666668</v>
      </c>
    </row>
    <row r="272" spans="1:15" ht="15.75" x14ac:dyDescent="0.25">
      <c r="B272" s="199" t="s">
        <v>205</v>
      </c>
    </row>
    <row r="273" spans="2:17" ht="15.75" thickBot="1" x14ac:dyDescent="0.3">
      <c r="B273" s="166" t="s">
        <v>140</v>
      </c>
      <c r="Q273" s="167"/>
    </row>
    <row r="274" spans="2:17" ht="15.75" thickBot="1" x14ac:dyDescent="0.3">
      <c r="B274" s="1" t="s">
        <v>1</v>
      </c>
      <c r="C274" s="1" t="s">
        <v>2</v>
      </c>
      <c r="D274" s="1" t="s">
        <v>3</v>
      </c>
      <c r="E274" s="1" t="s">
        <v>4</v>
      </c>
      <c r="F274" s="1" t="s">
        <v>5</v>
      </c>
      <c r="G274" s="1" t="s">
        <v>6</v>
      </c>
      <c r="H274" s="1" t="s">
        <v>7</v>
      </c>
      <c r="I274" s="1" t="s">
        <v>8</v>
      </c>
      <c r="J274" s="1" t="s">
        <v>9</v>
      </c>
      <c r="K274" s="1" t="s">
        <v>10</v>
      </c>
      <c r="L274" s="1" t="s">
        <v>11</v>
      </c>
      <c r="M274" s="1" t="s">
        <v>12</v>
      </c>
      <c r="N274" s="1" t="s">
        <v>13</v>
      </c>
      <c r="O274" s="149" t="s">
        <v>14</v>
      </c>
      <c r="Q274" s="167"/>
    </row>
    <row r="275" spans="2:17" ht="15.75" customHeight="1" thickBot="1" x14ac:dyDescent="0.3">
      <c r="B275" s="188" t="s">
        <v>249</v>
      </c>
      <c r="C275" s="191">
        <v>50000</v>
      </c>
      <c r="D275" s="2">
        <f t="shared" ref="D275:D285" si="90">+C275</f>
        <v>50000</v>
      </c>
      <c r="E275" s="2">
        <f t="shared" ref="E275:E285" si="91">+D275</f>
        <v>50000</v>
      </c>
      <c r="F275" s="2">
        <f t="shared" ref="F275:F285" si="92">+E275</f>
        <v>50000</v>
      </c>
      <c r="G275" s="2">
        <f t="shared" ref="G275:G285" si="93">+F275</f>
        <v>50000</v>
      </c>
      <c r="H275" s="2">
        <f t="shared" ref="H275:H285" si="94">+G275</f>
        <v>50000</v>
      </c>
      <c r="I275" s="2">
        <f t="shared" ref="I275:I285" si="95">+H275</f>
        <v>50000</v>
      </c>
      <c r="J275" s="2">
        <f t="shared" ref="J275:J285" si="96">+I275</f>
        <v>50000</v>
      </c>
      <c r="K275" s="2">
        <f t="shared" ref="K275:K285" si="97">+J275</f>
        <v>50000</v>
      </c>
      <c r="L275" s="2">
        <f t="shared" ref="L275:L285" si="98">+K275</f>
        <v>50000</v>
      </c>
      <c r="M275" s="2">
        <f t="shared" ref="M275:M285" si="99">+L275</f>
        <v>50000</v>
      </c>
      <c r="N275" s="2">
        <f t="shared" ref="N275:N285" si="100">+M275</f>
        <v>50000</v>
      </c>
      <c r="O275" s="151">
        <f>SUM(C275:N275)</f>
        <v>600000</v>
      </c>
      <c r="Q275" s="167"/>
    </row>
    <row r="276" spans="2:17" ht="15.75" customHeight="1" thickBot="1" x14ac:dyDescent="0.3">
      <c r="B276" s="188" t="s">
        <v>250</v>
      </c>
      <c r="C276" s="191">
        <v>0</v>
      </c>
      <c r="D276" s="2">
        <f t="shared" si="90"/>
        <v>0</v>
      </c>
      <c r="E276" s="2">
        <f t="shared" si="91"/>
        <v>0</v>
      </c>
      <c r="F276" s="2">
        <f t="shared" si="92"/>
        <v>0</v>
      </c>
      <c r="G276" s="2">
        <f t="shared" si="93"/>
        <v>0</v>
      </c>
      <c r="H276" s="2">
        <f t="shared" si="94"/>
        <v>0</v>
      </c>
      <c r="I276" s="2">
        <f t="shared" si="95"/>
        <v>0</v>
      </c>
      <c r="J276" s="2">
        <f t="shared" si="96"/>
        <v>0</v>
      </c>
      <c r="K276" s="2">
        <f t="shared" si="97"/>
        <v>0</v>
      </c>
      <c r="L276" s="2">
        <f t="shared" si="98"/>
        <v>0</v>
      </c>
      <c r="M276" s="2">
        <f t="shared" si="99"/>
        <v>0</v>
      </c>
      <c r="N276" s="2">
        <f t="shared" si="100"/>
        <v>0</v>
      </c>
      <c r="O276" s="151">
        <f t="shared" ref="O276:O285" si="101">SUM(C276:N276)</f>
        <v>0</v>
      </c>
      <c r="Q276" s="167"/>
    </row>
    <row r="277" spans="2:17" ht="15.75" customHeight="1" thickBot="1" x14ac:dyDescent="0.3">
      <c r="B277" s="192" t="s">
        <v>251</v>
      </c>
      <c r="C277" s="191"/>
      <c r="D277" s="2">
        <f t="shared" si="90"/>
        <v>0</v>
      </c>
      <c r="E277" s="2">
        <f t="shared" si="91"/>
        <v>0</v>
      </c>
      <c r="F277" s="2">
        <f t="shared" si="92"/>
        <v>0</v>
      </c>
      <c r="G277" s="2">
        <f t="shared" si="93"/>
        <v>0</v>
      </c>
      <c r="H277" s="2">
        <f t="shared" si="94"/>
        <v>0</v>
      </c>
      <c r="I277" s="2">
        <f t="shared" si="95"/>
        <v>0</v>
      </c>
      <c r="J277" s="2">
        <f t="shared" si="96"/>
        <v>0</v>
      </c>
      <c r="K277" s="2">
        <f t="shared" si="97"/>
        <v>0</v>
      </c>
      <c r="L277" s="2">
        <f t="shared" si="98"/>
        <v>0</v>
      </c>
      <c r="M277" s="2">
        <f t="shared" si="99"/>
        <v>0</v>
      </c>
      <c r="N277" s="2">
        <f t="shared" si="100"/>
        <v>0</v>
      </c>
      <c r="O277" s="151">
        <f t="shared" si="101"/>
        <v>0</v>
      </c>
    </row>
    <row r="278" spans="2:17" ht="15.75" customHeight="1" thickBot="1" x14ac:dyDescent="0.3">
      <c r="B278" s="188" t="s">
        <v>255</v>
      </c>
      <c r="C278" s="191">
        <v>100000</v>
      </c>
      <c r="D278" s="2">
        <f t="shared" si="90"/>
        <v>100000</v>
      </c>
      <c r="E278" s="2">
        <f t="shared" si="91"/>
        <v>100000</v>
      </c>
      <c r="F278" s="2">
        <f t="shared" si="92"/>
        <v>100000</v>
      </c>
      <c r="G278" s="2">
        <f t="shared" si="93"/>
        <v>100000</v>
      </c>
      <c r="H278" s="2">
        <f t="shared" si="94"/>
        <v>100000</v>
      </c>
      <c r="I278" s="2">
        <f t="shared" si="95"/>
        <v>100000</v>
      </c>
      <c r="J278" s="2">
        <f t="shared" si="96"/>
        <v>100000</v>
      </c>
      <c r="K278" s="2">
        <f t="shared" si="97"/>
        <v>100000</v>
      </c>
      <c r="L278" s="2">
        <f t="shared" si="98"/>
        <v>100000</v>
      </c>
      <c r="M278" s="2">
        <f t="shared" si="99"/>
        <v>100000</v>
      </c>
      <c r="N278" s="2">
        <f t="shared" si="100"/>
        <v>100000</v>
      </c>
      <c r="O278" s="151">
        <f t="shared" si="101"/>
        <v>1200000</v>
      </c>
    </row>
    <row r="279" spans="2:17" ht="15.75" customHeight="1" thickBot="1" x14ac:dyDescent="0.3">
      <c r="B279" s="188" t="s">
        <v>252</v>
      </c>
      <c r="C279" s="191">
        <v>50000</v>
      </c>
      <c r="D279" s="2">
        <f t="shared" si="90"/>
        <v>50000</v>
      </c>
      <c r="E279" s="2">
        <f t="shared" si="91"/>
        <v>50000</v>
      </c>
      <c r="F279" s="2">
        <f t="shared" si="92"/>
        <v>50000</v>
      </c>
      <c r="G279" s="2">
        <f t="shared" si="93"/>
        <v>50000</v>
      </c>
      <c r="H279" s="2">
        <f t="shared" si="94"/>
        <v>50000</v>
      </c>
      <c r="I279" s="2">
        <f t="shared" si="95"/>
        <v>50000</v>
      </c>
      <c r="J279" s="2">
        <f t="shared" si="96"/>
        <v>50000</v>
      </c>
      <c r="K279" s="2">
        <f t="shared" si="97"/>
        <v>50000</v>
      </c>
      <c r="L279" s="2">
        <f t="shared" si="98"/>
        <v>50000</v>
      </c>
      <c r="M279" s="2">
        <f t="shared" si="99"/>
        <v>50000</v>
      </c>
      <c r="N279" s="2">
        <f t="shared" si="100"/>
        <v>50000</v>
      </c>
      <c r="O279" s="151">
        <f t="shared" si="101"/>
        <v>600000</v>
      </c>
    </row>
    <row r="280" spans="2:17" ht="15.75" thickBot="1" x14ac:dyDescent="0.3">
      <c r="B280" s="188"/>
      <c r="C280" s="191"/>
      <c r="D280" s="2">
        <f t="shared" si="90"/>
        <v>0</v>
      </c>
      <c r="E280" s="2">
        <f t="shared" si="91"/>
        <v>0</v>
      </c>
      <c r="F280" s="2">
        <f t="shared" si="92"/>
        <v>0</v>
      </c>
      <c r="G280" s="2">
        <f t="shared" si="93"/>
        <v>0</v>
      </c>
      <c r="H280" s="2">
        <f t="shared" si="94"/>
        <v>0</v>
      </c>
      <c r="I280" s="2">
        <f t="shared" si="95"/>
        <v>0</v>
      </c>
      <c r="J280" s="2">
        <f t="shared" si="96"/>
        <v>0</v>
      </c>
      <c r="K280" s="2">
        <f t="shared" si="97"/>
        <v>0</v>
      </c>
      <c r="L280" s="2">
        <f t="shared" si="98"/>
        <v>0</v>
      </c>
      <c r="M280" s="2">
        <f t="shared" si="99"/>
        <v>0</v>
      </c>
      <c r="N280" s="2">
        <f t="shared" si="100"/>
        <v>0</v>
      </c>
      <c r="O280" s="151">
        <f t="shared" si="101"/>
        <v>0</v>
      </c>
    </row>
    <row r="281" spans="2:17" ht="15.75" thickBot="1" x14ac:dyDescent="0.3">
      <c r="B281" s="190"/>
      <c r="C281" s="191"/>
      <c r="D281" s="2">
        <f t="shared" si="90"/>
        <v>0</v>
      </c>
      <c r="E281" s="2">
        <f t="shared" si="91"/>
        <v>0</v>
      </c>
      <c r="F281" s="2">
        <f t="shared" si="92"/>
        <v>0</v>
      </c>
      <c r="G281" s="2">
        <f t="shared" si="93"/>
        <v>0</v>
      </c>
      <c r="H281" s="2">
        <f t="shared" si="94"/>
        <v>0</v>
      </c>
      <c r="I281" s="2">
        <f t="shared" si="95"/>
        <v>0</v>
      </c>
      <c r="J281" s="2">
        <f t="shared" si="96"/>
        <v>0</v>
      </c>
      <c r="K281" s="2">
        <f t="shared" si="97"/>
        <v>0</v>
      </c>
      <c r="L281" s="2">
        <f t="shared" si="98"/>
        <v>0</v>
      </c>
      <c r="M281" s="2">
        <f t="shared" si="99"/>
        <v>0</v>
      </c>
      <c r="N281" s="2">
        <f t="shared" si="100"/>
        <v>0</v>
      </c>
      <c r="O281" s="151">
        <f t="shared" si="101"/>
        <v>0</v>
      </c>
    </row>
    <row r="282" spans="2:17" ht="15.75" thickBot="1" x14ac:dyDescent="0.3">
      <c r="B282" s="192"/>
      <c r="C282" s="191"/>
      <c r="D282" s="2">
        <f t="shared" si="90"/>
        <v>0</v>
      </c>
      <c r="E282" s="2">
        <f t="shared" si="91"/>
        <v>0</v>
      </c>
      <c r="F282" s="2">
        <f t="shared" si="92"/>
        <v>0</v>
      </c>
      <c r="G282" s="2">
        <f t="shared" si="93"/>
        <v>0</v>
      </c>
      <c r="H282" s="2">
        <f t="shared" si="94"/>
        <v>0</v>
      </c>
      <c r="I282" s="2">
        <f t="shared" si="95"/>
        <v>0</v>
      </c>
      <c r="J282" s="2">
        <f t="shared" si="96"/>
        <v>0</v>
      </c>
      <c r="K282" s="2">
        <f t="shared" si="97"/>
        <v>0</v>
      </c>
      <c r="L282" s="2">
        <f t="shared" si="98"/>
        <v>0</v>
      </c>
      <c r="M282" s="2">
        <f t="shared" si="99"/>
        <v>0</v>
      </c>
      <c r="N282" s="2">
        <f t="shared" si="100"/>
        <v>0</v>
      </c>
      <c r="O282" s="151">
        <f t="shared" si="101"/>
        <v>0</v>
      </c>
    </row>
    <row r="283" spans="2:17" ht="15.75" thickBot="1" x14ac:dyDescent="0.3">
      <c r="B283" s="190"/>
      <c r="C283" s="191"/>
      <c r="D283" s="2">
        <f t="shared" si="90"/>
        <v>0</v>
      </c>
      <c r="E283" s="2">
        <f t="shared" si="91"/>
        <v>0</v>
      </c>
      <c r="F283" s="2">
        <f t="shared" si="92"/>
        <v>0</v>
      </c>
      <c r="G283" s="2">
        <f t="shared" si="93"/>
        <v>0</v>
      </c>
      <c r="H283" s="2">
        <f t="shared" si="94"/>
        <v>0</v>
      </c>
      <c r="I283" s="2">
        <f t="shared" si="95"/>
        <v>0</v>
      </c>
      <c r="J283" s="2">
        <f t="shared" si="96"/>
        <v>0</v>
      </c>
      <c r="K283" s="2">
        <f t="shared" si="97"/>
        <v>0</v>
      </c>
      <c r="L283" s="2">
        <f t="shared" si="98"/>
        <v>0</v>
      </c>
      <c r="M283" s="2">
        <f t="shared" si="99"/>
        <v>0</v>
      </c>
      <c r="N283" s="2">
        <f t="shared" si="100"/>
        <v>0</v>
      </c>
      <c r="O283" s="151">
        <f t="shared" si="101"/>
        <v>0</v>
      </c>
    </row>
    <row r="284" spans="2:17" ht="15.75" thickBot="1" x14ac:dyDescent="0.3">
      <c r="B284" s="190"/>
      <c r="C284" s="191"/>
      <c r="D284" s="2">
        <f t="shared" si="90"/>
        <v>0</v>
      </c>
      <c r="E284" s="2">
        <f t="shared" si="91"/>
        <v>0</v>
      </c>
      <c r="F284" s="2">
        <f t="shared" si="92"/>
        <v>0</v>
      </c>
      <c r="G284" s="2">
        <f t="shared" si="93"/>
        <v>0</v>
      </c>
      <c r="H284" s="2">
        <f t="shared" si="94"/>
        <v>0</v>
      </c>
      <c r="I284" s="2">
        <f t="shared" si="95"/>
        <v>0</v>
      </c>
      <c r="J284" s="2">
        <f t="shared" si="96"/>
        <v>0</v>
      </c>
      <c r="K284" s="2">
        <f t="shared" si="97"/>
        <v>0</v>
      </c>
      <c r="L284" s="2">
        <f t="shared" si="98"/>
        <v>0</v>
      </c>
      <c r="M284" s="2">
        <f t="shared" si="99"/>
        <v>0</v>
      </c>
      <c r="N284" s="2">
        <f t="shared" si="100"/>
        <v>0</v>
      </c>
      <c r="O284" s="151">
        <f t="shared" si="101"/>
        <v>0</v>
      </c>
    </row>
    <row r="285" spans="2:17" ht="15.75" thickBot="1" x14ac:dyDescent="0.3">
      <c r="B285" s="190"/>
      <c r="C285" s="191"/>
      <c r="D285" s="2">
        <f t="shared" si="90"/>
        <v>0</v>
      </c>
      <c r="E285" s="2">
        <f t="shared" si="91"/>
        <v>0</v>
      </c>
      <c r="F285" s="2">
        <f t="shared" si="92"/>
        <v>0</v>
      </c>
      <c r="G285" s="2">
        <f t="shared" si="93"/>
        <v>0</v>
      </c>
      <c r="H285" s="2">
        <f t="shared" si="94"/>
        <v>0</v>
      </c>
      <c r="I285" s="2">
        <f t="shared" si="95"/>
        <v>0</v>
      </c>
      <c r="J285" s="2">
        <f t="shared" si="96"/>
        <v>0</v>
      </c>
      <c r="K285" s="2">
        <f t="shared" si="97"/>
        <v>0</v>
      </c>
      <c r="L285" s="2">
        <f t="shared" si="98"/>
        <v>0</v>
      </c>
      <c r="M285" s="2">
        <f t="shared" si="99"/>
        <v>0</v>
      </c>
      <c r="N285" s="2">
        <f t="shared" si="100"/>
        <v>0</v>
      </c>
      <c r="O285" s="151">
        <f t="shared" si="101"/>
        <v>0</v>
      </c>
    </row>
    <row r="286" spans="2:17" ht="15.75" thickBot="1" x14ac:dyDescent="0.3">
      <c r="B286" s="155" t="s">
        <v>14</v>
      </c>
      <c r="C286" s="156">
        <f t="shared" ref="C286:O286" si="102">SUM(C275:C285)</f>
        <v>200000</v>
      </c>
      <c r="D286" s="156">
        <f t="shared" si="102"/>
        <v>200000</v>
      </c>
      <c r="E286" s="156">
        <f t="shared" si="102"/>
        <v>200000</v>
      </c>
      <c r="F286" s="156">
        <f t="shared" si="102"/>
        <v>200000</v>
      </c>
      <c r="G286" s="156">
        <f t="shared" si="102"/>
        <v>200000</v>
      </c>
      <c r="H286" s="156">
        <f t="shared" si="102"/>
        <v>200000</v>
      </c>
      <c r="I286" s="156">
        <f t="shared" si="102"/>
        <v>200000</v>
      </c>
      <c r="J286" s="156">
        <f t="shared" si="102"/>
        <v>200000</v>
      </c>
      <c r="K286" s="156">
        <f t="shared" si="102"/>
        <v>200000</v>
      </c>
      <c r="L286" s="156">
        <f t="shared" si="102"/>
        <v>200000</v>
      </c>
      <c r="M286" s="156">
        <f t="shared" si="102"/>
        <v>200000</v>
      </c>
      <c r="N286" s="156">
        <f t="shared" si="102"/>
        <v>200000</v>
      </c>
      <c r="O286" s="157">
        <f t="shared" si="102"/>
        <v>2400000</v>
      </c>
    </row>
    <row r="289" spans="2:8" ht="15.75" x14ac:dyDescent="0.25">
      <c r="B289" s="199" t="s">
        <v>206</v>
      </c>
    </row>
    <row r="290" spans="2:8" ht="15.75" thickBot="1" x14ac:dyDescent="0.3"/>
    <row r="291" spans="2:8" ht="15.75" thickBot="1" x14ac:dyDescent="0.3">
      <c r="B291" s="194" t="s">
        <v>119</v>
      </c>
      <c r="C291" s="195" t="s">
        <v>120</v>
      </c>
      <c r="D291" s="195" t="s">
        <v>109</v>
      </c>
      <c r="E291" s="195" t="s">
        <v>117</v>
      </c>
      <c r="F291" s="195" t="s">
        <v>110</v>
      </c>
      <c r="G291" s="195" t="s">
        <v>118</v>
      </c>
      <c r="H291" s="195" t="s">
        <v>115</v>
      </c>
    </row>
    <row r="292" spans="2:8" ht="15.75" outlineLevel="2" thickBot="1" x14ac:dyDescent="0.3">
      <c r="B292" s="266" t="s">
        <v>144</v>
      </c>
      <c r="C292" s="159" t="s">
        <v>116</v>
      </c>
      <c r="D292" s="158" t="s">
        <v>113</v>
      </c>
      <c r="E292" s="159" t="s">
        <v>121</v>
      </c>
      <c r="F292" s="159">
        <v>4</v>
      </c>
      <c r="G292" s="160">
        <v>499900</v>
      </c>
      <c r="H292" s="207">
        <f>F292*G292</f>
        <v>1999600</v>
      </c>
    </row>
    <row r="293" spans="2:8" ht="24.75" outlineLevel="2" thickBot="1" x14ac:dyDescent="0.3">
      <c r="B293" s="242"/>
      <c r="C293" s="159" t="s">
        <v>116</v>
      </c>
      <c r="D293" s="158" t="s">
        <v>145</v>
      </c>
      <c r="E293" s="159" t="s">
        <v>121</v>
      </c>
      <c r="F293" s="159">
        <v>1</v>
      </c>
      <c r="G293" s="160">
        <v>1479900</v>
      </c>
      <c r="H293" s="207">
        <f t="shared" ref="H293:H312" si="103">F293*G293</f>
        <v>1479900</v>
      </c>
    </row>
    <row r="294" spans="2:8" ht="15.75" outlineLevel="2" thickBot="1" x14ac:dyDescent="0.3">
      <c r="B294" s="242"/>
      <c r="C294" s="159" t="s">
        <v>116</v>
      </c>
      <c r="D294" s="158" t="s">
        <v>114</v>
      </c>
      <c r="E294" s="159" t="s">
        <v>121</v>
      </c>
      <c r="F294" s="159">
        <v>6</v>
      </c>
      <c r="G294" s="160">
        <v>625900</v>
      </c>
      <c r="H294" s="207">
        <f t="shared" si="103"/>
        <v>3755400</v>
      </c>
    </row>
    <row r="295" spans="2:8" ht="15.75" outlineLevel="2" thickBot="1" x14ac:dyDescent="0.3">
      <c r="B295" s="242"/>
      <c r="C295" s="159" t="s">
        <v>116</v>
      </c>
      <c r="D295" s="158" t="s">
        <v>112</v>
      </c>
      <c r="E295" s="159" t="s">
        <v>121</v>
      </c>
      <c r="F295" s="159">
        <v>1</v>
      </c>
      <c r="G295" s="160">
        <v>1449900</v>
      </c>
      <c r="H295" s="207">
        <f t="shared" ref="H295" si="104">F295*G295</f>
        <v>1449900</v>
      </c>
    </row>
    <row r="296" spans="2:8" ht="15.75" outlineLevel="2" thickBot="1" x14ac:dyDescent="0.3">
      <c r="B296" s="265"/>
      <c r="C296" s="159" t="s">
        <v>116</v>
      </c>
      <c r="D296" s="158" t="s">
        <v>124</v>
      </c>
      <c r="E296" s="159" t="s">
        <v>121</v>
      </c>
      <c r="F296" s="159">
        <v>1</v>
      </c>
      <c r="G296" s="160">
        <v>112300</v>
      </c>
      <c r="H296" s="207">
        <f t="shared" si="103"/>
        <v>112300</v>
      </c>
    </row>
    <row r="297" spans="2:8" ht="50.25" customHeight="1" outlineLevel="1" thickBot="1" x14ac:dyDescent="0.3">
      <c r="B297" s="168" t="s">
        <v>158</v>
      </c>
      <c r="C297" s="159"/>
      <c r="D297" s="158"/>
      <c r="E297" s="159"/>
      <c r="F297" s="159"/>
      <c r="G297" s="160"/>
      <c r="H297" s="207">
        <f>SUBTOTAL(9,H292:H296)</f>
        <v>8797100</v>
      </c>
    </row>
    <row r="298" spans="2:8" ht="51" customHeight="1" outlineLevel="2" thickBot="1" x14ac:dyDescent="0.3">
      <c r="B298" s="241" t="s">
        <v>122</v>
      </c>
      <c r="C298" s="159" t="s">
        <v>116</v>
      </c>
      <c r="D298" s="158" t="s">
        <v>150</v>
      </c>
      <c r="E298" s="159" t="s">
        <v>121</v>
      </c>
      <c r="F298" s="159">
        <v>2</v>
      </c>
      <c r="G298" s="160">
        <v>2699000</v>
      </c>
      <c r="H298" s="207">
        <f t="shared" si="103"/>
        <v>5398000</v>
      </c>
    </row>
    <row r="299" spans="2:8" ht="45" customHeight="1" outlineLevel="2" thickBot="1" x14ac:dyDescent="0.3">
      <c r="B299" s="242"/>
      <c r="C299" s="159" t="s">
        <v>116</v>
      </c>
      <c r="D299" s="158" t="s">
        <v>151</v>
      </c>
      <c r="E299" s="159" t="s">
        <v>121</v>
      </c>
      <c r="F299" s="159">
        <v>2</v>
      </c>
      <c r="G299" s="160">
        <v>2060859</v>
      </c>
      <c r="H299" s="207">
        <f t="shared" ref="H299" si="105">F299*G299</f>
        <v>4121718</v>
      </c>
    </row>
    <row r="300" spans="2:8" ht="36.75" customHeight="1" outlineLevel="2" thickBot="1" x14ac:dyDescent="0.3">
      <c r="B300" s="242"/>
      <c r="C300" s="159" t="s">
        <v>116</v>
      </c>
      <c r="D300" s="158" t="s">
        <v>149</v>
      </c>
      <c r="E300" s="159" t="s">
        <v>121</v>
      </c>
      <c r="F300" s="159">
        <v>1</v>
      </c>
      <c r="G300" s="160">
        <v>239900</v>
      </c>
      <c r="H300" s="207">
        <f t="shared" ref="H300" si="106">F300*G300</f>
        <v>239900</v>
      </c>
    </row>
    <row r="301" spans="2:8" ht="48.75" outlineLevel="2" thickBot="1" x14ac:dyDescent="0.3">
      <c r="B301" s="242"/>
      <c r="C301" s="159" t="s">
        <v>116</v>
      </c>
      <c r="D301" s="158" t="s">
        <v>146</v>
      </c>
      <c r="E301" s="159" t="s">
        <v>121</v>
      </c>
      <c r="F301" s="159">
        <v>1</v>
      </c>
      <c r="G301" s="160">
        <v>2349000</v>
      </c>
      <c r="H301" s="207">
        <f t="shared" si="103"/>
        <v>2349000</v>
      </c>
    </row>
    <row r="302" spans="2:8" ht="27.75" customHeight="1" outlineLevel="2" thickBot="1" x14ac:dyDescent="0.3">
      <c r="B302" s="242"/>
      <c r="C302" s="159" t="s">
        <v>116</v>
      </c>
      <c r="D302" s="158" t="s">
        <v>147</v>
      </c>
      <c r="E302" s="159" t="s">
        <v>121</v>
      </c>
      <c r="F302" s="159">
        <v>1</v>
      </c>
      <c r="G302" s="160">
        <v>249900</v>
      </c>
      <c r="H302" s="207">
        <f t="shared" si="103"/>
        <v>249900</v>
      </c>
    </row>
    <row r="303" spans="2:8" ht="29.25" customHeight="1" outlineLevel="2" thickBot="1" x14ac:dyDescent="0.3">
      <c r="B303" s="265"/>
      <c r="C303" s="159" t="s">
        <v>116</v>
      </c>
      <c r="D303" s="158" t="s">
        <v>123</v>
      </c>
      <c r="E303" s="159" t="s">
        <v>121</v>
      </c>
      <c r="F303" s="159">
        <v>3</v>
      </c>
      <c r="G303" s="160">
        <v>999900</v>
      </c>
      <c r="H303" s="207">
        <f t="shared" si="103"/>
        <v>2999700</v>
      </c>
    </row>
    <row r="304" spans="2:8" ht="29.25" customHeight="1" outlineLevel="1" thickBot="1" x14ac:dyDescent="0.3">
      <c r="B304" s="168" t="s">
        <v>159</v>
      </c>
      <c r="C304" s="159"/>
      <c r="D304" s="158"/>
      <c r="E304" s="159"/>
      <c r="F304" s="159"/>
      <c r="G304" s="160"/>
      <c r="H304" s="207">
        <f>SUBTOTAL(9,H298:H303)</f>
        <v>15358218</v>
      </c>
    </row>
    <row r="305" spans="2:13" ht="24.75" outlineLevel="2" thickBot="1" x14ac:dyDescent="0.3">
      <c r="B305" s="241" t="s">
        <v>125</v>
      </c>
      <c r="C305" s="159" t="s">
        <v>126</v>
      </c>
      <c r="D305" s="158" t="s">
        <v>163</v>
      </c>
      <c r="E305" s="159" t="s">
        <v>127</v>
      </c>
      <c r="F305" s="159">
        <v>3</v>
      </c>
      <c r="G305" s="160">
        <v>119000</v>
      </c>
      <c r="H305" s="207">
        <f t="shared" si="103"/>
        <v>357000</v>
      </c>
    </row>
    <row r="306" spans="2:13" ht="48.75" outlineLevel="2" thickBot="1" x14ac:dyDescent="0.3">
      <c r="B306" s="242"/>
      <c r="C306" s="159" t="s">
        <v>126</v>
      </c>
      <c r="D306" s="158" t="s">
        <v>153</v>
      </c>
      <c r="E306" s="159" t="s">
        <v>121</v>
      </c>
      <c r="F306" s="159">
        <v>1</v>
      </c>
      <c r="G306" s="160">
        <v>61500</v>
      </c>
      <c r="H306" s="207">
        <f t="shared" ref="H306:H307" si="107">F306*G306</f>
        <v>61500</v>
      </c>
    </row>
    <row r="307" spans="2:13" ht="36.75" outlineLevel="2" thickBot="1" x14ac:dyDescent="0.3">
      <c r="B307" s="242"/>
      <c r="C307" s="159" t="s">
        <v>126</v>
      </c>
      <c r="D307" s="158" t="s">
        <v>152</v>
      </c>
      <c r="E307" s="159" t="s">
        <v>121</v>
      </c>
      <c r="F307" s="159">
        <v>1</v>
      </c>
      <c r="G307" s="160">
        <v>2399000</v>
      </c>
      <c r="H307" s="207">
        <f t="shared" si="107"/>
        <v>2399000</v>
      </c>
    </row>
    <row r="308" spans="2:13" ht="24.75" outlineLevel="2" thickBot="1" x14ac:dyDescent="0.3">
      <c r="B308" s="265"/>
      <c r="C308" s="159" t="s">
        <v>126</v>
      </c>
      <c r="D308" s="158" t="s">
        <v>154</v>
      </c>
      <c r="E308" s="159" t="s">
        <v>127</v>
      </c>
      <c r="F308" s="159">
        <v>4</v>
      </c>
      <c r="G308" s="160">
        <v>98000</v>
      </c>
      <c r="H308" s="207">
        <f t="shared" si="103"/>
        <v>392000</v>
      </c>
    </row>
    <row r="309" spans="2:13" ht="43.5" customHeight="1" outlineLevel="1" thickBot="1" x14ac:dyDescent="0.3">
      <c r="B309" s="168" t="s">
        <v>160</v>
      </c>
      <c r="C309" s="159"/>
      <c r="D309" s="158"/>
      <c r="E309" s="159"/>
      <c r="F309" s="159"/>
      <c r="G309" s="160"/>
      <c r="H309" s="207">
        <f>SUBTOTAL(9,H305:H308)</f>
        <v>3209500</v>
      </c>
    </row>
    <row r="310" spans="2:13" ht="96.75" outlineLevel="2" thickBot="1" x14ac:dyDescent="0.3">
      <c r="B310" s="241" t="s">
        <v>148</v>
      </c>
      <c r="C310" s="158" t="s">
        <v>128</v>
      </c>
      <c r="D310" s="158" t="s">
        <v>155</v>
      </c>
      <c r="E310" s="159" t="s">
        <v>121</v>
      </c>
      <c r="F310" s="159">
        <v>1</v>
      </c>
      <c r="G310" s="160">
        <v>150000</v>
      </c>
      <c r="H310" s="207">
        <f t="shared" si="103"/>
        <v>150000</v>
      </c>
    </row>
    <row r="311" spans="2:13" ht="48.75" outlineLevel="2" thickBot="1" x14ac:dyDescent="0.3">
      <c r="B311" s="242"/>
      <c r="C311" s="158" t="s">
        <v>128</v>
      </c>
      <c r="D311" s="158" t="s">
        <v>156</v>
      </c>
      <c r="E311" s="159" t="s">
        <v>121</v>
      </c>
      <c r="F311" s="159">
        <v>1</v>
      </c>
      <c r="G311" s="160">
        <v>320000</v>
      </c>
      <c r="H311" s="207">
        <f t="shared" si="103"/>
        <v>320000</v>
      </c>
    </row>
    <row r="312" spans="2:13" ht="36.75" outlineLevel="2" thickBot="1" x14ac:dyDescent="0.3">
      <c r="B312" s="243"/>
      <c r="C312" s="158" t="s">
        <v>128</v>
      </c>
      <c r="D312" s="158" t="s">
        <v>157</v>
      </c>
      <c r="E312" s="159" t="s">
        <v>121</v>
      </c>
      <c r="F312" s="159">
        <v>1</v>
      </c>
      <c r="G312" s="160">
        <v>100000</v>
      </c>
      <c r="H312" s="207">
        <f t="shared" si="103"/>
        <v>100000</v>
      </c>
    </row>
    <row r="313" spans="2:13" ht="36.75" outlineLevel="1" thickBot="1" x14ac:dyDescent="0.3">
      <c r="B313" s="168" t="s">
        <v>161</v>
      </c>
      <c r="C313" s="159"/>
      <c r="D313" s="158"/>
      <c r="E313" s="159"/>
      <c r="F313" s="159"/>
      <c r="G313" s="160"/>
      <c r="H313" s="207">
        <f>SUBTOTAL(9,H310:H312)</f>
        <v>570000</v>
      </c>
    </row>
    <row r="314" spans="2:13" x14ac:dyDescent="0.25">
      <c r="B314" s="202" t="s">
        <v>162</v>
      </c>
      <c r="C314" s="169"/>
      <c r="D314" s="169"/>
      <c r="E314" s="170"/>
      <c r="F314" s="170"/>
      <c r="G314" s="171"/>
      <c r="H314" s="203">
        <f>SUBTOTAL(9,H292:H312)</f>
        <v>27934818</v>
      </c>
    </row>
    <row r="316" spans="2:13" x14ac:dyDescent="0.25">
      <c r="B316" t="s">
        <v>166</v>
      </c>
    </row>
    <row r="317" spans="2:13" ht="15.75" x14ac:dyDescent="0.25">
      <c r="B317" s="199" t="s">
        <v>207</v>
      </c>
    </row>
    <row r="319" spans="2:13" ht="57.75" x14ac:dyDescent="0.25">
      <c r="B319" s="264" t="s">
        <v>167</v>
      </c>
      <c r="C319" s="264"/>
      <c r="D319" s="196" t="s">
        <v>175</v>
      </c>
      <c r="E319" s="196" t="s">
        <v>176</v>
      </c>
      <c r="F319" s="196" t="s">
        <v>168</v>
      </c>
      <c r="G319" s="196" t="s">
        <v>183</v>
      </c>
      <c r="H319" s="196" t="s">
        <v>182</v>
      </c>
      <c r="I319" s="196" t="s">
        <v>177</v>
      </c>
      <c r="J319" s="196" t="s">
        <v>186</v>
      </c>
      <c r="K319" s="196" t="s">
        <v>184</v>
      </c>
      <c r="L319" s="196" t="s">
        <v>169</v>
      </c>
      <c r="M319" s="196" t="s">
        <v>185</v>
      </c>
    </row>
    <row r="320" spans="2:13" ht="18" customHeight="1" x14ac:dyDescent="0.25">
      <c r="B320" s="258" t="s">
        <v>170</v>
      </c>
      <c r="C320" s="259"/>
      <c r="D320" s="174" t="s">
        <v>130</v>
      </c>
      <c r="E320" s="172">
        <f>IF(D320=$B$161,$E$161,IF(D320=$B$162,$E$162,IF(D320=$B$95,$E$95,"0")))</f>
        <v>22061.600526315789</v>
      </c>
      <c r="F320" s="173">
        <v>90</v>
      </c>
      <c r="G320" s="172">
        <f>E320*F320</f>
        <v>1985544.047368421</v>
      </c>
      <c r="H320" s="270">
        <f>SUM(F320:F322)</f>
        <v>105</v>
      </c>
      <c r="I320" s="267">
        <f>SUM(G320:G322)</f>
        <v>2144952.1030024737</v>
      </c>
      <c r="J320" s="173">
        <f>IF(F320=0,0,ROUNDDOWN($C$5/F320,0))</f>
        <v>2</v>
      </c>
      <c r="K320" s="270" cm="1">
        <f t="array" ref="K320">MIN(1,(MIN(IF(J320:J322&gt;0,J320:J322))))</f>
        <v>1</v>
      </c>
      <c r="L320" s="270">
        <f>H320*K320</f>
        <v>105</v>
      </c>
      <c r="M320" s="272">
        <f>I320*K320</f>
        <v>2144952.1030024737</v>
      </c>
    </row>
    <row r="321" spans="2:13" ht="18" customHeight="1" x14ac:dyDescent="0.25">
      <c r="B321" s="258"/>
      <c r="C321" s="259"/>
      <c r="D321" s="174" t="s">
        <v>181</v>
      </c>
      <c r="E321" s="172" t="str">
        <f t="shared" ref="E321:E334" si="108">IF(D321=$B$161,$E$161,IF(D321=$B$162,$E$162,IF(D321=$B$95,$E$95,"0")))</f>
        <v>0</v>
      </c>
      <c r="F321" s="173">
        <v>0</v>
      </c>
      <c r="G321" s="172">
        <f t="shared" ref="G321:G334" si="109">E321*F321</f>
        <v>0</v>
      </c>
      <c r="H321" s="270"/>
      <c r="I321" s="268"/>
      <c r="J321" s="173">
        <f t="shared" ref="J321:J334" si="110">IF(F321=0,0,ROUNDDOWN($C$5/F321,0))</f>
        <v>0</v>
      </c>
      <c r="K321" s="270"/>
      <c r="L321" s="270"/>
      <c r="M321" s="273"/>
    </row>
    <row r="322" spans="2:13" ht="18" customHeight="1" x14ac:dyDescent="0.25">
      <c r="B322" s="260"/>
      <c r="C322" s="261"/>
      <c r="D322" s="174" t="s">
        <v>180</v>
      </c>
      <c r="E322" s="172">
        <f t="shared" si="108"/>
        <v>10627.203708936842</v>
      </c>
      <c r="F322" s="173">
        <v>15</v>
      </c>
      <c r="G322" s="172">
        <f t="shared" si="109"/>
        <v>159408.05563405264</v>
      </c>
      <c r="H322" s="271"/>
      <c r="I322" s="269"/>
      <c r="J322" s="173">
        <f t="shared" si="110"/>
        <v>12</v>
      </c>
      <c r="K322" s="271"/>
      <c r="L322" s="271"/>
      <c r="M322" s="274"/>
    </row>
    <row r="323" spans="2:13" ht="18" customHeight="1" x14ac:dyDescent="0.25">
      <c r="B323" s="256" t="s">
        <v>171</v>
      </c>
      <c r="C323" s="257"/>
      <c r="D323" s="174" t="s">
        <v>130</v>
      </c>
      <c r="E323" s="172">
        <f t="shared" si="108"/>
        <v>22061.600526315789</v>
      </c>
      <c r="F323" s="173">
        <v>25</v>
      </c>
      <c r="G323" s="172">
        <f t="shared" si="109"/>
        <v>551540.01315789472</v>
      </c>
      <c r="H323" s="270">
        <f t="shared" ref="H323:I323" si="111">SUM(F323:F325)</f>
        <v>35</v>
      </c>
      <c r="I323" s="267">
        <f t="shared" si="111"/>
        <v>657812.05024726316</v>
      </c>
      <c r="J323" s="173">
        <f t="shared" si="110"/>
        <v>7</v>
      </c>
      <c r="K323" s="270" cm="1">
        <f t="array" ref="K323">MIN(3,(MIN(IF(J323:J325&gt;0,J323:J325))))</f>
        <v>3</v>
      </c>
      <c r="L323" s="270">
        <f>H323*K323</f>
        <v>105</v>
      </c>
      <c r="M323" s="272">
        <f>I323*K323</f>
        <v>1973436.1507417895</v>
      </c>
    </row>
    <row r="324" spans="2:13" ht="18" customHeight="1" x14ac:dyDescent="0.25">
      <c r="B324" s="258"/>
      <c r="C324" s="259"/>
      <c r="D324" s="174" t="s">
        <v>181</v>
      </c>
      <c r="E324" s="172" t="str">
        <f t="shared" si="108"/>
        <v>0</v>
      </c>
      <c r="F324" s="173">
        <v>0</v>
      </c>
      <c r="G324" s="172">
        <f t="shared" si="109"/>
        <v>0</v>
      </c>
      <c r="H324" s="270"/>
      <c r="I324" s="268"/>
      <c r="J324" s="173">
        <f t="shared" si="110"/>
        <v>0</v>
      </c>
      <c r="K324" s="270"/>
      <c r="L324" s="270"/>
      <c r="M324" s="273"/>
    </row>
    <row r="325" spans="2:13" ht="18" customHeight="1" x14ac:dyDescent="0.25">
      <c r="B325" s="260"/>
      <c r="C325" s="261"/>
      <c r="D325" s="175" t="s">
        <v>180</v>
      </c>
      <c r="E325" s="172">
        <f t="shared" si="108"/>
        <v>10627.203708936842</v>
      </c>
      <c r="F325" s="173">
        <v>10</v>
      </c>
      <c r="G325" s="172">
        <f t="shared" si="109"/>
        <v>106272.03708936842</v>
      </c>
      <c r="H325" s="271"/>
      <c r="I325" s="269"/>
      <c r="J325" s="173">
        <f t="shared" si="110"/>
        <v>19</v>
      </c>
      <c r="K325" s="271"/>
      <c r="L325" s="271"/>
      <c r="M325" s="274"/>
    </row>
    <row r="326" spans="2:13" ht="18" customHeight="1" x14ac:dyDescent="0.25">
      <c r="B326" s="256" t="s">
        <v>172</v>
      </c>
      <c r="C326" s="257"/>
      <c r="D326" s="175" t="s">
        <v>130</v>
      </c>
      <c r="E326" s="172">
        <f t="shared" si="108"/>
        <v>22061.600526315789</v>
      </c>
      <c r="F326" s="173">
        <v>8</v>
      </c>
      <c r="G326" s="172">
        <f t="shared" si="109"/>
        <v>176492.80421052632</v>
      </c>
      <c r="H326" s="270">
        <f t="shared" ref="H326:I326" si="112">SUM(F326:F328)</f>
        <v>8</v>
      </c>
      <c r="I326" s="267">
        <f t="shared" si="112"/>
        <v>176492.80421052632</v>
      </c>
      <c r="J326" s="173">
        <f t="shared" si="110"/>
        <v>23</v>
      </c>
      <c r="K326" s="270" cm="1">
        <f t="array" ref="K326">MIN(3,(MIN(IF(J326:J328&gt;0,J326:J328))))</f>
        <v>3</v>
      </c>
      <c r="L326" s="270">
        <f>H326*K326</f>
        <v>24</v>
      </c>
      <c r="M326" s="272">
        <f>I326*K326</f>
        <v>529478.41263157898</v>
      </c>
    </row>
    <row r="327" spans="2:13" ht="18" customHeight="1" x14ac:dyDescent="0.25">
      <c r="B327" s="258"/>
      <c r="C327" s="259"/>
      <c r="D327" s="175" t="s">
        <v>181</v>
      </c>
      <c r="E327" s="172" t="str">
        <f t="shared" si="108"/>
        <v>0</v>
      </c>
      <c r="F327" s="173">
        <v>0</v>
      </c>
      <c r="G327" s="172">
        <f t="shared" si="109"/>
        <v>0</v>
      </c>
      <c r="H327" s="270"/>
      <c r="I327" s="268"/>
      <c r="J327" s="173">
        <f t="shared" si="110"/>
        <v>0</v>
      </c>
      <c r="K327" s="270"/>
      <c r="L327" s="270"/>
      <c r="M327" s="273"/>
    </row>
    <row r="328" spans="2:13" ht="18" customHeight="1" x14ac:dyDescent="0.25">
      <c r="B328" s="260"/>
      <c r="C328" s="261"/>
      <c r="D328" s="175" t="s">
        <v>181</v>
      </c>
      <c r="E328" s="172" t="str">
        <f t="shared" si="108"/>
        <v>0</v>
      </c>
      <c r="F328" s="173">
        <v>0</v>
      </c>
      <c r="G328" s="172">
        <f t="shared" si="109"/>
        <v>0</v>
      </c>
      <c r="H328" s="271"/>
      <c r="I328" s="269"/>
      <c r="J328" s="173">
        <f t="shared" si="110"/>
        <v>0</v>
      </c>
      <c r="K328" s="271"/>
      <c r="L328" s="271"/>
      <c r="M328" s="274"/>
    </row>
    <row r="329" spans="2:13" ht="27" customHeight="1" x14ac:dyDescent="0.25">
      <c r="B329" s="256" t="s">
        <v>173</v>
      </c>
      <c r="C329" s="257"/>
      <c r="D329" s="175" t="s">
        <v>129</v>
      </c>
      <c r="E329" s="172">
        <f t="shared" si="108"/>
        <v>13405.331182621052</v>
      </c>
      <c r="F329" s="173">
        <v>17</v>
      </c>
      <c r="G329" s="172">
        <f t="shared" si="109"/>
        <v>227890.63010455787</v>
      </c>
      <c r="H329" s="270">
        <f t="shared" ref="H329:I329" si="113">SUM(F329:F331)</f>
        <v>19</v>
      </c>
      <c r="I329" s="267">
        <f t="shared" si="113"/>
        <v>249145.03752243155</v>
      </c>
      <c r="J329" s="173">
        <f t="shared" si="110"/>
        <v>11</v>
      </c>
      <c r="K329" s="270" cm="1">
        <f t="array" ref="K329">MIN(6,(MIN(IF(J329:J331&gt;0,J329:J331))))</f>
        <v>6</v>
      </c>
      <c r="L329" s="270">
        <f>H329*K329</f>
        <v>114</v>
      </c>
      <c r="M329" s="272">
        <f>I329*K329</f>
        <v>1494870.2251345892</v>
      </c>
    </row>
    <row r="330" spans="2:13" ht="18" customHeight="1" x14ac:dyDescent="0.25">
      <c r="B330" s="258"/>
      <c r="C330" s="259"/>
      <c r="D330" s="175" t="s">
        <v>181</v>
      </c>
      <c r="E330" s="172" t="str">
        <f t="shared" si="108"/>
        <v>0</v>
      </c>
      <c r="F330" s="173">
        <v>0</v>
      </c>
      <c r="G330" s="172">
        <f t="shared" si="109"/>
        <v>0</v>
      </c>
      <c r="H330" s="270"/>
      <c r="I330" s="268"/>
      <c r="J330" s="173">
        <f t="shared" si="110"/>
        <v>0</v>
      </c>
      <c r="K330" s="270"/>
      <c r="L330" s="270"/>
      <c r="M330" s="273"/>
    </row>
    <row r="331" spans="2:13" ht="18" customHeight="1" x14ac:dyDescent="0.25">
      <c r="B331" s="260" t="s">
        <v>173</v>
      </c>
      <c r="C331" s="261"/>
      <c r="D331" s="175" t="s">
        <v>180</v>
      </c>
      <c r="E331" s="172">
        <f t="shared" si="108"/>
        <v>10627.203708936842</v>
      </c>
      <c r="F331" s="173">
        <v>2</v>
      </c>
      <c r="G331" s="172">
        <f t="shared" si="109"/>
        <v>21254.407417873685</v>
      </c>
      <c r="H331" s="271"/>
      <c r="I331" s="269"/>
      <c r="J331" s="173">
        <f t="shared" si="110"/>
        <v>95</v>
      </c>
      <c r="K331" s="271"/>
      <c r="L331" s="271"/>
      <c r="M331" s="274"/>
    </row>
    <row r="332" spans="2:13" ht="27" customHeight="1" x14ac:dyDescent="0.25">
      <c r="B332" s="256" t="s">
        <v>174</v>
      </c>
      <c r="C332" s="257"/>
      <c r="D332" s="175" t="s">
        <v>129</v>
      </c>
      <c r="E332" s="172">
        <f t="shared" si="108"/>
        <v>13405.331182621052</v>
      </c>
      <c r="F332" s="173">
        <v>18</v>
      </c>
      <c r="G332" s="172">
        <f t="shared" si="109"/>
        <v>241295.96128717894</v>
      </c>
      <c r="H332" s="270">
        <f t="shared" ref="H332:I332" si="114">SUM(F332:F334)</f>
        <v>18</v>
      </c>
      <c r="I332" s="267">
        <f t="shared" si="114"/>
        <v>241295.96128717894</v>
      </c>
      <c r="J332" s="173">
        <f t="shared" si="110"/>
        <v>10</v>
      </c>
      <c r="K332" s="270" cm="1">
        <f t="array" ref="K332">MIN(6,(MIN(IF(J332:J334&gt;0,J332:J334))))</f>
        <v>6</v>
      </c>
      <c r="L332" s="270">
        <f>H332*K332</f>
        <v>108</v>
      </c>
      <c r="M332" s="272">
        <f>I332*K332</f>
        <v>1447775.7677230737</v>
      </c>
    </row>
    <row r="333" spans="2:13" ht="18" customHeight="1" x14ac:dyDescent="0.25">
      <c r="B333" s="258"/>
      <c r="C333" s="259"/>
      <c r="D333" s="175" t="s">
        <v>181</v>
      </c>
      <c r="E333" s="172" t="str">
        <f t="shared" si="108"/>
        <v>0</v>
      </c>
      <c r="F333" s="173">
        <v>0</v>
      </c>
      <c r="G333" s="172">
        <f t="shared" si="109"/>
        <v>0</v>
      </c>
      <c r="H333" s="270"/>
      <c r="I333" s="268"/>
      <c r="J333" s="173">
        <f t="shared" si="110"/>
        <v>0</v>
      </c>
      <c r="K333" s="270"/>
      <c r="L333" s="270"/>
      <c r="M333" s="273"/>
    </row>
    <row r="334" spans="2:13" ht="18" customHeight="1" x14ac:dyDescent="0.25">
      <c r="B334" s="260" t="s">
        <v>174</v>
      </c>
      <c r="C334" s="261"/>
      <c r="D334" s="175" t="s">
        <v>181</v>
      </c>
      <c r="E334" s="172" t="str">
        <f t="shared" si="108"/>
        <v>0</v>
      </c>
      <c r="F334" s="173">
        <v>0</v>
      </c>
      <c r="G334" s="172">
        <f t="shared" si="109"/>
        <v>0</v>
      </c>
      <c r="H334" s="271"/>
      <c r="I334" s="269"/>
      <c r="J334" s="173">
        <f t="shared" si="110"/>
        <v>0</v>
      </c>
      <c r="K334" s="271"/>
      <c r="L334" s="271"/>
      <c r="M334" s="274"/>
    </row>
    <row r="336" spans="2:13" ht="15" customHeight="1" x14ac:dyDescent="0.25">
      <c r="B336" s="282" t="s">
        <v>199</v>
      </c>
      <c r="C336" s="282"/>
      <c r="D336" s="282"/>
      <c r="E336" s="282"/>
      <c r="F336" s="282"/>
      <c r="G336" s="282"/>
      <c r="H336" s="176"/>
    </row>
    <row r="337" spans="2:8" x14ac:dyDescent="0.25">
      <c r="B337" s="282"/>
      <c r="C337" s="282"/>
      <c r="D337" s="282"/>
      <c r="E337" s="282"/>
      <c r="F337" s="282"/>
      <c r="G337" s="282"/>
      <c r="H337" s="176"/>
    </row>
    <row r="338" spans="2:8" ht="43.5" x14ac:dyDescent="0.25">
      <c r="B338" s="197" t="s">
        <v>189</v>
      </c>
      <c r="C338" s="177">
        <v>4570</v>
      </c>
      <c r="D338" s="196" t="s">
        <v>194</v>
      </c>
      <c r="E338" s="196" t="s">
        <v>195</v>
      </c>
      <c r="F338" s="196" t="s">
        <v>110</v>
      </c>
      <c r="G338" s="196" t="s">
        <v>115</v>
      </c>
    </row>
    <row r="339" spans="2:8" ht="15" customHeight="1" x14ac:dyDescent="0.25">
      <c r="B339" s="278" t="s">
        <v>188</v>
      </c>
      <c r="C339" s="279"/>
      <c r="D339" s="285">
        <v>26000</v>
      </c>
      <c r="E339" s="286">
        <f>D339*$C$338</f>
        <v>118820000</v>
      </c>
      <c r="F339" s="287">
        <v>1</v>
      </c>
      <c r="G339" s="276">
        <f>E339*F339</f>
        <v>118820000</v>
      </c>
    </row>
    <row r="340" spans="2:8" x14ac:dyDescent="0.25">
      <c r="B340" s="280"/>
      <c r="C340" s="281"/>
      <c r="D340" s="283"/>
      <c r="E340" s="284"/>
      <c r="F340" s="275"/>
      <c r="G340" s="277"/>
    </row>
    <row r="341" spans="2:8" ht="15" customHeight="1" x14ac:dyDescent="0.25">
      <c r="B341" s="280" t="s">
        <v>190</v>
      </c>
      <c r="C341" s="281"/>
      <c r="D341" s="283">
        <v>2500</v>
      </c>
      <c r="E341" s="284">
        <f t="shared" ref="E341" si="115">D341*$C$338</f>
        <v>11425000</v>
      </c>
      <c r="F341" s="275">
        <v>1</v>
      </c>
      <c r="G341" s="276">
        <f t="shared" ref="G341" si="116">E341*F341</f>
        <v>11425000</v>
      </c>
    </row>
    <row r="342" spans="2:8" x14ac:dyDescent="0.25">
      <c r="B342" s="280"/>
      <c r="C342" s="281"/>
      <c r="D342" s="283"/>
      <c r="E342" s="284"/>
      <c r="F342" s="275"/>
      <c r="G342" s="277"/>
    </row>
    <row r="343" spans="2:8" x14ac:dyDescent="0.25">
      <c r="B343" s="280" t="s">
        <v>191</v>
      </c>
      <c r="C343" s="281"/>
      <c r="D343" s="283">
        <v>8000</v>
      </c>
      <c r="E343" s="284">
        <f t="shared" ref="E343:E345" si="117">D343*$C$338</f>
        <v>36560000</v>
      </c>
      <c r="F343" s="275">
        <v>1</v>
      </c>
      <c r="G343" s="276">
        <f t="shared" ref="G343" si="118">E343*F343</f>
        <v>36560000</v>
      </c>
    </row>
    <row r="344" spans="2:8" x14ac:dyDescent="0.25">
      <c r="B344" s="280"/>
      <c r="C344" s="281"/>
      <c r="D344" s="283"/>
      <c r="E344" s="284"/>
      <c r="F344" s="275"/>
      <c r="G344" s="277"/>
    </row>
    <row r="345" spans="2:8" x14ac:dyDescent="0.25">
      <c r="B345" s="280" t="s">
        <v>201</v>
      </c>
      <c r="C345" s="281"/>
      <c r="D345" s="283">
        <f>700*3</f>
        <v>2100</v>
      </c>
      <c r="E345" s="288">
        <f t="shared" si="117"/>
        <v>9597000</v>
      </c>
      <c r="F345" s="275">
        <v>1</v>
      </c>
      <c r="G345" s="276">
        <f t="shared" ref="G345" si="119">E345*F345</f>
        <v>9597000</v>
      </c>
    </row>
    <row r="346" spans="2:8" x14ac:dyDescent="0.25">
      <c r="B346" s="280"/>
      <c r="C346" s="281"/>
      <c r="D346" s="283"/>
      <c r="E346" s="286"/>
      <c r="F346" s="275"/>
      <c r="G346" s="277"/>
    </row>
    <row r="347" spans="2:8" x14ac:dyDescent="0.25">
      <c r="B347" s="280" t="s">
        <v>200</v>
      </c>
      <c r="C347" s="281"/>
      <c r="D347" s="283">
        <v>0</v>
      </c>
      <c r="E347" s="284">
        <f>SUM(G339:G346)*19%+10%</f>
        <v>33516380.100000001</v>
      </c>
      <c r="F347" s="275">
        <v>1</v>
      </c>
      <c r="G347" s="276">
        <f t="shared" ref="G347" si="120">E347*F347</f>
        <v>33516380.100000001</v>
      </c>
    </row>
    <row r="348" spans="2:8" x14ac:dyDescent="0.25">
      <c r="B348" s="280"/>
      <c r="C348" s="281"/>
      <c r="D348" s="283"/>
      <c r="E348" s="284"/>
      <c r="F348" s="275"/>
      <c r="G348" s="277"/>
    </row>
    <row r="349" spans="2:8" ht="27" customHeight="1" x14ac:dyDescent="0.25">
      <c r="B349" s="280" t="str">
        <f>B320</f>
        <v>Importación de maquinaria, equipos y repuestos con enfoque en el cuidado del medio ambiente</v>
      </c>
      <c r="C349" s="281"/>
      <c r="D349" s="283">
        <f>E349/$C$338</f>
        <v>469.35494595240124</v>
      </c>
      <c r="E349" s="284">
        <f>I320</f>
        <v>2144952.1030024737</v>
      </c>
      <c r="F349" s="275">
        <v>1</v>
      </c>
      <c r="G349" s="276">
        <f t="shared" ref="G349" si="121">E349*F349</f>
        <v>2144952.1030024737</v>
      </c>
    </row>
    <row r="350" spans="2:8" ht="27" customHeight="1" x14ac:dyDescent="0.25">
      <c r="B350" s="280"/>
      <c r="C350" s="281"/>
      <c r="D350" s="283"/>
      <c r="E350" s="284"/>
      <c r="F350" s="275"/>
      <c r="G350" s="277"/>
    </row>
    <row r="351" spans="2:8" x14ac:dyDescent="0.25">
      <c r="B351" s="280" t="str">
        <f>B329</f>
        <v>Mantenimiento de maquinaria o equipos</v>
      </c>
      <c r="C351" s="281"/>
      <c r="D351" s="283">
        <f>E351/$C$338</f>
        <v>54.517513681057231</v>
      </c>
      <c r="E351" s="284">
        <f>I329</f>
        <v>249145.03752243155</v>
      </c>
      <c r="F351" s="275">
        <v>3</v>
      </c>
      <c r="G351" s="276">
        <f t="shared" ref="G351" si="122">E351*F351</f>
        <v>747435.11256729462</v>
      </c>
    </row>
    <row r="352" spans="2:8" x14ac:dyDescent="0.25">
      <c r="B352" s="280"/>
      <c r="C352" s="281"/>
      <c r="D352" s="283"/>
      <c r="E352" s="284"/>
      <c r="F352" s="275"/>
      <c r="G352" s="277"/>
    </row>
    <row r="353" spans="2:8" x14ac:dyDescent="0.25">
      <c r="B353" s="280" t="str">
        <f>B332</f>
        <v>Capacitación</v>
      </c>
      <c r="C353" s="281"/>
      <c r="D353" s="283">
        <f>E353/$C$338</f>
        <v>52.799991528923179</v>
      </c>
      <c r="E353" s="284">
        <f>I332</f>
        <v>241295.96128717894</v>
      </c>
      <c r="F353" s="275">
        <v>2</v>
      </c>
      <c r="G353" s="276">
        <f t="shared" ref="G353" si="123">E353*F353</f>
        <v>482591.92257435789</v>
      </c>
    </row>
    <row r="354" spans="2:8" x14ac:dyDescent="0.25">
      <c r="B354" s="280"/>
      <c r="C354" s="281"/>
      <c r="D354" s="283"/>
      <c r="E354" s="284"/>
      <c r="F354" s="275"/>
      <c r="G354" s="277"/>
    </row>
    <row r="355" spans="2:8" x14ac:dyDescent="0.25">
      <c r="B355" s="280" t="s">
        <v>196</v>
      </c>
      <c r="C355" s="281"/>
      <c r="D355" s="283">
        <v>6000</v>
      </c>
      <c r="E355" s="284">
        <f t="shared" ref="E355" si="124">D355*$C$338</f>
        <v>27420000</v>
      </c>
      <c r="F355" s="275">
        <v>1</v>
      </c>
      <c r="G355" s="276">
        <f t="shared" ref="G355" si="125">E355*F355</f>
        <v>27420000</v>
      </c>
    </row>
    <row r="356" spans="2:8" x14ac:dyDescent="0.25">
      <c r="B356" s="280"/>
      <c r="C356" s="281"/>
      <c r="D356" s="283"/>
      <c r="E356" s="284"/>
      <c r="F356" s="275"/>
      <c r="G356" s="277"/>
    </row>
    <row r="357" spans="2:8" x14ac:dyDescent="0.25">
      <c r="B357" s="280" t="s">
        <v>197</v>
      </c>
      <c r="C357" s="281"/>
      <c r="D357" s="283">
        <f>E357/$C$338</f>
        <v>1215.8803063457331</v>
      </c>
      <c r="E357" s="284">
        <v>5556573</v>
      </c>
      <c r="F357" s="275">
        <v>1</v>
      </c>
      <c r="G357" s="276">
        <f t="shared" ref="G357" si="126">E357*F357</f>
        <v>5556573</v>
      </c>
    </row>
    <row r="358" spans="2:8" x14ac:dyDescent="0.25">
      <c r="B358" s="280"/>
      <c r="C358" s="281"/>
      <c r="D358" s="283"/>
      <c r="E358" s="284"/>
      <c r="F358" s="275"/>
      <c r="G358" s="277"/>
    </row>
    <row r="359" spans="2:8" x14ac:dyDescent="0.25">
      <c r="B359" s="280" t="s">
        <v>192</v>
      </c>
      <c r="C359" s="281"/>
      <c r="D359" s="283">
        <f t="shared" ref="D359" si="127">E359/$C$338</f>
        <v>1865.1466083150985</v>
      </c>
      <c r="E359" s="284">
        <f>142062*60</f>
        <v>8523720</v>
      </c>
      <c r="F359" s="275">
        <v>1</v>
      </c>
      <c r="G359" s="276">
        <f t="shared" ref="G359" si="128">E359*F359</f>
        <v>8523720</v>
      </c>
    </row>
    <row r="360" spans="2:8" x14ac:dyDescent="0.25">
      <c r="B360" s="280"/>
      <c r="C360" s="281"/>
      <c r="D360" s="283"/>
      <c r="E360" s="284"/>
      <c r="F360" s="275"/>
      <c r="G360" s="277"/>
    </row>
    <row r="361" spans="2:8" x14ac:dyDescent="0.25">
      <c r="B361" s="280" t="s">
        <v>193</v>
      </c>
      <c r="C361" s="281"/>
      <c r="D361" s="283">
        <f t="shared" ref="D361" si="129">E361/$C$338</f>
        <v>5605.5229759299782</v>
      </c>
      <c r="E361" s="284">
        <f>426954*60</f>
        <v>25617240</v>
      </c>
      <c r="F361" s="275">
        <v>1</v>
      </c>
      <c r="G361" s="276">
        <f t="shared" ref="G361" si="130">E361*F361</f>
        <v>25617240</v>
      </c>
    </row>
    <row r="362" spans="2:8" x14ac:dyDescent="0.25">
      <c r="B362" s="280"/>
      <c r="C362" s="281"/>
      <c r="D362" s="283"/>
      <c r="E362" s="284"/>
      <c r="F362" s="275"/>
      <c r="G362" s="277"/>
    </row>
    <row r="363" spans="2:8" x14ac:dyDescent="0.25">
      <c r="B363" s="204"/>
      <c r="C363" s="205" t="s">
        <v>198</v>
      </c>
      <c r="G363" s="206">
        <f>SUM(G339:G362)</f>
        <v>280410892.23814416</v>
      </c>
    </row>
    <row r="366" spans="2:8" ht="15.75" x14ac:dyDescent="0.25">
      <c r="B366" s="199" t="s">
        <v>245</v>
      </c>
    </row>
    <row r="367" spans="2:8" ht="15.75" thickBot="1" x14ac:dyDescent="0.3"/>
    <row r="368" spans="2:8" x14ac:dyDescent="0.25">
      <c r="B368" s="233" t="s">
        <v>235</v>
      </c>
      <c r="C368" s="234"/>
      <c r="D368" s="239" t="s">
        <v>236</v>
      </c>
      <c r="E368" s="239" t="s">
        <v>237</v>
      </c>
      <c r="F368" s="239" t="s">
        <v>238</v>
      </c>
      <c r="G368" s="239" t="s">
        <v>239</v>
      </c>
      <c r="H368" s="231" t="s">
        <v>240</v>
      </c>
    </row>
    <row r="369" spans="2:8" x14ac:dyDescent="0.25">
      <c r="B369" s="230" t="s">
        <v>244</v>
      </c>
      <c r="C369" s="222">
        <v>663</v>
      </c>
      <c r="D369" s="240"/>
      <c r="E369" s="240"/>
      <c r="F369" s="240"/>
      <c r="G369" s="240"/>
      <c r="H369" s="232"/>
    </row>
    <row r="370" spans="2:8" x14ac:dyDescent="0.25">
      <c r="B370" s="235" t="s">
        <v>241</v>
      </c>
      <c r="C370" s="236"/>
      <c r="D370" s="223">
        <f>C369*D371</f>
        <v>2.9967599999999996</v>
      </c>
      <c r="E370" s="223">
        <f>D370+(D370*E372)</f>
        <v>4.0156583999999995</v>
      </c>
      <c r="F370" s="223">
        <f>E370+(E370*F372)</f>
        <v>5.3809822559999994</v>
      </c>
      <c r="G370" s="223">
        <f t="shared" ref="G370:H370" si="131">F370+(F370*G372)</f>
        <v>7.2105162230399991</v>
      </c>
      <c r="H370" s="225">
        <f t="shared" si="131"/>
        <v>9.662091738873599</v>
      </c>
    </row>
    <row r="371" spans="2:8" x14ac:dyDescent="0.25">
      <c r="B371" s="235" t="s">
        <v>242</v>
      </c>
      <c r="C371" s="236"/>
      <c r="D371" s="224">
        <v>4.5199999999999997E-3</v>
      </c>
      <c r="E371" s="224">
        <f>E370/$C$369</f>
        <v>6.0567999999999993E-3</v>
      </c>
      <c r="F371" s="224">
        <f>F370/$C$369</f>
        <v>8.1161119999999982E-3</v>
      </c>
      <c r="G371" s="224">
        <f t="shared" ref="G371:H371" si="132">G370/$C$369</f>
        <v>1.0875590079999999E-2</v>
      </c>
      <c r="H371" s="226">
        <f t="shared" si="132"/>
        <v>1.4573290707199999E-2</v>
      </c>
    </row>
    <row r="372" spans="2:8" ht="15.75" thickBot="1" x14ac:dyDescent="0.3">
      <c r="B372" s="237" t="s">
        <v>243</v>
      </c>
      <c r="C372" s="238"/>
      <c r="D372" s="227"/>
      <c r="E372" s="228">
        <v>0.34</v>
      </c>
      <c r="F372" s="228">
        <v>0.34</v>
      </c>
      <c r="G372" s="228">
        <v>0.34</v>
      </c>
      <c r="H372" s="229">
        <v>0.34</v>
      </c>
    </row>
    <row r="374" spans="2:8" ht="15.75" x14ac:dyDescent="0.25">
      <c r="B374" s="199" t="s">
        <v>253</v>
      </c>
    </row>
    <row r="375" spans="2:8" x14ac:dyDescent="0.25">
      <c r="G375" t="s">
        <v>189</v>
      </c>
    </row>
    <row r="376" spans="2:8" x14ac:dyDescent="0.25">
      <c r="B376" s="296" t="s">
        <v>109</v>
      </c>
      <c r="C376" s="296"/>
      <c r="D376" s="296" t="s">
        <v>246</v>
      </c>
      <c r="E376" s="296"/>
      <c r="G376">
        <v>4750</v>
      </c>
    </row>
    <row r="377" spans="2:8" ht="30" customHeight="1" x14ac:dyDescent="0.25">
      <c r="B377" s="297" t="s">
        <v>247</v>
      </c>
      <c r="C377" s="297"/>
      <c r="D377" s="292">
        <f>$G$376*730</f>
        <v>3467500</v>
      </c>
      <c r="E377" s="292"/>
    </row>
    <row r="378" spans="2:8" ht="30" customHeight="1" x14ac:dyDescent="0.25">
      <c r="B378" s="297" t="s">
        <v>248</v>
      </c>
      <c r="C378" s="297"/>
      <c r="D378" s="292">
        <f>$G$376*550</f>
        <v>2612500</v>
      </c>
      <c r="E378" s="292"/>
    </row>
    <row r="379" spans="2:8" ht="30" customHeight="1" x14ac:dyDescent="0.25">
      <c r="B379" s="297" t="s">
        <v>249</v>
      </c>
      <c r="C379" s="297"/>
      <c r="D379" s="292">
        <f>$G$376*350</f>
        <v>1662500</v>
      </c>
      <c r="E379" s="292"/>
    </row>
    <row r="380" spans="2:8" ht="30" customHeight="1" x14ac:dyDescent="0.25">
      <c r="B380" s="297" t="s">
        <v>250</v>
      </c>
      <c r="C380" s="297"/>
      <c r="D380" s="292">
        <f>$G$376*450</f>
        <v>2137500</v>
      </c>
      <c r="E380" s="292"/>
    </row>
    <row r="381" spans="2:8" ht="45" customHeight="1" x14ac:dyDescent="0.25">
      <c r="B381" s="297" t="s">
        <v>251</v>
      </c>
      <c r="C381" s="297"/>
      <c r="D381" s="292">
        <f>$G$376*450</f>
        <v>2137500</v>
      </c>
      <c r="E381" s="292"/>
    </row>
    <row r="382" spans="2:8" ht="30" customHeight="1" x14ac:dyDescent="0.25">
      <c r="B382" s="297" t="s">
        <v>255</v>
      </c>
      <c r="C382" s="297"/>
      <c r="D382" s="292">
        <f>$G$376*850</f>
        <v>4037500</v>
      </c>
      <c r="E382" s="292"/>
    </row>
    <row r="383" spans="2:8" ht="30" customHeight="1" x14ac:dyDescent="0.25">
      <c r="B383" s="297" t="s">
        <v>252</v>
      </c>
      <c r="C383" s="297"/>
      <c r="D383" s="292">
        <f>$G$376*200</f>
        <v>950000</v>
      </c>
      <c r="E383" s="292"/>
    </row>
    <row r="384" spans="2:8" x14ac:dyDescent="0.25">
      <c r="B384" s="293" t="s">
        <v>254</v>
      </c>
      <c r="C384" s="293"/>
      <c r="D384" s="294">
        <f>SUM(D377:E383)</f>
        <v>17005000</v>
      </c>
      <c r="E384" s="294"/>
    </row>
  </sheetData>
  <protectedRanges>
    <protectedRange sqref="B275:C285 B258:C261 B263:C268 B249:B250" name="Rango2"/>
    <protectedRange sqref="B262:C262 B251:C252 B243:C248 C249:C250" name="Rango1"/>
  </protectedRanges>
  <mergeCells count="151">
    <mergeCell ref="B384:C384"/>
    <mergeCell ref="D384:E384"/>
    <mergeCell ref="B382:C382"/>
    <mergeCell ref="D382:E382"/>
    <mergeCell ref="B376:C376"/>
    <mergeCell ref="B377:C377"/>
    <mergeCell ref="B378:C378"/>
    <mergeCell ref="B379:C379"/>
    <mergeCell ref="B380:C380"/>
    <mergeCell ref="B381:C381"/>
    <mergeCell ref="B383:C383"/>
    <mergeCell ref="D376:E376"/>
    <mergeCell ref="D377:E377"/>
    <mergeCell ref="D378:E378"/>
    <mergeCell ref="D379:E379"/>
    <mergeCell ref="D380:E380"/>
    <mergeCell ref="D381:E381"/>
    <mergeCell ref="D383:E383"/>
    <mergeCell ref="B345:C346"/>
    <mergeCell ref="D345:D346"/>
    <mergeCell ref="E345:E346"/>
    <mergeCell ref="F345:F346"/>
    <mergeCell ref="G345:G346"/>
    <mergeCell ref="D361:D362"/>
    <mergeCell ref="E361:E362"/>
    <mergeCell ref="F361:F362"/>
    <mergeCell ref="G361:G362"/>
    <mergeCell ref="G351:G352"/>
    <mergeCell ref="D359:D360"/>
    <mergeCell ref="E359:E360"/>
    <mergeCell ref="F359:F360"/>
    <mergeCell ref="G359:G360"/>
    <mergeCell ref="B351:C352"/>
    <mergeCell ref="D351:D352"/>
    <mergeCell ref="E351:E352"/>
    <mergeCell ref="F351:F352"/>
    <mergeCell ref="B353:C354"/>
    <mergeCell ref="D353:D354"/>
    <mergeCell ref="E353:E354"/>
    <mergeCell ref="F353:F354"/>
    <mergeCell ref="B349:C350"/>
    <mergeCell ref="D349:D350"/>
    <mergeCell ref="G343:G344"/>
    <mergeCell ref="D355:D356"/>
    <mergeCell ref="E355:E356"/>
    <mergeCell ref="F355:F356"/>
    <mergeCell ref="G355:G356"/>
    <mergeCell ref="G347:G348"/>
    <mergeCell ref="D339:D340"/>
    <mergeCell ref="E339:E340"/>
    <mergeCell ref="F339:F340"/>
    <mergeCell ref="G339:G340"/>
    <mergeCell ref="D341:D342"/>
    <mergeCell ref="E341:E342"/>
    <mergeCell ref="G349:G350"/>
    <mergeCell ref="E349:E350"/>
    <mergeCell ref="F349:F350"/>
    <mergeCell ref="L329:L331"/>
    <mergeCell ref="L332:L334"/>
    <mergeCell ref="F341:F342"/>
    <mergeCell ref="G341:G342"/>
    <mergeCell ref="G353:G354"/>
    <mergeCell ref="B339:C340"/>
    <mergeCell ref="B361:C362"/>
    <mergeCell ref="B357:C358"/>
    <mergeCell ref="B359:C360"/>
    <mergeCell ref="B341:C342"/>
    <mergeCell ref="B343:C344"/>
    <mergeCell ref="B355:C356"/>
    <mergeCell ref="B336:G337"/>
    <mergeCell ref="B347:C348"/>
    <mergeCell ref="D347:D348"/>
    <mergeCell ref="E347:E348"/>
    <mergeCell ref="F347:F348"/>
    <mergeCell ref="D357:D358"/>
    <mergeCell ref="E357:E358"/>
    <mergeCell ref="F357:F358"/>
    <mergeCell ref="G357:G358"/>
    <mergeCell ref="D343:D344"/>
    <mergeCell ref="E343:E344"/>
    <mergeCell ref="F343:F344"/>
    <mergeCell ref="I323:I325"/>
    <mergeCell ref="I326:I328"/>
    <mergeCell ref="K329:K331"/>
    <mergeCell ref="H329:H331"/>
    <mergeCell ref="K332:K334"/>
    <mergeCell ref="H332:H334"/>
    <mergeCell ref="I329:I331"/>
    <mergeCell ref="I332:I334"/>
    <mergeCell ref="D19:M19"/>
    <mergeCell ref="K320:K322"/>
    <mergeCell ref="H320:H322"/>
    <mergeCell ref="K323:K325"/>
    <mergeCell ref="H323:H325"/>
    <mergeCell ref="K326:K328"/>
    <mergeCell ref="H326:H328"/>
    <mergeCell ref="I320:I322"/>
    <mergeCell ref="M320:M322"/>
    <mergeCell ref="M323:M325"/>
    <mergeCell ref="M326:M328"/>
    <mergeCell ref="M329:M331"/>
    <mergeCell ref="M332:M334"/>
    <mergeCell ref="L320:L322"/>
    <mergeCell ref="L323:L325"/>
    <mergeCell ref="L326:L328"/>
    <mergeCell ref="D13:M13"/>
    <mergeCell ref="D14:M14"/>
    <mergeCell ref="D15:M15"/>
    <mergeCell ref="D16:M16"/>
    <mergeCell ref="D17:M17"/>
    <mergeCell ref="D18:M18"/>
    <mergeCell ref="B332:C334"/>
    <mergeCell ref="D4:M4"/>
    <mergeCell ref="D5:M5"/>
    <mergeCell ref="D6:M6"/>
    <mergeCell ref="D7:M7"/>
    <mergeCell ref="D8:M8"/>
    <mergeCell ref="D9:M9"/>
    <mergeCell ref="D10:M10"/>
    <mergeCell ref="D11:M11"/>
    <mergeCell ref="D12:M12"/>
    <mergeCell ref="B320:C322"/>
    <mergeCell ref="B323:C325"/>
    <mergeCell ref="B326:C328"/>
    <mergeCell ref="B319:C319"/>
    <mergeCell ref="B329:C331"/>
    <mergeCell ref="B305:B308"/>
    <mergeCell ref="B292:B296"/>
    <mergeCell ref="B298:B303"/>
    <mergeCell ref="B310:B312"/>
    <mergeCell ref="I123:L123"/>
    <mergeCell ref="I137:L137"/>
    <mergeCell ref="B172:L172"/>
    <mergeCell ref="H174:L174"/>
    <mergeCell ref="I189:L189"/>
    <mergeCell ref="I203:L203"/>
    <mergeCell ref="B40:L40"/>
    <mergeCell ref="H42:L42"/>
    <mergeCell ref="I57:L57"/>
    <mergeCell ref="I71:L71"/>
    <mergeCell ref="B106:L106"/>
    <mergeCell ref="H108:L108"/>
    <mergeCell ref="H368:H369"/>
    <mergeCell ref="B368:C368"/>
    <mergeCell ref="B370:C370"/>
    <mergeCell ref="B371:C371"/>
    <mergeCell ref="B372:C372"/>
    <mergeCell ref="D368:D369"/>
    <mergeCell ref="E368:E369"/>
    <mergeCell ref="F368:F369"/>
    <mergeCell ref="G368:G369"/>
  </mergeCells>
  <phoneticPr fontId="47" type="noConversion"/>
  <dataValidations disablePrompts="1" count="1">
    <dataValidation type="list" allowBlank="1" showInputMessage="1" showErrorMessage="1" sqref="D320:D334 B47:B54 B113:B120" xr:uid="{3B680EB6-AE6C-48FF-AE41-A16C5C0786D8}">
      <formula1>$B$5:$B$19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C88C-6172-42D4-9892-271A2CE6B1DF}">
  <dimension ref="C1:F16"/>
  <sheetViews>
    <sheetView workbookViewId="0">
      <selection activeCell="H2" sqref="H2"/>
    </sheetView>
  </sheetViews>
  <sheetFormatPr baseColWidth="10" defaultRowHeight="15" x14ac:dyDescent="0.25"/>
  <cols>
    <col min="2" max="2" width="7.7109375" customWidth="1"/>
    <col min="3" max="3" width="17.85546875" customWidth="1"/>
    <col min="4" max="4" width="13.5703125" customWidth="1"/>
    <col min="5" max="5" width="52.7109375" customWidth="1"/>
    <col min="6" max="6" width="19.85546875" customWidth="1"/>
  </cols>
  <sheetData>
    <row r="1" spans="3:6" x14ac:dyDescent="0.25">
      <c r="C1" s="211" t="s">
        <v>119</v>
      </c>
      <c r="D1" s="211" t="s">
        <v>226</v>
      </c>
      <c r="E1" s="212" t="s">
        <v>227</v>
      </c>
      <c r="F1" s="208" t="s">
        <v>210</v>
      </c>
    </row>
    <row r="2" spans="3:6" ht="156.75" customHeight="1" x14ac:dyDescent="0.25">
      <c r="C2" s="289" t="s">
        <v>108</v>
      </c>
      <c r="D2" s="213" t="s">
        <v>113</v>
      </c>
      <c r="E2" s="214"/>
      <c r="F2" s="209" t="s">
        <v>211</v>
      </c>
    </row>
    <row r="3" spans="3:6" ht="182.25" customHeight="1" x14ac:dyDescent="0.25">
      <c r="C3" s="289"/>
      <c r="D3" s="213" t="s">
        <v>228</v>
      </c>
      <c r="E3" s="214"/>
      <c r="F3" s="209" t="s">
        <v>212</v>
      </c>
    </row>
    <row r="4" spans="3:6" ht="216" customHeight="1" x14ac:dyDescent="0.25">
      <c r="C4" s="289"/>
      <c r="D4" s="213" t="s">
        <v>114</v>
      </c>
      <c r="E4" s="214"/>
      <c r="F4" s="209" t="s">
        <v>213</v>
      </c>
    </row>
    <row r="5" spans="3:6" ht="199.5" customHeight="1" x14ac:dyDescent="0.25">
      <c r="C5" s="289"/>
      <c r="D5" s="213" t="s">
        <v>112</v>
      </c>
      <c r="E5" s="214"/>
      <c r="F5" s="209" t="s">
        <v>214</v>
      </c>
    </row>
    <row r="6" spans="3:6" ht="147" customHeight="1" x14ac:dyDescent="0.25">
      <c r="C6" s="289"/>
      <c r="D6" s="213" t="s">
        <v>124</v>
      </c>
      <c r="E6" s="214"/>
      <c r="F6" s="210" t="s">
        <v>215</v>
      </c>
    </row>
    <row r="7" spans="3:6" ht="213.75" customHeight="1" x14ac:dyDescent="0.25">
      <c r="C7" s="290" t="s">
        <v>229</v>
      </c>
      <c r="D7" s="215" t="s">
        <v>230</v>
      </c>
      <c r="E7" s="216"/>
      <c r="F7" s="209" t="s">
        <v>216</v>
      </c>
    </row>
    <row r="8" spans="3:6" ht="227.25" customHeight="1" x14ac:dyDescent="0.25">
      <c r="C8" s="290"/>
      <c r="D8" s="217" t="s">
        <v>231</v>
      </c>
      <c r="E8" s="216"/>
      <c r="F8" s="209" t="s">
        <v>217</v>
      </c>
    </row>
    <row r="9" spans="3:6" ht="105" customHeight="1" x14ac:dyDescent="0.25">
      <c r="C9" s="290"/>
      <c r="D9" s="218" t="s">
        <v>149</v>
      </c>
      <c r="E9" s="216"/>
      <c r="F9" s="219" t="s">
        <v>218</v>
      </c>
    </row>
    <row r="10" spans="3:6" ht="213.75" customHeight="1" x14ac:dyDescent="0.25">
      <c r="C10" s="290"/>
      <c r="D10" s="217" t="s">
        <v>232</v>
      </c>
      <c r="E10" s="216"/>
      <c r="F10" s="209" t="s">
        <v>219</v>
      </c>
    </row>
    <row r="11" spans="3:6" ht="152.25" customHeight="1" x14ac:dyDescent="0.25">
      <c r="C11" s="290"/>
      <c r="D11" s="213" t="s">
        <v>147</v>
      </c>
      <c r="E11" s="216"/>
      <c r="F11" s="209" t="s">
        <v>220</v>
      </c>
    </row>
    <row r="12" spans="3:6" ht="166.5" customHeight="1" x14ac:dyDescent="0.25">
      <c r="C12" s="290"/>
      <c r="D12" s="218" t="s">
        <v>123</v>
      </c>
      <c r="E12" s="216"/>
      <c r="F12" s="209" t="s">
        <v>221</v>
      </c>
    </row>
    <row r="13" spans="3:6" ht="159.75" customHeight="1" x14ac:dyDescent="0.25">
      <c r="C13" s="289" t="s">
        <v>233</v>
      </c>
      <c r="D13" s="220" t="s">
        <v>234</v>
      </c>
      <c r="E13" s="216"/>
      <c r="F13" s="219" t="s">
        <v>222</v>
      </c>
    </row>
    <row r="14" spans="3:6" ht="157.5" customHeight="1" x14ac:dyDescent="0.25">
      <c r="C14" s="289"/>
      <c r="D14" s="218" t="s">
        <v>153</v>
      </c>
      <c r="E14" s="216"/>
      <c r="F14" s="209" t="s">
        <v>223</v>
      </c>
    </row>
    <row r="15" spans="3:6" ht="108" customHeight="1" x14ac:dyDescent="0.25">
      <c r="C15" s="289"/>
      <c r="D15" s="218" t="s">
        <v>152</v>
      </c>
      <c r="E15" s="216"/>
      <c r="F15" s="209" t="s">
        <v>224</v>
      </c>
    </row>
    <row r="16" spans="3:6" ht="148.5" customHeight="1" x14ac:dyDescent="0.25">
      <c r="C16" s="289"/>
      <c r="D16" s="218" t="s">
        <v>154</v>
      </c>
      <c r="E16" s="216"/>
      <c r="F16" s="221" t="s">
        <v>225</v>
      </c>
    </row>
  </sheetData>
  <mergeCells count="3">
    <mergeCell ref="C2:C6"/>
    <mergeCell ref="C7:C12"/>
    <mergeCell ref="C13:C16"/>
  </mergeCells>
  <hyperlinks>
    <hyperlink ref="F2" r:id="rId1" xr:uid="{FBFB840C-BB50-4DF7-A6BC-7323D603DBB2}"/>
    <hyperlink ref="F3" r:id="rId2" xr:uid="{94FE146E-BB0D-4282-9106-2FAC916E9857}"/>
    <hyperlink ref="F4" r:id="rId3" xr:uid="{D6ABF785-BD78-4809-9212-4B2076F5B17E}"/>
    <hyperlink ref="F5" r:id="rId4" xr:uid="{7074A75B-1F19-4AD8-B4FD-E75C6F6D95FD}"/>
    <hyperlink ref="F7" r:id="rId5" xr:uid="{9E10F872-783A-4E94-A7C2-7277486CBE4D}"/>
    <hyperlink ref="F8" r:id="rId6" xr:uid="{C285D398-5ED0-43EC-B80C-5A7CFF534F80}"/>
    <hyperlink ref="F9" r:id="rId7" location="searchVariation=MCO10687522&amp;position=1&amp;search_layout=stack&amp;type=product&amp;tracking_id=35299816-fd0a-4b75-b194-df64b740d1d3" xr:uid="{CCE4BFEF-5D84-48DA-B24E-9DF47EA10A38}"/>
    <hyperlink ref="F6" r:id="rId8" xr:uid="{2204AA05-7A89-42AF-A87B-26CB345AD0D5}"/>
    <hyperlink ref="F10" display="https://www.mercadolibre.com.co/impresora-multifuncion-hp-laserjet-432fdn-blanca-110v/p/MCO17006233?matt_tool=56249061&amp;matt_word=&amp;matt_source=google&amp;matt_campaign_id=14634237764&amp;matt_ad_group_id=153732147348&amp;matt_match_type=&amp;matt_network=g&amp;matt_device=c&amp;m" xr:uid="{56D91209-5DEE-410F-9478-FACE7B682C40}"/>
    <hyperlink ref="F11" display="https://www.alkosto.com/telefono-inalambrico-dect-panasonic-contestadoratgc360-negro/p/5025232842056?fuente=google&amp;medio=cpc&amp;campaign=AK_COL_MAX_PEF_CPC_AON_TLP_Panasonic_Mar20_EXP_MAR&amp;keyword=&amp;gclid=Cj0KCQjw27mhBhC9ARIsAIFsETHU54cHsbbpHF29XkyF4kMbDwX2Ajb" xr:uid="{240DE510-9DFE-4C6F-ABBF-B743B44CEB6D}"/>
    <hyperlink ref="F12" r:id="rId9" xr:uid="{61109E4C-6D76-4AD4-9940-557035097856}"/>
    <hyperlink ref="F13" r:id="rId10" xr:uid="{30B91AF3-D5D7-456A-81AF-6537B9B1459E}"/>
    <hyperlink ref="F14" r:id="rId11" xr:uid="{A3E0E77D-ADCF-4C6A-9DCB-F3029A5CD56F}"/>
    <hyperlink ref="F15" r:id="rId12" location="position=4&amp;search_layout=stack&amp;type=item&amp;tracking_id=7c4eba7d-f9c5-4e0c-aa3e-78188d0178de" xr:uid="{00D3E321-0F14-435A-A8D3-625B067D0297}"/>
    <hyperlink ref="F16" r:id="rId13" xr:uid="{3C766B7F-1650-4A9D-8BA0-8D2DD6E5180A}"/>
  </hyperlinks>
  <pageMargins left="0.7" right="0.7" top="0.75" bottom="0.75" header="0.3" footer="0.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B1B0-D4F0-45C9-97AB-705B31130C96}">
  <dimension ref="B1:K10"/>
  <sheetViews>
    <sheetView topLeftCell="E1" workbookViewId="0">
      <selection activeCell="B2" sqref="B2:K10"/>
    </sheetView>
  </sheetViews>
  <sheetFormatPr baseColWidth="10" defaultRowHeight="15" x14ac:dyDescent="0.25"/>
  <sheetData>
    <row r="1" spans="2:11" ht="15.75" thickBot="1" x14ac:dyDescent="0.3"/>
    <row r="2" spans="2:11" ht="15.75" thickBot="1" x14ac:dyDescent="0.3">
      <c r="B2" s="305" t="s">
        <v>256</v>
      </c>
      <c r="C2" s="305"/>
      <c r="D2" s="305"/>
      <c r="E2" s="305"/>
      <c r="F2" s="305"/>
      <c r="G2" s="305"/>
      <c r="H2" s="305" t="s">
        <v>257</v>
      </c>
      <c r="I2" s="305"/>
      <c r="J2" s="305"/>
      <c r="K2" s="305"/>
    </row>
    <row r="3" spans="2:11" ht="48.75" thickBot="1" x14ac:dyDescent="0.3">
      <c r="B3" s="298"/>
      <c r="C3" s="298" t="s">
        <v>258</v>
      </c>
      <c r="D3" s="298" t="s">
        <v>259</v>
      </c>
      <c r="E3" s="298" t="s">
        <v>260</v>
      </c>
      <c r="F3" s="298" t="s">
        <v>261</v>
      </c>
      <c r="G3" s="299" t="s">
        <v>262</v>
      </c>
      <c r="H3" s="299">
        <v>2025</v>
      </c>
      <c r="I3" s="299">
        <v>2026</v>
      </c>
      <c r="J3" s="299">
        <v>2027</v>
      </c>
      <c r="K3" s="299">
        <v>2028</v>
      </c>
    </row>
    <row r="4" spans="2:11" ht="24.75" thickBot="1" x14ac:dyDescent="0.3">
      <c r="B4" s="300">
        <v>1</v>
      </c>
      <c r="C4" s="301" t="s">
        <v>263</v>
      </c>
      <c r="D4" s="302">
        <v>3</v>
      </c>
      <c r="E4" s="303">
        <v>310000000</v>
      </c>
      <c r="F4" s="303">
        <v>930000000</v>
      </c>
      <c r="G4" s="304">
        <v>0.99</v>
      </c>
      <c r="H4" s="304">
        <v>0.34</v>
      </c>
      <c r="I4" s="304">
        <v>0.34</v>
      </c>
      <c r="J4" s="304">
        <v>0.34</v>
      </c>
      <c r="K4" s="304">
        <v>0.34</v>
      </c>
    </row>
    <row r="5" spans="2:11" ht="120.75" thickBot="1" x14ac:dyDescent="0.3">
      <c r="B5" s="300">
        <v>2</v>
      </c>
      <c r="C5" s="301" t="s">
        <v>170</v>
      </c>
      <c r="D5" s="302">
        <v>1</v>
      </c>
      <c r="E5" s="303">
        <v>3000000</v>
      </c>
      <c r="F5" s="303">
        <v>3000000</v>
      </c>
      <c r="G5" s="304">
        <v>0</v>
      </c>
      <c r="H5" s="304">
        <v>0.2</v>
      </c>
      <c r="I5" s="304">
        <v>0.2</v>
      </c>
      <c r="J5" s="304">
        <v>0.2</v>
      </c>
      <c r="K5" s="304">
        <v>0.2</v>
      </c>
    </row>
    <row r="6" spans="2:11" ht="48.75" thickBot="1" x14ac:dyDescent="0.3">
      <c r="B6" s="300">
        <v>3</v>
      </c>
      <c r="C6" s="301" t="s">
        <v>171</v>
      </c>
      <c r="D6" s="302">
        <v>1</v>
      </c>
      <c r="E6" s="303">
        <v>3000000</v>
      </c>
      <c r="F6" s="303">
        <v>3000000</v>
      </c>
      <c r="G6" s="304">
        <v>0</v>
      </c>
      <c r="H6" s="304">
        <v>0.2</v>
      </c>
      <c r="I6" s="304">
        <v>0.2</v>
      </c>
      <c r="J6" s="304">
        <v>0.2</v>
      </c>
      <c r="K6" s="304">
        <v>0.2</v>
      </c>
    </row>
    <row r="7" spans="2:11" ht="24.75" thickBot="1" x14ac:dyDescent="0.3">
      <c r="B7" s="300">
        <v>4</v>
      </c>
      <c r="C7" s="301" t="s">
        <v>172</v>
      </c>
      <c r="D7" s="302">
        <v>1</v>
      </c>
      <c r="E7" s="303">
        <v>500000</v>
      </c>
      <c r="F7" s="303">
        <v>500000</v>
      </c>
      <c r="G7" s="304">
        <v>0</v>
      </c>
      <c r="H7" s="304">
        <v>0.2</v>
      </c>
      <c r="I7" s="304">
        <v>0.3</v>
      </c>
      <c r="J7" s="304">
        <v>0.4</v>
      </c>
      <c r="K7" s="304">
        <v>0.5</v>
      </c>
    </row>
    <row r="8" spans="2:11" ht="48.75" thickBot="1" x14ac:dyDescent="0.3">
      <c r="B8" s="300">
        <v>5</v>
      </c>
      <c r="C8" s="301" t="s">
        <v>173</v>
      </c>
      <c r="D8" s="302">
        <v>1</v>
      </c>
      <c r="E8" s="303">
        <v>1200000</v>
      </c>
      <c r="F8" s="303">
        <v>1200000</v>
      </c>
      <c r="G8" s="304">
        <v>0</v>
      </c>
      <c r="H8" s="304">
        <v>2</v>
      </c>
      <c r="I8" s="304">
        <v>4</v>
      </c>
      <c r="J8" s="304">
        <v>4</v>
      </c>
      <c r="K8" s="304">
        <v>4</v>
      </c>
    </row>
    <row r="9" spans="2:11" ht="15.75" thickBot="1" x14ac:dyDescent="0.3">
      <c r="B9" s="300">
        <v>6</v>
      </c>
      <c r="C9" s="301" t="s">
        <v>174</v>
      </c>
      <c r="D9" s="302">
        <v>1</v>
      </c>
      <c r="E9" s="303">
        <v>500000</v>
      </c>
      <c r="F9" s="303">
        <v>500000</v>
      </c>
      <c r="G9" s="304">
        <v>0</v>
      </c>
      <c r="H9" s="304">
        <v>0.2</v>
      </c>
      <c r="I9" s="304">
        <v>0.2</v>
      </c>
      <c r="J9" s="304">
        <v>0.2</v>
      </c>
      <c r="K9" s="304">
        <v>0.2</v>
      </c>
    </row>
    <row r="10" spans="2:11" ht="15.75" thickBot="1" x14ac:dyDescent="0.3">
      <c r="B10" s="301"/>
      <c r="C10" s="301"/>
      <c r="D10" s="301"/>
      <c r="E10" s="301" t="s">
        <v>264</v>
      </c>
      <c r="F10" s="303">
        <v>938200000</v>
      </c>
      <c r="G10" s="304">
        <v>1</v>
      </c>
      <c r="H10" s="302"/>
      <c r="I10" s="302"/>
      <c r="J10" s="302"/>
      <c r="K10" s="302"/>
    </row>
  </sheetData>
  <mergeCells count="2">
    <mergeCell ref="B2:G2"/>
    <mergeCell ref="H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0FE5-1B25-47D7-B9BF-39AD7B48467F}">
  <dimension ref="B2:C9"/>
  <sheetViews>
    <sheetView workbookViewId="0">
      <selection activeCell="F18" sqref="F18"/>
    </sheetView>
  </sheetViews>
  <sheetFormatPr baseColWidth="10" defaultRowHeight="15" x14ac:dyDescent="0.25"/>
  <cols>
    <col min="2" max="2" width="17.42578125" customWidth="1"/>
    <col min="3" max="3" width="14.42578125" customWidth="1"/>
  </cols>
  <sheetData>
    <row r="2" spans="2:3" x14ac:dyDescent="0.25">
      <c r="B2" s="307" t="s">
        <v>265</v>
      </c>
      <c r="C2" s="307" t="s">
        <v>266</v>
      </c>
    </row>
    <row r="3" spans="2:3" x14ac:dyDescent="0.25">
      <c r="B3" s="307"/>
      <c r="C3" s="307"/>
    </row>
    <row r="4" spans="2:3" x14ac:dyDescent="0.25">
      <c r="B4" s="308" t="s">
        <v>267</v>
      </c>
      <c r="C4" s="309">
        <v>74530476</v>
      </c>
    </row>
    <row r="5" spans="2:3" x14ac:dyDescent="0.25">
      <c r="B5" s="308"/>
      <c r="C5" s="309"/>
    </row>
    <row r="6" spans="2:3" x14ac:dyDescent="0.25">
      <c r="B6" s="310" t="s">
        <v>268</v>
      </c>
      <c r="C6" s="311">
        <v>0</v>
      </c>
    </row>
    <row r="7" spans="2:3" x14ac:dyDescent="0.25">
      <c r="B7" s="291" t="s">
        <v>270</v>
      </c>
      <c r="C7" s="309">
        <v>30564156</v>
      </c>
    </row>
    <row r="8" spans="2:3" x14ac:dyDescent="0.25">
      <c r="B8" s="291"/>
      <c r="C8" s="309"/>
    </row>
    <row r="9" spans="2:3" x14ac:dyDescent="0.25">
      <c r="B9" s="313" t="s">
        <v>269</v>
      </c>
      <c r="C9" s="312">
        <v>105094632</v>
      </c>
    </row>
  </sheetData>
  <mergeCells count="6">
    <mergeCell ref="B2:B3"/>
    <mergeCell ref="C2:C3"/>
    <mergeCell ref="B4:B5"/>
    <mergeCell ref="B7:B8"/>
    <mergeCell ref="C7:C8"/>
    <mergeCell ref="C4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DC4E-A607-4769-83D9-F5E7EE3AFD51}">
  <dimension ref="B2:E11"/>
  <sheetViews>
    <sheetView workbookViewId="0">
      <selection activeCell="H11" sqref="H11"/>
    </sheetView>
  </sheetViews>
  <sheetFormatPr baseColWidth="10" defaultRowHeight="15" x14ac:dyDescent="0.25"/>
  <cols>
    <col min="2" max="2" width="24.140625" customWidth="1"/>
  </cols>
  <sheetData>
    <row r="2" spans="2:5" x14ac:dyDescent="0.25">
      <c r="B2" s="319" t="s">
        <v>272</v>
      </c>
      <c r="C2" s="319" t="s">
        <v>41</v>
      </c>
      <c r="D2" s="319" t="s">
        <v>271</v>
      </c>
      <c r="E2" s="319" t="s">
        <v>14</v>
      </c>
    </row>
    <row r="3" spans="2:5" ht="30" customHeight="1" x14ac:dyDescent="0.25">
      <c r="B3" s="314" t="s">
        <v>135</v>
      </c>
      <c r="C3" s="315">
        <v>600000</v>
      </c>
      <c r="D3" s="316">
        <v>12</v>
      </c>
      <c r="E3" s="315">
        <v>7200000</v>
      </c>
    </row>
    <row r="4" spans="2:5" ht="30" customHeight="1" x14ac:dyDescent="0.25">
      <c r="B4" s="314" t="s">
        <v>141</v>
      </c>
      <c r="C4" s="315">
        <v>600000</v>
      </c>
      <c r="D4" s="316">
        <v>12</v>
      </c>
      <c r="E4" s="315">
        <v>7200000</v>
      </c>
    </row>
    <row r="5" spans="2:5" ht="30" customHeight="1" x14ac:dyDescent="0.25">
      <c r="B5" s="314" t="s">
        <v>142</v>
      </c>
      <c r="C5" s="315">
        <v>600000</v>
      </c>
      <c r="D5" s="316">
        <v>12</v>
      </c>
      <c r="E5" s="315">
        <v>7200000</v>
      </c>
    </row>
    <row r="6" spans="2:5" ht="30" customHeight="1" x14ac:dyDescent="0.25">
      <c r="B6" s="314" t="s">
        <v>139</v>
      </c>
      <c r="C6" s="315">
        <v>200000</v>
      </c>
      <c r="D6" s="316">
        <v>12</v>
      </c>
      <c r="E6" s="315">
        <v>2400000</v>
      </c>
    </row>
    <row r="7" spans="2:5" ht="30" customHeight="1" x14ac:dyDescent="0.25">
      <c r="B7" s="314" t="s">
        <v>143</v>
      </c>
      <c r="C7" s="315">
        <v>30000</v>
      </c>
      <c r="D7" s="316">
        <v>12</v>
      </c>
      <c r="E7" s="315">
        <v>360000</v>
      </c>
    </row>
    <row r="8" spans="2:5" ht="30" customHeight="1" x14ac:dyDescent="0.25">
      <c r="B8" s="314" t="s">
        <v>17</v>
      </c>
      <c r="C8" s="315">
        <v>50000</v>
      </c>
      <c r="D8" s="316">
        <v>12</v>
      </c>
      <c r="E8" s="315">
        <v>600000</v>
      </c>
    </row>
    <row r="9" spans="2:5" ht="30" customHeight="1" x14ac:dyDescent="0.25">
      <c r="B9" s="314" t="s">
        <v>20</v>
      </c>
      <c r="C9" s="315">
        <v>100000</v>
      </c>
      <c r="D9" s="316">
        <v>12</v>
      </c>
      <c r="E9" s="315">
        <v>1200000</v>
      </c>
    </row>
    <row r="10" spans="2:5" ht="30" customHeight="1" x14ac:dyDescent="0.25">
      <c r="B10" s="314" t="s">
        <v>19</v>
      </c>
      <c r="C10" s="315">
        <v>61090.972222222219</v>
      </c>
      <c r="D10" s="316">
        <v>12</v>
      </c>
      <c r="E10" s="315">
        <v>733091.66666666686</v>
      </c>
    </row>
    <row r="11" spans="2:5" ht="30" customHeight="1" x14ac:dyDescent="0.25">
      <c r="B11" s="317" t="s">
        <v>14</v>
      </c>
      <c r="C11" s="318"/>
      <c r="D11" s="318"/>
      <c r="E11" s="318">
        <v>26893091.666666668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E504-64D1-4718-A923-D0908E41683B}">
  <dimension ref="B2:H22"/>
  <sheetViews>
    <sheetView topLeftCell="A9" workbookViewId="0">
      <selection activeCell="G25" sqref="G25"/>
    </sheetView>
  </sheetViews>
  <sheetFormatPr baseColWidth="10" defaultRowHeight="12.75" x14ac:dyDescent="0.2"/>
  <cols>
    <col min="1" max="1" width="11.42578125" style="331"/>
    <col min="2" max="8" width="17.7109375" style="331" customWidth="1"/>
    <col min="9" max="16384" width="11.42578125" style="331"/>
  </cols>
  <sheetData>
    <row r="2" spans="2:8" x14ac:dyDescent="0.2">
      <c r="B2" s="320" t="s">
        <v>273</v>
      </c>
      <c r="C2" s="320"/>
      <c r="D2" s="320"/>
      <c r="E2" s="320"/>
      <c r="F2" s="320"/>
      <c r="G2" s="320"/>
      <c r="H2" s="320"/>
    </row>
    <row r="3" spans="2:8" x14ac:dyDescent="0.2">
      <c r="B3" s="321"/>
      <c r="C3" s="322" t="s">
        <v>274</v>
      </c>
      <c r="D3" s="322">
        <v>2024</v>
      </c>
      <c r="E3" s="322">
        <v>2025</v>
      </c>
      <c r="F3" s="322">
        <v>2026</v>
      </c>
      <c r="G3" s="322">
        <v>2027</v>
      </c>
      <c r="H3" s="322">
        <v>2028</v>
      </c>
    </row>
    <row r="4" spans="2:8" x14ac:dyDescent="0.2">
      <c r="B4" s="323" t="s">
        <v>275</v>
      </c>
      <c r="C4" s="323"/>
      <c r="D4" s="323"/>
      <c r="E4" s="323"/>
      <c r="F4" s="323"/>
      <c r="G4" s="323"/>
      <c r="H4" s="323"/>
    </row>
    <row r="5" spans="2:8" x14ac:dyDescent="0.2">
      <c r="B5" s="321" t="s">
        <v>276</v>
      </c>
      <c r="C5" s="324">
        <v>293451242.92860812</v>
      </c>
      <c r="D5" s="324">
        <v>123462763.36903489</v>
      </c>
      <c r="E5" s="324">
        <v>220269337.59513631</v>
      </c>
      <c r="F5" s="324">
        <v>329936962.15951759</v>
      </c>
      <c r="G5" s="324">
        <v>553698203.5448333</v>
      </c>
      <c r="H5" s="324">
        <v>1168727640.8599145</v>
      </c>
    </row>
    <row r="6" spans="2:8" ht="25.5" x14ac:dyDescent="0.2">
      <c r="B6" s="321" t="s">
        <v>277</v>
      </c>
      <c r="C6" s="324">
        <v>0</v>
      </c>
      <c r="D6" s="324">
        <v>0</v>
      </c>
      <c r="E6" s="324">
        <v>0</v>
      </c>
      <c r="F6" s="324">
        <v>0</v>
      </c>
      <c r="G6" s="324">
        <v>0</v>
      </c>
      <c r="H6" s="324">
        <v>0</v>
      </c>
    </row>
    <row r="7" spans="2:8" ht="25.5" x14ac:dyDescent="0.2">
      <c r="B7" s="321" t="s">
        <v>278</v>
      </c>
      <c r="C7" s="324">
        <v>27934818</v>
      </c>
      <c r="D7" s="324">
        <v>27934818</v>
      </c>
      <c r="E7" s="324">
        <v>27934818</v>
      </c>
      <c r="F7" s="324">
        <v>27934818</v>
      </c>
      <c r="G7" s="324">
        <v>27934818</v>
      </c>
      <c r="H7" s="324">
        <v>27934818</v>
      </c>
    </row>
    <row r="8" spans="2:8" ht="25.5" x14ac:dyDescent="0.2">
      <c r="B8" s="321" t="s">
        <v>279</v>
      </c>
      <c r="C8" s="324">
        <v>0</v>
      </c>
      <c r="D8" s="324">
        <v>5586963.5999999996</v>
      </c>
      <c r="E8" s="324">
        <v>11173927.199999999</v>
      </c>
      <c r="F8" s="324">
        <v>16760890.799999999</v>
      </c>
      <c r="G8" s="324">
        <v>22347854.399999999</v>
      </c>
      <c r="H8" s="324">
        <v>27934818</v>
      </c>
    </row>
    <row r="9" spans="2:8" ht="25.5" x14ac:dyDescent="0.2">
      <c r="B9" s="321" t="s">
        <v>280</v>
      </c>
      <c r="C9" s="324">
        <v>27934818</v>
      </c>
      <c r="D9" s="324">
        <v>22347854.399999999</v>
      </c>
      <c r="E9" s="324">
        <v>16760890.800000001</v>
      </c>
      <c r="F9" s="324">
        <v>11173927.200000001</v>
      </c>
      <c r="G9" s="324">
        <v>5586963.6000000015</v>
      </c>
      <c r="H9" s="324">
        <v>0</v>
      </c>
    </row>
    <row r="10" spans="2:8" ht="13.5" thickBot="1" x14ac:dyDescent="0.25">
      <c r="B10" s="325" t="s">
        <v>281</v>
      </c>
      <c r="C10" s="326">
        <v>321386060.92860812</v>
      </c>
      <c r="D10" s="326">
        <v>145810617.76903489</v>
      </c>
      <c r="E10" s="326">
        <v>237030228.39513633</v>
      </c>
      <c r="F10" s="326">
        <v>341110889.35951757</v>
      </c>
      <c r="G10" s="326">
        <v>559285167.14483333</v>
      </c>
      <c r="H10" s="326">
        <v>1168727640.8599145</v>
      </c>
    </row>
    <row r="11" spans="2:8" ht="13.5" thickTop="1" x14ac:dyDescent="0.2">
      <c r="B11" s="323" t="s">
        <v>282</v>
      </c>
      <c r="C11" s="323"/>
      <c r="D11" s="323"/>
      <c r="E11" s="323"/>
      <c r="F11" s="323"/>
      <c r="G11" s="323"/>
      <c r="H11" s="323"/>
    </row>
    <row r="12" spans="2:8" ht="25.5" x14ac:dyDescent="0.2">
      <c r="B12" s="321" t="s">
        <v>283</v>
      </c>
      <c r="C12" s="321">
        <v>0</v>
      </c>
      <c r="D12" s="327">
        <v>0</v>
      </c>
      <c r="E12" s="327">
        <v>3471634.6281922208</v>
      </c>
      <c r="F12" s="327">
        <v>60975038.205705911</v>
      </c>
      <c r="G12" s="327">
        <v>162204738.67374313</v>
      </c>
      <c r="H12" s="327">
        <v>404854674.30097008</v>
      </c>
    </row>
    <row r="13" spans="2:8" ht="25.5" x14ac:dyDescent="0.2">
      <c r="B13" s="321" t="s">
        <v>284</v>
      </c>
      <c r="C13" s="327">
        <v>0</v>
      </c>
      <c r="D13" s="327">
        <v>0</v>
      </c>
      <c r="E13" s="327">
        <v>3471634.6281922208</v>
      </c>
      <c r="F13" s="327">
        <v>60975038.205705911</v>
      </c>
      <c r="G13" s="327">
        <v>162204738.67374313</v>
      </c>
      <c r="H13" s="327">
        <v>404854674.30097008</v>
      </c>
    </row>
    <row r="14" spans="2:8" ht="25.5" x14ac:dyDescent="0.2">
      <c r="B14" s="321" t="s">
        <v>285</v>
      </c>
      <c r="C14" s="328">
        <v>309386060.92860812</v>
      </c>
      <c r="D14" s="328">
        <v>266140745.05061683</v>
      </c>
      <c r="E14" s="328">
        <v>215111272.31458712</v>
      </c>
      <c r="F14" s="328">
        <v>154896494.48607206</v>
      </c>
      <c r="G14" s="328">
        <v>83843056.648424298</v>
      </c>
      <c r="H14" s="328">
        <v>0</v>
      </c>
    </row>
    <row r="15" spans="2:8" ht="13.5" thickBot="1" x14ac:dyDescent="0.25">
      <c r="B15" s="325" t="s">
        <v>282</v>
      </c>
      <c r="C15" s="326">
        <v>309386060.92860812</v>
      </c>
      <c r="D15" s="326">
        <v>266140745.05061683</v>
      </c>
      <c r="E15" s="326">
        <v>218582906.94277933</v>
      </c>
      <c r="F15" s="326">
        <v>215871532.69177797</v>
      </c>
      <c r="G15" s="326">
        <v>246047795.32216743</v>
      </c>
      <c r="H15" s="326">
        <v>404854674.30097008</v>
      </c>
    </row>
    <row r="16" spans="2:8" ht="13.5" thickTop="1" x14ac:dyDescent="0.2">
      <c r="B16" s="323" t="s">
        <v>286</v>
      </c>
      <c r="C16" s="323"/>
      <c r="D16" s="323"/>
      <c r="E16" s="323"/>
      <c r="F16" s="323"/>
      <c r="G16" s="323"/>
      <c r="H16" s="323"/>
    </row>
    <row r="17" spans="2:8" x14ac:dyDescent="0.2">
      <c r="B17" s="321" t="s">
        <v>287</v>
      </c>
      <c r="C17" s="324">
        <v>12000000</v>
      </c>
      <c r="D17" s="324">
        <v>12000000</v>
      </c>
      <c r="E17" s="324">
        <v>12000000</v>
      </c>
      <c r="F17" s="324">
        <v>12000000</v>
      </c>
      <c r="G17" s="324">
        <v>12000000</v>
      </c>
      <c r="H17" s="324">
        <v>12000000</v>
      </c>
    </row>
    <row r="18" spans="2:8" ht="25.5" x14ac:dyDescent="0.2">
      <c r="B18" s="321" t="s">
        <v>288</v>
      </c>
      <c r="C18" s="321">
        <v>0</v>
      </c>
      <c r="D18" s="327">
        <v>-132330127.28158194</v>
      </c>
      <c r="E18" s="327">
        <v>6447321.452356982</v>
      </c>
      <c r="F18" s="327">
        <v>113239356.66773957</v>
      </c>
      <c r="G18" s="327">
        <v>301237371.82266587</v>
      </c>
      <c r="H18" s="327">
        <v>751872966.55894446</v>
      </c>
    </row>
    <row r="19" spans="2:8" ht="26.25" thickBot="1" x14ac:dyDescent="0.25">
      <c r="B19" s="325" t="s">
        <v>289</v>
      </c>
      <c r="C19" s="326">
        <v>12000000</v>
      </c>
      <c r="D19" s="326">
        <v>-120330127.28158194</v>
      </c>
      <c r="E19" s="326">
        <v>18447321.452356983</v>
      </c>
      <c r="F19" s="326">
        <v>125239356.66773957</v>
      </c>
      <c r="G19" s="326">
        <v>313237371.82266587</v>
      </c>
      <c r="H19" s="326">
        <v>763872966.55894446</v>
      </c>
    </row>
    <row r="20" spans="2:8" ht="13.5" thickTop="1" x14ac:dyDescent="0.2">
      <c r="B20" s="321"/>
      <c r="C20" s="321"/>
      <c r="D20" s="321"/>
      <c r="E20" s="321"/>
      <c r="F20" s="321"/>
      <c r="G20" s="321"/>
      <c r="H20" s="321"/>
    </row>
    <row r="21" spans="2:8" ht="26.25" thickBot="1" x14ac:dyDescent="0.25">
      <c r="B21" s="325" t="s">
        <v>290</v>
      </c>
      <c r="C21" s="326">
        <v>321386060.92860812</v>
      </c>
      <c r="D21" s="326">
        <v>145810617.76903489</v>
      </c>
      <c r="E21" s="326">
        <v>237030228.39513633</v>
      </c>
      <c r="F21" s="326">
        <v>341110889.35951757</v>
      </c>
      <c r="G21" s="326">
        <v>559285167.14483333</v>
      </c>
      <c r="H21" s="326">
        <v>1168727640.8599145</v>
      </c>
    </row>
    <row r="22" spans="2:8" ht="26.25" thickTop="1" x14ac:dyDescent="0.2">
      <c r="B22" s="329" t="s">
        <v>291</v>
      </c>
      <c r="C22" s="330">
        <v>0</v>
      </c>
      <c r="D22" s="330">
        <v>0</v>
      </c>
      <c r="E22" s="330">
        <v>0</v>
      </c>
      <c r="F22" s="330">
        <v>0</v>
      </c>
      <c r="G22" s="330">
        <v>0</v>
      </c>
      <c r="H22" s="330">
        <v>0</v>
      </c>
    </row>
  </sheetData>
  <mergeCells count="4">
    <mergeCell ref="B2:H2"/>
    <mergeCell ref="B4:H4"/>
    <mergeCell ref="B11:H11"/>
    <mergeCell ref="B16:H16"/>
  </mergeCells>
  <conditionalFormatting sqref="C5:H5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DD64-72DD-42D5-8258-7E9ED1589166}">
  <dimension ref="B2:H22"/>
  <sheetViews>
    <sheetView topLeftCell="A7" workbookViewId="0">
      <selection activeCell="B16" sqref="B16:G21"/>
    </sheetView>
  </sheetViews>
  <sheetFormatPr baseColWidth="10" defaultRowHeight="15" x14ac:dyDescent="0.25"/>
  <cols>
    <col min="2" max="2" width="21.85546875" customWidth="1"/>
    <col min="3" max="6" width="15.7109375" customWidth="1"/>
    <col min="7" max="7" width="17.7109375" customWidth="1"/>
    <col min="8" max="8" width="16.7109375" customWidth="1"/>
  </cols>
  <sheetData>
    <row r="2" spans="2:8" ht="15.75" x14ac:dyDescent="0.25">
      <c r="B2" s="336" t="s">
        <v>292</v>
      </c>
      <c r="C2" s="336"/>
      <c r="D2" s="336"/>
      <c r="E2" s="336"/>
      <c r="F2" s="336"/>
      <c r="G2" s="336"/>
      <c r="H2" s="336"/>
    </row>
    <row r="3" spans="2:8" ht="15.75" x14ac:dyDescent="0.25">
      <c r="B3" s="345" t="s">
        <v>293</v>
      </c>
      <c r="C3" s="345"/>
      <c r="D3" s="345"/>
      <c r="E3" s="345"/>
      <c r="F3" s="345"/>
      <c r="G3" s="345"/>
      <c r="H3" s="345"/>
    </row>
    <row r="4" spans="2:8" ht="15.75" x14ac:dyDescent="0.25">
      <c r="B4" s="346"/>
      <c r="C4" s="347" t="s">
        <v>274</v>
      </c>
      <c r="D4" s="347">
        <v>2024</v>
      </c>
      <c r="E4" s="347">
        <v>2025</v>
      </c>
      <c r="F4" s="347">
        <v>2026</v>
      </c>
      <c r="G4" s="347">
        <v>2027</v>
      </c>
      <c r="H4" s="347">
        <v>2028</v>
      </c>
    </row>
    <row r="5" spans="2:8" x14ac:dyDescent="0.25">
      <c r="B5" s="337" t="s">
        <v>294</v>
      </c>
      <c r="C5" s="338">
        <v>293451242.92860812</v>
      </c>
      <c r="D5" s="338">
        <v>123462763.36903489</v>
      </c>
      <c r="E5" s="338">
        <v>220269337.59513631</v>
      </c>
      <c r="F5" s="338">
        <v>329936962.15951759</v>
      </c>
      <c r="G5" s="338">
        <v>553698203.5448333</v>
      </c>
      <c r="H5" s="338">
        <v>1168727640.8599145</v>
      </c>
    </row>
    <row r="6" spans="2:8" ht="15.75" thickBot="1" x14ac:dyDescent="0.3">
      <c r="B6" s="339" t="s">
        <v>295</v>
      </c>
      <c r="C6" s="340">
        <v>0</v>
      </c>
      <c r="D6" s="340">
        <v>0</v>
      </c>
      <c r="E6" s="340">
        <v>3471634.6281922208</v>
      </c>
      <c r="F6" s="340">
        <v>60975038.205705911</v>
      </c>
      <c r="G6" s="340">
        <v>162204738.67374313</v>
      </c>
      <c r="H6" s="340">
        <v>404854674.30097008</v>
      </c>
    </row>
    <row r="7" spans="2:8" ht="15.75" thickTop="1" x14ac:dyDescent="0.25">
      <c r="B7" s="341" t="s">
        <v>296</v>
      </c>
      <c r="C7" s="334">
        <v>293451242.92860812</v>
      </c>
      <c r="D7" s="334">
        <v>123462763.36903489</v>
      </c>
      <c r="E7" s="334">
        <v>216797702.9669441</v>
      </c>
      <c r="F7" s="334">
        <v>268961923.95381165</v>
      </c>
      <c r="G7" s="334">
        <v>391493464.87109017</v>
      </c>
      <c r="H7" s="334">
        <v>763872966.55894446</v>
      </c>
    </row>
    <row r="8" spans="2:8" x14ac:dyDescent="0.25">
      <c r="B8" s="337"/>
      <c r="C8" s="338"/>
      <c r="D8" s="338"/>
      <c r="E8" s="338"/>
      <c r="F8" s="338"/>
      <c r="G8" s="338"/>
      <c r="H8" s="338"/>
    </row>
    <row r="9" spans="2:8" x14ac:dyDescent="0.25">
      <c r="B9" s="342" t="s">
        <v>297</v>
      </c>
      <c r="C9" s="338">
        <v>27934818</v>
      </c>
      <c r="D9" s="338">
        <v>22347854.399999999</v>
      </c>
      <c r="E9" s="338">
        <v>16760890.800000001</v>
      </c>
      <c r="F9" s="338">
        <v>11173927.200000001</v>
      </c>
      <c r="G9" s="338">
        <v>5586963.6000000015</v>
      </c>
      <c r="H9" s="338">
        <v>0</v>
      </c>
    </row>
    <row r="10" spans="2:8" ht="15.75" thickBot="1" x14ac:dyDescent="0.3">
      <c r="B10" s="339" t="s">
        <v>298</v>
      </c>
      <c r="C10" s="340">
        <v>0</v>
      </c>
      <c r="D10" s="340">
        <v>5586963.5999999996</v>
      </c>
      <c r="E10" s="340">
        <v>11173927.199999999</v>
      </c>
      <c r="F10" s="340">
        <v>16760890.799999999</v>
      </c>
      <c r="G10" s="340">
        <v>22347854.399999999</v>
      </c>
      <c r="H10" s="340">
        <v>27934818</v>
      </c>
    </row>
    <row r="11" spans="2:8" ht="15.75" thickTop="1" x14ac:dyDescent="0.25">
      <c r="B11" s="341" t="s">
        <v>299</v>
      </c>
      <c r="C11" s="334">
        <v>27934818</v>
      </c>
      <c r="D11" s="334">
        <v>27934818</v>
      </c>
      <c r="E11" s="334">
        <v>27934818</v>
      </c>
      <c r="F11" s="334">
        <v>27934818</v>
      </c>
      <c r="G11" s="334">
        <v>27934818</v>
      </c>
      <c r="H11" s="334">
        <v>27934818</v>
      </c>
    </row>
    <row r="12" spans="2:8" x14ac:dyDescent="0.25">
      <c r="B12" s="339"/>
      <c r="C12" s="343"/>
      <c r="D12" s="343"/>
      <c r="E12" s="343"/>
      <c r="F12" s="343"/>
      <c r="G12" s="343"/>
      <c r="H12" s="343"/>
    </row>
    <row r="13" spans="2:8" ht="28.5" customHeight="1" thickBot="1" x14ac:dyDescent="0.3">
      <c r="B13" s="344" t="s">
        <v>300</v>
      </c>
      <c r="C13" s="335">
        <v>321386060.92860812</v>
      </c>
      <c r="D13" s="335">
        <v>145810617.76903489</v>
      </c>
      <c r="E13" s="335">
        <v>233558593.76694411</v>
      </c>
      <c r="F13" s="335">
        <v>280135851.15381163</v>
      </c>
      <c r="G13" s="335">
        <v>397080428.4710902</v>
      </c>
      <c r="H13" s="335">
        <v>763872966.55894446</v>
      </c>
    </row>
    <row r="14" spans="2:8" ht="15.75" thickTop="1" x14ac:dyDescent="0.25"/>
    <row r="16" spans="2:8" x14ac:dyDescent="0.25">
      <c r="B16" s="348" t="s">
        <v>301</v>
      </c>
      <c r="C16" s="348"/>
      <c r="D16" s="348"/>
      <c r="E16" s="348"/>
      <c r="F16" s="348"/>
      <c r="G16" s="348"/>
      <c r="H16" s="353"/>
    </row>
    <row r="17" spans="2:7" x14ac:dyDescent="0.25">
      <c r="B17" s="332" t="s">
        <v>302</v>
      </c>
      <c r="C17" s="349">
        <v>-76640636.314432472</v>
      </c>
      <c r="D17" s="349">
        <v>57824290.189660229</v>
      </c>
      <c r="E17" s="349">
        <v>212934423.89007115</v>
      </c>
      <c r="F17" s="349">
        <v>491323479.50390196</v>
      </c>
      <c r="G17" s="349">
        <v>1171819391.0566308</v>
      </c>
    </row>
    <row r="18" spans="2:7" ht="15.75" thickBot="1" x14ac:dyDescent="0.3">
      <c r="B18" s="332" t="s">
        <v>303</v>
      </c>
      <c r="C18" s="350">
        <v>-26824222.710051365</v>
      </c>
      <c r="D18" s="350">
        <v>20238501.566381078</v>
      </c>
      <c r="E18" s="350">
        <v>74527048.361524895</v>
      </c>
      <c r="F18" s="350">
        <v>171963217.82636568</v>
      </c>
      <c r="G18" s="350">
        <v>410136786.86982077</v>
      </c>
    </row>
    <row r="19" spans="2:7" ht="15.75" thickTop="1" x14ac:dyDescent="0.25">
      <c r="B19" s="333" t="s">
        <v>304</v>
      </c>
      <c r="C19" s="349">
        <v>-49816413.604381107</v>
      </c>
      <c r="D19" s="349">
        <v>37585788.623279154</v>
      </c>
      <c r="E19" s="349">
        <v>138407375.52854627</v>
      </c>
      <c r="F19" s="349">
        <v>319360261.67753625</v>
      </c>
      <c r="G19" s="349">
        <v>761682604.18681002</v>
      </c>
    </row>
    <row r="20" spans="2:7" ht="15.75" thickBot="1" x14ac:dyDescent="0.3">
      <c r="B20" s="332" t="s">
        <v>305</v>
      </c>
      <c r="C20" s="350">
        <v>175575443.15957323</v>
      </c>
      <c r="D20" s="350">
        <v>-87747975.997909218</v>
      </c>
      <c r="E20" s="350">
        <v>-46577257.386867523</v>
      </c>
      <c r="F20" s="350">
        <v>-116944577.31727856</v>
      </c>
      <c r="G20" s="350">
        <v>-366792538.08785427</v>
      </c>
    </row>
    <row r="21" spans="2:7" ht="30" customHeight="1" thickTop="1" thickBot="1" x14ac:dyDescent="0.3">
      <c r="B21" s="352" t="s">
        <v>306</v>
      </c>
      <c r="C21" s="351">
        <v>125759029.55519211</v>
      </c>
      <c r="D21" s="351">
        <v>-50162187.374630064</v>
      </c>
      <c r="E21" s="351">
        <v>91830118.141678751</v>
      </c>
      <c r="F21" s="351">
        <v>202415684.36025769</v>
      </c>
      <c r="G21" s="351">
        <v>394890066.09895575</v>
      </c>
    </row>
    <row r="22" spans="2:7" ht="15.75" thickTop="1" x14ac:dyDescent="0.25"/>
  </sheetData>
  <mergeCells count="3">
    <mergeCell ref="B2:H2"/>
    <mergeCell ref="B3:H3"/>
    <mergeCell ref="B16:G16"/>
  </mergeCells>
  <conditionalFormatting sqref="C21:G2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FCCE-B710-4615-B480-259BADCAB341}">
  <dimension ref="B2:P25"/>
  <sheetViews>
    <sheetView topLeftCell="A2" workbookViewId="0">
      <selection activeCell="I25" sqref="I25"/>
    </sheetView>
  </sheetViews>
  <sheetFormatPr baseColWidth="10" defaultRowHeight="15" x14ac:dyDescent="0.25"/>
  <cols>
    <col min="2" max="2" width="29.5703125" customWidth="1"/>
    <col min="3" max="3" width="24.140625" customWidth="1"/>
    <col min="8" max="8" width="16.7109375" customWidth="1"/>
    <col min="10" max="10" width="24.85546875" customWidth="1"/>
    <col min="11" max="11" width="15" customWidth="1"/>
    <col min="12" max="12" width="14.5703125" customWidth="1"/>
    <col min="13" max="13" width="15.42578125" customWidth="1"/>
    <col min="15" max="15" width="5.28515625" customWidth="1"/>
    <col min="16" max="16" width="12.5703125" bestFit="1" customWidth="1"/>
  </cols>
  <sheetData>
    <row r="2" spans="2:8" ht="16.5" customHeight="1" thickBot="1" x14ac:dyDescent="0.3">
      <c r="B2" s="354" t="s">
        <v>307</v>
      </c>
      <c r="C2" s="354"/>
    </row>
    <row r="3" spans="2:8" ht="27.75" customHeight="1" x14ac:dyDescent="0.3">
      <c r="B3" s="357" t="s">
        <v>308</v>
      </c>
      <c r="C3" s="355">
        <v>-321386060.92860812</v>
      </c>
      <c r="E3" s="359" t="s">
        <v>310</v>
      </c>
      <c r="F3" s="359"/>
      <c r="G3" s="359"/>
      <c r="H3" s="360">
        <v>0.2</v>
      </c>
    </row>
    <row r="4" spans="2:8" ht="18.75" x14ac:dyDescent="0.3">
      <c r="B4" s="358">
        <v>2024</v>
      </c>
      <c r="C4" s="356">
        <v>125759029.55519211</v>
      </c>
      <c r="E4" s="361" t="s">
        <v>309</v>
      </c>
      <c r="F4" s="361"/>
      <c r="G4" s="361"/>
      <c r="H4" s="362">
        <v>58033757.003799319</v>
      </c>
    </row>
    <row r="5" spans="2:8" ht="18.75" x14ac:dyDescent="0.3">
      <c r="B5" s="358">
        <v>2025</v>
      </c>
      <c r="C5" s="356">
        <v>-50162187.374630064</v>
      </c>
      <c r="E5" s="361" t="s">
        <v>312</v>
      </c>
      <c r="F5" s="361"/>
      <c r="G5" s="361"/>
      <c r="H5" s="363">
        <v>0.25706916064393326</v>
      </c>
    </row>
    <row r="6" spans="2:8" ht="18.75" x14ac:dyDescent="0.3">
      <c r="B6" s="358">
        <v>2026</v>
      </c>
      <c r="C6" s="356">
        <v>91830118.141678751</v>
      </c>
      <c r="E6" s="361" t="s">
        <v>313</v>
      </c>
      <c r="F6" s="361"/>
      <c r="G6" s="361"/>
      <c r="H6" s="364" t="s">
        <v>311</v>
      </c>
    </row>
    <row r="7" spans="2:8" ht="18.75" x14ac:dyDescent="0.3">
      <c r="B7" s="358">
        <v>2027</v>
      </c>
      <c r="C7" s="356">
        <v>202415684.36025769</v>
      </c>
    </row>
    <row r="17" spans="10:16" x14ac:dyDescent="0.25">
      <c r="J17" s="365" t="s">
        <v>314</v>
      </c>
      <c r="K17" s="365"/>
      <c r="L17" s="365"/>
      <c r="M17" s="365"/>
      <c r="N17" s="365"/>
      <c r="O17" s="365"/>
      <c r="P17" s="365"/>
    </row>
    <row r="18" spans="10:16" s="148" customFormat="1" ht="30" customHeight="1" x14ac:dyDescent="0.25">
      <c r="J18" s="366" t="s">
        <v>258</v>
      </c>
      <c r="K18" s="366" t="s">
        <v>315</v>
      </c>
      <c r="L18" s="366" t="s">
        <v>316</v>
      </c>
      <c r="M18" s="366" t="s">
        <v>317</v>
      </c>
      <c r="N18" s="366" t="s">
        <v>318</v>
      </c>
      <c r="O18" s="366"/>
      <c r="P18" s="366"/>
    </row>
    <row r="19" spans="10:16" s="148" customFormat="1" ht="30" customHeight="1" x14ac:dyDescent="0.25">
      <c r="J19" s="367" t="s">
        <v>263</v>
      </c>
      <c r="K19" s="368">
        <v>29589107.761855841</v>
      </c>
      <c r="L19" s="369">
        <v>0.99125985930505223</v>
      </c>
      <c r="M19" s="368">
        <v>29330494.7969792</v>
      </c>
      <c r="N19" s="370">
        <v>5.5589849612067699</v>
      </c>
      <c r="O19" s="295" t="s">
        <v>319</v>
      </c>
      <c r="P19" s="368">
        <v>310000000</v>
      </c>
    </row>
    <row r="20" spans="10:16" s="148" customFormat="1" ht="30" customHeight="1" x14ac:dyDescent="0.25">
      <c r="J20" s="367" t="s">
        <v>170</v>
      </c>
      <c r="K20" s="368">
        <v>855048</v>
      </c>
      <c r="L20" s="369">
        <v>3.1976124493711361E-3</v>
      </c>
      <c r="M20" s="368">
        <v>2734.1121296098913</v>
      </c>
      <c r="N20" s="370">
        <v>1.7932209552279896E-2</v>
      </c>
      <c r="O20" s="295" t="s">
        <v>319</v>
      </c>
      <c r="P20" s="368">
        <v>3000000</v>
      </c>
    </row>
    <row r="21" spans="10:16" s="148" customFormat="1" ht="30" customHeight="1" x14ac:dyDescent="0.25">
      <c r="J21" s="367" t="s">
        <v>171</v>
      </c>
      <c r="K21" s="368">
        <v>2342188</v>
      </c>
      <c r="L21" s="369">
        <v>3.1976124493711361E-3</v>
      </c>
      <c r="M21" s="368">
        <v>7489.4095075676823</v>
      </c>
      <c r="N21" s="370">
        <v>1.7932209552279896E-2</v>
      </c>
      <c r="O21" s="295" t="s">
        <v>319</v>
      </c>
      <c r="P21" s="368">
        <v>3000000</v>
      </c>
    </row>
    <row r="22" spans="10:16" s="148" customFormat="1" ht="30" customHeight="1" x14ac:dyDescent="0.25">
      <c r="J22" s="367" t="s">
        <v>172</v>
      </c>
      <c r="K22" s="368">
        <v>323508</v>
      </c>
      <c r="L22" s="369">
        <v>5.3293540822852271E-4</v>
      </c>
      <c r="M22" s="368">
        <v>172.40886804519292</v>
      </c>
      <c r="N22" s="370">
        <v>2.9887015920466498E-3</v>
      </c>
      <c r="O22" s="295" t="s">
        <v>319</v>
      </c>
      <c r="P22" s="368">
        <v>500000</v>
      </c>
    </row>
    <row r="23" spans="10:16" s="148" customFormat="1" ht="30" customHeight="1" x14ac:dyDescent="0.25">
      <c r="J23" s="367" t="s">
        <v>173</v>
      </c>
      <c r="K23" s="368">
        <v>950855</v>
      </c>
      <c r="L23" s="369">
        <v>1.2790449797484545E-3</v>
      </c>
      <c r="M23" s="368">
        <v>1216.1863142187167</v>
      </c>
      <c r="N23" s="370">
        <v>7.1728838209119588E-3</v>
      </c>
      <c r="O23" s="295" t="s">
        <v>319</v>
      </c>
      <c r="P23" s="368">
        <v>1200000</v>
      </c>
    </row>
    <row r="24" spans="10:16" s="148" customFormat="1" ht="30" customHeight="1" x14ac:dyDescent="0.25">
      <c r="J24" s="367" t="s">
        <v>174</v>
      </c>
      <c r="K24" s="368">
        <v>258704</v>
      </c>
      <c r="L24" s="369">
        <v>5.3293540822852271E-4</v>
      </c>
      <c r="M24" s="368">
        <v>137.87252185035175</v>
      </c>
      <c r="N24" s="370">
        <v>2.9887015920466498E-3</v>
      </c>
      <c r="O24" s="295" t="s">
        <v>319</v>
      </c>
      <c r="P24" s="368">
        <v>500000</v>
      </c>
    </row>
    <row r="25" spans="10:16" x14ac:dyDescent="0.25">
      <c r="J25" s="371" t="s">
        <v>254</v>
      </c>
      <c r="K25" s="372"/>
      <c r="L25" s="373"/>
      <c r="M25" s="372"/>
      <c r="N25" s="374">
        <v>5.6079996673163333</v>
      </c>
      <c r="O25" s="375" t="s">
        <v>319</v>
      </c>
      <c r="P25" s="372"/>
    </row>
  </sheetData>
  <mergeCells count="6">
    <mergeCell ref="E6:G6"/>
    <mergeCell ref="J17:P17"/>
    <mergeCell ref="B2:C2"/>
    <mergeCell ref="E3:G3"/>
    <mergeCell ref="E4:G4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INPIAL_Simulc</vt:lpstr>
      <vt:lpstr>Imagenes cotizacion</vt:lpstr>
      <vt:lpstr>Presupuesto ventas</vt:lpstr>
      <vt:lpstr>Proyeccion anual de gastos</vt:lpstr>
      <vt:lpstr>Gastos recurrentes</vt:lpstr>
      <vt:lpstr>Balance general</vt:lpstr>
      <vt:lpstr>flujo de caja</vt:lpstr>
      <vt:lpstr>Evaluación financiera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2023-04-13T09:37:35Z</dcterms:modified>
</cp:coreProperties>
</file>