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8.xml" ContentType="application/vnd.openxmlformats-officedocument.drawing+xml"/>
  <Override PartName="/xl/comments8.xml" ContentType="application/vnd.openxmlformats-officedocument.spreadsheetml.comments+xml"/>
  <Override PartName="/xl/worksheets/sheet7.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comments6.xml" ContentType="application/vnd.openxmlformats-officedocument.spreadsheetml.comments+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xl/drawings/drawing15.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xl/comments12.xml" ContentType="application/vnd.openxmlformats-officedocument.spreadsheetml.comments+xml"/>
  <Override PartName="/xl/comments13.xml" ContentType="application/vnd.openxmlformats-officedocument.spreadsheetml.comments+xml"/>
  <Override PartName="/xl/charts/chart13.xml" ContentType="application/vnd.openxmlformats-officedocument.drawingml.chart+xml"/>
  <Override PartName="/xl/comments10.xml" ContentType="application/vnd.openxmlformats-officedocument.spreadsheetml.comments+xml"/>
  <Override PartName="/xl/comments11.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Default Extension="bin" ContentType="application/vnd.openxmlformats-officedocument.spreadsheetml.printerSettings"/>
  <Default Extension="png" ContentType="image/png"/>
  <Override PartName="/xl/drawings/drawing9.xml" ContentType="application/vnd.openxmlformats-officedocument.drawing+xml"/>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Override PartName="/xl/comments9.xml" ContentType="application/vnd.openxmlformats-officedocument.spreadsheetml.comment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Default Extension="jpeg" ContentType="image/jpeg"/>
  <Override PartName="/xl/drawings/drawing5.xml" ContentType="application/vnd.openxmlformats-officedocument.drawing+xml"/>
  <Override PartName="/xl/charts/chart3.xml" ContentType="application/vnd.openxmlformats-officedocument.drawingml.chart+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comments5.xml" ContentType="application/vnd.openxmlformats-officedocument.spreadsheetml.comment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3820"/>
  <bookViews>
    <workbookView xWindow="9105" yWindow="-15" windowWidth="11430" windowHeight="8115" tabRatio="907" firstSheet="2" activeTab="3"/>
  </bookViews>
  <sheets>
    <sheet name="PORTADA" sheetId="4" r:id="rId1"/>
    <sheet name="INSTRUCCIONES GENERALES" sheetId="5" r:id="rId2"/>
    <sheet name="Menú" sheetId="15" r:id="rId3"/>
    <sheet name="1" sheetId="6" r:id="rId4"/>
    <sheet name="PROYECCIÓN DE VENTAS" sheetId="7" r:id="rId5"/>
    <sheet name="COSTOS DE PRODUCCION" sheetId="1" r:id="rId6"/>
    <sheet name="CTOS VS ING OPER - INV INFRAEST" sheetId="8" r:id="rId7"/>
    <sheet name="GTOS ADTIVO Y VTAS - CTOS FIJOS" sheetId="9" r:id="rId8"/>
    <sheet name="NECESIDADES DE FINANCIACIÓN" sheetId="10" r:id="rId9"/>
    <sheet name="CUADRO DE COSTOS Y GASTOS FIJOS" sheetId="11" r:id="rId10"/>
    <sheet name="PUNTO DE EQUILIBRIO" sheetId="2" r:id="rId11"/>
    <sheet name="BALANCE GENERAL" sheetId="3" r:id="rId12"/>
    <sheet name="ESTADO DE RESULTADOS" sheetId="12" r:id="rId13"/>
    <sheet name="FLUJO DE CAJA" sheetId="13" r:id="rId14"/>
    <sheet name="ANÁLISIS DE VPN Y TIR" sheetId="14" r:id="rId15"/>
  </sheets>
  <externalReferences>
    <externalReference r:id="rId16"/>
  </externalReferences>
  <definedNames>
    <definedName name="_xlnm.Print_Area" localSheetId="3">'1'!$A$1:$J$45</definedName>
    <definedName name="_xlnm.Print_Area" localSheetId="14">'ANÁLISIS DE VPN Y TIR'!$A$1:$O$84</definedName>
    <definedName name="_xlnm.Print_Area" localSheetId="11">'BALANCE GENERAL'!$A$1:$I$78</definedName>
    <definedName name="_xlnm.Print_Area" localSheetId="9">'CUADRO DE COSTOS Y GASTOS FIJOS'!$A$1:$K$33</definedName>
    <definedName name="_xlnm.Print_Area" localSheetId="12">'ESTADO DE RESULTADOS'!$A$1:$J$34</definedName>
    <definedName name="_xlnm.Print_Area" localSheetId="13">'FLUJO DE CAJA'!$A$1:$I$48</definedName>
    <definedName name="_xlnm.Print_Area" localSheetId="1">'INSTRUCCIONES GENERALES'!$A$1:$E$134</definedName>
    <definedName name="_xlnm.Print_Area" localSheetId="2">Menú!$C$2:$N$34</definedName>
    <definedName name="_xlnm.Print_Area" localSheetId="8">'NECESIDADES DE FINANCIACIÓN'!$A$1:$I$38</definedName>
    <definedName name="_xlnm.Print_Area" localSheetId="0">PORTADA!$A$1:$I$21</definedName>
    <definedName name="_xlnm.Print_Area" localSheetId="4">'PROYECCIÓN DE VENTAS'!$A$1:$T$87</definedName>
    <definedName name="_xlnm.Print_Area" localSheetId="10">'PUNTO DE EQUILIBRIO'!$A$1:$Q$46</definedName>
  </definedNames>
  <calcPr calcId="125725"/>
</workbook>
</file>

<file path=xl/calcChain.xml><?xml version="1.0" encoding="utf-8"?>
<calcChain xmlns="http://schemas.openxmlformats.org/spreadsheetml/2006/main">
  <c r="J130" i="1"/>
  <c r="P130" s="1"/>
  <c r="J131"/>
  <c r="P131" s="1"/>
  <c r="J132"/>
  <c r="J133"/>
  <c r="J134"/>
  <c r="P134" s="1"/>
  <c r="J135"/>
  <c r="P135" s="1"/>
  <c r="J129"/>
  <c r="J120"/>
  <c r="J121"/>
  <c r="P121" s="1"/>
  <c r="J122"/>
  <c r="P122" s="1"/>
  <c r="J123"/>
  <c r="J124"/>
  <c r="J125"/>
  <c r="P125" s="1"/>
  <c r="P127" s="1"/>
  <c r="J126"/>
  <c r="P126" s="1"/>
  <c r="J119"/>
  <c r="J98"/>
  <c r="J99"/>
  <c r="P99" s="1"/>
  <c r="J100"/>
  <c r="J101"/>
  <c r="J102"/>
  <c r="J103"/>
  <c r="P103" s="1"/>
  <c r="J104"/>
  <c r="P104" s="1"/>
  <c r="J105"/>
  <c r="J106"/>
  <c r="J107"/>
  <c r="P107" s="1"/>
  <c r="J108"/>
  <c r="P108" s="1"/>
  <c r="J109"/>
  <c r="J110"/>
  <c r="J111"/>
  <c r="J112"/>
  <c r="P112" s="1"/>
  <c r="J113"/>
  <c r="J114"/>
  <c r="J115"/>
  <c r="P115" s="1"/>
  <c r="J116"/>
  <c r="P116" s="1"/>
  <c r="J97"/>
  <c r="F40" i="14"/>
  <c r="C40"/>
  <c r="C21" i="13"/>
  <c r="D21"/>
  <c r="E21"/>
  <c r="F21"/>
  <c r="B21"/>
  <c r="B59" i="3"/>
  <c r="B61" s="1"/>
  <c r="B22"/>
  <c r="A21"/>
  <c r="B53"/>
  <c r="A53"/>
  <c r="B371" i="8"/>
  <c r="A371"/>
  <c r="A52" i="3" s="1"/>
  <c r="A54" s="1"/>
  <c r="C298" i="8"/>
  <c r="C319" s="1"/>
  <c r="B321"/>
  <c r="B300"/>
  <c r="C239"/>
  <c r="S216"/>
  <c r="S217" s="1"/>
  <c r="S215"/>
  <c r="S214"/>
  <c r="P216"/>
  <c r="P215"/>
  <c r="P214"/>
  <c r="M216"/>
  <c r="M215"/>
  <c r="M214"/>
  <c r="M217" s="1"/>
  <c r="J216"/>
  <c r="J215"/>
  <c r="J214"/>
  <c r="J217"/>
  <c r="G216"/>
  <c r="G215"/>
  <c r="G214"/>
  <c r="D215"/>
  <c r="D217" s="1"/>
  <c r="D216"/>
  <c r="D214"/>
  <c r="S211"/>
  <c r="P211"/>
  <c r="M211"/>
  <c r="J211"/>
  <c r="C193"/>
  <c r="C210"/>
  <c r="C213" s="1"/>
  <c r="D193"/>
  <c r="D210"/>
  <c r="D213" s="1"/>
  <c r="E193"/>
  <c r="E210"/>
  <c r="E213"/>
  <c r="F193"/>
  <c r="F210" s="1"/>
  <c r="F213" s="1"/>
  <c r="G193"/>
  <c r="G210"/>
  <c r="G213" s="1"/>
  <c r="H193"/>
  <c r="H210"/>
  <c r="H213"/>
  <c r="I193"/>
  <c r="I210"/>
  <c r="I213"/>
  <c r="J193"/>
  <c r="J210" s="1"/>
  <c r="J213" s="1"/>
  <c r="K193"/>
  <c r="K210"/>
  <c r="K213" s="1"/>
  <c r="L193"/>
  <c r="L210"/>
  <c r="L213"/>
  <c r="M193"/>
  <c r="M210"/>
  <c r="M213"/>
  <c r="N193"/>
  <c r="N210" s="1"/>
  <c r="N213" s="1"/>
  <c r="O193"/>
  <c r="O210" s="1"/>
  <c r="O213" s="1"/>
  <c r="P193"/>
  <c r="P210"/>
  <c r="P213" s="1"/>
  <c r="Q193"/>
  <c r="Q210"/>
  <c r="Q213"/>
  <c r="R193"/>
  <c r="R210" s="1"/>
  <c r="R213" s="1"/>
  <c r="S193"/>
  <c r="S210"/>
  <c r="S213" s="1"/>
  <c r="B193"/>
  <c r="B210"/>
  <c r="B213" s="1"/>
  <c r="D54"/>
  <c r="D96"/>
  <c r="D140"/>
  <c r="D147" s="1"/>
  <c r="E54"/>
  <c r="E96"/>
  <c r="E140"/>
  <c r="E147" s="1"/>
  <c r="F54"/>
  <c r="F96"/>
  <c r="F140"/>
  <c r="F147" s="1"/>
  <c r="G54"/>
  <c r="G96"/>
  <c r="G140"/>
  <c r="G147" s="1"/>
  <c r="H54"/>
  <c r="H96"/>
  <c r="H140"/>
  <c r="H147" s="1"/>
  <c r="I54"/>
  <c r="I96"/>
  <c r="I140"/>
  <c r="I147" s="1"/>
  <c r="J54"/>
  <c r="J96"/>
  <c r="J140"/>
  <c r="J147" s="1"/>
  <c r="K54"/>
  <c r="K96"/>
  <c r="K140"/>
  <c r="K147" s="1"/>
  <c r="L54"/>
  <c r="L96"/>
  <c r="L140"/>
  <c r="L147" s="1"/>
  <c r="M54"/>
  <c r="M96"/>
  <c r="M140"/>
  <c r="M147" s="1"/>
  <c r="N54"/>
  <c r="N96"/>
  <c r="N140"/>
  <c r="N147" s="1"/>
  <c r="O54"/>
  <c r="O96"/>
  <c r="O140"/>
  <c r="O147" s="1"/>
  <c r="P54"/>
  <c r="P96"/>
  <c r="P140"/>
  <c r="P147" s="1"/>
  <c r="Q54"/>
  <c r="Q96"/>
  <c r="Q140"/>
  <c r="Q147" s="1"/>
  <c r="R54"/>
  <c r="R96"/>
  <c r="R140"/>
  <c r="R147" s="1"/>
  <c r="S54"/>
  <c r="S96"/>
  <c r="S140"/>
  <c r="S147" s="1"/>
  <c r="C54"/>
  <c r="C96"/>
  <c r="C140"/>
  <c r="C147" s="1"/>
  <c r="B54"/>
  <c r="B96"/>
  <c r="B140"/>
  <c r="B147" s="1"/>
  <c r="G211"/>
  <c r="D211"/>
  <c r="B367"/>
  <c r="C367" s="1"/>
  <c r="D367" s="1"/>
  <c r="F29" i="13"/>
  <c r="P217" i="8"/>
  <c r="E29" i="13" s="1"/>
  <c r="B239" i="8"/>
  <c r="G217"/>
  <c r="J75"/>
  <c r="G8" i="14"/>
  <c r="B237" i="8"/>
  <c r="B278"/>
  <c r="D278"/>
  <c r="D279"/>
  <c r="B12" i="13"/>
  <c r="B383" i="8"/>
  <c r="C383"/>
  <c r="C28" i="3"/>
  <c r="A382" i="8"/>
  <c r="G45" i="3"/>
  <c r="C67"/>
  <c r="B319" i="8"/>
  <c r="B298"/>
  <c r="E367" s="1"/>
  <c r="F367" s="1"/>
  <c r="F24" i="3" s="1"/>
  <c r="B258" i="8"/>
  <c r="D258"/>
  <c r="D259"/>
  <c r="E259" s="1"/>
  <c r="A366"/>
  <c r="A360"/>
  <c r="B363"/>
  <c r="A354"/>
  <c r="B357"/>
  <c r="G82"/>
  <c r="G83"/>
  <c r="G84"/>
  <c r="A349"/>
  <c r="B352"/>
  <c r="A344"/>
  <c r="B347"/>
  <c r="A338"/>
  <c r="B341"/>
  <c r="A332"/>
  <c r="B335"/>
  <c r="F26" i="12"/>
  <c r="E26"/>
  <c r="D26"/>
  <c r="C26"/>
  <c r="B26"/>
  <c r="F24"/>
  <c r="E24"/>
  <c r="D24"/>
  <c r="C24"/>
  <c r="B24"/>
  <c r="B23"/>
  <c r="F9"/>
  <c r="E9"/>
  <c r="D9"/>
  <c r="C9"/>
  <c r="B9"/>
  <c r="B65" i="3"/>
  <c r="A30" i="8"/>
  <c r="C12"/>
  <c r="C10"/>
  <c r="C29" s="1"/>
  <c r="C8"/>
  <c r="C9" s="1"/>
  <c r="D15" i="2" s="1"/>
  <c r="C6" i="8"/>
  <c r="C23" s="1"/>
  <c r="C4"/>
  <c r="C20"/>
  <c r="D24" i="10"/>
  <c r="E41" i="14" s="1"/>
  <c r="C8" i="10"/>
  <c r="E3" i="11"/>
  <c r="B329" i="8"/>
  <c r="E319"/>
  <c r="E320" s="1"/>
  <c r="F298"/>
  <c r="G278"/>
  <c r="G55"/>
  <c r="S48"/>
  <c r="S49"/>
  <c r="S50"/>
  <c r="S53" s="1"/>
  <c r="F22" i="13" s="1"/>
  <c r="S51" i="8"/>
  <c r="S52"/>
  <c r="S55"/>
  <c r="S56"/>
  <c r="S57"/>
  <c r="S58"/>
  <c r="S59"/>
  <c r="S60"/>
  <c r="S61"/>
  <c r="S62"/>
  <c r="S63"/>
  <c r="S64"/>
  <c r="S65"/>
  <c r="S66"/>
  <c r="S67"/>
  <c r="S68"/>
  <c r="S69"/>
  <c r="S70"/>
  <c r="S71"/>
  <c r="S72"/>
  <c r="S73"/>
  <c r="S74"/>
  <c r="S75"/>
  <c r="S76"/>
  <c r="S77"/>
  <c r="S78"/>
  <c r="S79"/>
  <c r="S80"/>
  <c r="S81"/>
  <c r="S82"/>
  <c r="S83"/>
  <c r="S84"/>
  <c r="S85"/>
  <c r="S86"/>
  <c r="S87"/>
  <c r="S88"/>
  <c r="S89"/>
  <c r="S90"/>
  <c r="S91"/>
  <c r="S92"/>
  <c r="S93"/>
  <c r="S94"/>
  <c r="S97"/>
  <c r="S98"/>
  <c r="S99"/>
  <c r="S100"/>
  <c r="S101"/>
  <c r="S102"/>
  <c r="S103"/>
  <c r="S104"/>
  <c r="S105"/>
  <c r="S106"/>
  <c r="S107"/>
  <c r="S108"/>
  <c r="S109"/>
  <c r="S110"/>
  <c r="S111"/>
  <c r="S112"/>
  <c r="S113"/>
  <c r="S114"/>
  <c r="S115"/>
  <c r="S116"/>
  <c r="S117"/>
  <c r="S118"/>
  <c r="S119"/>
  <c r="S120"/>
  <c r="S121"/>
  <c r="S122"/>
  <c r="S123"/>
  <c r="S124"/>
  <c r="S125"/>
  <c r="S126"/>
  <c r="S127"/>
  <c r="S128"/>
  <c r="S129"/>
  <c r="S130"/>
  <c r="S131"/>
  <c r="S132"/>
  <c r="S133"/>
  <c r="S134"/>
  <c r="S135"/>
  <c r="S136"/>
  <c r="S137"/>
  <c r="S138"/>
  <c r="S141"/>
  <c r="S142"/>
  <c r="S143"/>
  <c r="S144"/>
  <c r="S145"/>
  <c r="S148"/>
  <c r="S149"/>
  <c r="S150"/>
  <c r="S151"/>
  <c r="S152"/>
  <c r="S153"/>
  <c r="S154"/>
  <c r="S155"/>
  <c r="S156"/>
  <c r="S157"/>
  <c r="S158"/>
  <c r="S159"/>
  <c r="S160"/>
  <c r="S161"/>
  <c r="S162"/>
  <c r="S163"/>
  <c r="S164"/>
  <c r="S165"/>
  <c r="S166"/>
  <c r="S167"/>
  <c r="S168"/>
  <c r="S169"/>
  <c r="S170"/>
  <c r="S177"/>
  <c r="S178"/>
  <c r="S179"/>
  <c r="S180"/>
  <c r="S181"/>
  <c r="S182"/>
  <c r="S183"/>
  <c r="S184"/>
  <c r="S185"/>
  <c r="S186"/>
  <c r="S187"/>
  <c r="S188"/>
  <c r="S189"/>
  <c r="S190"/>
  <c r="S191"/>
  <c r="S194"/>
  <c r="S195"/>
  <c r="S196"/>
  <c r="S197"/>
  <c r="S198"/>
  <c r="S199"/>
  <c r="S200"/>
  <c r="S201"/>
  <c r="S202"/>
  <c r="S203"/>
  <c r="S204"/>
  <c r="S205"/>
  <c r="S206"/>
  <c r="S207"/>
  <c r="S208"/>
  <c r="P49"/>
  <c r="P50"/>
  <c r="P51"/>
  <c r="P52"/>
  <c r="M49"/>
  <c r="M50"/>
  <c r="M51"/>
  <c r="M52"/>
  <c r="J49"/>
  <c r="J50"/>
  <c r="J51"/>
  <c r="J52"/>
  <c r="G49"/>
  <c r="G50"/>
  <c r="G53" s="1"/>
  <c r="B244" s="1"/>
  <c r="G51"/>
  <c r="D49"/>
  <c r="D50"/>
  <c r="D51"/>
  <c r="D52"/>
  <c r="T211"/>
  <c r="C237" s="1"/>
  <c r="T194"/>
  <c r="C235" s="1"/>
  <c r="T177"/>
  <c r="T178" s="1"/>
  <c r="T179" s="1"/>
  <c r="T180" s="1"/>
  <c r="T181" s="1"/>
  <c r="T182" s="1"/>
  <c r="T183" s="1"/>
  <c r="T184" s="1"/>
  <c r="T185" s="1"/>
  <c r="T186" s="1"/>
  <c r="T187" s="1"/>
  <c r="T188" s="1"/>
  <c r="T189" s="1"/>
  <c r="T190" s="1"/>
  <c r="T191" s="1"/>
  <c r="T148"/>
  <c r="T149" s="1"/>
  <c r="T150" s="1"/>
  <c r="T151" s="1"/>
  <c r="T152" s="1"/>
  <c r="T141"/>
  <c r="C250" s="1"/>
  <c r="T97"/>
  <c r="T98" s="1"/>
  <c r="T99" s="1"/>
  <c r="T100" s="1"/>
  <c r="T101" s="1"/>
  <c r="T102" s="1"/>
  <c r="T103" s="1"/>
  <c r="T104" s="1"/>
  <c r="T105" s="1"/>
  <c r="T106" s="1"/>
  <c r="T107" s="1"/>
  <c r="T108" s="1"/>
  <c r="T109" s="1"/>
  <c r="T110" s="1"/>
  <c r="T111" s="1"/>
  <c r="T112" s="1"/>
  <c r="T113" s="1"/>
  <c r="T114" s="1"/>
  <c r="T115" s="1"/>
  <c r="T116" s="1"/>
  <c r="T117" s="1"/>
  <c r="T118" s="1"/>
  <c r="T119" s="1"/>
  <c r="T120" s="1"/>
  <c r="T121" s="1"/>
  <c r="T122" s="1"/>
  <c r="T123" s="1"/>
  <c r="T124" s="1"/>
  <c r="T125" s="1"/>
  <c r="T126" s="1"/>
  <c r="T127" s="1"/>
  <c r="T128" s="1"/>
  <c r="T129" s="1"/>
  <c r="T130" s="1"/>
  <c r="T131" s="1"/>
  <c r="T132" s="1"/>
  <c r="T133" s="1"/>
  <c r="T134" s="1"/>
  <c r="T135" s="1"/>
  <c r="T136" s="1"/>
  <c r="T137" s="1"/>
  <c r="T138" s="1"/>
  <c r="T55"/>
  <c r="T48"/>
  <c r="T49" s="1"/>
  <c r="T50" s="1"/>
  <c r="T51"/>
  <c r="T52" s="1"/>
  <c r="C244" s="1"/>
  <c r="D48"/>
  <c r="P208"/>
  <c r="M208"/>
  <c r="J208"/>
  <c r="G208"/>
  <c r="D208"/>
  <c r="P207"/>
  <c r="M207"/>
  <c r="J207"/>
  <c r="G207"/>
  <c r="D207"/>
  <c r="P206"/>
  <c r="M206"/>
  <c r="J206"/>
  <c r="G206"/>
  <c r="D206"/>
  <c r="P205"/>
  <c r="M205"/>
  <c r="J205"/>
  <c r="G205"/>
  <c r="D205"/>
  <c r="P204"/>
  <c r="M204"/>
  <c r="J204"/>
  <c r="G204"/>
  <c r="D204"/>
  <c r="P203"/>
  <c r="M203"/>
  <c r="J203"/>
  <c r="G203"/>
  <c r="D203"/>
  <c r="P202"/>
  <c r="M202"/>
  <c r="J202"/>
  <c r="G202"/>
  <c r="D202"/>
  <c r="P201"/>
  <c r="M201"/>
  <c r="J201"/>
  <c r="G201"/>
  <c r="D201"/>
  <c r="P200"/>
  <c r="M200"/>
  <c r="J200"/>
  <c r="G200"/>
  <c r="D200"/>
  <c r="P199"/>
  <c r="M199"/>
  <c r="J199"/>
  <c r="G199"/>
  <c r="D199"/>
  <c r="P198"/>
  <c r="M198"/>
  <c r="J198"/>
  <c r="G198"/>
  <c r="D198"/>
  <c r="P197"/>
  <c r="M197"/>
  <c r="J197"/>
  <c r="G197"/>
  <c r="D197"/>
  <c r="P196"/>
  <c r="M196"/>
  <c r="J196"/>
  <c r="G196"/>
  <c r="D196"/>
  <c r="P195"/>
  <c r="M195"/>
  <c r="J195"/>
  <c r="G195"/>
  <c r="D195"/>
  <c r="P194"/>
  <c r="M194"/>
  <c r="J194"/>
  <c r="G194"/>
  <c r="G209" s="1"/>
  <c r="D194"/>
  <c r="P191"/>
  <c r="M191"/>
  <c r="J191"/>
  <c r="G191"/>
  <c r="D191"/>
  <c r="P190"/>
  <c r="M190"/>
  <c r="J190"/>
  <c r="G190"/>
  <c r="D190"/>
  <c r="P189"/>
  <c r="M189"/>
  <c r="J189"/>
  <c r="G189"/>
  <c r="D189"/>
  <c r="P188"/>
  <c r="M188"/>
  <c r="J188"/>
  <c r="G188"/>
  <c r="D188"/>
  <c r="P187"/>
  <c r="M187"/>
  <c r="J187"/>
  <c r="G187"/>
  <c r="D187"/>
  <c r="P186"/>
  <c r="M186"/>
  <c r="J186"/>
  <c r="G186"/>
  <c r="D186"/>
  <c r="P185"/>
  <c r="M185"/>
  <c r="J185"/>
  <c r="G185"/>
  <c r="D185"/>
  <c r="P184"/>
  <c r="M184"/>
  <c r="J184"/>
  <c r="G184"/>
  <c r="D184"/>
  <c r="P183"/>
  <c r="M183"/>
  <c r="J183"/>
  <c r="G183"/>
  <c r="D183"/>
  <c r="P182"/>
  <c r="M182"/>
  <c r="J182"/>
  <c r="G182"/>
  <c r="D182"/>
  <c r="P181"/>
  <c r="M181"/>
  <c r="J181"/>
  <c r="G181"/>
  <c r="D181"/>
  <c r="P180"/>
  <c r="M180"/>
  <c r="J180"/>
  <c r="G180"/>
  <c r="D180"/>
  <c r="P179"/>
  <c r="M179"/>
  <c r="J179"/>
  <c r="G179"/>
  <c r="D179"/>
  <c r="P178"/>
  <c r="M178"/>
  <c r="J178"/>
  <c r="G178"/>
  <c r="D178"/>
  <c r="P177"/>
  <c r="P192" s="1"/>
  <c r="E27" i="13" s="1"/>
  <c r="M177" i="8"/>
  <c r="J177"/>
  <c r="G177"/>
  <c r="D177"/>
  <c r="D192" s="1"/>
  <c r="B234" s="1"/>
  <c r="C171"/>
  <c r="P170"/>
  <c r="M170"/>
  <c r="J170"/>
  <c r="G170"/>
  <c r="D170"/>
  <c r="P169"/>
  <c r="M169"/>
  <c r="J169"/>
  <c r="G169"/>
  <c r="D169"/>
  <c r="P168"/>
  <c r="M168"/>
  <c r="J168"/>
  <c r="G168"/>
  <c r="D168"/>
  <c r="P167"/>
  <c r="M167"/>
  <c r="J167"/>
  <c r="G167"/>
  <c r="D167"/>
  <c r="P166"/>
  <c r="M166"/>
  <c r="J166"/>
  <c r="G166"/>
  <c r="D166"/>
  <c r="P165"/>
  <c r="M165"/>
  <c r="J165"/>
  <c r="G165"/>
  <c r="D165"/>
  <c r="P164"/>
  <c r="M164"/>
  <c r="J164"/>
  <c r="G164"/>
  <c r="D164"/>
  <c r="P163"/>
  <c r="M163"/>
  <c r="J163"/>
  <c r="G163"/>
  <c r="D163"/>
  <c r="P162"/>
  <c r="M162"/>
  <c r="J162"/>
  <c r="G162"/>
  <c r="D162"/>
  <c r="P161"/>
  <c r="M161"/>
  <c r="J161"/>
  <c r="G161"/>
  <c r="D161"/>
  <c r="P160"/>
  <c r="M160"/>
  <c r="J160"/>
  <c r="G160"/>
  <c r="D160"/>
  <c r="P159"/>
  <c r="M159"/>
  <c r="J159"/>
  <c r="G159"/>
  <c r="D159"/>
  <c r="P158"/>
  <c r="M158"/>
  <c r="J158"/>
  <c r="G158"/>
  <c r="D158"/>
  <c r="P157"/>
  <c r="M157"/>
  <c r="J157"/>
  <c r="G157"/>
  <c r="D157"/>
  <c r="P156"/>
  <c r="M156"/>
  <c r="J156"/>
  <c r="G156"/>
  <c r="D156"/>
  <c r="P155"/>
  <c r="M155"/>
  <c r="J155"/>
  <c r="G155"/>
  <c r="D155"/>
  <c r="P154"/>
  <c r="M154"/>
  <c r="J154"/>
  <c r="G154"/>
  <c r="D154"/>
  <c r="P153"/>
  <c r="M153"/>
  <c r="J153"/>
  <c r="G153"/>
  <c r="D153"/>
  <c r="P152"/>
  <c r="M152"/>
  <c r="J152"/>
  <c r="G152"/>
  <c r="D152"/>
  <c r="P151"/>
  <c r="M151"/>
  <c r="J151"/>
  <c r="G151"/>
  <c r="D151"/>
  <c r="P150"/>
  <c r="M150"/>
  <c r="J150"/>
  <c r="G150"/>
  <c r="D150"/>
  <c r="P149"/>
  <c r="M149"/>
  <c r="M171" s="1"/>
  <c r="J149"/>
  <c r="G149"/>
  <c r="D149"/>
  <c r="P148"/>
  <c r="P171" s="1"/>
  <c r="M148"/>
  <c r="J148"/>
  <c r="G148"/>
  <c r="D148"/>
  <c r="D171" s="1"/>
  <c r="C146"/>
  <c r="P145"/>
  <c r="M145"/>
  <c r="J145"/>
  <c r="G145"/>
  <c r="D145"/>
  <c r="P144"/>
  <c r="M144"/>
  <c r="J144"/>
  <c r="G144"/>
  <c r="D144"/>
  <c r="P143"/>
  <c r="M143"/>
  <c r="J143"/>
  <c r="G143"/>
  <c r="D143"/>
  <c r="P142"/>
  <c r="M142"/>
  <c r="J142"/>
  <c r="G142"/>
  <c r="D142"/>
  <c r="P141"/>
  <c r="M141"/>
  <c r="J141"/>
  <c r="J146" s="1"/>
  <c r="G141"/>
  <c r="D141"/>
  <c r="P138"/>
  <c r="M138"/>
  <c r="J138"/>
  <c r="G138"/>
  <c r="D138"/>
  <c r="P137"/>
  <c r="M137"/>
  <c r="J137"/>
  <c r="G137"/>
  <c r="D137"/>
  <c r="P136"/>
  <c r="M136"/>
  <c r="J136"/>
  <c r="G136"/>
  <c r="D136"/>
  <c r="P135"/>
  <c r="M135"/>
  <c r="J135"/>
  <c r="G135"/>
  <c r="D135"/>
  <c r="P134"/>
  <c r="M134"/>
  <c r="J134"/>
  <c r="G134"/>
  <c r="D134"/>
  <c r="P133"/>
  <c r="M133"/>
  <c r="J133"/>
  <c r="G133"/>
  <c r="D133"/>
  <c r="P132"/>
  <c r="M132"/>
  <c r="J132"/>
  <c r="G132"/>
  <c r="D132"/>
  <c r="P131"/>
  <c r="M131"/>
  <c r="J131"/>
  <c r="G131"/>
  <c r="D131"/>
  <c r="P130"/>
  <c r="M130"/>
  <c r="J130"/>
  <c r="G130"/>
  <c r="D130"/>
  <c r="P129"/>
  <c r="M129"/>
  <c r="J129"/>
  <c r="G129"/>
  <c r="D129"/>
  <c r="P128"/>
  <c r="M128"/>
  <c r="J128"/>
  <c r="G128"/>
  <c r="D128"/>
  <c r="P127"/>
  <c r="M127"/>
  <c r="J127"/>
  <c r="G127"/>
  <c r="D127"/>
  <c r="P126"/>
  <c r="M126"/>
  <c r="J126"/>
  <c r="G126"/>
  <c r="D126"/>
  <c r="P125"/>
  <c r="M125"/>
  <c r="J125"/>
  <c r="G125"/>
  <c r="D125"/>
  <c r="P124"/>
  <c r="M124"/>
  <c r="J124"/>
  <c r="G124"/>
  <c r="D124"/>
  <c r="P123"/>
  <c r="M123"/>
  <c r="J123"/>
  <c r="G123"/>
  <c r="D123"/>
  <c r="P122"/>
  <c r="M122"/>
  <c r="J122"/>
  <c r="G122"/>
  <c r="D122"/>
  <c r="P121"/>
  <c r="M121"/>
  <c r="J121"/>
  <c r="G121"/>
  <c r="D121"/>
  <c r="P120"/>
  <c r="M120"/>
  <c r="J120"/>
  <c r="G120"/>
  <c r="D120"/>
  <c r="P119"/>
  <c r="M119"/>
  <c r="J119"/>
  <c r="G119"/>
  <c r="D119"/>
  <c r="P118"/>
  <c r="M118"/>
  <c r="J118"/>
  <c r="G118"/>
  <c r="D118"/>
  <c r="P117"/>
  <c r="M117"/>
  <c r="J117"/>
  <c r="G117"/>
  <c r="D117"/>
  <c r="P116"/>
  <c r="M116"/>
  <c r="J116"/>
  <c r="G116"/>
  <c r="D116"/>
  <c r="P115"/>
  <c r="M115"/>
  <c r="J115"/>
  <c r="G115"/>
  <c r="D115"/>
  <c r="P114"/>
  <c r="M114"/>
  <c r="J114"/>
  <c r="G114"/>
  <c r="D114"/>
  <c r="P113"/>
  <c r="M113"/>
  <c r="J113"/>
  <c r="G113"/>
  <c r="D113"/>
  <c r="P112"/>
  <c r="M112"/>
  <c r="J112"/>
  <c r="G112"/>
  <c r="D112"/>
  <c r="P111"/>
  <c r="M111"/>
  <c r="J111"/>
  <c r="G111"/>
  <c r="D111"/>
  <c r="P110"/>
  <c r="M110"/>
  <c r="J110"/>
  <c r="G110"/>
  <c r="D110"/>
  <c r="P109"/>
  <c r="M109"/>
  <c r="J109"/>
  <c r="G109"/>
  <c r="D109"/>
  <c r="P108"/>
  <c r="M108"/>
  <c r="J108"/>
  <c r="G108"/>
  <c r="D108"/>
  <c r="P107"/>
  <c r="M107"/>
  <c r="J107"/>
  <c r="G107"/>
  <c r="D107"/>
  <c r="P106"/>
  <c r="M106"/>
  <c r="J106"/>
  <c r="G106"/>
  <c r="D106"/>
  <c r="P105"/>
  <c r="M105"/>
  <c r="J105"/>
  <c r="G105"/>
  <c r="D105"/>
  <c r="P104"/>
  <c r="M104"/>
  <c r="J104"/>
  <c r="G104"/>
  <c r="D104"/>
  <c r="P103"/>
  <c r="M103"/>
  <c r="J103"/>
  <c r="G103"/>
  <c r="D103"/>
  <c r="P102"/>
  <c r="M102"/>
  <c r="J102"/>
  <c r="G102"/>
  <c r="D102"/>
  <c r="P101"/>
  <c r="M101"/>
  <c r="J101"/>
  <c r="G101"/>
  <c r="D101"/>
  <c r="P100"/>
  <c r="M100"/>
  <c r="J100"/>
  <c r="G100"/>
  <c r="D100"/>
  <c r="P99"/>
  <c r="M99"/>
  <c r="J99"/>
  <c r="G99"/>
  <c r="D99"/>
  <c r="P98"/>
  <c r="M98"/>
  <c r="J98"/>
  <c r="G98"/>
  <c r="D98"/>
  <c r="P97"/>
  <c r="P139" s="1"/>
  <c r="M97"/>
  <c r="J97"/>
  <c r="G97"/>
  <c r="D97"/>
  <c r="D139" s="1"/>
  <c r="B227" s="1"/>
  <c r="P94"/>
  <c r="M94"/>
  <c r="J94"/>
  <c r="G94"/>
  <c r="D94"/>
  <c r="P93"/>
  <c r="M93"/>
  <c r="J93"/>
  <c r="G93"/>
  <c r="D93"/>
  <c r="P92"/>
  <c r="M92"/>
  <c r="J92"/>
  <c r="G92"/>
  <c r="D92"/>
  <c r="P91"/>
  <c r="M91"/>
  <c r="J91"/>
  <c r="G91"/>
  <c r="D91"/>
  <c r="P90"/>
  <c r="M90"/>
  <c r="J90"/>
  <c r="G90"/>
  <c r="D90"/>
  <c r="P89"/>
  <c r="M89"/>
  <c r="J89"/>
  <c r="G89"/>
  <c r="D89"/>
  <c r="P88"/>
  <c r="M88"/>
  <c r="J88"/>
  <c r="G88"/>
  <c r="D88"/>
  <c r="P87"/>
  <c r="M87"/>
  <c r="J87"/>
  <c r="G87"/>
  <c r="D87"/>
  <c r="P86"/>
  <c r="M86"/>
  <c r="J86"/>
  <c r="G86"/>
  <c r="D86"/>
  <c r="P85"/>
  <c r="M85"/>
  <c r="J85"/>
  <c r="G85"/>
  <c r="D85"/>
  <c r="P84"/>
  <c r="M84"/>
  <c r="J84"/>
  <c r="D84"/>
  <c r="P83"/>
  <c r="M83"/>
  <c r="J83"/>
  <c r="D83"/>
  <c r="P82"/>
  <c r="M82"/>
  <c r="J82"/>
  <c r="D82"/>
  <c r="P81"/>
  <c r="M81"/>
  <c r="J81"/>
  <c r="G81"/>
  <c r="D81"/>
  <c r="P80"/>
  <c r="M80"/>
  <c r="J80"/>
  <c r="G80"/>
  <c r="D80"/>
  <c r="P79"/>
  <c r="M79"/>
  <c r="J79"/>
  <c r="G79"/>
  <c r="D79"/>
  <c r="P78"/>
  <c r="M78"/>
  <c r="J78"/>
  <c r="G78"/>
  <c r="D78"/>
  <c r="P77"/>
  <c r="M77"/>
  <c r="J77"/>
  <c r="G77"/>
  <c r="D77"/>
  <c r="P76"/>
  <c r="M76"/>
  <c r="J76"/>
  <c r="G76"/>
  <c r="D76"/>
  <c r="P75"/>
  <c r="M75"/>
  <c r="G75"/>
  <c r="D75"/>
  <c r="P74"/>
  <c r="M74"/>
  <c r="J74"/>
  <c r="G74"/>
  <c r="D74"/>
  <c r="P73"/>
  <c r="M73"/>
  <c r="J73"/>
  <c r="G73"/>
  <c r="D73"/>
  <c r="P72"/>
  <c r="M72"/>
  <c r="J72"/>
  <c r="G72"/>
  <c r="D72"/>
  <c r="P71"/>
  <c r="M71"/>
  <c r="J71"/>
  <c r="G71"/>
  <c r="D71"/>
  <c r="P70"/>
  <c r="M70"/>
  <c r="J70"/>
  <c r="G70"/>
  <c r="D70"/>
  <c r="P69"/>
  <c r="M69"/>
  <c r="J69"/>
  <c r="G69"/>
  <c r="D69"/>
  <c r="P68"/>
  <c r="M68"/>
  <c r="J68"/>
  <c r="G68"/>
  <c r="D68"/>
  <c r="P67"/>
  <c r="M67"/>
  <c r="J67"/>
  <c r="G67"/>
  <c r="D67"/>
  <c r="P66"/>
  <c r="M66"/>
  <c r="J66"/>
  <c r="G66"/>
  <c r="D66"/>
  <c r="P65"/>
  <c r="M65"/>
  <c r="J65"/>
  <c r="G65"/>
  <c r="D65"/>
  <c r="P64"/>
  <c r="M64"/>
  <c r="J64"/>
  <c r="G64"/>
  <c r="D64"/>
  <c r="P63"/>
  <c r="M63"/>
  <c r="J63"/>
  <c r="G63"/>
  <c r="D63"/>
  <c r="P62"/>
  <c r="M62"/>
  <c r="J62"/>
  <c r="G62"/>
  <c r="D62"/>
  <c r="P61"/>
  <c r="M61"/>
  <c r="J61"/>
  <c r="G61"/>
  <c r="D61"/>
  <c r="P60"/>
  <c r="M60"/>
  <c r="J60"/>
  <c r="G60"/>
  <c r="D60"/>
  <c r="P59"/>
  <c r="M59"/>
  <c r="J59"/>
  <c r="G59"/>
  <c r="D59"/>
  <c r="P58"/>
  <c r="M58"/>
  <c r="J58"/>
  <c r="G58"/>
  <c r="D58"/>
  <c r="P57"/>
  <c r="M57"/>
  <c r="J57"/>
  <c r="J95" s="1"/>
  <c r="G57"/>
  <c r="D57"/>
  <c r="P56"/>
  <c r="M56"/>
  <c r="J56"/>
  <c r="G56"/>
  <c r="D56"/>
  <c r="P55"/>
  <c r="P95" s="1"/>
  <c r="M55"/>
  <c r="J55"/>
  <c r="D55"/>
  <c r="C53"/>
  <c r="C172" s="1"/>
  <c r="B53"/>
  <c r="G52"/>
  <c r="P48"/>
  <c r="P53" s="1"/>
  <c r="M48"/>
  <c r="M53" s="1"/>
  <c r="J48"/>
  <c r="G48"/>
  <c r="K141" i="9"/>
  <c r="G7" i="11" s="1"/>
  <c r="L141" i="9"/>
  <c r="H7" i="11" s="1"/>
  <c r="M141" i="9"/>
  <c r="I7" i="11"/>
  <c r="N141" i="9"/>
  <c r="J7" i="11" s="1"/>
  <c r="J141" i="9"/>
  <c r="F7" i="11" s="1"/>
  <c r="G37" i="2"/>
  <c r="A21"/>
  <c r="E17"/>
  <c r="E16"/>
  <c r="E15"/>
  <c r="E14"/>
  <c r="E13"/>
  <c r="D150" i="9"/>
  <c r="D151"/>
  <c r="D152"/>
  <c r="D153"/>
  <c r="D154"/>
  <c r="D155"/>
  <c r="D136"/>
  <c r="D137"/>
  <c r="D138"/>
  <c r="D139"/>
  <c r="D140"/>
  <c r="D141"/>
  <c r="D142"/>
  <c r="D143"/>
  <c r="D144"/>
  <c r="D145"/>
  <c r="D146"/>
  <c r="D147"/>
  <c r="D148"/>
  <c r="D149"/>
  <c r="D156"/>
  <c r="D157"/>
  <c r="D158"/>
  <c r="D159"/>
  <c r="D160"/>
  <c r="D161"/>
  <c r="D135"/>
  <c r="C126"/>
  <c r="C127" s="1"/>
  <c r="D125"/>
  <c r="D124"/>
  <c r="D123"/>
  <c r="D122"/>
  <c r="D121"/>
  <c r="D120"/>
  <c r="D119"/>
  <c r="D118"/>
  <c r="D117"/>
  <c r="D116"/>
  <c r="D115"/>
  <c r="D108"/>
  <c r="D109" s="1"/>
  <c r="C108"/>
  <c r="C109"/>
  <c r="E107"/>
  <c r="E106"/>
  <c r="E105"/>
  <c r="E104"/>
  <c r="E103"/>
  <c r="E102"/>
  <c r="E101"/>
  <c r="E100"/>
  <c r="E99"/>
  <c r="E98"/>
  <c r="C87"/>
  <c r="C88"/>
  <c r="D86"/>
  <c r="D85"/>
  <c r="D84"/>
  <c r="D83"/>
  <c r="D82"/>
  <c r="D81"/>
  <c r="D80"/>
  <c r="D79"/>
  <c r="D78"/>
  <c r="D77"/>
  <c r="D76"/>
  <c r="D69"/>
  <c r="D70" s="1"/>
  <c r="C69"/>
  <c r="C70" s="1"/>
  <c r="E68"/>
  <c r="E67"/>
  <c r="E66"/>
  <c r="E65"/>
  <c r="E64"/>
  <c r="E63"/>
  <c r="E62"/>
  <c r="E61"/>
  <c r="E60"/>
  <c r="E59"/>
  <c r="D35"/>
  <c r="D36"/>
  <c r="D37"/>
  <c r="D38"/>
  <c r="D39"/>
  <c r="D40"/>
  <c r="D41"/>
  <c r="D42"/>
  <c r="D43"/>
  <c r="D44"/>
  <c r="D34"/>
  <c r="C45"/>
  <c r="C46" s="1"/>
  <c r="M16"/>
  <c r="M17" s="1"/>
  <c r="L16"/>
  <c r="L101" s="1"/>
  <c r="K16"/>
  <c r="I16"/>
  <c r="H16"/>
  <c r="H26" s="1"/>
  <c r="G16"/>
  <c r="G105" s="1"/>
  <c r="F16"/>
  <c r="D27"/>
  <c r="D28"/>
  <c r="C27"/>
  <c r="C28" s="1"/>
  <c r="E26"/>
  <c r="E25"/>
  <c r="E24"/>
  <c r="E23"/>
  <c r="E22"/>
  <c r="E21"/>
  <c r="E20"/>
  <c r="E19"/>
  <c r="E18"/>
  <c r="E17"/>
  <c r="E27" s="1"/>
  <c r="E28" s="1"/>
  <c r="J212" i="1"/>
  <c r="P212" s="1"/>
  <c r="J213"/>
  <c r="J214"/>
  <c r="J215"/>
  <c r="P215" s="1"/>
  <c r="J216"/>
  <c r="J217"/>
  <c r="J211"/>
  <c r="J202"/>
  <c r="Q202" s="1"/>
  <c r="J203"/>
  <c r="Q203" s="1"/>
  <c r="J204"/>
  <c r="J205"/>
  <c r="J206"/>
  <c r="Q206" s="1"/>
  <c r="J207"/>
  <c r="P207" s="1"/>
  <c r="P209" s="1"/>
  <c r="J208"/>
  <c r="J201"/>
  <c r="J180"/>
  <c r="Q180" s="1"/>
  <c r="J181"/>
  <c r="Q181" s="1"/>
  <c r="J182"/>
  <c r="J183"/>
  <c r="J184"/>
  <c r="P184" s="1"/>
  <c r="J185"/>
  <c r="J186"/>
  <c r="J187"/>
  <c r="J188"/>
  <c r="P188" s="1"/>
  <c r="J189"/>
  <c r="J190"/>
  <c r="J191"/>
  <c r="J192"/>
  <c r="P192" s="1"/>
  <c r="J193"/>
  <c r="J194"/>
  <c r="J195"/>
  <c r="J196"/>
  <c r="Q196" s="1"/>
  <c r="J197"/>
  <c r="P197" s="1"/>
  <c r="J198"/>
  <c r="J179"/>
  <c r="J171"/>
  <c r="Q171" s="1"/>
  <c r="J172"/>
  <c r="Q172" s="1"/>
  <c r="J173"/>
  <c r="J174"/>
  <c r="J175"/>
  <c r="Q175" s="1"/>
  <c r="J176"/>
  <c r="P176" s="1"/>
  <c r="J170"/>
  <c r="J161"/>
  <c r="J162"/>
  <c r="Q162" s="1"/>
  <c r="J163"/>
  <c r="J164"/>
  <c r="J165"/>
  <c r="J166"/>
  <c r="P166" s="1"/>
  <c r="P168" s="1"/>
  <c r="J167"/>
  <c r="P167" s="1"/>
  <c r="J160"/>
  <c r="J139"/>
  <c r="J140"/>
  <c r="Q140" s="1"/>
  <c r="J141"/>
  <c r="Q141" s="1"/>
  <c r="J142"/>
  <c r="J143"/>
  <c r="J144"/>
  <c r="P144" s="1"/>
  <c r="J145"/>
  <c r="Q145" s="1"/>
  <c r="J146"/>
  <c r="J147"/>
  <c r="J148"/>
  <c r="P148" s="1"/>
  <c r="J149"/>
  <c r="J150"/>
  <c r="J151"/>
  <c r="J152"/>
  <c r="P152" s="1"/>
  <c r="J153"/>
  <c r="P153" s="1"/>
  <c r="J154"/>
  <c r="J155"/>
  <c r="J156"/>
  <c r="P156" s="1"/>
  <c r="J157"/>
  <c r="Q157" s="1"/>
  <c r="J138"/>
  <c r="J51"/>
  <c r="J52"/>
  <c r="P52" s="1"/>
  <c r="J53"/>
  <c r="J39"/>
  <c r="J40"/>
  <c r="J41"/>
  <c r="P41" s="1"/>
  <c r="J42"/>
  <c r="J43"/>
  <c r="J44"/>
  <c r="J18"/>
  <c r="J19"/>
  <c r="J20"/>
  <c r="J21"/>
  <c r="J22"/>
  <c r="P22" s="1"/>
  <c r="J23"/>
  <c r="J24"/>
  <c r="J25"/>
  <c r="J26"/>
  <c r="J27"/>
  <c r="J28"/>
  <c r="J29"/>
  <c r="J30"/>
  <c r="J31"/>
  <c r="J32"/>
  <c r="J33"/>
  <c r="J34"/>
  <c r="J89"/>
  <c r="P89" s="1"/>
  <c r="J90"/>
  <c r="J91"/>
  <c r="J92"/>
  <c r="P92" s="1"/>
  <c r="J93"/>
  <c r="J94"/>
  <c r="J88"/>
  <c r="J80"/>
  <c r="P80" s="1"/>
  <c r="J81"/>
  <c r="P81" s="1"/>
  <c r="J82"/>
  <c r="J83"/>
  <c r="J84"/>
  <c r="J85"/>
  <c r="J57"/>
  <c r="J58"/>
  <c r="J59"/>
  <c r="J60"/>
  <c r="P60" s="1"/>
  <c r="J61"/>
  <c r="J62"/>
  <c r="J63"/>
  <c r="J64"/>
  <c r="J65"/>
  <c r="J66"/>
  <c r="J67"/>
  <c r="J68"/>
  <c r="P68" s="1"/>
  <c r="J69"/>
  <c r="J70"/>
  <c r="J71"/>
  <c r="P71" s="1"/>
  <c r="J72"/>
  <c r="J73"/>
  <c r="J74"/>
  <c r="J75"/>
  <c r="L212"/>
  <c r="M212" s="1"/>
  <c r="N212" s="1"/>
  <c r="O212" s="1"/>
  <c r="L213"/>
  <c r="L214"/>
  <c r="M214"/>
  <c r="N214" s="1"/>
  <c r="O214" s="1"/>
  <c r="L215"/>
  <c r="M215" s="1"/>
  <c r="N215" s="1"/>
  <c r="O215" s="1"/>
  <c r="L216"/>
  <c r="M216" s="1"/>
  <c r="N216" s="1"/>
  <c r="L217"/>
  <c r="L211"/>
  <c r="Q211" s="1"/>
  <c r="L202"/>
  <c r="M202" s="1"/>
  <c r="N202" s="1"/>
  <c r="O202" s="1"/>
  <c r="L203"/>
  <c r="L204"/>
  <c r="M204" s="1"/>
  <c r="L205"/>
  <c r="Q205" s="1"/>
  <c r="L206"/>
  <c r="L207"/>
  <c r="L208"/>
  <c r="Q208" s="1"/>
  <c r="L201"/>
  <c r="M201" s="1"/>
  <c r="N201" s="1"/>
  <c r="O201" s="1"/>
  <c r="L180"/>
  <c r="M180" s="1"/>
  <c r="N180" s="1"/>
  <c r="O180" s="1"/>
  <c r="L181"/>
  <c r="L182"/>
  <c r="L183"/>
  <c r="M183" s="1"/>
  <c r="L184"/>
  <c r="M184" s="1"/>
  <c r="N184" s="1"/>
  <c r="O184" s="1"/>
  <c r="L185"/>
  <c r="M185" s="1"/>
  <c r="L186"/>
  <c r="M186" s="1"/>
  <c r="L187"/>
  <c r="M187" s="1"/>
  <c r="N187" s="1"/>
  <c r="O187" s="1"/>
  <c r="L188"/>
  <c r="M188" s="1"/>
  <c r="N188" s="1"/>
  <c r="O188" s="1"/>
  <c r="L189"/>
  <c r="L190"/>
  <c r="M190" s="1"/>
  <c r="L191"/>
  <c r="M191" s="1"/>
  <c r="L192"/>
  <c r="M192" s="1"/>
  <c r="N192" s="1"/>
  <c r="O192" s="1"/>
  <c r="L193"/>
  <c r="L194"/>
  <c r="L195"/>
  <c r="M195" s="1"/>
  <c r="N195" s="1"/>
  <c r="L196"/>
  <c r="L197"/>
  <c r="M197" s="1"/>
  <c r="L198"/>
  <c r="L179"/>
  <c r="M179" s="1"/>
  <c r="L171"/>
  <c r="L172"/>
  <c r="M172"/>
  <c r="N172" s="1"/>
  <c r="L173"/>
  <c r="L174"/>
  <c r="M174"/>
  <c r="L175"/>
  <c r="M175" s="1"/>
  <c r="L176"/>
  <c r="M176" s="1"/>
  <c r="L170"/>
  <c r="M170"/>
  <c r="N170" s="1"/>
  <c r="O170" s="1"/>
  <c r="L139"/>
  <c r="M139" s="1"/>
  <c r="L140"/>
  <c r="M140"/>
  <c r="N140" s="1"/>
  <c r="L141"/>
  <c r="M141" s="1"/>
  <c r="N141" s="1"/>
  <c r="O141" s="1"/>
  <c r="L142"/>
  <c r="M142" s="1"/>
  <c r="N142" s="1"/>
  <c r="O142" s="1"/>
  <c r="L143"/>
  <c r="M143" s="1"/>
  <c r="L144"/>
  <c r="M144" s="1"/>
  <c r="N144" s="1"/>
  <c r="O144" s="1"/>
  <c r="L145"/>
  <c r="L146"/>
  <c r="M146"/>
  <c r="L147"/>
  <c r="Q147" s="1"/>
  <c r="L148"/>
  <c r="M148" s="1"/>
  <c r="L149"/>
  <c r="M149" s="1"/>
  <c r="N149" s="1"/>
  <c r="L150"/>
  <c r="L151"/>
  <c r="Q151" s="1"/>
  <c r="L152"/>
  <c r="L153"/>
  <c r="L154"/>
  <c r="M154"/>
  <c r="L155"/>
  <c r="Q155" s="1"/>
  <c r="L156"/>
  <c r="M156"/>
  <c r="N156" s="1"/>
  <c r="O156" s="1"/>
  <c r="L157"/>
  <c r="L138"/>
  <c r="M138" s="1"/>
  <c r="N138" s="1"/>
  <c r="O138" s="1"/>
  <c r="L130"/>
  <c r="M130" s="1"/>
  <c r="N130" s="1"/>
  <c r="O130" s="1"/>
  <c r="L131"/>
  <c r="M131" s="1"/>
  <c r="L132"/>
  <c r="L133"/>
  <c r="L134"/>
  <c r="M134" s="1"/>
  <c r="N134" s="1"/>
  <c r="O134"/>
  <c r="L135"/>
  <c r="L129"/>
  <c r="M129"/>
  <c r="L126"/>
  <c r="L98"/>
  <c r="L99"/>
  <c r="M99" s="1"/>
  <c r="L100"/>
  <c r="M100" s="1"/>
  <c r="L101"/>
  <c r="L102"/>
  <c r="L103"/>
  <c r="L104"/>
  <c r="L105"/>
  <c r="M105" s="1"/>
  <c r="L106"/>
  <c r="M106" s="1"/>
  <c r="N106" s="1"/>
  <c r="L107"/>
  <c r="L108"/>
  <c r="L109"/>
  <c r="M109" s="1"/>
  <c r="N109" s="1"/>
  <c r="O109" s="1"/>
  <c r="L110"/>
  <c r="L111"/>
  <c r="L112"/>
  <c r="L113"/>
  <c r="M113" s="1"/>
  <c r="N113" s="1"/>
  <c r="O113" s="1"/>
  <c r="L114"/>
  <c r="L115"/>
  <c r="M115" s="1"/>
  <c r="N115"/>
  <c r="O115"/>
  <c r="L116"/>
  <c r="M116" s="1"/>
  <c r="N116" s="1"/>
  <c r="L97"/>
  <c r="L89"/>
  <c r="M89"/>
  <c r="N89" s="1"/>
  <c r="O89" s="1"/>
  <c r="L90"/>
  <c r="M90" s="1"/>
  <c r="N90" s="1"/>
  <c r="L91"/>
  <c r="M91"/>
  <c r="L92"/>
  <c r="M92" s="1"/>
  <c r="L93"/>
  <c r="M93" s="1"/>
  <c r="N93" s="1"/>
  <c r="O93" s="1"/>
  <c r="L94"/>
  <c r="M94" s="1"/>
  <c r="N94" s="1"/>
  <c r="O94"/>
  <c r="L88"/>
  <c r="M88" s="1"/>
  <c r="N88" s="1"/>
  <c r="O88" s="1"/>
  <c r="L167"/>
  <c r="M167" s="1"/>
  <c r="L166"/>
  <c r="M166"/>
  <c r="N166" s="1"/>
  <c r="O166" s="1"/>
  <c r="L165"/>
  <c r="M165" s="1"/>
  <c r="N165" s="1"/>
  <c r="L164"/>
  <c r="M164" s="1"/>
  <c r="L163"/>
  <c r="M163" s="1"/>
  <c r="L162"/>
  <c r="M162" s="1"/>
  <c r="N162" s="1"/>
  <c r="O162" s="1"/>
  <c r="L161"/>
  <c r="L160"/>
  <c r="L125"/>
  <c r="M125" s="1"/>
  <c r="N125" s="1"/>
  <c r="O125" s="1"/>
  <c r="L124"/>
  <c r="M124" s="1"/>
  <c r="L123"/>
  <c r="M123"/>
  <c r="L122"/>
  <c r="M122" s="1"/>
  <c r="N122" s="1"/>
  <c r="O122" s="1"/>
  <c r="L121"/>
  <c r="M121" s="1"/>
  <c r="N121" s="1"/>
  <c r="L120"/>
  <c r="M120"/>
  <c r="N120" s="1"/>
  <c r="O120" s="1"/>
  <c r="L119"/>
  <c r="M119" s="1"/>
  <c r="L79"/>
  <c r="L80"/>
  <c r="L81"/>
  <c r="M81" s="1"/>
  <c r="N81" s="1"/>
  <c r="O81" s="1"/>
  <c r="L82"/>
  <c r="L83"/>
  <c r="L84"/>
  <c r="M84" s="1"/>
  <c r="N84" s="1"/>
  <c r="O84" s="1"/>
  <c r="L85"/>
  <c r="M85" s="1"/>
  <c r="N85" s="1"/>
  <c r="O85" s="1"/>
  <c r="L78"/>
  <c r="M78" s="1"/>
  <c r="L57"/>
  <c r="M57" s="1"/>
  <c r="N57" s="1"/>
  <c r="O57" s="1"/>
  <c r="L58"/>
  <c r="M58" s="1"/>
  <c r="N58" s="1"/>
  <c r="L59"/>
  <c r="M59" s="1"/>
  <c r="L60"/>
  <c r="M60" s="1"/>
  <c r="N60" s="1"/>
  <c r="O60" s="1"/>
  <c r="L61"/>
  <c r="M61" s="1"/>
  <c r="L62"/>
  <c r="M62" s="1"/>
  <c r="N62" s="1"/>
  <c r="L63"/>
  <c r="M63" s="1"/>
  <c r="N63" s="1"/>
  <c r="O63" s="1"/>
  <c r="L64"/>
  <c r="M64" s="1"/>
  <c r="N64" s="1"/>
  <c r="L65"/>
  <c r="L66"/>
  <c r="L67"/>
  <c r="M67" s="1"/>
  <c r="N67" s="1"/>
  <c r="O67" s="1"/>
  <c r="L68"/>
  <c r="M68" s="1"/>
  <c r="L69"/>
  <c r="L70"/>
  <c r="M70" s="1"/>
  <c r="N70" s="1"/>
  <c r="L71"/>
  <c r="M71" s="1"/>
  <c r="N71"/>
  <c r="O71" s="1"/>
  <c r="L72"/>
  <c r="M72" s="1"/>
  <c r="L73"/>
  <c r="M73" s="1"/>
  <c r="N73" s="1"/>
  <c r="L74"/>
  <c r="L75"/>
  <c r="L56"/>
  <c r="M56" s="1"/>
  <c r="N56" s="1"/>
  <c r="O56" s="1"/>
  <c r="L47"/>
  <c r="M47" s="1"/>
  <c r="N47" s="1"/>
  <c r="O47" s="1"/>
  <c r="L48"/>
  <c r="M48" s="1"/>
  <c r="N48" s="1"/>
  <c r="O48" s="1"/>
  <c r="L49"/>
  <c r="M49" s="1"/>
  <c r="N49" s="1"/>
  <c r="O49" s="1"/>
  <c r="L50"/>
  <c r="M50" s="1"/>
  <c r="N50" s="1"/>
  <c r="O50" s="1"/>
  <c r="L51"/>
  <c r="M51" s="1"/>
  <c r="N51" s="1"/>
  <c r="O51" s="1"/>
  <c r="L52"/>
  <c r="L53"/>
  <c r="M53" s="1"/>
  <c r="N53" s="1"/>
  <c r="D46"/>
  <c r="L38"/>
  <c r="M38"/>
  <c r="N38" s="1"/>
  <c r="O38" s="1"/>
  <c r="L39"/>
  <c r="M39" s="1"/>
  <c r="N39" s="1"/>
  <c r="L40"/>
  <c r="M40"/>
  <c r="N40"/>
  <c r="L41"/>
  <c r="M41" s="1"/>
  <c r="N41" s="1"/>
  <c r="O41" s="1"/>
  <c r="L42"/>
  <c r="M42" s="1"/>
  <c r="N42" s="1"/>
  <c r="O42" s="1"/>
  <c r="L43"/>
  <c r="M43"/>
  <c r="N43"/>
  <c r="L44"/>
  <c r="M44" s="1"/>
  <c r="N44" s="1"/>
  <c r="L37"/>
  <c r="M37" s="1"/>
  <c r="N37" s="1"/>
  <c r="O37" s="1"/>
  <c r="L16"/>
  <c r="M16"/>
  <c r="L17"/>
  <c r="M17" s="1"/>
  <c r="L18"/>
  <c r="L19"/>
  <c r="M19" s="1"/>
  <c r="N19" s="1"/>
  <c r="O19" s="1"/>
  <c r="L20"/>
  <c r="M20" s="1"/>
  <c r="N20" s="1"/>
  <c r="O20" s="1"/>
  <c r="L21"/>
  <c r="M21"/>
  <c r="N21" s="1"/>
  <c r="O21" s="1"/>
  <c r="L22"/>
  <c r="M22" s="1"/>
  <c r="N22" s="1"/>
  <c r="O22" s="1"/>
  <c r="L23"/>
  <c r="M23" s="1"/>
  <c r="N23" s="1"/>
  <c r="O23" s="1"/>
  <c r="L24"/>
  <c r="M24"/>
  <c r="N24" s="1"/>
  <c r="O24" s="1"/>
  <c r="L25"/>
  <c r="L26"/>
  <c r="L27"/>
  <c r="M27" s="1"/>
  <c r="N27" s="1"/>
  <c r="O27" s="1"/>
  <c r="L28"/>
  <c r="L29"/>
  <c r="M29"/>
  <c r="L30"/>
  <c r="M30" s="1"/>
  <c r="N30" s="1"/>
  <c r="O30" s="1"/>
  <c r="L31"/>
  <c r="M31" s="1"/>
  <c r="N31" s="1"/>
  <c r="L32"/>
  <c r="L33"/>
  <c r="M33" s="1"/>
  <c r="L34"/>
  <c r="M34" s="1"/>
  <c r="N34" s="1"/>
  <c r="L15"/>
  <c r="M15" s="1"/>
  <c r="N15" s="1"/>
  <c r="C54" i="7"/>
  <c r="C45"/>
  <c r="D45"/>
  <c r="C44"/>
  <c r="C55"/>
  <c r="D55"/>
  <c r="C35"/>
  <c r="C34"/>
  <c r="D34"/>
  <c r="I70" s="1"/>
  <c r="C25"/>
  <c r="C24"/>
  <c r="F70"/>
  <c r="C14"/>
  <c r="D14" s="1"/>
  <c r="E14" s="1"/>
  <c r="F14" s="1"/>
  <c r="C13"/>
  <c r="C1"/>
  <c r="C2" i="1" s="1"/>
  <c r="B26" i="7"/>
  <c r="C6" i="1" s="1"/>
  <c r="B15" i="7"/>
  <c r="C5" i="1"/>
  <c r="P33" s="1"/>
  <c r="C62" i="7"/>
  <c r="B11"/>
  <c r="B49"/>
  <c r="A76" s="1"/>
  <c r="B39"/>
  <c r="A73" s="1"/>
  <c r="B8" i="1"/>
  <c r="B29" i="7"/>
  <c r="A70" s="1"/>
  <c r="B19"/>
  <c r="B6" i="1" s="1"/>
  <c r="B8" i="7"/>
  <c r="A64"/>
  <c r="F12"/>
  <c r="F23" s="1"/>
  <c r="F33" s="1"/>
  <c r="F43" s="1"/>
  <c r="F53"/>
  <c r="E12"/>
  <c r="E23" s="1"/>
  <c r="E33" s="1"/>
  <c r="E43" s="1"/>
  <c r="E53" s="1"/>
  <c r="D12"/>
  <c r="C12"/>
  <c r="D86"/>
  <c r="D77"/>
  <c r="E77" s="1"/>
  <c r="C77"/>
  <c r="C78" s="1"/>
  <c r="D76"/>
  <c r="C76"/>
  <c r="E76"/>
  <c r="E78" s="1"/>
  <c r="D74"/>
  <c r="C74"/>
  <c r="D73"/>
  <c r="E73" s="1"/>
  <c r="E75" s="1"/>
  <c r="C73"/>
  <c r="C75" s="1"/>
  <c r="C66"/>
  <c r="C64" s="1"/>
  <c r="E64" s="1"/>
  <c r="C69"/>
  <c r="C79"/>
  <c r="D71"/>
  <c r="E71" s="1"/>
  <c r="C71"/>
  <c r="E70"/>
  <c r="E72"/>
  <c r="D70"/>
  <c r="C70"/>
  <c r="C72" s="1"/>
  <c r="D68"/>
  <c r="D67"/>
  <c r="B56"/>
  <c r="C9" i="1"/>
  <c r="P214"/>
  <c r="P211"/>
  <c r="J10"/>
  <c r="F183" s="1"/>
  <c r="G183" s="1"/>
  <c r="B46" i="7"/>
  <c r="C8" i="1"/>
  <c r="D239" s="1"/>
  <c r="P141"/>
  <c r="B36" i="7"/>
  <c r="C7" i="1"/>
  <c r="D65" i="7"/>
  <c r="C13" i="6"/>
  <c r="D13" s="1"/>
  <c r="B35"/>
  <c r="B30"/>
  <c r="J16" i="9" s="1"/>
  <c r="B25" i="6"/>
  <c r="B36"/>
  <c r="B7" i="1"/>
  <c r="B9"/>
  <c r="C11" i="7"/>
  <c r="C42" s="1"/>
  <c r="D64"/>
  <c r="A67"/>
  <c r="I62"/>
  <c r="F62"/>
  <c r="F76"/>
  <c r="F78" s="1"/>
  <c r="C56"/>
  <c r="D9" i="1"/>
  <c r="E242"/>
  <c r="E74" i="7"/>
  <c r="F77"/>
  <c r="M97" i="1"/>
  <c r="M145"/>
  <c r="N145" s="1"/>
  <c r="O145" s="1"/>
  <c r="D243"/>
  <c r="D241"/>
  <c r="D87" i="9"/>
  <c r="F68"/>
  <c r="F107"/>
  <c r="G63"/>
  <c r="E69"/>
  <c r="E70" s="1"/>
  <c r="F100"/>
  <c r="K17"/>
  <c r="F62"/>
  <c r="F103"/>
  <c r="F101"/>
  <c r="I98"/>
  <c r="F26"/>
  <c r="F106"/>
  <c r="F25"/>
  <c r="F99"/>
  <c r="F17"/>
  <c r="F18"/>
  <c r="F24"/>
  <c r="F61"/>
  <c r="F69" s="1"/>
  <c r="F70" s="1"/>
  <c r="F58"/>
  <c r="F97"/>
  <c r="I23"/>
  <c r="G65"/>
  <c r="I24"/>
  <c r="K22"/>
  <c r="B22" i="12"/>
  <c r="C67" i="7"/>
  <c r="E67" s="1"/>
  <c r="E69" s="1"/>
  <c r="P195" i="1"/>
  <c r="P187"/>
  <c r="D234"/>
  <c r="P129"/>
  <c r="P113"/>
  <c r="P97"/>
  <c r="M198"/>
  <c r="B52" i="7"/>
  <c r="D242" i="1"/>
  <c r="P216"/>
  <c r="P208"/>
  <c r="J17"/>
  <c r="J49"/>
  <c r="B59" i="7"/>
  <c r="D25"/>
  <c r="E25" s="1"/>
  <c r="F25" s="1"/>
  <c r="C68"/>
  <c r="E68"/>
  <c r="J56" i="1"/>
  <c r="J47"/>
  <c r="J48"/>
  <c r="J16"/>
  <c r="J15"/>
  <c r="J50"/>
  <c r="B5"/>
  <c r="F74" i="7"/>
  <c r="C46"/>
  <c r="D8" i="1"/>
  <c r="Q167" s="1"/>
  <c r="D44" i="7"/>
  <c r="I73" s="1"/>
  <c r="F73"/>
  <c r="E34"/>
  <c r="E44"/>
  <c r="F75"/>
  <c r="F44"/>
  <c r="L73"/>
  <c r="N78" i="1"/>
  <c r="M79"/>
  <c r="N79" s="1"/>
  <c r="O79" s="1"/>
  <c r="O73" i="7"/>
  <c r="O78" i="1"/>
  <c r="M203"/>
  <c r="N203" s="1"/>
  <c r="M189"/>
  <c r="N129"/>
  <c r="O129" s="1"/>
  <c r="M157"/>
  <c r="N157" s="1"/>
  <c r="O157" s="1"/>
  <c r="M155"/>
  <c r="N155" s="1"/>
  <c r="M28"/>
  <c r="N28" s="1"/>
  <c r="O28" s="1"/>
  <c r="M26"/>
  <c r="N26" s="1"/>
  <c r="O26" s="1"/>
  <c r="M213"/>
  <c r="N213" s="1"/>
  <c r="O213" s="1"/>
  <c r="M82"/>
  <c r="N82" s="1"/>
  <c r="O82" s="1"/>
  <c r="M193"/>
  <c r="M83"/>
  <c r="H23" i="9"/>
  <c r="H19"/>
  <c r="H58"/>
  <c r="H97" s="1"/>
  <c r="H18"/>
  <c r="H103"/>
  <c r="H105"/>
  <c r="H25"/>
  <c r="M107" i="1"/>
  <c r="N107" s="1"/>
  <c r="O107" s="1"/>
  <c r="M150"/>
  <c r="O195"/>
  <c r="Q195"/>
  <c r="M66"/>
  <c r="M80"/>
  <c r="N80" s="1"/>
  <c r="M111"/>
  <c r="L17" i="9"/>
  <c r="L22"/>
  <c r="L104"/>
  <c r="L105"/>
  <c r="L21"/>
  <c r="L67"/>
  <c r="L65"/>
  <c r="N68" i="1"/>
  <c r="M135"/>
  <c r="N135" s="1"/>
  <c r="O135" s="1"/>
  <c r="G25" i="9"/>
  <c r="G17"/>
  <c r="G24"/>
  <c r="G68"/>
  <c r="G102"/>
  <c r="G61"/>
  <c r="G67"/>
  <c r="O216" i="1"/>
  <c r="N99"/>
  <c r="M161"/>
  <c r="N161" s="1"/>
  <c r="M181"/>
  <c r="N181" s="1"/>
  <c r="O181" s="1"/>
  <c r="P206"/>
  <c r="K98" i="9"/>
  <c r="K59"/>
  <c r="K68"/>
  <c r="K26"/>
  <c r="K103"/>
  <c r="K104"/>
  <c r="M102" i="1"/>
  <c r="M103"/>
  <c r="J8"/>
  <c r="P123"/>
  <c r="P109"/>
  <c r="D235"/>
  <c r="P105"/>
  <c r="P100"/>
  <c r="P114"/>
  <c r="P133"/>
  <c r="P101"/>
  <c r="D233"/>
  <c r="P111"/>
  <c r="P98"/>
  <c r="M75"/>
  <c r="N75" s="1"/>
  <c r="O75" s="1"/>
  <c r="N189"/>
  <c r="O189" s="1"/>
  <c r="N66"/>
  <c r="N164"/>
  <c r="O164" s="1"/>
  <c r="P180"/>
  <c r="B241"/>
  <c r="I9"/>
  <c r="M98"/>
  <c r="P189"/>
  <c r="I102" i="9"/>
  <c r="I17"/>
  <c r="I20"/>
  <c r="F213" i="1"/>
  <c r="F204"/>
  <c r="G204" s="1"/>
  <c r="F198"/>
  <c r="F216"/>
  <c r="F193"/>
  <c r="G193" s="1"/>
  <c r="F23" i="9"/>
  <c r="F65"/>
  <c r="F98"/>
  <c r="F104"/>
  <c r="F67"/>
  <c r="F19"/>
  <c r="F60"/>
  <c r="F105"/>
  <c r="F64"/>
  <c r="F20"/>
  <c r="F102"/>
  <c r="F63"/>
  <c r="F66"/>
  <c r="F21"/>
  <c r="F59"/>
  <c r="F22"/>
  <c r="L64"/>
  <c r="I65"/>
  <c r="F215" i="1"/>
  <c r="G215" s="1"/>
  <c r="C13" i="8"/>
  <c r="D17" i="2" s="1"/>
  <c r="E40" i="14"/>
  <c r="C255" i="8"/>
  <c r="G258"/>
  <c r="B22" i="13"/>
  <c r="E258" i="8"/>
  <c r="J139"/>
  <c r="D53"/>
  <c r="B223"/>
  <c r="F258"/>
  <c r="B231"/>
  <c r="B316"/>
  <c r="F278"/>
  <c r="P209"/>
  <c r="J53"/>
  <c r="B264" s="1"/>
  <c r="S139"/>
  <c r="F24" i="13" s="1"/>
  <c r="E278" i="8"/>
  <c r="E279"/>
  <c r="B28" i="3"/>
  <c r="C7" i="8"/>
  <c r="D14" i="2" s="1"/>
  <c r="C32" i="8"/>
  <c r="C246"/>
  <c r="C11"/>
  <c r="C229"/>
  <c r="C290" s="1"/>
  <c r="N191" i="1"/>
  <c r="O191" s="1"/>
  <c r="N59"/>
  <c r="N183"/>
  <c r="O66"/>
  <c r="N174"/>
  <c r="O174" s="1"/>
  <c r="N103"/>
  <c r="O80"/>
  <c r="F131"/>
  <c r="F135"/>
  <c r="F122"/>
  <c r="F126"/>
  <c r="F100"/>
  <c r="F104"/>
  <c r="F108"/>
  <c r="F112"/>
  <c r="F116"/>
  <c r="F130"/>
  <c r="F134"/>
  <c r="F121"/>
  <c r="F125"/>
  <c r="F99"/>
  <c r="F103"/>
  <c r="F107"/>
  <c r="F111"/>
  <c r="F115"/>
  <c r="F120"/>
  <c r="F98"/>
  <c r="F106"/>
  <c r="F114"/>
  <c r="F129"/>
  <c r="F119"/>
  <c r="F105"/>
  <c r="F113"/>
  <c r="F97"/>
  <c r="F123"/>
  <c r="F109"/>
  <c r="F132"/>
  <c r="F101"/>
  <c r="F124"/>
  <c r="F110"/>
  <c r="F133"/>
  <c r="F102"/>
  <c r="O203"/>
  <c r="P21"/>
  <c r="P34"/>
  <c r="B355" i="8"/>
  <c r="B44" i="3" s="1"/>
  <c r="B46" s="1"/>
  <c r="F259" i="8"/>
  <c r="G259" s="1"/>
  <c r="C311"/>
  <c r="O103" i="1"/>
  <c r="O59"/>
  <c r="O183"/>
  <c r="O99"/>
  <c r="C23" i="12"/>
  <c r="D23"/>
  <c r="E23"/>
  <c r="F23"/>
  <c r="C22"/>
  <c r="C27" s="1"/>
  <c r="D22"/>
  <c r="D27" s="1"/>
  <c r="E22"/>
  <c r="E27" s="1"/>
  <c r="F22"/>
  <c r="B372" i="8"/>
  <c r="B24" i="3"/>
  <c r="B26" s="1"/>
  <c r="D383" i="8"/>
  <c r="C65" i="7"/>
  <c r="E65" s="1"/>
  <c r="P53" i="1"/>
  <c r="C372" i="8"/>
  <c r="C52" i="3" s="1"/>
  <c r="B52"/>
  <c r="C24"/>
  <c r="D28"/>
  <c r="E383" i="8"/>
  <c r="D372"/>
  <c r="D24" i="3"/>
  <c r="E24"/>
  <c r="G367" i="8"/>
  <c r="G24" i="3" s="1"/>
  <c r="J17" i="9"/>
  <c r="A13" i="2"/>
  <c r="I6" i="1"/>
  <c r="B225"/>
  <c r="B4" i="8"/>
  <c r="A20"/>
  <c r="N123" i="1"/>
  <c r="O123" s="1"/>
  <c r="M147"/>
  <c r="M171"/>
  <c r="M196"/>
  <c r="N185"/>
  <c r="O185" s="1"/>
  <c r="N204"/>
  <c r="O204" s="1"/>
  <c r="P67"/>
  <c r="P85"/>
  <c r="P94"/>
  <c r="P90"/>
  <c r="P145"/>
  <c r="P160"/>
  <c r="P164"/>
  <c r="Q164"/>
  <c r="P191"/>
  <c r="Q191"/>
  <c r="M99" i="9"/>
  <c r="M58"/>
  <c r="M97" s="1"/>
  <c r="M19"/>
  <c r="M59"/>
  <c r="M67"/>
  <c r="M18"/>
  <c r="M26"/>
  <c r="M107"/>
  <c r="M74" i="1"/>
  <c r="N74" s="1"/>
  <c r="N100"/>
  <c r="N97"/>
  <c r="I10"/>
  <c r="B12" i="8"/>
  <c r="A32" s="1"/>
  <c r="A17" i="2"/>
  <c r="N61" i="1"/>
  <c r="N124"/>
  <c r="P91"/>
  <c r="P73"/>
  <c r="P61"/>
  <c r="P56"/>
  <c r="P57"/>
  <c r="P58"/>
  <c r="P62"/>
  <c r="P65"/>
  <c r="P66"/>
  <c r="P69"/>
  <c r="P70"/>
  <c r="P72"/>
  <c r="P82"/>
  <c r="P93"/>
  <c r="N146"/>
  <c r="N143"/>
  <c r="P172"/>
  <c r="P205"/>
  <c r="J19" i="9"/>
  <c r="J67"/>
  <c r="J58"/>
  <c r="J97"/>
  <c r="J24"/>
  <c r="J21"/>
  <c r="J23"/>
  <c r="J68"/>
  <c r="J102"/>
  <c r="J20"/>
  <c r="J98"/>
  <c r="J64"/>
  <c r="J100"/>
  <c r="D236" i="1"/>
  <c r="F15" i="2" s="1"/>
  <c r="O149" i="1"/>
  <c r="M132"/>
  <c r="N132" s="1"/>
  <c r="O132" s="1"/>
  <c r="P161"/>
  <c r="Q161"/>
  <c r="Q156"/>
  <c r="N91"/>
  <c r="M104"/>
  <c r="N104" s="1"/>
  <c r="Q153"/>
  <c r="M153"/>
  <c r="P185"/>
  <c r="Q185"/>
  <c r="Q213"/>
  <c r="P213"/>
  <c r="M101"/>
  <c r="N101" s="1"/>
  <c r="O101" s="1"/>
  <c r="O91"/>
  <c r="Q138"/>
  <c r="Q163"/>
  <c r="J9"/>
  <c r="F196"/>
  <c r="G196" s="1"/>
  <c r="F211"/>
  <c r="G211" s="1"/>
  <c r="Q187"/>
  <c r="F180"/>
  <c r="G180" s="1"/>
  <c r="F202"/>
  <c r="G202" s="1"/>
  <c r="P102"/>
  <c r="P120"/>
  <c r="P124"/>
  <c r="P119"/>
  <c r="P106"/>
  <c r="P110"/>
  <c r="F142"/>
  <c r="F167"/>
  <c r="F172"/>
  <c r="F150"/>
  <c r="F155"/>
  <c r="F162"/>
  <c r="F141"/>
  <c r="F143"/>
  <c r="F161"/>
  <c r="F166"/>
  <c r="F176"/>
  <c r="F138"/>
  <c r="F149"/>
  <c r="F170"/>
  <c r="F153"/>
  <c r="F147"/>
  <c r="F164"/>
  <c r="F174"/>
  <c r="F173"/>
  <c r="F144"/>
  <c r="F171"/>
  <c r="F165"/>
  <c r="F157"/>
  <c r="F145"/>
  <c r="F140"/>
  <c r="F156"/>
  <c r="F146"/>
  <c r="F154"/>
  <c r="F175"/>
  <c r="F163"/>
  <c r="F148"/>
  <c r="F152"/>
  <c r="F139"/>
  <c r="F160"/>
  <c r="F151"/>
  <c r="B178"/>
  <c r="O100"/>
  <c r="B14"/>
  <c r="O146"/>
  <c r="N171"/>
  <c r="O171" s="1"/>
  <c r="P132"/>
  <c r="N102"/>
  <c r="O102" s="1"/>
  <c r="M25"/>
  <c r="M69"/>
  <c r="N69" s="1"/>
  <c r="O69" s="1"/>
  <c r="N131"/>
  <c r="O131" s="1"/>
  <c r="N139"/>
  <c r="M182"/>
  <c r="Q182"/>
  <c r="M206"/>
  <c r="Q215"/>
  <c r="O31"/>
  <c r="C248" i="8"/>
  <c r="T153"/>
  <c r="T154"/>
  <c r="T155" s="1"/>
  <c r="T156" s="1"/>
  <c r="T157" s="1"/>
  <c r="T158" s="1"/>
  <c r="T159" s="1"/>
  <c r="T160" s="1"/>
  <c r="T161" s="1"/>
  <c r="T162" s="1"/>
  <c r="T163" s="1"/>
  <c r="T164" s="1"/>
  <c r="T165" s="1"/>
  <c r="T166" s="1"/>
  <c r="T167" s="1"/>
  <c r="T168" s="1"/>
  <c r="T169" s="1"/>
  <c r="T170" s="1"/>
  <c r="C27"/>
  <c r="N33" i="1"/>
  <c r="D23" i="7"/>
  <c r="D33"/>
  <c r="D43" s="1"/>
  <c r="D53" s="1"/>
  <c r="D54" s="1"/>
  <c r="D56" s="1"/>
  <c r="N83" i="1"/>
  <c r="Q165"/>
  <c r="Q176"/>
  <c r="Q154"/>
  <c r="E237"/>
  <c r="B233"/>
  <c r="A15" i="2"/>
  <c r="A37" s="1"/>
  <c r="I8" i="1"/>
  <c r="B8" i="8"/>
  <c r="Q184" i="1"/>
  <c r="P190"/>
  <c r="Q186"/>
  <c r="P186"/>
  <c r="P201"/>
  <c r="E241"/>
  <c r="Q198"/>
  <c r="Q212"/>
  <c r="Q183"/>
  <c r="Q216"/>
  <c r="Q189"/>
  <c r="P170"/>
  <c r="D238"/>
  <c r="D237"/>
  <c r="P163"/>
  <c r="P147"/>
  <c r="P150"/>
  <c r="P143"/>
  <c r="P162"/>
  <c r="P139"/>
  <c r="P146"/>
  <c r="P171"/>
  <c r="P142"/>
  <c r="P151"/>
  <c r="P138"/>
  <c r="P157"/>
  <c r="P149"/>
  <c r="M65"/>
  <c r="M112"/>
  <c r="N112" s="1"/>
  <c r="M108"/>
  <c r="N108" s="1"/>
  <c r="Q217"/>
  <c r="M217"/>
  <c r="P174"/>
  <c r="P179"/>
  <c r="C223" i="8"/>
  <c r="C264" s="1"/>
  <c r="F264" s="1"/>
  <c r="F214" i="1"/>
  <c r="F187"/>
  <c r="G187" s="1"/>
  <c r="F217"/>
  <c r="G217" s="1"/>
  <c r="F208"/>
  <c r="F212"/>
  <c r="G212" s="1"/>
  <c r="F203"/>
  <c r="F197"/>
  <c r="G197" s="1"/>
  <c r="F192"/>
  <c r="G192" s="1"/>
  <c r="N167"/>
  <c r="M151"/>
  <c r="N151" s="1"/>
  <c r="O151" s="1"/>
  <c r="P193"/>
  <c r="Q193"/>
  <c r="I61" i="9"/>
  <c r="I68"/>
  <c r="I104"/>
  <c r="I100"/>
  <c r="I106"/>
  <c r="I66"/>
  <c r="I64"/>
  <c r="I19"/>
  <c r="I105"/>
  <c r="I25"/>
  <c r="I101"/>
  <c r="I63"/>
  <c r="I26"/>
  <c r="I58"/>
  <c r="I97" s="1"/>
  <c r="I99"/>
  <c r="I21"/>
  <c r="I59"/>
  <c r="I107"/>
  <c r="I60"/>
  <c r="I18"/>
  <c r="I22"/>
  <c r="I103"/>
  <c r="I67"/>
  <c r="I62"/>
  <c r="N98" i="1"/>
  <c r="O98" s="1"/>
  <c r="Q149"/>
  <c r="E243"/>
  <c r="P154"/>
  <c r="P165"/>
  <c r="P155"/>
  <c r="K10"/>
  <c r="C284" i="8"/>
  <c r="J18" i="9"/>
  <c r="J27" s="1"/>
  <c r="J28" s="1"/>
  <c r="J59"/>
  <c r="J60"/>
  <c r="J61"/>
  <c r="J62"/>
  <c r="J63"/>
  <c r="J65"/>
  <c r="J66"/>
  <c r="J99"/>
  <c r="J108" s="1"/>
  <c r="J109" s="1"/>
  <c r="J101"/>
  <c r="J103"/>
  <c r="J104"/>
  <c r="J105"/>
  <c r="J106"/>
  <c r="O167" i="1"/>
  <c r="N217"/>
  <c r="O217" s="1"/>
  <c r="N182"/>
  <c r="O139"/>
  <c r="N25"/>
  <c r="O58"/>
  <c r="G214"/>
  <c r="G216"/>
  <c r="N65"/>
  <c r="E54" i="7"/>
  <c r="O33" i="1"/>
  <c r="G203"/>
  <c r="G208"/>
  <c r="G198"/>
  <c r="O25"/>
  <c r="O65"/>
  <c r="O182"/>
  <c r="E264" i="8"/>
  <c r="O112" i="1"/>
  <c r="G213"/>
  <c r="J22" i="9"/>
  <c r="J25"/>
  <c r="J107"/>
  <c r="J26"/>
  <c r="P198" i="1"/>
  <c r="P182"/>
  <c r="P204"/>
  <c r="P217"/>
  <c r="D29" i="13"/>
  <c r="B299" i="8"/>
  <c r="B29" i="13"/>
  <c r="B260" i="8"/>
  <c r="C29" i="13"/>
  <c r="B280" i="8"/>
  <c r="C317" l="1"/>
  <c r="C296"/>
  <c r="C276"/>
  <c r="D244"/>
  <c r="D245" s="1"/>
  <c r="E245" s="1"/>
  <c r="E244"/>
  <c r="P117" i="1"/>
  <c r="P136"/>
  <c r="G146"/>
  <c r="Q218"/>
  <c r="G223" i="8"/>
  <c r="I108" i="9"/>
  <c r="I109" s="1"/>
  <c r="P196" i="1"/>
  <c r="G164"/>
  <c r="M104" i="9"/>
  <c r="M21"/>
  <c r="M68"/>
  <c r="M98"/>
  <c r="M108" s="1"/>
  <c r="M109" s="1"/>
  <c r="M61"/>
  <c r="M211" i="1"/>
  <c r="N211" s="1"/>
  <c r="O211" s="1"/>
  <c r="P202"/>
  <c r="H104" i="9"/>
  <c r="H17"/>
  <c r="H62"/>
  <c r="H107"/>
  <c r="E21" i="2"/>
  <c r="H223" i="8"/>
  <c r="Q197" i="1"/>
  <c r="Q144"/>
  <c r="Q148"/>
  <c r="F206"/>
  <c r="G206" s="1"/>
  <c r="F181"/>
  <c r="G181" s="1"/>
  <c r="F186"/>
  <c r="G186" s="1"/>
  <c r="F191"/>
  <c r="G191" s="1"/>
  <c r="F201"/>
  <c r="G201" s="1"/>
  <c r="P140"/>
  <c r="Q188"/>
  <c r="Q201"/>
  <c r="Q142"/>
  <c r="Q143"/>
  <c r="E238"/>
  <c r="E240" s="1"/>
  <c r="D30" i="8" s="1"/>
  <c r="C227"/>
  <c r="Q139" i="1"/>
  <c r="E239"/>
  <c r="P181"/>
  <c r="P199" s="1"/>
  <c r="P203"/>
  <c r="M102" i="9"/>
  <c r="M100"/>
  <c r="M105"/>
  <c r="M63"/>
  <c r="M25"/>
  <c r="M64"/>
  <c r="M69" s="1"/>
  <c r="M70" s="1"/>
  <c r="M62"/>
  <c r="M208" i="1"/>
  <c r="N208" s="1"/>
  <c r="O208" s="1"/>
  <c r="Q192"/>
  <c r="P39"/>
  <c r="C26" i="8"/>
  <c r="C28" s="1"/>
  <c r="C234"/>
  <c r="F207" i="1"/>
  <c r="G207" s="1"/>
  <c r="F182"/>
  <c r="G182" s="1"/>
  <c r="F179"/>
  <c r="G179" s="1"/>
  <c r="G104" i="9"/>
  <c r="G26"/>
  <c r="G62"/>
  <c r="L66"/>
  <c r="L68"/>
  <c r="L100"/>
  <c r="H65"/>
  <c r="Q150" i="1"/>
  <c r="H61" i="9"/>
  <c r="H22"/>
  <c r="H106"/>
  <c r="H24"/>
  <c r="H68"/>
  <c r="H63"/>
  <c r="N63" s="1"/>
  <c r="O63" s="1"/>
  <c r="H99"/>
  <c r="G103"/>
  <c r="L58"/>
  <c r="L97" s="1"/>
  <c r="G21"/>
  <c r="P173" i="1"/>
  <c r="P177" s="1"/>
  <c r="P194"/>
  <c r="G60" i="9"/>
  <c r="G163" i="1"/>
  <c r="G165"/>
  <c r="Q179"/>
  <c r="G154"/>
  <c r="G150"/>
  <c r="M103" i="9"/>
  <c r="M60"/>
  <c r="M22"/>
  <c r="C270" i="8"/>
  <c r="T142"/>
  <c r="T143" s="1"/>
  <c r="T144" s="1"/>
  <c r="T145" s="1"/>
  <c r="H59" i="9"/>
  <c r="H100"/>
  <c r="M205" i="1"/>
  <c r="N205" s="1"/>
  <c r="O205" s="1"/>
  <c r="D264" i="8"/>
  <c r="C305"/>
  <c r="Q146" i="1"/>
  <c r="N68" i="9"/>
  <c r="O68" s="1"/>
  <c r="F189" i="1"/>
  <c r="G189" s="1"/>
  <c r="F194"/>
  <c r="G194" s="1"/>
  <c r="F205"/>
  <c r="G205" s="1"/>
  <c r="F195"/>
  <c r="G195" s="1"/>
  <c r="P175"/>
  <c r="K9"/>
  <c r="F188"/>
  <c r="G188" s="1"/>
  <c r="G15" i="2"/>
  <c r="E22" s="1"/>
  <c r="M101" i="9"/>
  <c r="M24"/>
  <c r="M23"/>
  <c r="M65"/>
  <c r="M20"/>
  <c r="M27" s="1"/>
  <c r="M28" s="1"/>
  <c r="M66"/>
  <c r="M106"/>
  <c r="B54" i="3"/>
  <c r="C5" i="8"/>
  <c r="D13" i="2" s="1"/>
  <c r="F184" i="1"/>
  <c r="G184" s="1"/>
  <c r="F185"/>
  <c r="G185" s="1"/>
  <c r="F190"/>
  <c r="G190" s="1"/>
  <c r="Q174"/>
  <c r="Q170"/>
  <c r="G58" i="9"/>
  <c r="G97" s="1"/>
  <c r="G59"/>
  <c r="H67"/>
  <c r="L62"/>
  <c r="L63"/>
  <c r="H98"/>
  <c r="H21"/>
  <c r="H64"/>
  <c r="H101"/>
  <c r="H20"/>
  <c r="H102"/>
  <c r="H66"/>
  <c r="H60"/>
  <c r="F27"/>
  <c r="F28" s="1"/>
  <c r="D244" i="1"/>
  <c r="Q160"/>
  <c r="Q168" s="1"/>
  <c r="Q166"/>
  <c r="P183"/>
  <c r="Q214"/>
  <c r="L76" i="7"/>
  <c r="E56"/>
  <c r="F54"/>
  <c r="E9" i="1"/>
  <c r="R206" s="1"/>
  <c r="O61"/>
  <c r="O97"/>
  <c r="N147"/>
  <c r="B350" i="8"/>
  <c r="D231"/>
  <c r="N111" i="1"/>
  <c r="N150"/>
  <c r="N193"/>
  <c r="I77" i="7"/>
  <c r="E55"/>
  <c r="O34" i="1"/>
  <c r="O43"/>
  <c r="O40"/>
  <c r="O53"/>
  <c r="O124"/>
  <c r="O161"/>
  <c r="O90"/>
  <c r="F108" i="9"/>
  <c r="F109" s="1"/>
  <c r="O165" i="1"/>
  <c r="M114"/>
  <c r="M110"/>
  <c r="O106"/>
  <c r="N148"/>
  <c r="N175"/>
  <c r="M173"/>
  <c r="Q173"/>
  <c r="N179"/>
  <c r="C260" i="8"/>
  <c r="D239"/>
  <c r="J69" i="9"/>
  <c r="J70" s="1"/>
  <c r="I76" i="7"/>
  <c r="P158" i="1"/>
  <c r="Q190"/>
  <c r="H69" i="9"/>
  <c r="H70" s="1"/>
  <c r="I69"/>
  <c r="I70" s="1"/>
  <c r="C288" i="8"/>
  <c r="C268"/>
  <c r="D227"/>
  <c r="F227"/>
  <c r="N206" i="1"/>
  <c r="N72"/>
  <c r="O143"/>
  <c r="O74"/>
  <c r="D16" i="2"/>
  <c r="C14" i="8"/>
  <c r="E28" i="13"/>
  <c r="P212" i="8"/>
  <c r="B317"/>
  <c r="O121" i="1"/>
  <c r="M133"/>
  <c r="N176"/>
  <c r="N197"/>
  <c r="M194"/>
  <c r="Q194"/>
  <c r="N190"/>
  <c r="N186"/>
  <c r="B305" i="8"/>
  <c r="E22" i="13"/>
  <c r="O108" i="1"/>
  <c r="B96"/>
  <c r="A26" i="8"/>
  <c r="O83" i="1"/>
  <c r="O172"/>
  <c r="N92"/>
  <c r="O104"/>
  <c r="N153"/>
  <c r="E372" i="8"/>
  <c r="D52" i="3"/>
  <c r="P50" i="1"/>
  <c r="N29"/>
  <c r="N16"/>
  <c r="O44"/>
  <c r="M52"/>
  <c r="Q199"/>
  <c r="P218"/>
  <c r="O116"/>
  <c r="O73"/>
  <c r="G244" i="8"/>
  <c r="F244"/>
  <c r="A35" i="2"/>
  <c r="C21"/>
  <c r="F383" i="8"/>
  <c r="E28" i="3"/>
  <c r="B327" i="8"/>
  <c r="E223"/>
  <c r="F223"/>
  <c r="B233"/>
  <c r="D223"/>
  <c r="B268"/>
  <c r="C24" i="13"/>
  <c r="O155" i="1"/>
  <c r="N17"/>
  <c r="C52" i="7"/>
  <c r="C22"/>
  <c r="C32"/>
  <c r="D4" i="1"/>
  <c r="A14" i="2"/>
  <c r="I7" i="1"/>
  <c r="B6" i="8"/>
  <c r="D46" i="7"/>
  <c r="E8" i="1" s="1"/>
  <c r="R148" s="1"/>
  <c r="I74" i="7"/>
  <c r="E45"/>
  <c r="O70" i="1"/>
  <c r="O64"/>
  <c r="N119"/>
  <c r="N163"/>
  <c r="R163"/>
  <c r="O140"/>
  <c r="M207"/>
  <c r="Q207"/>
  <c r="B307" i="8"/>
  <c r="E23" i="13"/>
  <c r="B266" i="8"/>
  <c r="C23" i="13"/>
  <c r="B339" i="8"/>
  <c r="E227"/>
  <c r="G227"/>
  <c r="E24" i="13"/>
  <c r="B309" i="8"/>
  <c r="B272"/>
  <c r="B270"/>
  <c r="C25" i="13"/>
  <c r="B313" i="8"/>
  <c r="P172"/>
  <c r="E26" i="13"/>
  <c r="D26"/>
  <c r="B292" i="8"/>
  <c r="M172"/>
  <c r="I234"/>
  <c r="D234"/>
  <c r="C356" s="1"/>
  <c r="B28" i="13"/>
  <c r="B256" i="8"/>
  <c r="C252"/>
  <c r="C231"/>
  <c r="I27" i="9"/>
  <c r="I28" s="1"/>
  <c r="D240" i="1"/>
  <c r="F279" i="8"/>
  <c r="G279" s="1"/>
  <c r="D172"/>
  <c r="G21" i="2"/>
  <c r="A39"/>
  <c r="N198" i="1"/>
  <c r="R198"/>
  <c r="P40"/>
  <c r="P44"/>
  <c r="J37"/>
  <c r="P29"/>
  <c r="P30"/>
  <c r="P49"/>
  <c r="P15"/>
  <c r="P20"/>
  <c r="P25"/>
  <c r="P24"/>
  <c r="P32"/>
  <c r="P47"/>
  <c r="P51"/>
  <c r="P18"/>
  <c r="P27"/>
  <c r="P17"/>
  <c r="P28"/>
  <c r="J38"/>
  <c r="P16"/>
  <c r="P26"/>
  <c r="O15"/>
  <c r="M32"/>
  <c r="N105"/>
  <c r="M126"/>
  <c r="N154"/>
  <c r="R154"/>
  <c r="P75"/>
  <c r="P63"/>
  <c r="P76" s="1"/>
  <c r="D229" s="1"/>
  <c r="D232" s="1"/>
  <c r="P59"/>
  <c r="P84"/>
  <c r="P86" s="1"/>
  <c r="D230" s="1"/>
  <c r="B70" i="3"/>
  <c r="C65"/>
  <c r="H237" i="8"/>
  <c r="G237"/>
  <c r="F237"/>
  <c r="E237"/>
  <c r="D237"/>
  <c r="H239"/>
  <c r="E239"/>
  <c r="G239"/>
  <c r="F239"/>
  <c r="E244" i="1"/>
  <c r="D33" i="8" s="1"/>
  <c r="N196" i="1"/>
  <c r="B229"/>
  <c r="M160"/>
  <c r="N104" i="9"/>
  <c r="O104" s="1"/>
  <c r="L70" i="7"/>
  <c r="F34"/>
  <c r="P48" i="1"/>
  <c r="E13" i="6"/>
  <c r="D11" i="7"/>
  <c r="B237" i="1"/>
  <c r="B137"/>
  <c r="A16" i="2"/>
  <c r="B10" i="8"/>
  <c r="A29" s="1"/>
  <c r="C4" i="1"/>
  <c r="C3" i="8" s="1"/>
  <c r="B18" i="3"/>
  <c r="B42" i="7"/>
  <c r="B22"/>
  <c r="J79" i="1"/>
  <c r="P64"/>
  <c r="P83"/>
  <c r="P88"/>
  <c r="P95" s="1"/>
  <c r="D231" s="1"/>
  <c r="J78"/>
  <c r="P74"/>
  <c r="D35" i="7"/>
  <c r="C36"/>
  <c r="F71"/>
  <c r="O39" i="1"/>
  <c r="O62"/>
  <c r="M152"/>
  <c r="Q152"/>
  <c r="Q158" s="1"/>
  <c r="P19"/>
  <c r="P42"/>
  <c r="K107" i="9"/>
  <c r="K100"/>
  <c r="K21"/>
  <c r="N21" s="1"/>
  <c r="O21" s="1"/>
  <c r="K18"/>
  <c r="K20"/>
  <c r="K67"/>
  <c r="N67" s="1"/>
  <c r="O67" s="1"/>
  <c r="K101"/>
  <c r="K99"/>
  <c r="K66"/>
  <c r="K106"/>
  <c r="K23"/>
  <c r="K25"/>
  <c r="K64"/>
  <c r="K58"/>
  <c r="K97" s="1"/>
  <c r="K63"/>
  <c r="K105"/>
  <c r="N105" s="1"/>
  <c r="O105" s="1"/>
  <c r="K60"/>
  <c r="K61"/>
  <c r="N61" s="1"/>
  <c r="O61" s="1"/>
  <c r="K24"/>
  <c r="N24" s="1"/>
  <c r="O24" s="1"/>
  <c r="K62"/>
  <c r="K102"/>
  <c r="K65"/>
  <c r="N65" s="1"/>
  <c r="O65" s="1"/>
  <c r="K19"/>
  <c r="D22" i="13"/>
  <c r="B284" i="8"/>
  <c r="T195"/>
  <c r="T196" s="1"/>
  <c r="T197" s="1"/>
  <c r="T198" s="1"/>
  <c r="T199" s="1"/>
  <c r="T200" s="1"/>
  <c r="T201" s="1"/>
  <c r="T202" s="1"/>
  <c r="T203" s="1"/>
  <c r="T204" s="1"/>
  <c r="T205" s="1"/>
  <c r="T206" s="1"/>
  <c r="T207" s="1"/>
  <c r="T208" s="1"/>
  <c r="C256"/>
  <c r="F27" i="12"/>
  <c r="B27"/>
  <c r="P31" i="1"/>
  <c r="P23"/>
  <c r="Q204"/>
  <c r="D45" i="9"/>
  <c r="M95" i="8"/>
  <c r="G95"/>
  <c r="D95"/>
  <c r="B225" s="1"/>
  <c r="M139"/>
  <c r="G139"/>
  <c r="G146"/>
  <c r="D146"/>
  <c r="B229" s="1"/>
  <c r="P146"/>
  <c r="M146"/>
  <c r="J171"/>
  <c r="G171"/>
  <c r="M192"/>
  <c r="J192"/>
  <c r="G192"/>
  <c r="D209"/>
  <c r="M209"/>
  <c r="J209"/>
  <c r="O68" i="1"/>
  <c r="C23" i="7"/>
  <c r="C16"/>
  <c r="D26" i="14"/>
  <c r="D20"/>
  <c r="D23"/>
  <c r="C22" i="13"/>
  <c r="E66" i="7"/>
  <c r="B32"/>
  <c r="M18" i="1"/>
  <c r="S209" i="8"/>
  <c r="S192"/>
  <c r="F27" i="13" s="1"/>
  <c r="S171" i="8"/>
  <c r="S95"/>
  <c r="F23" i="13" s="1"/>
  <c r="C15" i="7"/>
  <c r="D13"/>
  <c r="D24"/>
  <c r="C26"/>
  <c r="P43" i="1"/>
  <c r="E108" i="9"/>
  <c r="E109" s="1"/>
  <c r="D162"/>
  <c r="F8" i="11" s="1"/>
  <c r="G8" s="1"/>
  <c r="H8" s="1"/>
  <c r="I8" s="1"/>
  <c r="J8" s="1"/>
  <c r="S146" i="8"/>
  <c r="F25" i="13" s="1"/>
  <c r="G22" i="9"/>
  <c r="G20"/>
  <c r="N20" s="1"/>
  <c r="O20" s="1"/>
  <c r="G19"/>
  <c r="N19" s="1"/>
  <c r="O19" s="1"/>
  <c r="G23"/>
  <c r="G100"/>
  <c r="G66"/>
  <c r="N66" s="1"/>
  <c r="O66" s="1"/>
  <c r="G101"/>
  <c r="N101" s="1"/>
  <c r="O101" s="1"/>
  <c r="G107"/>
  <c r="G64"/>
  <c r="G99"/>
  <c r="N99" s="1"/>
  <c r="O99" s="1"/>
  <c r="G18"/>
  <c r="G98"/>
  <c r="G106"/>
  <c r="L98"/>
  <c r="L99"/>
  <c r="L103"/>
  <c r="L23"/>
  <c r="L18"/>
  <c r="L27" s="1"/>
  <c r="L28" s="1"/>
  <c r="L61"/>
  <c r="L19"/>
  <c r="L59"/>
  <c r="L107"/>
  <c r="L102"/>
  <c r="N102" s="1"/>
  <c r="O102" s="1"/>
  <c r="L106"/>
  <c r="L20"/>
  <c r="L25"/>
  <c r="L26"/>
  <c r="N26" s="1"/>
  <c r="O26" s="1"/>
  <c r="L24"/>
  <c r="L60"/>
  <c r="C225" i="8"/>
  <c r="T56"/>
  <c r="T57" s="1"/>
  <c r="T58" s="1"/>
  <c r="T59" s="1"/>
  <c r="T60" s="1"/>
  <c r="T61" s="1"/>
  <c r="T62" s="1"/>
  <c r="T63" s="1"/>
  <c r="T64" s="1"/>
  <c r="T65" s="1"/>
  <c r="T66" s="1"/>
  <c r="T67" s="1"/>
  <c r="T68" s="1"/>
  <c r="T69" s="1"/>
  <c r="T70" s="1"/>
  <c r="T71" s="1"/>
  <c r="T72" s="1"/>
  <c r="T73" s="1"/>
  <c r="T74" s="1"/>
  <c r="T75" s="1"/>
  <c r="T76" s="1"/>
  <c r="T77" s="1"/>
  <c r="T78" s="1"/>
  <c r="T79" s="1"/>
  <c r="T80" s="1"/>
  <c r="T81" s="1"/>
  <c r="T82" s="1"/>
  <c r="T83" s="1"/>
  <c r="T84" s="1"/>
  <c r="T85" s="1"/>
  <c r="T86" s="1"/>
  <c r="T87" s="1"/>
  <c r="T88" s="1"/>
  <c r="T89" s="1"/>
  <c r="T90" s="1"/>
  <c r="T91" s="1"/>
  <c r="T92" s="1"/>
  <c r="T93" s="1"/>
  <c r="T94" s="1"/>
  <c r="F72" i="7"/>
  <c r="D126" i="9"/>
  <c r="D265" i="8" l="1"/>
  <c r="E265" s="1"/>
  <c r="F265" s="1"/>
  <c r="G264"/>
  <c r="G167" i="1"/>
  <c r="G155"/>
  <c r="G166"/>
  <c r="G149"/>
  <c r="G174"/>
  <c r="G171"/>
  <c r="G156"/>
  <c r="G175"/>
  <c r="G160"/>
  <c r="G143"/>
  <c r="G147"/>
  <c r="G145"/>
  <c r="G152"/>
  <c r="Q209"/>
  <c r="N62" i="9"/>
  <c r="O62" s="1"/>
  <c r="N25"/>
  <c r="O25" s="1"/>
  <c r="K27"/>
  <c r="K28" s="1"/>
  <c r="R153" i="1"/>
  <c r="G144"/>
  <c r="G170"/>
  <c r="G161"/>
  <c r="G173"/>
  <c r="F17" i="2"/>
  <c r="G17" s="1"/>
  <c r="G22" s="1"/>
  <c r="C33" i="8"/>
  <c r="C34" s="1"/>
  <c r="C316"/>
  <c r="D316" s="1"/>
  <c r="C295"/>
  <c r="C275"/>
  <c r="C309"/>
  <c r="H227"/>
  <c r="I227" s="1"/>
  <c r="N103" i="9"/>
  <c r="O103" s="1"/>
  <c r="N106"/>
  <c r="O106" s="1"/>
  <c r="G69"/>
  <c r="G70" s="1"/>
  <c r="N100"/>
  <c r="O100" s="1"/>
  <c r="N22"/>
  <c r="O22" s="1"/>
  <c r="N60"/>
  <c r="O60" s="1"/>
  <c r="D317" i="8"/>
  <c r="D319" s="1"/>
  <c r="D320" s="1"/>
  <c r="D18" i="2"/>
  <c r="Q177" i="1"/>
  <c r="G138"/>
  <c r="G172"/>
  <c r="H108" i="9"/>
  <c r="H109" s="1"/>
  <c r="G142" i="1"/>
  <c r="G139"/>
  <c r="G176"/>
  <c r="G148"/>
  <c r="G153"/>
  <c r="N17" i="9"/>
  <c r="O17" s="1"/>
  <c r="H27"/>
  <c r="H28" s="1"/>
  <c r="G140" i="1"/>
  <c r="G162"/>
  <c r="G151"/>
  <c r="G141"/>
  <c r="G157"/>
  <c r="F14" i="2"/>
  <c r="G14" s="1"/>
  <c r="D22" s="1"/>
  <c r="C24" i="8"/>
  <c r="C25" s="1"/>
  <c r="H16" i="2"/>
  <c r="F23" s="1"/>
  <c r="H17"/>
  <c r="G23" s="1"/>
  <c r="H13"/>
  <c r="C23" s="1"/>
  <c r="H15"/>
  <c r="E23" s="1"/>
  <c r="E24" s="1"/>
  <c r="H14"/>
  <c r="D23" s="1"/>
  <c r="C286" i="8"/>
  <c r="C307"/>
  <c r="C266"/>
  <c r="E266" s="1"/>
  <c r="D6" i="1"/>
  <c r="Q78" s="1"/>
  <c r="F69" i="7"/>
  <c r="N18" i="1"/>
  <c r="B255" i="8"/>
  <c r="B27" i="13"/>
  <c r="G218" i="8"/>
  <c r="G212"/>
  <c r="B246"/>
  <c r="B23" i="13"/>
  <c r="I71" i="7"/>
  <c r="E35"/>
  <c r="D36"/>
  <c r="E4" i="1"/>
  <c r="D42" i="7"/>
  <c r="D52"/>
  <c r="D32"/>
  <c r="D22"/>
  <c r="D368" i="8"/>
  <c r="O105" i="1"/>
  <c r="F256" i="8"/>
  <c r="F257" s="1"/>
  <c r="G256"/>
  <c r="D256"/>
  <c r="D257" s="1"/>
  <c r="E256"/>
  <c r="E257" s="1"/>
  <c r="D266"/>
  <c r="O163" i="1"/>
  <c r="O29"/>
  <c r="D305" i="8"/>
  <c r="D306" s="1"/>
  <c r="O197" i="1"/>
  <c r="S197"/>
  <c r="C280" i="8"/>
  <c r="G260"/>
  <c r="F260"/>
  <c r="N110" i="1"/>
  <c r="S212" i="8"/>
  <c r="F28" i="13"/>
  <c r="S218" i="8"/>
  <c r="D218"/>
  <c r="C7" i="10" s="1"/>
  <c r="B235" i="8"/>
  <c r="D212"/>
  <c r="G225"/>
  <c r="E225"/>
  <c r="B333"/>
  <c r="H225"/>
  <c r="D225"/>
  <c r="F225"/>
  <c r="P78" i="1"/>
  <c r="E12"/>
  <c r="P12" s="1"/>
  <c r="C19" i="8"/>
  <c r="B28" i="10"/>
  <c r="N126" i="1"/>
  <c r="F16" i="2"/>
  <c r="G16" s="1"/>
  <c r="F22" s="1"/>
  <c r="F24" s="1"/>
  <c r="C30" i="8"/>
  <c r="C31" s="1"/>
  <c r="O153" i="1"/>
  <c r="N133"/>
  <c r="B4" i="12"/>
  <c r="D240" i="8"/>
  <c r="C373"/>
  <c r="O148" i="1"/>
  <c r="C352" i="8"/>
  <c r="D232"/>
  <c r="G108" i="9"/>
  <c r="G109" s="1"/>
  <c r="N98"/>
  <c r="E13" i="7"/>
  <c r="D15"/>
  <c r="E80"/>
  <c r="E79"/>
  <c r="C33"/>
  <c r="C27"/>
  <c r="B296" i="8"/>
  <c r="D28" i="13"/>
  <c r="M212" i="8"/>
  <c r="M218"/>
  <c r="D27" i="13"/>
  <c r="B295" i="8"/>
  <c r="E25" i="13"/>
  <c r="E30" s="1"/>
  <c r="B311" i="8"/>
  <c r="B288"/>
  <c r="D24" i="13"/>
  <c r="C5" i="3"/>
  <c r="D5" s="1"/>
  <c r="E5" s="1"/>
  <c r="F5" s="1"/>
  <c r="G5" s="1"/>
  <c r="H5" s="1"/>
  <c r="C18"/>
  <c r="O196" i="1"/>
  <c r="D238" i="8"/>
  <c r="C369" s="1"/>
  <c r="C25" i="3" s="1"/>
  <c r="C26" s="1"/>
  <c r="C368" i="8"/>
  <c r="P38" i="1"/>
  <c r="C272" i="8"/>
  <c r="C313"/>
  <c r="C292"/>
  <c r="E292" s="1"/>
  <c r="E231"/>
  <c r="C357"/>
  <c r="C45" i="3"/>
  <c r="B35"/>
  <c r="B37" s="1"/>
  <c r="C339" i="8"/>
  <c r="D307"/>
  <c r="E307"/>
  <c r="O119" i="1"/>
  <c r="A23" i="8"/>
  <c r="B55" i="1"/>
  <c r="O17"/>
  <c r="E268" i="8"/>
  <c r="G268" s="1"/>
  <c r="D268"/>
  <c r="D269" s="1"/>
  <c r="F268"/>
  <c r="D329"/>
  <c r="N52" i="1"/>
  <c r="O16"/>
  <c r="F372" i="8"/>
  <c r="E52" i="3"/>
  <c r="O186" i="1"/>
  <c r="N194"/>
  <c r="R194"/>
  <c r="O176"/>
  <c r="O72"/>
  <c r="C341" i="8"/>
  <c r="D228"/>
  <c r="I78" i="7"/>
  <c r="O179" i="1"/>
  <c r="O175"/>
  <c r="N114"/>
  <c r="O150"/>
  <c r="O147"/>
  <c r="L108" i="9"/>
  <c r="L109" s="1"/>
  <c r="N18"/>
  <c r="I75" i="7"/>
  <c r="I237" i="8"/>
  <c r="R190" i="1"/>
  <c r="N107" i="9"/>
  <c r="O107" s="1"/>
  <c r="N23"/>
  <c r="O23" s="1"/>
  <c r="B274" i="8"/>
  <c r="P54" i="1"/>
  <c r="F231" i="8"/>
  <c r="C26" i="13"/>
  <c r="J172" i="8"/>
  <c r="B25" i="13"/>
  <c r="B250" i="8"/>
  <c r="O70" i="7"/>
  <c r="D373" i="8"/>
  <c r="D65" i="3"/>
  <c r="E272" i="8"/>
  <c r="G272" s="1"/>
  <c r="F272"/>
  <c r="D272"/>
  <c r="D273" s="1"/>
  <c r="N207" i="1"/>
  <c r="R207"/>
  <c r="D21" i="2"/>
  <c r="A36"/>
  <c r="O92" i="1"/>
  <c r="O190"/>
  <c r="O206"/>
  <c r="S206"/>
  <c r="N173"/>
  <c r="R173"/>
  <c r="O193"/>
  <c r="S193"/>
  <c r="O111"/>
  <c r="B41" i="3"/>
  <c r="B43" s="1"/>
  <c r="R183" i="1"/>
  <c r="R180"/>
  <c r="F242"/>
  <c r="R212"/>
  <c r="R217"/>
  <c r="R184"/>
  <c r="R201"/>
  <c r="R216"/>
  <c r="R214"/>
  <c r="R213"/>
  <c r="R215"/>
  <c r="R195"/>
  <c r="R185"/>
  <c r="L10"/>
  <c r="R205"/>
  <c r="F243"/>
  <c r="R208"/>
  <c r="R187"/>
  <c r="R211"/>
  <c r="R202"/>
  <c r="R203"/>
  <c r="R188"/>
  <c r="R181"/>
  <c r="F241"/>
  <c r="R191"/>
  <c r="R182"/>
  <c r="R192"/>
  <c r="R189"/>
  <c r="F9"/>
  <c r="S190" s="1"/>
  <c r="F66" i="7"/>
  <c r="D5" i="1"/>
  <c r="Q37" s="1"/>
  <c r="B26" i="13"/>
  <c r="G172" i="8"/>
  <c r="B252"/>
  <c r="B345"/>
  <c r="E229"/>
  <c r="F229"/>
  <c r="G229"/>
  <c r="D229"/>
  <c r="H229"/>
  <c r="D284"/>
  <c r="D285" s="1"/>
  <c r="E284"/>
  <c r="D7" i="1"/>
  <c r="C59" i="7"/>
  <c r="P79" i="1"/>
  <c r="N160"/>
  <c r="R160"/>
  <c r="N32"/>
  <c r="F270" i="8"/>
  <c r="D270"/>
  <c r="D271" s="1"/>
  <c r="E271" s="1"/>
  <c r="E270"/>
  <c r="F45" i="7"/>
  <c r="E46"/>
  <c r="F8" i="1" s="1"/>
  <c r="L74" i="7"/>
  <c r="D224" i="8"/>
  <c r="C328" s="1"/>
  <c r="C30" i="3" s="1"/>
  <c r="C329" i="8"/>
  <c r="I223"/>
  <c r="B29" i="3"/>
  <c r="B31" s="1"/>
  <c r="C327" i="8"/>
  <c r="F56" i="7"/>
  <c r="O76"/>
  <c r="D26"/>
  <c r="E24"/>
  <c r="F26" i="13"/>
  <c r="F30" s="1"/>
  <c r="S172" i="8"/>
  <c r="G64" i="7"/>
  <c r="G65"/>
  <c r="D4" i="8"/>
  <c r="D16" i="7"/>
  <c r="C28" i="13"/>
  <c r="J218" i="8"/>
  <c r="J212"/>
  <c r="B276"/>
  <c r="B275"/>
  <c r="C27" i="13"/>
  <c r="D25"/>
  <c r="B290" i="8"/>
  <c r="B24" i="13"/>
  <c r="B248" i="8"/>
  <c r="B286"/>
  <c r="D23" i="13"/>
  <c r="D30" s="1"/>
  <c r="R152" i="1"/>
  <c r="N152"/>
  <c r="F21" i="2"/>
  <c r="A38"/>
  <c r="E11" i="7"/>
  <c r="L62"/>
  <c r="F13" i="6"/>
  <c r="E368" i="8"/>
  <c r="O154" i="1"/>
  <c r="S154"/>
  <c r="P37"/>
  <c r="O198"/>
  <c r="D313" i="8"/>
  <c r="D314" s="1"/>
  <c r="D309"/>
  <c r="D310" s="1"/>
  <c r="R145" i="1"/>
  <c r="R164"/>
  <c r="R157"/>
  <c r="F237"/>
  <c r="F238"/>
  <c r="R142"/>
  <c r="R146"/>
  <c r="R172"/>
  <c r="R170"/>
  <c r="R140"/>
  <c r="R143"/>
  <c r="R171"/>
  <c r="R155"/>
  <c r="R141"/>
  <c r="R174"/>
  <c r="R161"/>
  <c r="R165"/>
  <c r="R166"/>
  <c r="R149"/>
  <c r="R151"/>
  <c r="R167"/>
  <c r="L9"/>
  <c r="R144"/>
  <c r="R139"/>
  <c r="R162"/>
  <c r="F239"/>
  <c r="R138"/>
  <c r="R156"/>
  <c r="D3" i="8"/>
  <c r="J5" i="1"/>
  <c r="E329" i="8"/>
  <c r="F28" i="3"/>
  <c r="G383" i="8"/>
  <c r="G28" i="3" s="1"/>
  <c r="L77" i="7"/>
  <c r="F55"/>
  <c r="O77" s="1"/>
  <c r="L78"/>
  <c r="K108" i="9"/>
  <c r="K109" s="1"/>
  <c r="F245" i="8"/>
  <c r="D260"/>
  <c r="R197" i="1"/>
  <c r="K69" i="9"/>
  <c r="K70" s="1"/>
  <c r="R193" i="1"/>
  <c r="L69" i="9"/>
  <c r="L70" s="1"/>
  <c r="N64"/>
  <c r="O64" s="1"/>
  <c r="G27"/>
  <c r="G28" s="1"/>
  <c r="P35" i="1"/>
  <c r="R204"/>
  <c r="R196"/>
  <c r="G245" i="8"/>
  <c r="H244"/>
  <c r="R186" i="1"/>
  <c r="R176"/>
  <c r="P218" i="8"/>
  <c r="N59" i="9"/>
  <c r="R179" i="1"/>
  <c r="R175"/>
  <c r="E260" i="8"/>
  <c r="R150" i="1"/>
  <c r="R147"/>
  <c r="D292" i="8" l="1"/>
  <c r="D293" s="1"/>
  <c r="E293" s="1"/>
  <c r="C30" i="13"/>
  <c r="P45" i="1"/>
  <c r="S186"/>
  <c r="E269" i="8"/>
  <c r="F269" s="1"/>
  <c r="G24" i="2"/>
  <c r="F244" i="1"/>
  <c r="E33" i="8" s="1"/>
  <c r="R199" i="1"/>
  <c r="Q79"/>
  <c r="E273" i="8"/>
  <c r="D24" i="2"/>
  <c r="E274" i="8"/>
  <c r="D5"/>
  <c r="D20"/>
  <c r="G9" i="1"/>
  <c r="O74" i="7"/>
  <c r="F46"/>
  <c r="G8" i="1" s="1"/>
  <c r="D230" i="8"/>
  <c r="C347"/>
  <c r="Q40" i="1"/>
  <c r="Q44"/>
  <c r="Q47"/>
  <c r="Q28"/>
  <c r="Q22"/>
  <c r="Q39"/>
  <c r="Q43"/>
  <c r="Q26"/>
  <c r="Q53"/>
  <c r="Q49"/>
  <c r="Q20"/>
  <c r="Q17"/>
  <c r="Q33"/>
  <c r="Q34"/>
  <c r="Q16"/>
  <c r="Q25"/>
  <c r="J6"/>
  <c r="Q42"/>
  <c r="Q31"/>
  <c r="Q23"/>
  <c r="Q30"/>
  <c r="Q41"/>
  <c r="Q24"/>
  <c r="Q15"/>
  <c r="Q51"/>
  <c r="Q27"/>
  <c r="Q21"/>
  <c r="Q52"/>
  <c r="Q50"/>
  <c r="Q32"/>
  <c r="Q29"/>
  <c r="Q48"/>
  <c r="Q19"/>
  <c r="Q18"/>
  <c r="C37" i="7"/>
  <c r="C43"/>
  <c r="D290" i="8"/>
  <c r="D291" s="1"/>
  <c r="E291" s="1"/>
  <c r="E290"/>
  <c r="F276"/>
  <c r="D276"/>
  <c r="D277" s="1"/>
  <c r="E276"/>
  <c r="O78" i="7"/>
  <c r="M9" i="1"/>
  <c r="G237"/>
  <c r="S170"/>
  <c r="S149"/>
  <c r="S142"/>
  <c r="S167"/>
  <c r="S138"/>
  <c r="S164"/>
  <c r="S141"/>
  <c r="S174"/>
  <c r="S145"/>
  <c r="S157"/>
  <c r="S162"/>
  <c r="S156"/>
  <c r="S146"/>
  <c r="G238"/>
  <c r="S166"/>
  <c r="G239"/>
  <c r="S171"/>
  <c r="S139"/>
  <c r="S140"/>
  <c r="S151"/>
  <c r="S143"/>
  <c r="S161"/>
  <c r="S172"/>
  <c r="S165"/>
  <c r="S155"/>
  <c r="S144"/>
  <c r="O194"/>
  <c r="T194" s="1"/>
  <c r="S194"/>
  <c r="O52"/>
  <c r="G67" i="7"/>
  <c r="D6" i="8"/>
  <c r="G68" i="7"/>
  <c r="D27"/>
  <c r="E232" i="8"/>
  <c r="C351"/>
  <c r="C42" i="3" s="1"/>
  <c r="S133" i="1"/>
  <c r="O133"/>
  <c r="G233" i="8"/>
  <c r="S110" i="1"/>
  <c r="O110"/>
  <c r="D261" i="8"/>
  <c r="H260"/>
  <c r="F4" i="1"/>
  <c r="E52" i="7"/>
  <c r="E22"/>
  <c r="E32"/>
  <c r="E42"/>
  <c r="I69"/>
  <c r="I67" s="1"/>
  <c r="E6" i="1"/>
  <c r="C35" i="3"/>
  <c r="D339" i="8"/>
  <c r="E233"/>
  <c r="Q38" i="1"/>
  <c r="F261" i="8"/>
  <c r="R158" i="1"/>
  <c r="G347" i="8"/>
  <c r="S150" i="1"/>
  <c r="G257" i="8"/>
  <c r="F329"/>
  <c r="F240" i="1"/>
  <c r="E30" i="8" s="1"/>
  <c r="I229"/>
  <c r="F273"/>
  <c r="S153" i="1"/>
  <c r="H165"/>
  <c r="H162"/>
  <c r="H153"/>
  <c r="H164"/>
  <c r="I164" s="1"/>
  <c r="H147"/>
  <c r="H148"/>
  <c r="H139"/>
  <c r="H142"/>
  <c r="I142" s="1"/>
  <c r="H152"/>
  <c r="H170"/>
  <c r="H150"/>
  <c r="H175"/>
  <c r="I175" s="1"/>
  <c r="H144"/>
  <c r="H176"/>
  <c r="H171"/>
  <c r="H172"/>
  <c r="I172" s="1"/>
  <c r="H166"/>
  <c r="H174"/>
  <c r="H145"/>
  <c r="H160"/>
  <c r="I160" s="1"/>
  <c r="H151"/>
  <c r="H138"/>
  <c r="H163"/>
  <c r="H161"/>
  <c r="I161" s="1"/>
  <c r="H141"/>
  <c r="H140"/>
  <c r="H149"/>
  <c r="H154"/>
  <c r="I154" s="1"/>
  <c r="H155"/>
  <c r="H156"/>
  <c r="H157"/>
  <c r="H146"/>
  <c r="I146" s="1"/>
  <c r="H167"/>
  <c r="H143"/>
  <c r="H173"/>
  <c r="O62" i="7"/>
  <c r="F11"/>
  <c r="D286" i="8"/>
  <c r="E286"/>
  <c r="C345"/>
  <c r="B38" i="3"/>
  <c r="B40" s="1"/>
  <c r="G250" i="8"/>
  <c r="D250"/>
  <c r="D251" s="1"/>
  <c r="E250"/>
  <c r="E347" s="1"/>
  <c r="F250"/>
  <c r="F347" s="1"/>
  <c r="E228"/>
  <c r="C340"/>
  <c r="C36" i="3" s="1"/>
  <c r="E15" i="7"/>
  <c r="F13"/>
  <c r="F15" s="1"/>
  <c r="C374" i="8"/>
  <c r="C53" i="3" s="1"/>
  <c r="C54" s="1"/>
  <c r="H233" i="8"/>
  <c r="P219" i="1"/>
  <c r="D225"/>
  <c r="P220"/>
  <c r="B11" i="10" s="1"/>
  <c r="D11" s="1"/>
  <c r="D226" i="1"/>
  <c r="J64" i="7"/>
  <c r="E16"/>
  <c r="E4" i="8"/>
  <c r="J65" i="7"/>
  <c r="O173" i="1"/>
  <c r="S173"/>
  <c r="G372" i="8"/>
  <c r="G52" i="3" s="1"/>
  <c r="F52"/>
  <c r="D18"/>
  <c r="B3" i="12"/>
  <c r="B6" i="13" s="1"/>
  <c r="E311" i="8"/>
  <c r="D311"/>
  <c r="D312" s="1"/>
  <c r="I66" i="7"/>
  <c r="E5" i="1"/>
  <c r="K6" s="1"/>
  <c r="D267" i="8"/>
  <c r="E267" s="1"/>
  <c r="D274"/>
  <c r="F35" i="7"/>
  <c r="L71"/>
  <c r="E36"/>
  <c r="F7" i="1" s="1"/>
  <c r="D275" i="8"/>
  <c r="F275"/>
  <c r="E275"/>
  <c r="L75" i="7"/>
  <c r="O32" i="1"/>
  <c r="O160"/>
  <c r="S160"/>
  <c r="S203"/>
  <c r="S189"/>
  <c r="S201"/>
  <c r="G243"/>
  <c r="S195"/>
  <c r="S180"/>
  <c r="S184"/>
  <c r="S191"/>
  <c r="G242"/>
  <c r="S202"/>
  <c r="S187"/>
  <c r="S181"/>
  <c r="G241"/>
  <c r="S192"/>
  <c r="S208"/>
  <c r="S204"/>
  <c r="S183"/>
  <c r="S213"/>
  <c r="S216"/>
  <c r="S214"/>
  <c r="S182"/>
  <c r="S205"/>
  <c r="S212"/>
  <c r="M10"/>
  <c r="S211"/>
  <c r="S217"/>
  <c r="S185"/>
  <c r="S188"/>
  <c r="S215"/>
  <c r="H204"/>
  <c r="H180"/>
  <c r="I180" s="1"/>
  <c r="H216"/>
  <c r="I216" s="1"/>
  <c r="H208"/>
  <c r="H198"/>
  <c r="H183"/>
  <c r="I183" s="1"/>
  <c r="H203"/>
  <c r="I203" s="1"/>
  <c r="H192"/>
  <c r="H215"/>
  <c r="H202"/>
  <c r="I202" s="1"/>
  <c r="H212"/>
  <c r="I212" s="1"/>
  <c r="H197"/>
  <c r="H193"/>
  <c r="H179"/>
  <c r="I179" s="1"/>
  <c r="H205"/>
  <c r="I205" s="1"/>
  <c r="H190"/>
  <c r="H189"/>
  <c r="H188"/>
  <c r="I188" s="1"/>
  <c r="H207"/>
  <c r="I207" s="1"/>
  <c r="H182"/>
  <c r="H201"/>
  <c r="H213"/>
  <c r="I213" s="1"/>
  <c r="H217"/>
  <c r="I217" s="1"/>
  <c r="H211"/>
  <c r="H195"/>
  <c r="H187"/>
  <c r="I187" s="1"/>
  <c r="H186"/>
  <c r="I186" s="1"/>
  <c r="H185"/>
  <c r="H206"/>
  <c r="H191"/>
  <c r="I191" s="1"/>
  <c r="H184"/>
  <c r="I184" s="1"/>
  <c r="H214"/>
  <c r="H181"/>
  <c r="H196"/>
  <c r="I196" s="1"/>
  <c r="H194"/>
  <c r="I194" s="1"/>
  <c r="E65" i="3"/>
  <c r="P221" i="1"/>
  <c r="B17" i="10" s="1"/>
  <c r="D17" s="1"/>
  <c r="D227" i="1"/>
  <c r="E288" i="8"/>
  <c r="D288"/>
  <c r="D289" s="1"/>
  <c r="E296"/>
  <c r="D296"/>
  <c r="D10" i="3"/>
  <c r="B15" i="12"/>
  <c r="B11" i="13" s="1"/>
  <c r="B14" i="12"/>
  <c r="B5"/>
  <c r="O126" i="1"/>
  <c r="D222" i="8"/>
  <c r="C42"/>
  <c r="F2" i="11"/>
  <c r="J136" i="9" s="1"/>
  <c r="E46" i="8"/>
  <c r="D226"/>
  <c r="C335"/>
  <c r="C378" s="1"/>
  <c r="D233"/>
  <c r="C300"/>
  <c r="E280"/>
  <c r="D280"/>
  <c r="F280"/>
  <c r="E7" i="1"/>
  <c r="D59" i="7"/>
  <c r="D246" i="8"/>
  <c r="E246"/>
  <c r="E335" s="1"/>
  <c r="B254"/>
  <c r="G246"/>
  <c r="F246"/>
  <c r="G255"/>
  <c r="H255"/>
  <c r="H258" s="1"/>
  <c r="D255"/>
  <c r="D356" s="1"/>
  <c r="D357" s="1"/>
  <c r="E255"/>
  <c r="E356" s="1"/>
  <c r="F255"/>
  <c r="C355"/>
  <c r="Q71" i="1"/>
  <c r="Q85"/>
  <c r="Q74"/>
  <c r="Q69"/>
  <c r="Q57"/>
  <c r="Q61"/>
  <c r="Q68"/>
  <c r="Q59"/>
  <c r="Q90"/>
  <c r="Q72"/>
  <c r="Q82"/>
  <c r="Q64"/>
  <c r="Q93"/>
  <c r="Q60"/>
  <c r="Q66"/>
  <c r="Q75"/>
  <c r="Q94"/>
  <c r="Q88"/>
  <c r="Q84"/>
  <c r="Q56"/>
  <c r="Q73"/>
  <c r="Q63"/>
  <c r="K7"/>
  <c r="Q91"/>
  <c r="Q65"/>
  <c r="Q67"/>
  <c r="Q58"/>
  <c r="Q83"/>
  <c r="Q89"/>
  <c r="Q62"/>
  <c r="Q80"/>
  <c r="Q92"/>
  <c r="Q81"/>
  <c r="Q70"/>
  <c r="J7"/>
  <c r="N69" i="9"/>
  <c r="N70" s="1"/>
  <c r="F5" i="11" s="1"/>
  <c r="O59" i="9"/>
  <c r="O69" s="1"/>
  <c r="B29" i="10"/>
  <c r="D19" i="8"/>
  <c r="F12" i="1"/>
  <c r="Q12" s="1"/>
  <c r="O152"/>
  <c r="S152"/>
  <c r="D248" i="8"/>
  <c r="G248"/>
  <c r="G341" s="1"/>
  <c r="E248"/>
  <c r="E341" s="1"/>
  <c r="F248"/>
  <c r="E26" i="7"/>
  <c r="F24"/>
  <c r="F26" s="1"/>
  <c r="D327" i="8"/>
  <c r="C29" i="3"/>
  <c r="C31" s="1"/>
  <c r="Q97" i="1"/>
  <c r="E234"/>
  <c r="Q113"/>
  <c r="E233"/>
  <c r="Q105"/>
  <c r="Q100"/>
  <c r="Q98"/>
  <c r="E235"/>
  <c r="K8"/>
  <c r="Q104"/>
  <c r="Q123"/>
  <c r="Q129"/>
  <c r="Q102"/>
  <c r="Q116"/>
  <c r="Q108"/>
  <c r="Q103"/>
  <c r="Q101"/>
  <c r="Q111"/>
  <c r="Q134"/>
  <c r="Q120"/>
  <c r="Q121"/>
  <c r="Q122"/>
  <c r="Q130"/>
  <c r="Q109"/>
  <c r="Q119"/>
  <c r="Q99"/>
  <c r="Q125"/>
  <c r="Q131"/>
  <c r="Q135"/>
  <c r="Q124"/>
  <c r="Q115"/>
  <c r="Q132"/>
  <c r="Q107"/>
  <c r="Q106"/>
  <c r="Q112"/>
  <c r="Q114"/>
  <c r="Q110"/>
  <c r="Q133"/>
  <c r="Q126"/>
  <c r="F252" i="8"/>
  <c r="D252"/>
  <c r="D253" s="1"/>
  <c r="E252"/>
  <c r="E352" s="1"/>
  <c r="F64" i="7"/>
  <c r="F79"/>
  <c r="O207" i="1"/>
  <c r="T207" s="1"/>
  <c r="S207"/>
  <c r="O18" i="9"/>
  <c r="O27" s="1"/>
  <c r="F4" i="11" s="1"/>
  <c r="N27" i="9"/>
  <c r="N28" s="1"/>
  <c r="S114" i="1"/>
  <c r="O114"/>
  <c r="D315" i="8"/>
  <c r="D308"/>
  <c r="E295"/>
  <c r="E298" s="1"/>
  <c r="G368" s="1"/>
  <c r="D295"/>
  <c r="B87" i="7"/>
  <c r="C87" s="1"/>
  <c r="D87" s="1"/>
  <c r="E81"/>
  <c r="N108" i="9"/>
  <c r="N109" s="1"/>
  <c r="F6" i="11" s="1"/>
  <c r="O98" i="9"/>
  <c r="O108" s="1"/>
  <c r="F233" i="8"/>
  <c r="B32" i="3"/>
  <c r="B34" s="1"/>
  <c r="C333" i="8"/>
  <c r="H235"/>
  <c r="B361"/>
  <c r="F235"/>
  <c r="G235"/>
  <c r="E235"/>
  <c r="D235"/>
  <c r="K5" i="1"/>
  <c r="E3" i="8"/>
  <c r="F68" i="7"/>
  <c r="F67"/>
  <c r="H67" s="1"/>
  <c r="T179" i="1"/>
  <c r="T197"/>
  <c r="I231" i="8"/>
  <c r="F271"/>
  <c r="E285"/>
  <c r="D347"/>
  <c r="E59" i="7"/>
  <c r="G352" i="8"/>
  <c r="I225"/>
  <c r="B315"/>
  <c r="E309"/>
  <c r="F292"/>
  <c r="F284"/>
  <c r="S175" i="1"/>
  <c r="S148"/>
  <c r="S163"/>
  <c r="F266" i="8"/>
  <c r="F274" s="1"/>
  <c r="E261"/>
  <c r="R177" i="1"/>
  <c r="E313" i="8"/>
  <c r="S198" i="1"/>
  <c r="G270" i="8"/>
  <c r="R168" i="1"/>
  <c r="B294" i="8"/>
  <c r="R218" i="1"/>
  <c r="R209"/>
  <c r="C350" i="8"/>
  <c r="T206" i="1"/>
  <c r="E240" i="8"/>
  <c r="S147" i="1"/>
  <c r="S179"/>
  <c r="S176"/>
  <c r="T186"/>
  <c r="E224" i="8"/>
  <c r="S196" i="1"/>
  <c r="G261" i="8"/>
  <c r="E305"/>
  <c r="H256"/>
  <c r="B30" i="13"/>
  <c r="G329" i="8"/>
  <c r="I72" i="7"/>
  <c r="O18" i="1"/>
  <c r="E238" i="8"/>
  <c r="H252" l="1"/>
  <c r="I141" i="1"/>
  <c r="I144"/>
  <c r="I147"/>
  <c r="Q45"/>
  <c r="E226" s="1"/>
  <c r="E315" i="8"/>
  <c r="E289"/>
  <c r="I214" i="1"/>
  <c r="I185"/>
  <c r="I211"/>
  <c r="I182"/>
  <c r="I190"/>
  <c r="I197"/>
  <c r="I192"/>
  <c r="I208"/>
  <c r="G244"/>
  <c r="F33" i="8" s="1"/>
  <c r="I143" i="1"/>
  <c r="I156"/>
  <c r="I140"/>
  <c r="I138"/>
  <c r="I174"/>
  <c r="I176"/>
  <c r="I170"/>
  <c r="I148"/>
  <c r="I162"/>
  <c r="I233" i="8"/>
  <c r="Q86" i="1"/>
  <c r="E230" s="1"/>
  <c r="I167"/>
  <c r="I155"/>
  <c r="I151"/>
  <c r="I166"/>
  <c r="I152"/>
  <c r="I165"/>
  <c r="D298" i="8"/>
  <c r="D352"/>
  <c r="F352"/>
  <c r="I181" i="1"/>
  <c r="I206"/>
  <c r="I195"/>
  <c r="I201"/>
  <c r="I189"/>
  <c r="I193"/>
  <c r="I215"/>
  <c r="I198"/>
  <c r="I204"/>
  <c r="E251" i="8"/>
  <c r="F251" s="1"/>
  <c r="G251" s="1"/>
  <c r="E294"/>
  <c r="G351"/>
  <c r="G42" i="3" s="1"/>
  <c r="F290" i="8"/>
  <c r="B7" i="12"/>
  <c r="F10" i="11" s="1"/>
  <c r="B9" i="13"/>
  <c r="E378" i="8"/>
  <c r="C363"/>
  <c r="C379" s="1"/>
  <c r="D236"/>
  <c r="C362" s="1"/>
  <c r="C48" i="3" s="1"/>
  <c r="E363" i="8"/>
  <c r="B13" i="12"/>
  <c r="G6" i="11"/>
  <c r="G6" i="1"/>
  <c r="O69" i="7"/>
  <c r="O67" s="1"/>
  <c r="C44" i="3"/>
  <c r="C46" s="1"/>
  <c r="D355" i="8"/>
  <c r="E226"/>
  <c r="C334"/>
  <c r="C33" i="3" s="1"/>
  <c r="C326" i="8"/>
  <c r="C332" s="1"/>
  <c r="C338" s="1"/>
  <c r="C344" s="1"/>
  <c r="C349" s="1"/>
  <c r="C354" s="1"/>
  <c r="C360" s="1"/>
  <c r="C366" s="1"/>
  <c r="B243"/>
  <c r="D11" i="3"/>
  <c r="B18" i="13" s="1"/>
  <c r="C22" i="3"/>
  <c r="F65"/>
  <c r="T152" i="1"/>
  <c r="G254" i="8"/>
  <c r="S218" i="1"/>
  <c r="O71" i="7"/>
  <c r="F36"/>
  <c r="G7" i="1" s="1"/>
  <c r="T126" s="1"/>
  <c r="I65" i="7"/>
  <c r="K65" s="1"/>
  <c r="I64"/>
  <c r="K64" s="1"/>
  <c r="I79"/>
  <c r="C3" i="12"/>
  <c r="C6" i="13" s="1"/>
  <c r="E18" i="3"/>
  <c r="D13"/>
  <c r="B14" i="10"/>
  <c r="D14" s="1"/>
  <c r="P222" i="1"/>
  <c r="D7" i="3"/>
  <c r="F228" i="8"/>
  <c r="D35" i="3"/>
  <c r="E339" i="8"/>
  <c r="L5" i="1"/>
  <c r="F3" i="8"/>
  <c r="T173" i="1"/>
  <c r="S158"/>
  <c r="S177"/>
  <c r="H238"/>
  <c r="T139"/>
  <c r="T166"/>
  <c r="T162"/>
  <c r="H237"/>
  <c r="H240" s="1"/>
  <c r="G30" i="8" s="1"/>
  <c r="T145" i="1"/>
  <c r="T164"/>
  <c r="T156"/>
  <c r="T142"/>
  <c r="H239"/>
  <c r="T146"/>
  <c r="T138"/>
  <c r="T174"/>
  <c r="T151"/>
  <c r="T144"/>
  <c r="T167"/>
  <c r="T149"/>
  <c r="T171"/>
  <c r="T157"/>
  <c r="T141"/>
  <c r="T170"/>
  <c r="T155"/>
  <c r="T140"/>
  <c r="T161"/>
  <c r="T172"/>
  <c r="T143"/>
  <c r="T165"/>
  <c r="D374" i="8"/>
  <c r="D53" i="3" s="1"/>
  <c r="D54" s="1"/>
  <c r="F240" i="8"/>
  <c r="F363"/>
  <c r="D333"/>
  <c r="C32" i="3"/>
  <c r="D299" i="8"/>
  <c r="E299" s="1"/>
  <c r="F368"/>
  <c r="E327"/>
  <c r="D29" i="3"/>
  <c r="D254" i="8"/>
  <c r="D247"/>
  <c r="E247" s="1"/>
  <c r="F247" s="1"/>
  <c r="G247" s="1"/>
  <c r="D281"/>
  <c r="E281" s="1"/>
  <c r="F281" s="1"/>
  <c r="E373"/>
  <c r="L72" i="7"/>
  <c r="R41" i="1"/>
  <c r="R44"/>
  <c r="R48"/>
  <c r="R23"/>
  <c r="R15"/>
  <c r="R22"/>
  <c r="R24"/>
  <c r="R21"/>
  <c r="R28"/>
  <c r="R34"/>
  <c r="R51"/>
  <c r="R20"/>
  <c r="R26"/>
  <c r="R27"/>
  <c r="R30"/>
  <c r="R47"/>
  <c r="R25"/>
  <c r="R39"/>
  <c r="R31"/>
  <c r="R33"/>
  <c r="R50"/>
  <c r="R53"/>
  <c r="R19"/>
  <c r="R49"/>
  <c r="R16"/>
  <c r="R17"/>
  <c r="R42"/>
  <c r="R43"/>
  <c r="R40"/>
  <c r="R29"/>
  <c r="R38"/>
  <c r="R32"/>
  <c r="R52"/>
  <c r="R37"/>
  <c r="R18"/>
  <c r="C14" i="14"/>
  <c r="C29" s="1"/>
  <c r="B16" i="13"/>
  <c r="B34"/>
  <c r="F4" i="8"/>
  <c r="M64" i="7"/>
  <c r="F16"/>
  <c r="M65"/>
  <c r="C38" i="3"/>
  <c r="D345" i="8"/>
  <c r="F52" i="7"/>
  <c r="G4" i="1"/>
  <c r="F32" i="7"/>
  <c r="F22"/>
  <c r="F42"/>
  <c r="J68"/>
  <c r="K68" s="1"/>
  <c r="J67"/>
  <c r="E27"/>
  <c r="E6" i="8"/>
  <c r="C53" i="7"/>
  <c r="C57" s="1"/>
  <c r="C47"/>
  <c r="F30" i="1"/>
  <c r="G30" s="1"/>
  <c r="F41"/>
  <c r="G41" s="1"/>
  <c r="F38"/>
  <c r="G38" s="1"/>
  <c r="F22"/>
  <c r="G22" s="1"/>
  <c r="F16"/>
  <c r="G16" s="1"/>
  <c r="F39"/>
  <c r="G39" s="1"/>
  <c r="F32"/>
  <c r="G32" s="1"/>
  <c r="F21"/>
  <c r="G21" s="1"/>
  <c r="F18"/>
  <c r="G18" s="1"/>
  <c r="F23"/>
  <c r="G23" s="1"/>
  <c r="F20"/>
  <c r="G20" s="1"/>
  <c r="F25"/>
  <c r="G25" s="1"/>
  <c r="F50"/>
  <c r="G50" s="1"/>
  <c r="F17"/>
  <c r="G17" s="1"/>
  <c r="F33"/>
  <c r="G33" s="1"/>
  <c r="F44"/>
  <c r="G44" s="1"/>
  <c r="F19"/>
  <c r="G19" s="1"/>
  <c r="F42"/>
  <c r="G42" s="1"/>
  <c r="F28"/>
  <c r="G28" s="1"/>
  <c r="F31"/>
  <c r="G31" s="1"/>
  <c r="F37"/>
  <c r="G37" s="1"/>
  <c r="F51"/>
  <c r="G51" s="1"/>
  <c r="F48"/>
  <c r="G48" s="1"/>
  <c r="F47"/>
  <c r="G47" s="1"/>
  <c r="F40"/>
  <c r="G40" s="1"/>
  <c r="F52"/>
  <c r="G52" s="1"/>
  <c r="F15"/>
  <c r="G15" s="1"/>
  <c r="F27"/>
  <c r="G27" s="1"/>
  <c r="F43"/>
  <c r="G43" s="1"/>
  <c r="F24"/>
  <c r="G24" s="1"/>
  <c r="F29"/>
  <c r="G29" s="1"/>
  <c r="F49"/>
  <c r="G49" s="1"/>
  <c r="F34"/>
  <c r="G34" s="1"/>
  <c r="F53"/>
  <c r="G53" s="1"/>
  <c r="F26"/>
  <c r="G26" s="1"/>
  <c r="C346" i="8"/>
  <c r="C39" i="3" s="1"/>
  <c r="E230" i="8"/>
  <c r="D369"/>
  <c r="D25" i="3" s="1"/>
  <c r="D26" s="1"/>
  <c r="F238" i="8"/>
  <c r="C41" i="3"/>
  <c r="C43" s="1"/>
  <c r="D350" i="8"/>
  <c r="E19"/>
  <c r="B30" i="10"/>
  <c r="G12" i="1"/>
  <c r="R12" s="1"/>
  <c r="D363" i="8"/>
  <c r="D379" s="1"/>
  <c r="G363"/>
  <c r="F87" i="7"/>
  <c r="G87" s="1"/>
  <c r="E87"/>
  <c r="I87" s="1"/>
  <c r="J87" s="1"/>
  <c r="H87"/>
  <c r="B12" i="12"/>
  <c r="G4" i="11"/>
  <c r="H64" i="7"/>
  <c r="F65"/>
  <c r="H65" s="1"/>
  <c r="D249" i="8"/>
  <c r="E249" s="1"/>
  <c r="F249" s="1"/>
  <c r="G249" s="1"/>
  <c r="D341"/>
  <c r="G2" i="11"/>
  <c r="K136" i="9" s="1"/>
  <c r="E222" i="8"/>
  <c r="D42"/>
  <c r="H46"/>
  <c r="F70" i="1"/>
  <c r="G70" s="1"/>
  <c r="F88"/>
  <c r="G88" s="1"/>
  <c r="F75"/>
  <c r="G75" s="1"/>
  <c r="F64"/>
  <c r="G64" s="1"/>
  <c r="F66"/>
  <c r="G66" s="1"/>
  <c r="F84"/>
  <c r="G84" s="1"/>
  <c r="F59"/>
  <c r="G59" s="1"/>
  <c r="F58"/>
  <c r="G58" s="1"/>
  <c r="F67"/>
  <c r="G67" s="1"/>
  <c r="F83"/>
  <c r="G83" s="1"/>
  <c r="F62"/>
  <c r="G62" s="1"/>
  <c r="F85"/>
  <c r="G85" s="1"/>
  <c r="F91"/>
  <c r="G91" s="1"/>
  <c r="F71"/>
  <c r="G71" s="1"/>
  <c r="F92"/>
  <c r="G92" s="1"/>
  <c r="F56"/>
  <c r="G56" s="1"/>
  <c r="F57"/>
  <c r="G57" s="1"/>
  <c r="F63"/>
  <c r="G63" s="1"/>
  <c r="F72"/>
  <c r="G72" s="1"/>
  <c r="F81"/>
  <c r="G81" s="1"/>
  <c r="F78"/>
  <c r="G78" s="1"/>
  <c r="F60"/>
  <c r="G60" s="1"/>
  <c r="F68"/>
  <c r="G68" s="1"/>
  <c r="F94"/>
  <c r="G94" s="1"/>
  <c r="F82"/>
  <c r="G82" s="1"/>
  <c r="F90"/>
  <c r="G90" s="1"/>
  <c r="F69"/>
  <c r="G69" s="1"/>
  <c r="F61"/>
  <c r="G61" s="1"/>
  <c r="F65"/>
  <c r="G65" s="1"/>
  <c r="F93"/>
  <c r="G93" s="1"/>
  <c r="F73"/>
  <c r="G73" s="1"/>
  <c r="F79"/>
  <c r="G79" s="1"/>
  <c r="F80"/>
  <c r="G80" s="1"/>
  <c r="F74"/>
  <c r="G74" s="1"/>
  <c r="F89"/>
  <c r="G89" s="1"/>
  <c r="D45" i="3"/>
  <c r="E357" i="8"/>
  <c r="G234" i="1"/>
  <c r="G233"/>
  <c r="G235"/>
  <c r="M8"/>
  <c r="S125"/>
  <c r="S107"/>
  <c r="S135"/>
  <c r="S103"/>
  <c r="S129"/>
  <c r="S123"/>
  <c r="S130"/>
  <c r="S120"/>
  <c r="S113"/>
  <c r="S134"/>
  <c r="S132"/>
  <c r="S101"/>
  <c r="S115"/>
  <c r="S122"/>
  <c r="S131"/>
  <c r="S98"/>
  <c r="S106"/>
  <c r="S121"/>
  <c r="S100"/>
  <c r="S97"/>
  <c r="S99"/>
  <c r="S102"/>
  <c r="S104"/>
  <c r="S124"/>
  <c r="S109"/>
  <c r="S108"/>
  <c r="S112"/>
  <c r="S116"/>
  <c r="S105"/>
  <c r="S119"/>
  <c r="S111"/>
  <c r="E5" i="8"/>
  <c r="E20"/>
  <c r="F5" i="1"/>
  <c r="L6" s="1"/>
  <c r="L66" i="7"/>
  <c r="D294" i="8"/>
  <c r="D287"/>
  <c r="E287" s="1"/>
  <c r="R89" i="1"/>
  <c r="R93"/>
  <c r="R81"/>
  <c r="R85"/>
  <c r="R57"/>
  <c r="R61"/>
  <c r="R69"/>
  <c r="R73"/>
  <c r="R88"/>
  <c r="R80"/>
  <c r="R84"/>
  <c r="R56"/>
  <c r="R60"/>
  <c r="R64"/>
  <c r="R68"/>
  <c r="R83"/>
  <c r="R59"/>
  <c r="R67"/>
  <c r="R75"/>
  <c r="R91"/>
  <c r="R63"/>
  <c r="R71"/>
  <c r="R90"/>
  <c r="R62"/>
  <c r="R70"/>
  <c r="R82"/>
  <c r="R94"/>
  <c r="R74"/>
  <c r="R66"/>
  <c r="R58"/>
  <c r="R72"/>
  <c r="R92"/>
  <c r="R65"/>
  <c r="R79"/>
  <c r="R78"/>
  <c r="F232" i="8"/>
  <c r="D351"/>
  <c r="D42" i="3" s="1"/>
  <c r="T187" i="1"/>
  <c r="T195"/>
  <c r="T191"/>
  <c r="T202"/>
  <c r="T216"/>
  <c r="T185"/>
  <c r="T217"/>
  <c r="T214"/>
  <c r="T201"/>
  <c r="T181"/>
  <c r="T208"/>
  <c r="T180"/>
  <c r="H243"/>
  <c r="T184"/>
  <c r="T205"/>
  <c r="H242"/>
  <c r="T189"/>
  <c r="T204"/>
  <c r="T212"/>
  <c r="T182"/>
  <c r="T183"/>
  <c r="T211"/>
  <c r="T215"/>
  <c r="T188"/>
  <c r="T213"/>
  <c r="H241"/>
  <c r="T192"/>
  <c r="T203"/>
  <c r="D328" i="8"/>
  <c r="D30" i="3" s="1"/>
  <c r="F224" i="8"/>
  <c r="C361"/>
  <c r="B47" i="3"/>
  <c r="B49" s="1"/>
  <c r="B50" s="1"/>
  <c r="G112" i="1"/>
  <c r="H112" s="1"/>
  <c r="I112" s="1"/>
  <c r="G119"/>
  <c r="G107"/>
  <c r="G124"/>
  <c r="H124" s="1"/>
  <c r="I124" s="1"/>
  <c r="G99"/>
  <c r="H99" s="1"/>
  <c r="I99" s="1"/>
  <c r="G113"/>
  <c r="G110"/>
  <c r="G131"/>
  <c r="H131" s="1"/>
  <c r="I131" s="1"/>
  <c r="G133"/>
  <c r="H133" s="1"/>
  <c r="I133" s="1"/>
  <c r="G135"/>
  <c r="G120"/>
  <c r="G129"/>
  <c r="H129" s="1"/>
  <c r="I129" s="1"/>
  <c r="G100"/>
  <c r="H100" s="1"/>
  <c r="I100" s="1"/>
  <c r="G132"/>
  <c r="G130"/>
  <c r="G111"/>
  <c r="H111" s="1"/>
  <c r="I111" s="1"/>
  <c r="G115"/>
  <c r="H115" s="1"/>
  <c r="I115" s="1"/>
  <c r="G122"/>
  <c r="G108"/>
  <c r="G106"/>
  <c r="H106" s="1"/>
  <c r="I106" s="1"/>
  <c r="G104"/>
  <c r="H104" s="1"/>
  <c r="I104" s="1"/>
  <c r="G123"/>
  <c r="G109"/>
  <c r="G114"/>
  <c r="H114" s="1"/>
  <c r="I114" s="1"/>
  <c r="G126"/>
  <c r="H126" s="1"/>
  <c r="I126" s="1"/>
  <c r="G134"/>
  <c r="G121"/>
  <c r="G105"/>
  <c r="H105" s="1"/>
  <c r="I105" s="1"/>
  <c r="G101"/>
  <c r="H101" s="1"/>
  <c r="I101" s="1"/>
  <c r="G125"/>
  <c r="G102"/>
  <c r="G98"/>
  <c r="H98" s="1"/>
  <c r="I98" s="1"/>
  <c r="G97"/>
  <c r="H97" s="1"/>
  <c r="I97" s="1"/>
  <c r="G116"/>
  <c r="G103"/>
  <c r="F6"/>
  <c r="L7" s="1"/>
  <c r="L69" i="7"/>
  <c r="L67" s="1"/>
  <c r="B11" i="12"/>
  <c r="G5" i="11"/>
  <c r="F233" i="1"/>
  <c r="F234"/>
  <c r="L8"/>
  <c r="R98"/>
  <c r="R124"/>
  <c r="R125"/>
  <c r="R101"/>
  <c r="R120"/>
  <c r="F235"/>
  <c r="R135"/>
  <c r="R102"/>
  <c r="R116"/>
  <c r="R121"/>
  <c r="R122"/>
  <c r="R113"/>
  <c r="R134"/>
  <c r="R108"/>
  <c r="R130"/>
  <c r="R106"/>
  <c r="R115"/>
  <c r="R103"/>
  <c r="R131"/>
  <c r="R107"/>
  <c r="R99"/>
  <c r="R123"/>
  <c r="R112"/>
  <c r="R119"/>
  <c r="R105"/>
  <c r="R111"/>
  <c r="R129"/>
  <c r="R104"/>
  <c r="R132"/>
  <c r="R109"/>
  <c r="R97"/>
  <c r="R100"/>
  <c r="R126"/>
  <c r="R110"/>
  <c r="R133"/>
  <c r="R114"/>
  <c r="C321" i="8"/>
  <c r="F300"/>
  <c r="D300"/>
  <c r="E300"/>
  <c r="G5" i="1"/>
  <c r="T52" s="1"/>
  <c r="O66" i="7"/>
  <c r="D23" i="8"/>
  <c r="D7"/>
  <c r="O75" i="7"/>
  <c r="T175" i="1"/>
  <c r="Q76"/>
  <c r="E229" s="1"/>
  <c r="E232" s="1"/>
  <c r="D24" i="8" s="1"/>
  <c r="H246"/>
  <c r="D228" i="1"/>
  <c r="D335" i="8"/>
  <c r="K67" i="7"/>
  <c r="K69" s="1"/>
  <c r="T133" i="1"/>
  <c r="Q35"/>
  <c r="Q54"/>
  <c r="F59" i="7"/>
  <c r="T148" i="1"/>
  <c r="Q136"/>
  <c r="E236"/>
  <c r="D27" i="8" s="1"/>
  <c r="F341"/>
  <c r="F254"/>
  <c r="E254"/>
  <c r="S209" i="1"/>
  <c r="T160"/>
  <c r="F267" i="8"/>
  <c r="G335"/>
  <c r="G378" s="1"/>
  <c r="T150" i="1"/>
  <c r="T163"/>
  <c r="T176"/>
  <c r="F335" i="8"/>
  <c r="F378" s="1"/>
  <c r="G266"/>
  <c r="G274" s="1"/>
  <c r="T153" i="1"/>
  <c r="S199"/>
  <c r="T193"/>
  <c r="T154"/>
  <c r="T196"/>
  <c r="T190"/>
  <c r="T147"/>
  <c r="H68" i="7"/>
  <c r="H69" s="1"/>
  <c r="I235" i="8"/>
  <c r="E253"/>
  <c r="F253" s="1"/>
  <c r="F351" s="1"/>
  <c r="F42" i="3" s="1"/>
  <c r="Q127" i="1"/>
  <c r="Q220" s="1"/>
  <c r="Q117"/>
  <c r="H248" i="8"/>
  <c r="Q95" i="1"/>
  <c r="E231" s="1"/>
  <c r="F356" i="8"/>
  <c r="G356"/>
  <c r="S126" i="1"/>
  <c r="F288" i="8"/>
  <c r="S168" i="1"/>
  <c r="H250" i="8"/>
  <c r="F286"/>
  <c r="F294" s="1"/>
  <c r="I173" i="1"/>
  <c r="I157"/>
  <c r="I149"/>
  <c r="I163"/>
  <c r="I145"/>
  <c r="I171"/>
  <c r="I150"/>
  <c r="I139"/>
  <c r="I153"/>
  <c r="T198"/>
  <c r="C37" i="3"/>
  <c r="G240" i="1"/>
  <c r="F30" i="8" s="1"/>
  <c r="E277"/>
  <c r="F277" s="1"/>
  <c r="G71" i="7"/>
  <c r="H71" s="1"/>
  <c r="D8" i="8"/>
  <c r="D37" i="7"/>
  <c r="G70"/>
  <c r="H70" s="1"/>
  <c r="T199" i="1" l="1"/>
  <c r="H53"/>
  <c r="H52"/>
  <c r="H17"/>
  <c r="H41"/>
  <c r="C34" i="3"/>
  <c r="H254" i="8"/>
  <c r="H49" i="1"/>
  <c r="H27"/>
  <c r="H47"/>
  <c r="H31"/>
  <c r="H44"/>
  <c r="H25"/>
  <c r="H24"/>
  <c r="H51"/>
  <c r="H42"/>
  <c r="H23"/>
  <c r="H39"/>
  <c r="D340" i="8"/>
  <c r="D36" i="3" s="1"/>
  <c r="K66" i="7"/>
  <c r="H103" i="1"/>
  <c r="I103" s="1"/>
  <c r="H102"/>
  <c r="I102" s="1"/>
  <c r="H121"/>
  <c r="I121" s="1"/>
  <c r="H109"/>
  <c r="I109" s="1"/>
  <c r="H108"/>
  <c r="I108" s="1"/>
  <c r="H130"/>
  <c r="I130" s="1"/>
  <c r="H120"/>
  <c r="I120" s="1"/>
  <c r="H110"/>
  <c r="I110" s="1"/>
  <c r="H107"/>
  <c r="I107" s="1"/>
  <c r="E351" i="8"/>
  <c r="E42" i="3" s="1"/>
  <c r="S136" i="1"/>
  <c r="D37" i="3"/>
  <c r="C8" i="12"/>
  <c r="G11" i="11" s="1"/>
  <c r="C10" i="13"/>
  <c r="E9"/>
  <c r="E7" i="12"/>
  <c r="I10" i="11" s="1"/>
  <c r="F9" i="13"/>
  <c r="F7" i="12"/>
  <c r="J10" i="11" s="1"/>
  <c r="D301" i="8"/>
  <c r="F373"/>
  <c r="L64" i="7"/>
  <c r="L79"/>
  <c r="D326" i="8"/>
  <c r="D332" s="1"/>
  <c r="D338" s="1"/>
  <c r="D344" s="1"/>
  <c r="D349" s="1"/>
  <c r="D354" s="1"/>
  <c r="D360" s="1"/>
  <c r="D366" s="1"/>
  <c r="D243"/>
  <c r="B263" s="1"/>
  <c r="G73" i="7"/>
  <c r="H73" s="1"/>
  <c r="D47"/>
  <c r="D10" i="8"/>
  <c r="G74" i="7"/>
  <c r="H74" s="1"/>
  <c r="F20" i="8"/>
  <c r="F5"/>
  <c r="E374"/>
  <c r="E53" i="3" s="1"/>
  <c r="E54" s="1"/>
  <c r="G240" i="8"/>
  <c r="C59" i="3"/>
  <c r="D14"/>
  <c r="B19" i="13" s="1"/>
  <c r="G65" i="3"/>
  <c r="D44"/>
  <c r="D46" s="1"/>
  <c r="E355" i="8"/>
  <c r="H6" i="11"/>
  <c r="C13" i="12"/>
  <c r="D26" i="8"/>
  <c r="D28" s="1"/>
  <c r="D9"/>
  <c r="E328"/>
  <c r="E30" i="3" s="1"/>
  <c r="G224" i="8"/>
  <c r="D41" i="3"/>
  <c r="D43" s="1"/>
  <c r="E350" i="8"/>
  <c r="F230"/>
  <c r="D346"/>
  <c r="D39" i="3" s="1"/>
  <c r="M67" i="7"/>
  <c r="N67" s="1"/>
  <c r="N69" s="1"/>
  <c r="F6" i="8"/>
  <c r="F27" i="7"/>
  <c r="M68"/>
  <c r="N68" s="1"/>
  <c r="E345" i="8"/>
  <c r="D38" i="3"/>
  <c r="D40" s="1"/>
  <c r="B31" i="10"/>
  <c r="H12" i="1"/>
  <c r="S12" s="1"/>
  <c r="F19" i="8"/>
  <c r="E340"/>
  <c r="E36" i="3" s="1"/>
  <c r="G228" i="8"/>
  <c r="C7" i="3"/>
  <c r="D19" i="10"/>
  <c r="O72" i="7"/>
  <c r="D334" i="8"/>
  <c r="D33" i="3" s="1"/>
  <c r="F226" i="8"/>
  <c r="T91" i="1"/>
  <c r="T93"/>
  <c r="T59"/>
  <c r="T89"/>
  <c r="T88"/>
  <c r="T60"/>
  <c r="T56"/>
  <c r="T69"/>
  <c r="T63"/>
  <c r="T80"/>
  <c r="T65"/>
  <c r="T82"/>
  <c r="T75"/>
  <c r="T67"/>
  <c r="T94"/>
  <c r="T85"/>
  <c r="T58"/>
  <c r="T57"/>
  <c r="T71"/>
  <c r="T84"/>
  <c r="T66"/>
  <c r="T81"/>
  <c r="T74"/>
  <c r="T61"/>
  <c r="T90"/>
  <c r="T64"/>
  <c r="T73"/>
  <c r="T70"/>
  <c r="T62"/>
  <c r="T79"/>
  <c r="T68"/>
  <c r="T78"/>
  <c r="T83"/>
  <c r="T72"/>
  <c r="T92"/>
  <c r="D25" i="8"/>
  <c r="R117" i="1"/>
  <c r="R136"/>
  <c r="T209"/>
  <c r="H74"/>
  <c r="H93"/>
  <c r="H90"/>
  <c r="H60"/>
  <c r="H63"/>
  <c r="H71"/>
  <c r="H83"/>
  <c r="H84"/>
  <c r="H88"/>
  <c r="H21"/>
  <c r="H22"/>
  <c r="C40" i="3"/>
  <c r="C50" s="1"/>
  <c r="D31"/>
  <c r="T177" i="1"/>
  <c r="D378" i="8"/>
  <c r="E301"/>
  <c r="F301" s="1"/>
  <c r="R127" i="1"/>
  <c r="H116"/>
  <c r="I116" s="1"/>
  <c r="H125"/>
  <c r="I125" s="1"/>
  <c r="H134"/>
  <c r="I134" s="1"/>
  <c r="H123"/>
  <c r="I123" s="1"/>
  <c r="H122"/>
  <c r="I122" s="1"/>
  <c r="H132"/>
  <c r="I132" s="1"/>
  <c r="H135"/>
  <c r="I135" s="1"/>
  <c r="H113"/>
  <c r="I113" s="1"/>
  <c r="H119"/>
  <c r="I119" s="1"/>
  <c r="H244"/>
  <c r="G33" i="8" s="1"/>
  <c r="T218" i="1"/>
  <c r="R86"/>
  <c r="F230" s="1"/>
  <c r="R76"/>
  <c r="F229" s="1"/>
  <c r="R95"/>
  <c r="F231" s="1"/>
  <c r="S117"/>
  <c r="H89"/>
  <c r="H73"/>
  <c r="H69"/>
  <c r="H68"/>
  <c r="H72"/>
  <c r="H92"/>
  <c r="H62"/>
  <c r="H59"/>
  <c r="H75"/>
  <c r="E236" i="8"/>
  <c r="H34" i="1"/>
  <c r="H43"/>
  <c r="H40"/>
  <c r="H37"/>
  <c r="H19"/>
  <c r="H50"/>
  <c r="H18"/>
  <c r="H16"/>
  <c r="H30"/>
  <c r="E8" i="8"/>
  <c r="J70" i="7"/>
  <c r="K70" s="1"/>
  <c r="E37"/>
  <c r="J71"/>
  <c r="K71" s="1"/>
  <c r="F357" i="8"/>
  <c r="E45" i="3"/>
  <c r="Q219" i="1"/>
  <c r="E225"/>
  <c r="T24"/>
  <c r="T47"/>
  <c r="T51"/>
  <c r="T26"/>
  <c r="T30"/>
  <c r="T42"/>
  <c r="T19"/>
  <c r="T48"/>
  <c r="T23"/>
  <c r="T21"/>
  <c r="T33"/>
  <c r="T22"/>
  <c r="T25"/>
  <c r="T31"/>
  <c r="T20"/>
  <c r="T28"/>
  <c r="T27"/>
  <c r="T49"/>
  <c r="T41"/>
  <c r="T50"/>
  <c r="T34"/>
  <c r="T44"/>
  <c r="T39"/>
  <c r="T38"/>
  <c r="T40"/>
  <c r="T43"/>
  <c r="T53"/>
  <c r="T37"/>
  <c r="T15"/>
  <c r="T16"/>
  <c r="T29"/>
  <c r="T17"/>
  <c r="E321" i="8"/>
  <c r="E322" s="1"/>
  <c r="D321"/>
  <c r="D322" s="1"/>
  <c r="H5" i="11"/>
  <c r="C11" i="12"/>
  <c r="D361" i="8"/>
  <c r="C47" i="3"/>
  <c r="C49" s="1"/>
  <c r="C12" i="12"/>
  <c r="H4" i="11"/>
  <c r="K46" i="8"/>
  <c r="H2" i="11"/>
  <c r="L136" i="9" s="1"/>
  <c r="F222" i="8"/>
  <c r="E42"/>
  <c r="E23"/>
  <c r="E7"/>
  <c r="P64" i="7"/>
  <c r="P65"/>
  <c r="G4" i="8"/>
  <c r="B6" i="12"/>
  <c r="C15" i="8"/>
  <c r="C16" s="1"/>
  <c r="F3" i="11" s="1"/>
  <c r="D14" i="14"/>
  <c r="D29" s="1"/>
  <c r="C16" i="13"/>
  <c r="C34"/>
  <c r="T107" i="1"/>
  <c r="T125"/>
  <c r="T122"/>
  <c r="H234"/>
  <c r="T135"/>
  <c r="T113"/>
  <c r="T115"/>
  <c r="H235"/>
  <c r="H233"/>
  <c r="H236" s="1"/>
  <c r="G27" i="8" s="1"/>
  <c r="T129" i="1"/>
  <c r="T102"/>
  <c r="T98"/>
  <c r="T131"/>
  <c r="T101"/>
  <c r="T123"/>
  <c r="T120"/>
  <c r="T132"/>
  <c r="T103"/>
  <c r="T99"/>
  <c r="T130"/>
  <c r="T109"/>
  <c r="T112"/>
  <c r="T100"/>
  <c r="T134"/>
  <c r="T108"/>
  <c r="T121"/>
  <c r="T124"/>
  <c r="T106"/>
  <c r="T97"/>
  <c r="T116"/>
  <c r="T104"/>
  <c r="T111"/>
  <c r="T119"/>
  <c r="T127" s="1"/>
  <c r="T105"/>
  <c r="D7" i="12"/>
  <c r="H10" i="11" s="1"/>
  <c r="D9" i="13"/>
  <c r="G357" i="8"/>
  <c r="F45" i="3"/>
  <c r="Q221" i="1"/>
  <c r="E227"/>
  <c r="C21" i="8"/>
  <c r="C22" s="1"/>
  <c r="F13" i="2"/>
  <c r="G13" s="1"/>
  <c r="C22" s="1"/>
  <c r="C24" s="1"/>
  <c r="H24" s="1"/>
  <c r="O65" i="7"/>
  <c r="O64"/>
  <c r="O79"/>
  <c r="M7" i="1"/>
  <c r="S94"/>
  <c r="S88"/>
  <c r="S66"/>
  <c r="S93"/>
  <c r="S91"/>
  <c r="S74"/>
  <c r="S70"/>
  <c r="S71"/>
  <c r="S63"/>
  <c r="S89"/>
  <c r="S81"/>
  <c r="S56"/>
  <c r="S90"/>
  <c r="S73"/>
  <c r="S75"/>
  <c r="S80"/>
  <c r="S85"/>
  <c r="S69"/>
  <c r="S60"/>
  <c r="S82"/>
  <c r="S58"/>
  <c r="S68"/>
  <c r="S61"/>
  <c r="S65"/>
  <c r="S59"/>
  <c r="S62"/>
  <c r="S83"/>
  <c r="S57"/>
  <c r="S67"/>
  <c r="S84"/>
  <c r="S64"/>
  <c r="S78"/>
  <c r="S92"/>
  <c r="S72"/>
  <c r="S79"/>
  <c r="S21"/>
  <c r="S30"/>
  <c r="S42"/>
  <c r="S26"/>
  <c r="S19"/>
  <c r="S24"/>
  <c r="S51"/>
  <c r="S27"/>
  <c r="S20"/>
  <c r="S23"/>
  <c r="S47"/>
  <c r="M6"/>
  <c r="I47" s="1"/>
  <c r="S31"/>
  <c r="S28"/>
  <c r="S22"/>
  <c r="S48"/>
  <c r="S43"/>
  <c r="S53"/>
  <c r="S33"/>
  <c r="S50"/>
  <c r="S34"/>
  <c r="S44"/>
  <c r="S49"/>
  <c r="S15"/>
  <c r="S39"/>
  <c r="S25"/>
  <c r="S41"/>
  <c r="S40"/>
  <c r="S37"/>
  <c r="S38"/>
  <c r="S29"/>
  <c r="S17"/>
  <c r="S16"/>
  <c r="S52"/>
  <c r="S32"/>
  <c r="S18"/>
  <c r="E369" i="8"/>
  <c r="E25" i="3" s="1"/>
  <c r="E26" s="1"/>
  <c r="G238" i="8"/>
  <c r="G76" i="7"/>
  <c r="H76" s="1"/>
  <c r="G77"/>
  <c r="H77" s="1"/>
  <c r="D57"/>
  <c r="D12" i="8"/>
  <c r="G3"/>
  <c r="M5" i="1"/>
  <c r="E29" i="3"/>
  <c r="E31" s="1"/>
  <c r="F327" i="8"/>
  <c r="E333"/>
  <c r="D32" i="3"/>
  <c r="D34" s="1"/>
  <c r="F339" i="8"/>
  <c r="E35" i="3"/>
  <c r="C21"/>
  <c r="D3" i="12"/>
  <c r="D6" i="13" s="1"/>
  <c r="F18" i="3"/>
  <c r="C377" i="8"/>
  <c r="C371"/>
  <c r="C382"/>
  <c r="B8" i="12"/>
  <c r="F11" i="11" s="1"/>
  <c r="B10" i="13"/>
  <c r="H79" i="1"/>
  <c r="H61"/>
  <c r="H94"/>
  <c r="I94" s="1"/>
  <c r="H81"/>
  <c r="H56"/>
  <c r="H85"/>
  <c r="H58"/>
  <c r="I58" s="1"/>
  <c r="H64"/>
  <c r="I23"/>
  <c r="T32"/>
  <c r="T18"/>
  <c r="H72" i="7"/>
  <c r="T168" i="1"/>
  <c r="T110"/>
  <c r="T114"/>
  <c r="F236"/>
  <c r="E27" i="8" s="1"/>
  <c r="S127" i="1"/>
  <c r="G236"/>
  <c r="F27" i="8" s="1"/>
  <c r="E379"/>
  <c r="H80" i="1"/>
  <c r="H65"/>
  <c r="I65" s="1"/>
  <c r="H82"/>
  <c r="I82" s="1"/>
  <c r="H78"/>
  <c r="H57"/>
  <c r="H91"/>
  <c r="I91" s="1"/>
  <c r="H67"/>
  <c r="I67" s="1"/>
  <c r="H66"/>
  <c r="H70"/>
  <c r="H66" i="7"/>
  <c r="H26" i="1"/>
  <c r="H29"/>
  <c r="H15"/>
  <c r="H48"/>
  <c r="I48" s="1"/>
  <c r="H28"/>
  <c r="H33"/>
  <c r="H20"/>
  <c r="H32"/>
  <c r="I32" s="1"/>
  <c r="H38"/>
  <c r="R45"/>
  <c r="R54"/>
  <c r="R35"/>
  <c r="T158"/>
  <c r="S86" l="1"/>
  <c r="G230" s="1"/>
  <c r="I64"/>
  <c r="T45"/>
  <c r="I81"/>
  <c r="I52"/>
  <c r="H78" i="7"/>
  <c r="K72"/>
  <c r="I75" i="1"/>
  <c r="I72"/>
  <c r="I89"/>
  <c r="I88"/>
  <c r="I63"/>
  <c r="I74"/>
  <c r="R219"/>
  <c r="F225"/>
  <c r="H226"/>
  <c r="E334" i="8"/>
  <c r="E33" i="3" s="1"/>
  <c r="G226" i="8"/>
  <c r="F42"/>
  <c r="I2" i="11"/>
  <c r="M136" i="9" s="1"/>
  <c r="N46" i="8"/>
  <c r="G222"/>
  <c r="F374"/>
  <c r="F53" i="3" s="1"/>
  <c r="F54" s="1"/>
  <c r="H240" i="8"/>
  <c r="G374" s="1"/>
  <c r="G53" i="3" s="1"/>
  <c r="G54" s="1"/>
  <c r="D47"/>
  <c r="D50" s="1"/>
  <c r="E361" i="8"/>
  <c r="E13" i="3"/>
  <c r="E7"/>
  <c r="Q222" i="1"/>
  <c r="D362" i="8"/>
  <c r="D48" i="3" s="1"/>
  <c r="F236" i="8"/>
  <c r="F7"/>
  <c r="F23"/>
  <c r="F350"/>
  <c r="E41" i="3"/>
  <c r="E43" s="1"/>
  <c r="E44"/>
  <c r="E46" s="1"/>
  <c r="F355" i="8"/>
  <c r="L65" i="7"/>
  <c r="N65" s="1"/>
  <c r="N64"/>
  <c r="N66" s="1"/>
  <c r="R220" i="1"/>
  <c r="F226"/>
  <c r="D8" i="12"/>
  <c r="H11" i="11" s="1"/>
  <c r="D10" i="13"/>
  <c r="E14" i="14"/>
  <c r="E29" s="1"/>
  <c r="D34" i="13"/>
  <c r="D16"/>
  <c r="G339" i="8"/>
  <c r="G35" i="3" s="1"/>
  <c r="F35"/>
  <c r="E57" i="7"/>
  <c r="J76"/>
  <c r="K76" s="1"/>
  <c r="J77"/>
  <c r="K77" s="1"/>
  <c r="E12" i="8"/>
  <c r="G5"/>
  <c r="G20"/>
  <c r="H228"/>
  <c r="G340" s="1"/>
  <c r="G36" i="3" s="1"/>
  <c r="F340" i="8"/>
  <c r="F36" i="3" s="1"/>
  <c r="P68" i="7"/>
  <c r="Q68" s="1"/>
  <c r="G6" i="8"/>
  <c r="P67" i="7"/>
  <c r="Q67" s="1"/>
  <c r="G230" i="8"/>
  <c r="E346"/>
  <c r="E39" i="3" s="1"/>
  <c r="I6" i="11"/>
  <c r="D13" i="12"/>
  <c r="E47" i="7"/>
  <c r="E10" i="8"/>
  <c r="J73" i="7"/>
  <c r="K73" s="1"/>
  <c r="J74"/>
  <c r="K74" s="1"/>
  <c r="T54" i="1"/>
  <c r="I18"/>
  <c r="I40"/>
  <c r="I22"/>
  <c r="I31"/>
  <c r="I28"/>
  <c r="I39"/>
  <c r="S35"/>
  <c r="T35"/>
  <c r="I16"/>
  <c r="I73"/>
  <c r="I71"/>
  <c r="H75" i="7"/>
  <c r="H79" s="1"/>
  <c r="H81" s="1"/>
  <c r="I33" i="1"/>
  <c r="I29"/>
  <c r="I66"/>
  <c r="I78"/>
  <c r="I41"/>
  <c r="I42"/>
  <c r="I53"/>
  <c r="I56"/>
  <c r="I79"/>
  <c r="S45"/>
  <c r="Q65" i="7"/>
  <c r="E228" i="1"/>
  <c r="D21" i="8" s="1"/>
  <c r="D22" s="1"/>
  <c r="I30" i="1"/>
  <c r="I19"/>
  <c r="I34"/>
  <c r="I62"/>
  <c r="I69"/>
  <c r="I25"/>
  <c r="I27"/>
  <c r="I83"/>
  <c r="I90"/>
  <c r="T76"/>
  <c r="H229" s="1"/>
  <c r="H80" i="7"/>
  <c r="E32" i="3"/>
  <c r="F333" i="8"/>
  <c r="B32" i="10"/>
  <c r="G19" i="8"/>
  <c r="I12" i="1"/>
  <c r="T12" s="1"/>
  <c r="E326" i="8"/>
  <c r="E332" s="1"/>
  <c r="E338" s="1"/>
  <c r="E344" s="1"/>
  <c r="E349" s="1"/>
  <c r="E354" s="1"/>
  <c r="E360" s="1"/>
  <c r="E366" s="1"/>
  <c r="E243"/>
  <c r="D263" s="1"/>
  <c r="B283" s="1"/>
  <c r="C7" i="12"/>
  <c r="G10" i="11" s="1"/>
  <c r="C9" i="13"/>
  <c r="D21" i="10"/>
  <c r="G10" i="14"/>
  <c r="B15" s="1"/>
  <c r="E38" i="3"/>
  <c r="E40" s="1"/>
  <c r="F345" i="8"/>
  <c r="D12" i="12"/>
  <c r="I4" i="11"/>
  <c r="F8" i="8"/>
  <c r="M70" i="7"/>
  <c r="N70" s="1"/>
  <c r="F37"/>
  <c r="M71"/>
  <c r="N71" s="1"/>
  <c r="R221" i="1"/>
  <c r="F227"/>
  <c r="E3" i="12"/>
  <c r="E6" i="13" s="1"/>
  <c r="G18" i="3"/>
  <c r="F3" i="12" s="1"/>
  <c r="F6" i="13" s="1"/>
  <c r="G327" i="8"/>
  <c r="G29" i="3" s="1"/>
  <c r="G31" s="1"/>
  <c r="F29"/>
  <c r="D13" i="8"/>
  <c r="D32"/>
  <c r="D34" s="1"/>
  <c r="F369"/>
  <c r="F25" i="3" s="1"/>
  <c r="F26" s="1"/>
  <c r="H238" i="8"/>
  <c r="G369" s="1"/>
  <c r="G25" i="3" s="1"/>
  <c r="G26" s="1"/>
  <c r="I5" i="11"/>
  <c r="D11" i="12"/>
  <c r="E9" i="8"/>
  <c r="E26"/>
  <c r="E28" s="1"/>
  <c r="D8" i="3"/>
  <c r="B17" i="13" s="1"/>
  <c r="B20" s="1"/>
  <c r="B31" s="1"/>
  <c r="B21" i="3"/>
  <c r="F328" i="8"/>
  <c r="F30" i="3" s="1"/>
  <c r="H224" i="8"/>
  <c r="G328" s="1"/>
  <c r="G30" i="3" s="1"/>
  <c r="D29" i="8"/>
  <c r="D31" s="1"/>
  <c r="D11"/>
  <c r="D14" s="1"/>
  <c r="D377"/>
  <c r="D382"/>
  <c r="D371"/>
  <c r="S76" i="1"/>
  <c r="G229" s="1"/>
  <c r="T117"/>
  <c r="T95"/>
  <c r="H231" s="1"/>
  <c r="I38"/>
  <c r="I26"/>
  <c r="I51"/>
  <c r="S95"/>
  <c r="G231" s="1"/>
  <c r="T136"/>
  <c r="I37"/>
  <c r="I92"/>
  <c r="I44"/>
  <c r="I49"/>
  <c r="I93"/>
  <c r="I20"/>
  <c r="I15"/>
  <c r="I70"/>
  <c r="I57"/>
  <c r="I80"/>
  <c r="I17"/>
  <c r="I24"/>
  <c r="I85"/>
  <c r="I61"/>
  <c r="E37" i="3"/>
  <c r="S54" i="1"/>
  <c r="Q64" i="7"/>
  <c r="Q66" s="1"/>
  <c r="B10" i="12"/>
  <c r="B17" s="1"/>
  <c r="F379" i="8"/>
  <c r="I50" i="1"/>
  <c r="I43"/>
  <c r="I59"/>
  <c r="I68"/>
  <c r="G373" i="8"/>
  <c r="G379" s="1"/>
  <c r="F232" i="1"/>
  <c r="E24" i="8" s="1"/>
  <c r="E25" s="1"/>
  <c r="I21" i="1"/>
  <c r="I84"/>
  <c r="I60"/>
  <c r="T86"/>
  <c r="H230" s="1"/>
  <c r="N72" i="7" l="1"/>
  <c r="E34" i="3"/>
  <c r="Q69" i="7"/>
  <c r="C4" i="12"/>
  <c r="D16" i="8"/>
  <c r="G3" i="11" s="1"/>
  <c r="F8" i="12"/>
  <c r="J11" i="11" s="1"/>
  <c r="F10" i="13"/>
  <c r="F38" i="3"/>
  <c r="G345" i="8"/>
  <c r="G38" i="3" s="1"/>
  <c r="E362" i="8"/>
  <c r="E48" i="3" s="1"/>
  <c r="G236" i="8"/>
  <c r="D59" i="3"/>
  <c r="E14"/>
  <c r="C19" i="13" s="1"/>
  <c r="C41" i="14"/>
  <c r="F27" i="10"/>
  <c r="B62" i="3"/>
  <c r="B63" s="1"/>
  <c r="B72" s="1"/>
  <c r="G333" i="8"/>
  <c r="G32" i="3" s="1"/>
  <c r="G34" s="1"/>
  <c r="F32"/>
  <c r="G226" i="1"/>
  <c r="S220"/>
  <c r="M73" i="7"/>
  <c r="N73" s="1"/>
  <c r="N75" s="1"/>
  <c r="F47"/>
  <c r="M74"/>
  <c r="N74" s="1"/>
  <c r="F10" i="8"/>
  <c r="F346"/>
  <c r="F39" i="3" s="1"/>
  <c r="H230" i="8"/>
  <c r="G346" s="1"/>
  <c r="G39" i="3" s="1"/>
  <c r="D21"/>
  <c r="F8"/>
  <c r="D17" i="13" s="1"/>
  <c r="E8" i="3"/>
  <c r="C17" i="13" s="1"/>
  <c r="F13" i="3"/>
  <c r="F7"/>
  <c r="R222" i="1"/>
  <c r="B8" i="13"/>
  <c r="B13" s="1"/>
  <c r="C32" i="14"/>
  <c r="J5" i="11"/>
  <c r="F11" i="12" s="1"/>
  <c r="E11"/>
  <c r="F14" i="14"/>
  <c r="F29" s="1"/>
  <c r="E34" i="13"/>
  <c r="E16"/>
  <c r="P70" i="7"/>
  <c r="Q70" s="1"/>
  <c r="Q72" s="1"/>
  <c r="P71"/>
  <c r="Q71" s="1"/>
  <c r="G8" i="8"/>
  <c r="C39" i="14"/>
  <c r="T219" i="1"/>
  <c r="H225"/>
  <c r="E29" i="8"/>
  <c r="E31" s="1"/>
  <c r="E11"/>
  <c r="M77" i="7"/>
  <c r="N77" s="1"/>
  <c r="F12" i="8"/>
  <c r="F57" i="7"/>
  <c r="M76"/>
  <c r="N76" s="1"/>
  <c r="G355" i="8"/>
  <c r="G44" i="3" s="1"/>
  <c r="G46" s="1"/>
  <c r="F44"/>
  <c r="F46" s="1"/>
  <c r="C6" i="12"/>
  <c r="D15" i="8"/>
  <c r="F243"/>
  <c r="E263" s="1"/>
  <c r="D283" s="1"/>
  <c r="B304" s="1"/>
  <c r="F326"/>
  <c r="F332" s="1"/>
  <c r="F338" s="1"/>
  <c r="F344" s="1"/>
  <c r="F349" s="1"/>
  <c r="F354" s="1"/>
  <c r="F360" s="1"/>
  <c r="F366" s="1"/>
  <c r="H226"/>
  <c r="G334" s="1"/>
  <c r="G33" i="3" s="1"/>
  <c r="F334" i="8"/>
  <c r="F33" i="3" s="1"/>
  <c r="F31"/>
  <c r="F37"/>
  <c r="I240" i="8"/>
  <c r="D49" i="3"/>
  <c r="F228" i="1"/>
  <c r="E21" i="8" s="1"/>
  <c r="E22" s="1"/>
  <c r="S221" i="1"/>
  <c r="G227"/>
  <c r="F26" i="8"/>
  <c r="F28" s="1"/>
  <c r="F9"/>
  <c r="S219" i="1"/>
  <c r="G225"/>
  <c r="G228" s="1"/>
  <c r="F21" i="8" s="1"/>
  <c r="F22" s="1"/>
  <c r="E382"/>
  <c r="E377"/>
  <c r="E371"/>
  <c r="T221" i="1"/>
  <c r="H227"/>
  <c r="E13" i="8"/>
  <c r="E14" s="1"/>
  <c r="E32"/>
  <c r="E34" s="1"/>
  <c r="E10" i="13"/>
  <c r="E8" i="12"/>
  <c r="I11" i="11" s="1"/>
  <c r="F16" i="13"/>
  <c r="F34"/>
  <c r="G14" i="14"/>
  <c r="G29" s="1"/>
  <c r="E12" i="12"/>
  <c r="J4" i="11"/>
  <c r="J2"/>
  <c r="N136" i="9" s="1"/>
  <c r="G42" i="8"/>
  <c r="Q46"/>
  <c r="H222"/>
  <c r="E13" i="12"/>
  <c r="J6" i="11"/>
  <c r="F13" i="12" s="1"/>
  <c r="G7" i="8"/>
  <c r="G23"/>
  <c r="G350"/>
  <c r="G41" i="3" s="1"/>
  <c r="G43" s="1"/>
  <c r="F41"/>
  <c r="F43" s="1"/>
  <c r="F361" i="8"/>
  <c r="E47" i="3"/>
  <c r="E49" s="1"/>
  <c r="E50" s="1"/>
  <c r="G37"/>
  <c r="G232" i="1"/>
  <c r="F24" i="8" s="1"/>
  <c r="F25" s="1"/>
  <c r="H232" i="1"/>
  <c r="G24" i="8" s="1"/>
  <c r="K75" i="7"/>
  <c r="K78"/>
  <c r="T220" i="1"/>
  <c r="F34" i="3" l="1"/>
  <c r="G25" i="8"/>
  <c r="H228" i="1"/>
  <c r="G21" i="8" s="1"/>
  <c r="G22" s="1"/>
  <c r="D4" i="12"/>
  <c r="F47" i="3"/>
  <c r="G361" i="8"/>
  <c r="G47" i="3" s="1"/>
  <c r="F12" i="12"/>
  <c r="T222" i="1"/>
  <c r="H7" i="3"/>
  <c r="G21" s="1"/>
  <c r="H13"/>
  <c r="G59" s="1"/>
  <c r="D6" i="12"/>
  <c r="E15" i="8"/>
  <c r="E16" s="1"/>
  <c r="H3" i="11" s="1"/>
  <c r="F29" i="8"/>
  <c r="F31" s="1"/>
  <c r="F11"/>
  <c r="B20" i="3"/>
  <c r="C5" i="12"/>
  <c r="C10" s="1"/>
  <c r="C14"/>
  <c r="E10" i="3"/>
  <c r="C15" i="12"/>
  <c r="C11" i="13" s="1"/>
  <c r="G243" i="8"/>
  <c r="F263" s="1"/>
  <c r="E283" s="1"/>
  <c r="D304" s="1"/>
  <c r="G326"/>
  <c r="G332" s="1"/>
  <c r="G338" s="1"/>
  <c r="G344" s="1"/>
  <c r="G349" s="1"/>
  <c r="G354" s="1"/>
  <c r="G360" s="1"/>
  <c r="G366" s="1"/>
  <c r="F377"/>
  <c r="F382"/>
  <c r="F371"/>
  <c r="F13"/>
  <c r="F32"/>
  <c r="F34" s="1"/>
  <c r="G12"/>
  <c r="P76" i="7"/>
  <c r="Q76" s="1"/>
  <c r="Q78" s="1"/>
  <c r="P77"/>
  <c r="Q77" s="1"/>
  <c r="D41" i="14"/>
  <c r="D40"/>
  <c r="E59" i="3"/>
  <c r="P74" i="7"/>
  <c r="Q74" s="1"/>
  <c r="P73"/>
  <c r="Q73" s="1"/>
  <c r="G10" i="8"/>
  <c r="F362"/>
  <c r="F48" i="3" s="1"/>
  <c r="H236" i="8"/>
  <c r="G362" s="1"/>
  <c r="G48" i="3" s="1"/>
  <c r="K80" i="7"/>
  <c r="K79"/>
  <c r="K81" s="1"/>
  <c r="G13" i="3"/>
  <c r="S222" i="1"/>
  <c r="G7" i="3"/>
  <c r="G26" i="8"/>
  <c r="G28" s="1"/>
  <c r="G9"/>
  <c r="E21" i="3"/>
  <c r="G8"/>
  <c r="E17" i="13" s="1"/>
  <c r="E28" i="10"/>
  <c r="F28"/>
  <c r="D30"/>
  <c r="D28"/>
  <c r="D32"/>
  <c r="D29"/>
  <c r="D31"/>
  <c r="F40" i="3"/>
  <c r="F14" i="8"/>
  <c r="G40" i="3"/>
  <c r="N78" i="7"/>
  <c r="N79" s="1"/>
  <c r="F14" i="3"/>
  <c r="D19" i="13" s="1"/>
  <c r="F49" i="3" l="1"/>
  <c r="F50" s="1"/>
  <c r="B43" i="14"/>
  <c r="F36" i="13"/>
  <c r="E36"/>
  <c r="D36"/>
  <c r="E6" i="12"/>
  <c r="F15" i="8"/>
  <c r="D22" i="3"/>
  <c r="E11"/>
  <c r="C18" i="13" s="1"/>
  <c r="C20" s="1"/>
  <c r="C31" s="1"/>
  <c r="C28" i="10"/>
  <c r="F9" i="11" s="1"/>
  <c r="F12" s="1"/>
  <c r="B20" i="12"/>
  <c r="C20" s="1"/>
  <c r="D20" s="1"/>
  <c r="E20" s="1"/>
  <c r="F20" s="1"/>
  <c r="B36" i="13"/>
  <c r="H8" i="3"/>
  <c r="F17" i="13" s="1"/>
  <c r="F21" i="3"/>
  <c r="G32" i="8"/>
  <c r="G34" s="1"/>
  <c r="G13"/>
  <c r="B43" i="13"/>
  <c r="B23" i="3"/>
  <c r="B55" s="1"/>
  <c r="D14" i="12"/>
  <c r="F10" i="3"/>
  <c r="D15" i="12"/>
  <c r="D11" i="13" s="1"/>
  <c r="D5" i="12"/>
  <c r="D10" s="1"/>
  <c r="N80" i="7"/>
  <c r="Q75"/>
  <c r="B19" i="12"/>
  <c r="B37" i="13"/>
  <c r="G29" i="8"/>
  <c r="G31" s="1"/>
  <c r="G11"/>
  <c r="F6" i="12"/>
  <c r="G15" i="8"/>
  <c r="F16"/>
  <c r="I3" i="11" s="1"/>
  <c r="E4" i="12"/>
  <c r="C36" i="13"/>
  <c r="E29" i="10"/>
  <c r="C29" s="1"/>
  <c r="G9" i="11" s="1"/>
  <c r="G12" s="1"/>
  <c r="G13" s="1"/>
  <c r="F29" i="10"/>
  <c r="C62" i="3"/>
  <c r="F59"/>
  <c r="H14"/>
  <c r="F19" i="13" s="1"/>
  <c r="G377" i="8"/>
  <c r="G371"/>
  <c r="G382"/>
  <c r="N81" i="7"/>
  <c r="G14" i="3"/>
  <c r="E19" i="13" s="1"/>
  <c r="C17" i="12"/>
  <c r="G49" i="3"/>
  <c r="G50" s="1"/>
  <c r="B21" i="12" l="1"/>
  <c r="B28" s="1"/>
  <c r="B31" s="1"/>
  <c r="D17"/>
  <c r="D8" i="13" s="1"/>
  <c r="E32" i="14"/>
  <c r="C8" i="13"/>
  <c r="D32" i="14"/>
  <c r="C37" i="13"/>
  <c r="C19" i="12"/>
  <c r="C21" s="1"/>
  <c r="C28" s="1"/>
  <c r="F30" i="10"/>
  <c r="E30"/>
  <c r="D62" i="3"/>
  <c r="E14" i="12"/>
  <c r="G10" i="3"/>
  <c r="E5" i="12"/>
  <c r="E10" s="1"/>
  <c r="E15"/>
  <c r="E11" i="13" s="1"/>
  <c r="Q80" i="7"/>
  <c r="Q79"/>
  <c r="C31" i="14"/>
  <c r="B74" i="3"/>
  <c r="D27" i="2"/>
  <c r="F13" i="11"/>
  <c r="G14" i="8"/>
  <c r="B29" i="12"/>
  <c r="G11" i="3"/>
  <c r="E18" i="13" s="1"/>
  <c r="E20" s="1"/>
  <c r="E31" s="1"/>
  <c r="E22" i="3"/>
  <c r="F11"/>
  <c r="D18" i="13" s="1"/>
  <c r="D20" s="1"/>
  <c r="D31" s="1"/>
  <c r="E17" i="12" l="1"/>
  <c r="F32" i="14" s="1"/>
  <c r="C29" i="12"/>
  <c r="C31"/>
  <c r="B30"/>
  <c r="C66" i="3" s="1"/>
  <c r="C60"/>
  <c r="C61" s="1"/>
  <c r="C12" i="13"/>
  <c r="C13" s="1"/>
  <c r="G16" i="8"/>
  <c r="J3" i="11" s="1"/>
  <c r="F4" i="12"/>
  <c r="F22" i="3"/>
  <c r="F31" i="10"/>
  <c r="E62" i="3"/>
  <c r="E31" i="10"/>
  <c r="D19" i="12"/>
  <c r="D21" s="1"/>
  <c r="D28" s="1"/>
  <c r="D37" i="13"/>
  <c r="C30" i="10"/>
  <c r="H9" i="11" s="1"/>
  <c r="H12" s="1"/>
  <c r="H13" s="1"/>
  <c r="G36" i="2"/>
  <c r="D29"/>
  <c r="Q81" i="7"/>
  <c r="E8" i="13" l="1"/>
  <c r="E37"/>
  <c r="E19" i="12"/>
  <c r="E21" s="1"/>
  <c r="E28" s="1"/>
  <c r="C31" i="10"/>
  <c r="I9" i="11" s="1"/>
  <c r="I12" s="1"/>
  <c r="I13" s="1"/>
  <c r="C63" i="3"/>
  <c r="D29" i="12"/>
  <c r="D31"/>
  <c r="H36" i="2"/>
  <c r="G38"/>
  <c r="G39" s="1"/>
  <c r="E32" i="10"/>
  <c r="F32"/>
  <c r="G62" i="3" s="1"/>
  <c r="F62"/>
  <c r="B32" i="12"/>
  <c r="C36" i="2"/>
  <c r="C37"/>
  <c r="C38"/>
  <c r="C35"/>
  <c r="C39"/>
  <c r="H10" i="3"/>
  <c r="F15" i="12"/>
  <c r="F11" i="13" s="1"/>
  <c r="F14" i="12"/>
  <c r="F10"/>
  <c r="F5"/>
  <c r="D12" i="13"/>
  <c r="D13" s="1"/>
  <c r="C30" i="12"/>
  <c r="D66" i="3" s="1"/>
  <c r="D60"/>
  <c r="D61" s="1"/>
  <c r="F17" i="12" l="1"/>
  <c r="D63" i="3"/>
  <c r="G22"/>
  <c r="H11"/>
  <c r="F18" i="13" s="1"/>
  <c r="F20" s="1"/>
  <c r="F31" s="1"/>
  <c r="I36" i="2"/>
  <c r="C40"/>
  <c r="H34" s="1"/>
  <c r="I34" s="1"/>
  <c r="H35"/>
  <c r="H37"/>
  <c r="H38" s="1"/>
  <c r="D30" i="12"/>
  <c r="E66" i="3" s="1"/>
  <c r="E12" i="13"/>
  <c r="E13" s="1"/>
  <c r="E60" i="3"/>
  <c r="E61" s="1"/>
  <c r="E31" i="12"/>
  <c r="E29"/>
  <c r="B37"/>
  <c r="B38" i="13" s="1"/>
  <c r="B40" s="1"/>
  <c r="B42" s="1"/>
  <c r="B44" s="1"/>
  <c r="C15" i="14" s="1"/>
  <c r="C68" i="3"/>
  <c r="C70" s="1"/>
  <c r="C34" i="14"/>
  <c r="C33"/>
  <c r="C35"/>
  <c r="F19" i="12"/>
  <c r="F21" s="1"/>
  <c r="F37" i="13"/>
  <c r="C32" i="10"/>
  <c r="J9" i="11" s="1"/>
  <c r="J12" s="1"/>
  <c r="J13" s="1"/>
  <c r="C32" i="12"/>
  <c r="C72" i="3"/>
  <c r="D32" i="12"/>
  <c r="E30" l="1"/>
  <c r="F66" i="3" s="1"/>
  <c r="F12" i="13"/>
  <c r="F60" i="3"/>
  <c r="F61" s="1"/>
  <c r="D38" i="2"/>
  <c r="D37"/>
  <c r="D35"/>
  <c r="D39"/>
  <c r="D36"/>
  <c r="E63" i="3"/>
  <c r="F28" i="12"/>
  <c r="F8" i="13"/>
  <c r="F13" s="1"/>
  <c r="G32" i="14"/>
  <c r="E36" i="12"/>
  <c r="F67" i="3" s="1"/>
  <c r="E68"/>
  <c r="D37" i="12"/>
  <c r="D38" i="13" s="1"/>
  <c r="D40" s="1"/>
  <c r="D42" s="1"/>
  <c r="E33" i="14"/>
  <c r="D68" i="3"/>
  <c r="C37" i="12"/>
  <c r="C38" i="13" s="1"/>
  <c r="C40" s="1"/>
  <c r="C42" s="1"/>
  <c r="D33" i="14"/>
  <c r="C20" i="3"/>
  <c r="H39" i="2"/>
  <c r="C36" i="12"/>
  <c r="D67" i="3" s="1"/>
  <c r="D34" i="14"/>
  <c r="D70" i="3" l="1"/>
  <c r="E34" i="14" s="1"/>
  <c r="E32" i="12"/>
  <c r="F29"/>
  <c r="F31"/>
  <c r="I35" i="2"/>
  <c r="I37"/>
  <c r="I38" s="1"/>
  <c r="D40"/>
  <c r="E72" i="3"/>
  <c r="D36" i="12"/>
  <c r="E67" i="3" s="1"/>
  <c r="E70" s="1"/>
  <c r="F34" i="14" s="1"/>
  <c r="F63" i="3"/>
  <c r="E37" i="12"/>
  <c r="E38" i="13" s="1"/>
  <c r="E40" s="1"/>
  <c r="E42" s="1"/>
  <c r="F36" i="12"/>
  <c r="G67" i="3" s="1"/>
  <c r="F68"/>
  <c r="F70" s="1"/>
  <c r="F33" i="14"/>
  <c r="C23" i="3"/>
  <c r="C43" i="13"/>
  <c r="C44" s="1"/>
  <c r="D15" i="14" s="1"/>
  <c r="D72" i="3"/>
  <c r="D20" l="1"/>
  <c r="F30" i="12"/>
  <c r="G66" i="3" s="1"/>
  <c r="G60"/>
  <c r="G61" s="1"/>
  <c r="C55"/>
  <c r="C30" i="14"/>
  <c r="F72" i="3"/>
  <c r="E20"/>
  <c r="I39" i="2"/>
  <c r="F32" i="12" l="1"/>
  <c r="G34" i="14" s="1"/>
  <c r="F20" i="3"/>
  <c r="G63"/>
  <c r="D35" i="14"/>
  <c r="D31"/>
  <c r="C74" i="3"/>
  <c r="E43" i="13"/>
  <c r="E44" s="1"/>
  <c r="F15" i="14" s="1"/>
  <c r="E23" i="3"/>
  <c r="D23"/>
  <c r="D43" i="13"/>
  <c r="D44" s="1"/>
  <c r="E15" i="14" s="1"/>
  <c r="F37" i="12"/>
  <c r="F38" i="13" s="1"/>
  <c r="F40" s="1"/>
  <c r="F42" s="1"/>
  <c r="G68" i="3"/>
  <c r="G70" s="1"/>
  <c r="G33" i="14" l="1"/>
  <c r="G72" i="3"/>
  <c r="E55"/>
  <c r="E30" i="14"/>
  <c r="D55" i="3"/>
  <c r="D30" i="14"/>
  <c r="F43" i="13"/>
  <c r="F44" s="1"/>
  <c r="G15" i="14" s="1"/>
  <c r="F23" i="3"/>
  <c r="G20"/>
  <c r="G23" s="1"/>
  <c r="D18" i="14" l="1"/>
  <c r="C36"/>
  <c r="D17"/>
  <c r="F35"/>
  <c r="F31"/>
  <c r="E74" i="3"/>
  <c r="F55"/>
  <c r="F30" i="14"/>
  <c r="E35"/>
  <c r="E31"/>
  <c r="D74" i="3"/>
  <c r="G55"/>
  <c r="G74" s="1"/>
  <c r="G30" i="14"/>
  <c r="B20" l="1"/>
  <c r="B23"/>
  <c r="B26"/>
  <c r="G31"/>
  <c r="G35"/>
  <c r="F74" i="3"/>
</calcChain>
</file>

<file path=xl/comments1.xml><?xml version="1.0" encoding="utf-8"?>
<comments xmlns="http://schemas.openxmlformats.org/spreadsheetml/2006/main">
  <authors>
    <author>DMREYES</author>
  </authors>
  <commentList>
    <comment ref="C6" authorId="0">
      <text>
        <r>
          <rPr>
            <b/>
            <sz val="9"/>
            <color indexed="81"/>
            <rFont val="Tahoma"/>
            <family val="2"/>
          </rPr>
          <t>DMREYES:</t>
        </r>
        <r>
          <rPr>
            <sz val="9"/>
            <color indexed="81"/>
            <rFont val="Tahoma"/>
            <family val="2"/>
          </rPr>
          <t xml:space="preserve">
Digita el nombre de tu plan de negocios.</t>
        </r>
      </text>
    </comment>
  </commentList>
</comments>
</file>

<file path=xl/comments10.xml><?xml version="1.0" encoding="utf-8"?>
<comments xmlns="http://schemas.openxmlformats.org/spreadsheetml/2006/main">
  <authors>
    <author>DMREYES</author>
  </authors>
  <commentList>
    <comment ref="D6" authorId="0">
      <text>
        <r>
          <rPr>
            <b/>
            <sz val="9"/>
            <color indexed="81"/>
            <rFont val="Tahoma"/>
            <family val="2"/>
          </rPr>
          <t xml:space="preserve">DMREYES: únicamente las celdas amarillas son modificables en este cuadro.
 </t>
        </r>
      </text>
    </comment>
    <comment ref="C7" authorId="0">
      <text>
        <r>
          <rPr>
            <b/>
            <sz val="9"/>
            <color indexed="81"/>
            <rFont val="Tahoma"/>
            <family val="2"/>
          </rPr>
          <t>DMREYES:</t>
        </r>
        <r>
          <rPr>
            <sz val="9"/>
            <color indexed="81"/>
            <rFont val="Tahoma"/>
            <family val="2"/>
          </rPr>
          <t xml:space="preserve">
Este es el valor mínimo que se debe invertir en materia prima e insumos, para poner en funcionamieto la empresa, usted definió ese mínimo en el cuadro del calculo de necesidades de financiación.</t>
        </r>
      </text>
    </comment>
    <comment ref="A25" authorId="0">
      <text>
        <r>
          <rPr>
            <b/>
            <sz val="9"/>
            <color indexed="81"/>
            <rFont val="Tahoma"/>
            <family val="2"/>
          </rPr>
          <t>DMREYES:</t>
        </r>
        <r>
          <rPr>
            <sz val="9"/>
            <color indexed="81"/>
            <rFont val="Tahoma"/>
            <family val="2"/>
          </rPr>
          <t xml:space="preserve">
Incluir la división entre activo diferido, activo corriente, y capital de trabajo.</t>
        </r>
      </text>
    </comment>
  </commentList>
</comments>
</file>

<file path=xl/comments11.xml><?xml version="1.0" encoding="utf-8"?>
<comments xmlns="http://schemas.openxmlformats.org/spreadsheetml/2006/main">
  <authors>
    <author>DMREYES</author>
  </authors>
  <commentList>
    <comment ref="H10" authorId="0">
      <text>
        <r>
          <rPr>
            <b/>
            <sz val="9"/>
            <color indexed="81"/>
            <rFont val="Tahoma"/>
            <family val="2"/>
          </rPr>
          <t>DMREYES:</t>
        </r>
        <r>
          <rPr>
            <sz val="9"/>
            <color indexed="81"/>
            <rFont val="Tahoma"/>
            <family val="2"/>
          </rPr>
          <t xml:space="preserve">
Incluya el valor porcentual de la tasa impositiva vigente, o la de su sector económico.</t>
        </r>
      </text>
    </comment>
    <comment ref="H11" authorId="0">
      <text>
        <r>
          <rPr>
            <b/>
            <sz val="9"/>
            <color indexed="81"/>
            <rFont val="Tahoma"/>
            <family val="2"/>
          </rPr>
          <t>DMREYES:</t>
        </r>
        <r>
          <rPr>
            <sz val="9"/>
            <color indexed="81"/>
            <rFont val="Tahoma"/>
            <family val="2"/>
          </rPr>
          <t xml:space="preserve">
Este es el valor de la reserva definda por ley como obligatoria para todas la empresas</t>
        </r>
      </text>
    </comment>
    <comment ref="H12" authorId="0">
      <text>
        <r>
          <rPr>
            <b/>
            <sz val="9"/>
            <color indexed="81"/>
            <rFont val="Tahoma"/>
            <family val="2"/>
          </rPr>
          <t>DMREYES:</t>
        </r>
        <r>
          <rPr>
            <sz val="9"/>
            <color indexed="81"/>
            <rFont val="Tahoma"/>
            <family val="2"/>
          </rPr>
          <t xml:space="preserve">
Este valor debe ser definido por los empremdedores como un porcentaje de ahorro al interior de la empresa, este valor  le permitirá realizar inversiones futuras o le genra un colchón de recursos para afrontar condiciones económicas adversas.</t>
        </r>
      </text>
    </comment>
    <comment ref="H13" authorId="0">
      <text>
        <r>
          <rPr>
            <b/>
            <sz val="9"/>
            <color indexed="81"/>
            <rFont val="Tahoma"/>
            <family val="2"/>
          </rPr>
          <t>DMREYES:</t>
        </r>
        <r>
          <rPr>
            <sz val="9"/>
            <color indexed="81"/>
            <rFont val="Tahoma"/>
            <family val="2"/>
          </rPr>
          <t xml:space="preserve">
Si considera que por las caraterísticas de sus productos o servicios haya la posibilidad de que existan devoluciones en ventas incluya este valor como un porcentaje sobre las ventas del periódo, sino hay devoluciones, el valor debe ser 0%</t>
        </r>
      </text>
    </comment>
    <comment ref="H14" authorId="0">
      <text>
        <r>
          <rPr>
            <b/>
            <sz val="9"/>
            <color indexed="81"/>
            <rFont val="Tahoma"/>
            <family val="2"/>
          </rPr>
          <t>DMREYES:</t>
        </r>
        <r>
          <rPr>
            <sz val="9"/>
            <color indexed="81"/>
            <rFont val="Tahoma"/>
            <family val="2"/>
          </rPr>
          <t xml:space="preserve">
Este valor corresponde al porcentaje que desea aprovisionar sobre el valor total de las ventas para pagos de impuestos o inversiones diferentes a las de la naturaleza del negocio.</t>
        </r>
      </text>
    </comment>
    <comment ref="H15" authorId="0">
      <text>
        <r>
          <rPr>
            <b/>
            <sz val="9"/>
            <color indexed="81"/>
            <rFont val="Tahoma"/>
            <family val="2"/>
          </rPr>
          <t>DMREYES:</t>
        </r>
        <r>
          <rPr>
            <sz val="9"/>
            <color indexed="81"/>
            <rFont val="Tahoma"/>
            <family val="2"/>
          </rPr>
          <t xml:space="preserve">
Este valor corresponde al porcentaje que desea distribuir como divendos entre los accionistas de la empresa al final de cada año.</t>
        </r>
      </text>
    </comment>
  </commentList>
</comments>
</file>

<file path=xl/comments12.xml><?xml version="1.0" encoding="utf-8"?>
<comments xmlns="http://schemas.openxmlformats.org/spreadsheetml/2006/main">
  <authors>
    <author>DMREYES</author>
  </authors>
  <commentList>
    <comment ref="A39" authorId="0">
      <text>
        <r>
          <rPr>
            <b/>
            <sz val="9"/>
            <color indexed="81"/>
            <rFont val="Tahoma"/>
            <family val="2"/>
          </rPr>
          <t>DMREYES:</t>
        </r>
        <r>
          <rPr>
            <sz val="9"/>
            <color indexed="81"/>
            <rFont val="Tahoma"/>
            <family val="2"/>
          </rPr>
          <t xml:space="preserve">
Si se considera por parte de los emprendedores adicionar capital en cualquiera de los años, ingresar el valor en estas casillas.</t>
        </r>
      </text>
    </comment>
  </commentList>
</comments>
</file>

<file path=xl/comments13.xml><?xml version="1.0" encoding="utf-8"?>
<comments xmlns="http://schemas.openxmlformats.org/spreadsheetml/2006/main">
  <authors>
    <author>DMREYES</author>
  </authors>
  <commentList>
    <comment ref="G8" authorId="0">
      <text>
        <r>
          <rPr>
            <b/>
            <sz val="9"/>
            <color indexed="81"/>
            <rFont val="Tahoma"/>
            <family val="2"/>
          </rPr>
          <t>DMREYES:</t>
        </r>
        <r>
          <rPr>
            <sz val="9"/>
            <color indexed="81"/>
            <rFont val="Tahoma"/>
            <family val="2"/>
          </rPr>
          <t xml:space="preserve">
Recuerde que este dato se diligenció en la hoja de bases para la proyección.
No olvide que la definición de esta tasa depende las expectativas de los emprendedores, sin embargo, tenga en cuenta los datos claves sugeridos para su determinación que se pueden revisar en la hoja de bases para la simulación</t>
        </r>
      </text>
    </comment>
    <comment ref="G10" authorId="0">
      <text>
        <r>
          <rPr>
            <b/>
            <sz val="9"/>
            <color indexed="81"/>
            <rFont val="Tahoma"/>
            <family val="2"/>
          </rPr>
          <t>DMREYES:</t>
        </r>
        <r>
          <rPr>
            <sz val="9"/>
            <color indexed="81"/>
            <rFont val="Tahoma"/>
            <family val="2"/>
          </rPr>
          <t xml:space="preserve">
Este valor se obtiene de la suma de las inversiones necesarias en activos + el capital de trabajo necesario para poner en marcha el negocio. Su calculo está en la hoja de Necesidades de financiación.</t>
        </r>
      </text>
    </comment>
    <comment ref="G20" authorId="0">
      <text>
        <r>
          <rPr>
            <b/>
            <sz val="9"/>
            <color indexed="81"/>
            <rFont val="Tahoma"/>
            <family val="2"/>
          </rPr>
          <t>DMREYES:</t>
        </r>
        <r>
          <rPr>
            <sz val="9"/>
            <color indexed="81"/>
            <rFont val="Tahoma"/>
            <family val="2"/>
          </rPr>
          <t xml:space="preserve">
VIABLE INVERTIR EN ESTE PLAN DE NEGCOCIO, dado que los flujos de caja son suficientes para cubrir los costos y gastos de la empresa, generar utilidad y además recuperar la inversión con valor económico agregado.</t>
        </r>
      </text>
    </comment>
    <comment ref="G23" authorId="0">
      <text>
        <r>
          <rPr>
            <b/>
            <sz val="9"/>
            <color indexed="81"/>
            <rFont val="Tahoma"/>
            <family val="2"/>
          </rPr>
          <t>DMREYES:</t>
        </r>
        <r>
          <rPr>
            <sz val="9"/>
            <color indexed="81"/>
            <rFont val="Tahoma"/>
            <family val="2"/>
          </rPr>
          <t xml:space="preserve">
NO ES VIABLE INVERTIR EN ESTE PLAN DE NEGOCIO.</t>
        </r>
      </text>
    </comment>
    <comment ref="G26" authorId="0">
      <text>
        <r>
          <rPr>
            <b/>
            <sz val="9"/>
            <color indexed="81"/>
            <rFont val="Tahoma"/>
            <family val="2"/>
          </rPr>
          <t>DMREYES:</t>
        </r>
        <r>
          <rPr>
            <sz val="9"/>
            <color indexed="81"/>
            <rFont val="Tahoma"/>
            <family val="2"/>
          </rPr>
          <t xml:space="preserve">
ES INDIFERENTE INVERTIR EN ESTE PLAN DE NEGOCIO, DADO QUE DESPUÉS DE 5 AÑOS TENDRÁ EL MISMO CAPITAL QUE AL PRINCIPIO. OBVIAMENTE SIN TENER EN CUENTA EL RIESGO IMPLICITO EN EL PLAN DE NEGOCIO.</t>
        </r>
      </text>
    </comment>
    <comment ref="A30" authorId="0">
      <text>
        <r>
          <rPr>
            <b/>
            <sz val="9"/>
            <color indexed="81"/>
            <rFont val="Tahoma"/>
            <family val="2"/>
          </rPr>
          <t>DMREYES:</t>
        </r>
        <r>
          <rPr>
            <sz val="9"/>
            <color indexed="81"/>
            <rFont val="Tahoma"/>
            <family val="2"/>
          </rPr>
          <t xml:space="preserve">
La razón corriente es el indicador  que mide cuantos pesos del activo corriente existen para cubrir las obligaciones de corto plazo o pasivo corriente.</t>
        </r>
      </text>
    </comment>
    <comment ref="A31" authorId="0">
      <text>
        <r>
          <rPr>
            <b/>
            <sz val="9"/>
            <color indexed="81"/>
            <rFont val="Tahoma"/>
            <family val="2"/>
          </rPr>
          <t>DMREYES:</t>
        </r>
        <r>
          <rPr>
            <sz val="9"/>
            <color indexed="81"/>
            <rFont val="Tahoma"/>
            <family val="2"/>
          </rPr>
          <t xml:space="preserve">
El nivel de endeudamiento mide la porcíon de deuda (pasivo) existente, con respecto al monto total de los activos de la empresa. No existe un ideal de endeudamiento mínimo o máximo, lo importante es que si existe, el costo de este endeudamiento (tasa de interés) sea la más baja posible, de modo que se pueda lograr con maoyr facilidad la mayor tasa interna de retorno posible, recordemos que el servicio de la deuda afecta de forma directa los flujos de caja del plan de negocio, por ende afecta su viabilidad.</t>
        </r>
      </text>
    </comment>
    <comment ref="A32" authorId="0">
      <text>
        <r>
          <rPr>
            <b/>
            <sz val="9"/>
            <color indexed="81"/>
            <rFont val="Tahoma"/>
            <family val="2"/>
          </rPr>
          <t>DMREYES:</t>
        </r>
        <r>
          <rPr>
            <sz val="9"/>
            <color indexed="81"/>
            <rFont val="Tahoma"/>
            <family val="2"/>
          </rPr>
          <t xml:space="preserve">
La rentabilidad operacional resulta de comparar la Utilidad operacional con respecto al monto total de las ventas del plan de negocio. Permite medir que tan rentable es el área operacional de la empresa, es decir el área que representa la razón de ser de la empresa, se debe tener en cuanta que la utilidad operacional resulta de restar a las ventas, el costo de ventas y gastos relacionados única y exclusivamente con el área operacional de la empresa. La utilidad operacional en consecuencia debe cubrir los demás gastos administrativos y de ventas en los que incurre la empresa dentro de cada periodo de funcionamiento.</t>
        </r>
      </text>
    </comment>
    <comment ref="A33" authorId="0">
      <text>
        <r>
          <rPr>
            <b/>
            <sz val="9"/>
            <color indexed="81"/>
            <rFont val="Tahoma"/>
            <family val="2"/>
          </rPr>
          <t>DMREYES:</t>
        </r>
        <r>
          <rPr>
            <sz val="9"/>
            <color indexed="81"/>
            <rFont val="Tahoma"/>
            <family val="2"/>
          </rPr>
          <t xml:space="preserve">
Este indicador mide la rentabilidad total de la operación de la empresa, es decir tanto del área operacional como las de las áreas de soporte como ventas, administración, etc. Es muy importante comparar este indicador con el de la rentabilidad operacional, dado que permite determinar que procesos de la empresa consumen grana cantidad de recursos, es posible que usted obtenga un muy buen indicador de rentabilidad Operacional pero que la neta sea muy baja o negativa, esto indica que el plan de negocio tiene una sobrecarga de gastos administrativos o de ventas que hacen que la actividad económica no sea rentable.</t>
        </r>
      </text>
    </comment>
    <comment ref="A34" authorId="0">
      <text>
        <r>
          <rPr>
            <b/>
            <sz val="9"/>
            <color indexed="81"/>
            <rFont val="Tahoma"/>
            <family val="2"/>
          </rPr>
          <t>DMREYES:</t>
        </r>
        <r>
          <rPr>
            <sz val="9"/>
            <color indexed="81"/>
            <rFont val="Tahoma"/>
            <family val="2"/>
          </rPr>
          <t xml:space="preserve">
Este indicador mide la rentabilidad del dinero que directamente fué invertido por los emprededores en la empresa, es decir su aporte de capital, es la tasa a la cual está rentando este dinero dentro de la empresa. Como es de esperar a mayor renatbilidad del patrimonio mayor rentabilidad general del negocio.</t>
        </r>
      </text>
    </comment>
    <comment ref="A35" authorId="0">
      <text>
        <r>
          <rPr>
            <b/>
            <sz val="9"/>
            <color indexed="81"/>
            <rFont val="Tahoma"/>
            <family val="2"/>
          </rPr>
          <t>DMREYES:</t>
        </r>
        <r>
          <rPr>
            <sz val="9"/>
            <color indexed="81"/>
            <rFont val="Tahoma"/>
            <family val="2"/>
          </rPr>
          <t xml:space="preserve">
Este indicador mide la rentabilidad de la inversión realizada en activos, es decir, la inversión realizada en los bienes que se requieren para la operación de la empresa, es muy impoirtante que sea un porcentaje amplio y que sea creciente cuando se cambia de un periodo a otro, una disminución en este indicador representa perdida en la eficiencia del uso de los activos o en otras palabras, perdida  de eficiencia de los recursos invertidos en activos, se supone que si se invierte en un activo es porque este generará más ingresos de los que actualemnte se obtinen, o por lo menos hará que los rendimiento continúen constantes.</t>
        </r>
      </text>
    </comment>
    <comment ref="E40" authorId="0">
      <text>
        <r>
          <rPr>
            <b/>
            <sz val="9"/>
            <color indexed="81"/>
            <rFont val="Tahoma"/>
            <family val="2"/>
          </rPr>
          <t>DMREYES:</t>
        </r>
        <r>
          <rPr>
            <sz val="10"/>
            <color indexed="81"/>
            <rFont val="Tahoma"/>
            <family val="2"/>
          </rPr>
          <t xml:space="preserve">
Esta es la tas mínima de rendimiento establecida por los emprendedores.</t>
        </r>
      </text>
    </comment>
    <comment ref="E41" authorId="0">
      <text>
        <r>
          <rPr>
            <b/>
            <sz val="9"/>
            <color indexed="81"/>
            <rFont val="Tahoma"/>
            <family val="2"/>
          </rPr>
          <t>DMREYES:</t>
        </r>
        <r>
          <rPr>
            <sz val="10"/>
            <color indexed="81"/>
            <rFont val="Tahoma"/>
            <family val="2"/>
          </rPr>
          <t xml:space="preserve">
Esta es la tasa de interés del crédito solcitada a la entidad financiera.</t>
        </r>
      </text>
    </comment>
    <comment ref="B43" authorId="0">
      <text>
        <r>
          <rPr>
            <b/>
            <sz val="10"/>
            <color indexed="81"/>
            <rFont val="Tahoma"/>
            <family val="2"/>
          </rPr>
          <t>DMREYES:</t>
        </r>
        <r>
          <rPr>
            <sz val="10"/>
            <color indexed="81"/>
            <rFont val="Tahoma"/>
            <family val="2"/>
          </rPr>
          <t xml:space="preserve">
</t>
        </r>
        <r>
          <rPr>
            <sz val="11"/>
            <color indexed="81"/>
            <rFont val="Tahoma"/>
            <family val="2"/>
          </rPr>
          <t>La tasa de descuento  WACC  es el costo que se paga por los fondos invertidos en el plan de negocio; representa una medida de la rentabilidad mínima que se exigirá al proyecto , según su riesgo , de manera tal que el retorno esperado permita cubrir la totalidad de la inversión inicial, los egresos de la operación, los intereses pagados y la rentabilidad que el inversionista le exige a su propio capital invertido ( costo de capital propio), también se considera el efecto de los impuestos sobre dicho capital.</t>
        </r>
      </text>
    </comment>
  </commentList>
</comments>
</file>

<file path=xl/comments2.xml><?xml version="1.0" encoding="utf-8"?>
<comments xmlns="http://schemas.openxmlformats.org/spreadsheetml/2006/main">
  <authors>
    <author>DMREYES</author>
  </authors>
  <commentList>
    <comment ref="B13" authorId="0">
      <text>
        <r>
          <rPr>
            <b/>
            <sz val="9"/>
            <color indexed="81"/>
            <rFont val="Tahoma"/>
            <family val="2"/>
          </rPr>
          <t>DMREYES:</t>
        </r>
        <r>
          <rPr>
            <sz val="9"/>
            <color indexed="81"/>
            <rFont val="Tahoma"/>
            <family val="2"/>
          </rPr>
          <t xml:space="preserve">
Diligencie cual va a ser su año base, por ejemplo 2012.</t>
        </r>
      </text>
    </comment>
    <comment ref="A14" authorId="0">
      <text>
        <r>
          <rPr>
            <b/>
            <sz val="9"/>
            <color indexed="81"/>
            <rFont val="Tahoma"/>
            <family val="2"/>
          </rPr>
          <t>DMREYES:</t>
        </r>
        <r>
          <rPr>
            <sz val="9"/>
            <color indexed="81"/>
            <rFont val="Tahoma"/>
            <family val="2"/>
          </rPr>
          <t xml:space="preserve">
Estas proyecciones macroeconómicas se pueden tomar de la página web del Banco de la República.</t>
        </r>
      </text>
    </comment>
    <comment ref="A15" authorId="0">
      <text>
        <r>
          <rPr>
            <b/>
            <sz val="9"/>
            <color indexed="81"/>
            <rFont val="Tahoma"/>
            <family val="2"/>
          </rPr>
          <t>DMREYES:</t>
        </r>
        <r>
          <rPr>
            <sz val="9"/>
            <color indexed="81"/>
            <rFont val="Tahoma"/>
            <family val="2"/>
          </rPr>
          <t xml:space="preserve">
Estas proyecciones macroeconómicas se pueden tomar de la página web del Banco de la República.</t>
        </r>
      </text>
    </comment>
    <comment ref="A16" authorId="0">
      <text>
        <r>
          <rPr>
            <b/>
            <sz val="9"/>
            <color indexed="81"/>
            <rFont val="Tahoma"/>
            <family val="2"/>
          </rPr>
          <t>DMREYES:</t>
        </r>
        <r>
          <rPr>
            <sz val="9"/>
            <color indexed="81"/>
            <rFont val="Tahoma"/>
            <family val="2"/>
          </rPr>
          <t xml:space="preserve">
Estas proyecciones macroeconómicas se pueden tomar de la página web del Banco de la República.</t>
        </r>
      </text>
    </comment>
    <comment ref="A17" authorId="0">
      <text>
        <r>
          <rPr>
            <b/>
            <sz val="9"/>
            <color indexed="81"/>
            <rFont val="Tahoma"/>
            <family val="2"/>
          </rPr>
          <t>DMREYES:</t>
        </r>
        <r>
          <rPr>
            <sz val="9"/>
            <color indexed="81"/>
            <rFont val="Tahoma"/>
            <family val="2"/>
          </rPr>
          <t xml:space="preserve">
Estas proyecciones macroeconómicas se pueden tomar de la página web del Banco de la República.</t>
        </r>
      </text>
    </comment>
    <comment ref="G23" authorId="0">
      <text>
        <r>
          <rPr>
            <b/>
            <sz val="9"/>
            <color indexed="81"/>
            <rFont val="Tahoma"/>
            <family val="2"/>
          </rPr>
          <t>DMREYES:</t>
        </r>
        <r>
          <rPr>
            <sz val="9"/>
            <color indexed="81"/>
            <rFont val="Tahoma"/>
            <family val="2"/>
          </rPr>
          <t xml:space="preserve">
</t>
        </r>
        <r>
          <rPr>
            <sz val="11"/>
            <color indexed="81"/>
            <rFont val="Tahoma"/>
            <family val="2"/>
          </rPr>
          <t>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(tasa de riesgo)</t>
        </r>
      </text>
    </comment>
    <comment ref="D30" authorId="0">
      <text>
        <r>
          <rPr>
            <b/>
            <sz val="9"/>
            <color indexed="81"/>
            <rFont val="Tahoma"/>
            <family val="2"/>
          </rPr>
          <t>DMREYES:</t>
        </r>
        <r>
          <rPr>
            <sz val="9"/>
            <color indexed="81"/>
            <rFont val="Tahoma"/>
            <family val="2"/>
          </rPr>
          <t xml:space="preserve">
Los periodos de depreciación son los definidos por la DIAN, sinembargo si usted cosidera que los debe ajustar puede hacerlo. Pero no olvide que nunca podrán ser superiores a estos valores y si vam a ser demasiado cortos la DIAN pide una muy buena justifiación para un proceso de depreciación acelerada.</t>
        </r>
      </text>
    </comment>
  </commentList>
</comments>
</file>

<file path=xl/comments3.xml><?xml version="1.0" encoding="utf-8"?>
<comments xmlns="http://schemas.openxmlformats.org/spreadsheetml/2006/main">
  <authors>
    <author>DMREYES</author>
  </authors>
  <commentList>
    <comment ref="C2" authorId="0">
      <text>
        <r>
          <rPr>
            <b/>
            <sz val="9"/>
            <color indexed="81"/>
            <rFont val="Tahoma"/>
            <family val="2"/>
          </rPr>
          <t>DMREYES:</t>
        </r>
        <r>
          <rPr>
            <sz val="9"/>
            <color indexed="81"/>
            <rFont val="Tahoma"/>
            <family val="2"/>
          </rPr>
          <t xml:space="preserve">
Digite el nombre de cada producto o servicio.</t>
        </r>
      </text>
    </comment>
    <comment ref="C3" authorId="0">
      <text>
        <r>
          <rPr>
            <b/>
            <sz val="9"/>
            <color indexed="81"/>
            <rFont val="Tahoma"/>
            <family val="2"/>
          </rPr>
          <t>DMREYES:</t>
        </r>
        <r>
          <rPr>
            <sz val="9"/>
            <color indexed="81"/>
            <rFont val="Tahoma"/>
            <family val="2"/>
          </rPr>
          <t xml:space="preserve">
Digite el nombre de cada producto o servicio.</t>
        </r>
      </text>
    </comment>
    <comment ref="C4" authorId="0">
      <text>
        <r>
          <rPr>
            <b/>
            <sz val="9"/>
            <color indexed="81"/>
            <rFont val="Tahoma"/>
            <family val="2"/>
          </rPr>
          <t>DMREYES:</t>
        </r>
        <r>
          <rPr>
            <sz val="9"/>
            <color indexed="81"/>
            <rFont val="Tahoma"/>
            <family val="2"/>
          </rPr>
          <t xml:space="preserve">
Digite el nombre de cada producto o servicio.</t>
        </r>
      </text>
    </comment>
    <comment ref="C5" authorId="0">
      <text>
        <r>
          <rPr>
            <b/>
            <sz val="9"/>
            <color indexed="81"/>
            <rFont val="Tahoma"/>
            <family val="2"/>
          </rPr>
          <t>DMREYES:</t>
        </r>
        <r>
          <rPr>
            <sz val="9"/>
            <color indexed="81"/>
            <rFont val="Tahoma"/>
            <family val="2"/>
          </rPr>
          <t xml:space="preserve">
Digite el nombre de cada producto o servicio.</t>
        </r>
      </text>
    </comment>
    <comment ref="C6" authorId="0">
      <text>
        <r>
          <rPr>
            <b/>
            <sz val="9"/>
            <color indexed="81"/>
            <rFont val="Tahoma"/>
            <family val="2"/>
          </rPr>
          <t>DMREYES:</t>
        </r>
        <r>
          <rPr>
            <sz val="9"/>
            <color indexed="81"/>
            <rFont val="Tahoma"/>
            <family val="2"/>
          </rPr>
          <t xml:space="preserve">
Digite el nombre de cada producto o servicio.</t>
        </r>
      </text>
    </comment>
    <comment ref="C10" authorId="0">
      <text>
        <r>
          <rPr>
            <b/>
            <sz val="9"/>
            <color indexed="81"/>
            <rFont val="Tahoma"/>
            <family val="2"/>
          </rPr>
          <t>DMREYES:</t>
        </r>
        <r>
          <rPr>
            <sz val="9"/>
            <color indexed="81"/>
            <rFont val="Tahoma"/>
            <family val="2"/>
          </rPr>
          <t xml:space="preserve">
Si el comportamiento de las ventas se puede describir únicamente con ajustes porcentuales, diligencie el valor porcentual de ese incremento en cada una de estas celdas.</t>
        </r>
      </text>
    </comment>
    <comment ref="B13" authorId="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16" authorId="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 ref="B24" authorId="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27" authorId="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 ref="B34" authorId="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37" authorId="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 ref="B44" authorId="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47" authorId="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 ref="B54" authorId="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57" authorId="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List>
</comments>
</file>

<file path=xl/comments4.xml><?xml version="1.0" encoding="utf-8"?>
<comments xmlns="http://schemas.openxmlformats.org/spreadsheetml/2006/main">
  <authors>
    <author>USUARIO</author>
    <author>DMREYES</author>
  </authors>
  <commentList>
    <comment ref="C3" authorId="0">
      <text>
        <r>
          <rPr>
            <b/>
            <sz val="10"/>
            <color indexed="81"/>
            <rFont val="Tahoma"/>
            <family val="2"/>
          </rPr>
          <t>UE:</t>
        </r>
        <r>
          <rPr>
            <sz val="10"/>
            <color indexed="81"/>
            <rFont val="Tahoma"/>
            <family val="2"/>
          </rPr>
          <t xml:space="preserve">
Número de productos a fabricar anualmente. Se diligencia en el módulo de mercado-proyecciones de venta con incrementos anuales dependiendo de las tendencias del mercado y politicas de ventas de la empresa</t>
        </r>
        <r>
          <rPr>
            <sz val="8"/>
            <color indexed="81"/>
            <rFont val="Tahoma"/>
            <family val="2"/>
          </rPr>
          <t xml:space="preserve">
</t>
        </r>
      </text>
    </comment>
    <comment ref="K11" authorId="1">
      <text>
        <r>
          <rPr>
            <b/>
            <sz val="9"/>
            <color indexed="81"/>
            <rFont val="Tahoma"/>
            <family val="2"/>
          </rPr>
          <t>DMREYES:</t>
        </r>
        <r>
          <rPr>
            <sz val="9"/>
            <color indexed="81"/>
            <rFont val="Tahoma"/>
            <family val="2"/>
          </rPr>
          <t xml:space="preserve">
Este es el costo de una unidad de Materia prima, Mano de obra y CIF.</t>
        </r>
      </text>
    </comment>
    <comment ref="C12" authorId="1">
      <text>
        <r>
          <rPr>
            <b/>
            <sz val="9"/>
            <color indexed="81"/>
            <rFont val="Tahoma"/>
            <family val="2"/>
          </rPr>
          <t>DMREYES:</t>
        </r>
        <r>
          <rPr>
            <sz val="9"/>
            <color indexed="81"/>
            <rFont val="Tahoma"/>
            <family val="2"/>
          </rPr>
          <t xml:space="preserve">
En esta columna se deben incluir los rubros correspondientes a los Costos de Materia Prima, Costo de la Mano de obra , y costos indirectos de fabricación  variables asignables al producto, y/o servicio. Entiéndase Costo variable como aquel que varia en función directa con la cantidad de productos fabricados y/o vendidos.
Si los costos de la mano de obra son fijos, es decir,  si se tiene previsto que los operarios, vendedores o quienes presten el servicio serán contratados por medio de vinculación de planta a la empresa, se recomienda mejor incluirlos como costos fijos del periodo, dado que indiferentemente de que se produzca, se venda o no se venda igualmente tendrá que pagársele su compensación mensual, lo cual por definición los convierte en costo fijos.</t>
        </r>
      </text>
    </comment>
    <comment ref="J12" authorId="0">
      <text>
        <r>
          <rPr>
            <sz val="10"/>
            <color indexed="81"/>
            <rFont val="Tahoma"/>
            <family val="2"/>
          </rPr>
          <t>Cantidades utilizadas por unidad de producto. De la materia prima, Unidad de Mano de Obra y CIF</t>
        </r>
      </text>
    </comment>
    <comment ref="E13" authorId="1">
      <text>
        <r>
          <rPr>
            <b/>
            <sz val="9"/>
            <color indexed="81"/>
            <rFont val="Tahoma"/>
            <family val="2"/>
          </rPr>
          <t>DMREYES:</t>
        </r>
        <r>
          <rPr>
            <sz val="9"/>
            <color indexed="81"/>
            <rFont val="Tahoma"/>
            <family val="2"/>
          </rPr>
          <t xml:space="preserve">
Cantidades utilizadas de materia prima e insumos para la producción anual del primer periódo.</t>
        </r>
      </text>
    </comment>
    <comment ref="C223" authorId="0">
      <text>
        <r>
          <rPr>
            <b/>
            <sz val="10"/>
            <color indexed="81"/>
            <rFont val="Tahoma"/>
            <family val="2"/>
          </rPr>
          <t>UE:</t>
        </r>
        <r>
          <rPr>
            <sz val="10"/>
            <color indexed="81"/>
            <rFont val="Tahoma"/>
            <family val="2"/>
          </rPr>
          <t xml:space="preserve">
costos unitarios de materia prima e insumos. Informacion diligenciada en el formato financiero</t>
        </r>
      </text>
    </comment>
  </commentList>
</comments>
</file>

<file path=xl/comments5.xml><?xml version="1.0" encoding="utf-8"?>
<comments xmlns="http://schemas.openxmlformats.org/spreadsheetml/2006/main">
  <authors>
    <author>USUARIO</author>
    <author>DMREYES</author>
  </authors>
  <commentList>
    <comment ref="B2" authorId="0">
      <text>
        <r>
          <rPr>
            <b/>
            <sz val="10"/>
            <color indexed="81"/>
            <rFont val="Tahoma"/>
            <family val="2"/>
          </rPr>
          <t>UE:</t>
        </r>
        <r>
          <rPr>
            <sz val="10"/>
            <color indexed="81"/>
            <rFont val="Tahoma"/>
            <family val="2"/>
          </rPr>
          <t xml:space="preserve">
Precio de venta del producto o servicio con incrementos anuales mayores o iguales al indice de inflación</t>
        </r>
      </text>
    </comment>
    <comment ref="B16" authorId="1">
      <text>
        <r>
          <rPr>
            <b/>
            <sz val="9"/>
            <color indexed="81"/>
            <rFont val="Tahoma"/>
            <family val="2"/>
          </rPr>
          <t>DMREYES:</t>
        </r>
        <r>
          <rPr>
            <sz val="9"/>
            <color indexed="81"/>
            <rFont val="Tahoma"/>
            <family val="2"/>
          </rPr>
          <t xml:space="preserve">
El margen de Contribución Total es la cantidad de recursos disponibles para el cubrimiento de los GASTOS de administración y ventas, así como el cubrimientode los COSTOS FIJOS de la futura empresa. Es decir que si la suma de estos últimos supera su Margen de contribución total con toda seguridad su plan de negocio generará perdidas. Mantenga en mente este valor para que ajuste los gastos de vantas y/o administración en los que pueda estar incurriendo de manera injustificada o excesiva.</t>
        </r>
      </text>
    </comment>
    <comment ref="C22" authorId="1">
      <text>
        <r>
          <rPr>
            <b/>
            <sz val="9"/>
            <color indexed="81"/>
            <rFont val="Tahoma"/>
            <family val="2"/>
          </rPr>
          <t>DMREYES:</t>
        </r>
        <r>
          <rPr>
            <sz val="9"/>
            <color indexed="81"/>
            <rFont val="Tahoma"/>
            <family val="2"/>
          </rPr>
          <t xml:space="preserve">
Si el margen de contribución del producto es negativo, el sistema lo resaltará en rojo. En este caso deben volver a revisar sus costos del producción o de servicico, también puede recibir el precio de venta definido para el producto o servicio.</t>
        </r>
      </text>
    </comment>
    <comment ref="A42" authorId="1">
      <text>
        <r>
          <rPr>
            <b/>
            <sz val="9"/>
            <color indexed="81"/>
            <rFont val="Tahoma"/>
            <family val="2"/>
          </rPr>
          <t>DMREYES:</t>
        </r>
        <r>
          <rPr>
            <sz val="9"/>
            <color indexed="81"/>
            <rFont val="Tahoma"/>
            <family val="2"/>
          </rPr>
          <t xml:space="preserve">
Ingrese el valor de la inversión en activos no depreciables que realizará a lo largo del periodo de vida del plan de negocio.</t>
        </r>
      </text>
    </comment>
    <comment ref="A47" authorId="1">
      <text>
        <r>
          <rPr>
            <b/>
            <sz val="9"/>
            <color indexed="81"/>
            <rFont val="Tahoma"/>
            <family val="2"/>
          </rPr>
          <t>DMREYES:</t>
        </r>
        <r>
          <rPr>
            <sz val="9"/>
            <color indexed="81"/>
            <rFont val="Tahoma"/>
            <family val="2"/>
          </rPr>
          <t xml:space="preserve">
Incluya el valor de la inversión en edificios remodelaciones y/o adecuaciones de planta física.</t>
        </r>
      </text>
    </comment>
    <comment ref="A54" authorId="1">
      <text>
        <r>
          <rPr>
            <b/>
            <sz val="9"/>
            <color indexed="81"/>
            <rFont val="Tahoma"/>
            <family val="2"/>
          </rPr>
          <t>DMREYES:</t>
        </r>
        <r>
          <rPr>
            <sz val="9"/>
            <color indexed="81"/>
            <rFont val="Tahoma"/>
            <family val="2"/>
          </rPr>
          <t xml:space="preserve">
Incluya el valor de la inversión e máquinaria y equipo del área de porducción ode comercialización o del área de prestación de servicios.</t>
        </r>
      </text>
    </comment>
    <comment ref="A96" authorId="1">
      <text>
        <r>
          <rPr>
            <b/>
            <sz val="9"/>
            <color indexed="81"/>
            <rFont val="Tahoma"/>
            <family val="2"/>
          </rPr>
          <t>DMREYES:</t>
        </r>
        <r>
          <rPr>
            <sz val="9"/>
            <color indexed="81"/>
            <rFont val="Tahoma"/>
            <family val="2"/>
          </rPr>
          <t xml:space="preserve">
Ingrese el valor de los muebles y ensere del área administrativa, ventas, etc.</t>
        </r>
      </text>
    </comment>
    <comment ref="A211" authorId="1">
      <text>
        <r>
          <rPr>
            <b/>
            <sz val="9"/>
            <color indexed="81"/>
            <rFont val="Tahoma"/>
            <family val="2"/>
          </rPr>
          <t>DMREYES:</t>
        </r>
        <r>
          <rPr>
            <sz val="9"/>
            <color indexed="81"/>
            <rFont val="Tahoma"/>
            <family val="2"/>
          </rPr>
          <t xml:space="preserve">
Ingrese el valor total de los gastos que debe realizar por anticipado para poner en marcha su negocio, estos pueden ser: Matrícula mercantil, registros de Notaria, compra de formularios, permisos de funcionamiento, permisos especiales de su actividad económica.</t>
        </r>
      </text>
    </comment>
    <comment ref="A213" authorId="1">
      <text>
        <r>
          <rPr>
            <b/>
            <sz val="9"/>
            <color indexed="81"/>
            <rFont val="Tahoma"/>
            <family val="2"/>
          </rPr>
          <t xml:space="preserve">DMREYES: </t>
        </r>
        <r>
          <rPr>
            <sz val="9"/>
            <color indexed="81"/>
            <rFont val="Tahoma"/>
            <family val="2"/>
          </rPr>
          <t>Ingrese el valor de activos diferidos adquiridos para  poder poner en funcionamiento el negocio, estas puede ser: Franquicias, patantes, derechos de autor, derechos de uso de marcas, etc.</t>
        </r>
      </text>
    </comment>
  </commentList>
</comments>
</file>

<file path=xl/comments6.xml><?xml version="1.0" encoding="utf-8"?>
<comments xmlns="http://schemas.openxmlformats.org/spreadsheetml/2006/main">
  <authors>
    <author>DMREYES</author>
  </authors>
  <commentList>
    <comment ref="E93" authorId="0">
      <text>
        <r>
          <rPr>
            <b/>
            <sz val="9"/>
            <color indexed="81"/>
            <rFont val="Tahoma"/>
            <family val="2"/>
          </rPr>
          <t>DMREYES:</t>
        </r>
        <r>
          <rPr>
            <sz val="9"/>
            <color indexed="81"/>
            <rFont val="Tahoma"/>
            <family val="2"/>
          </rPr>
          <t xml:space="preserve">
En este cuadro debe incluir la información del personal de producción cuyo sueldo es fijo cada mes, es decir que indiferentemente de que se produzca o no se le debe pagar. En el caso de que todos los cargos por mano de obra sean 100% variables, este cuadro se debe dejar sin diligenciar, completamente vacio.</t>
        </r>
      </text>
    </comment>
    <comment ref="H133" authorId="0">
      <text>
        <r>
          <rPr>
            <b/>
            <sz val="9"/>
            <color indexed="81"/>
            <rFont val="Tahoma"/>
            <family val="2"/>
          </rPr>
          <t>DMREYES:</t>
        </r>
        <r>
          <rPr>
            <sz val="9"/>
            <color indexed="81"/>
            <rFont val="Tahoma"/>
            <family val="2"/>
          </rPr>
          <t xml:space="preserve">
Ingrese de forma manual los valores para cada una de las estrategias, de acuerdo con su plan de mercadeo.</t>
        </r>
      </text>
    </comment>
    <comment ref="A135" authorId="0">
      <text>
        <r>
          <rPr>
            <b/>
            <sz val="9"/>
            <color indexed="81"/>
            <rFont val="Tahoma"/>
            <family val="2"/>
          </rPr>
          <t>DMREYES:</t>
        </r>
        <r>
          <rPr>
            <sz val="9"/>
            <color indexed="81"/>
            <rFont val="Tahoma"/>
            <family val="2"/>
          </rPr>
          <t xml:space="preserve">
Si el arrendo no puede ser dividido, en las categorías de área admisnitrativa y de producción incluya todo el rubro en esta casilla.</t>
        </r>
      </text>
    </comment>
    <comment ref="A142" authorId="0">
      <text>
        <r>
          <rPr>
            <b/>
            <sz val="9"/>
            <color indexed="81"/>
            <rFont val="Tahoma"/>
            <family val="2"/>
          </rPr>
          <t>DMREYES:</t>
        </r>
        <r>
          <rPr>
            <sz val="9"/>
            <color indexed="81"/>
            <rFont val="Tahoma"/>
            <family val="2"/>
          </rPr>
          <t xml:space="preserve">
No relacionados con el área de producción, si es demasiado difícil diferenciar que cargo corresponde al área de producción, incluya todo el valor en este rubro.</t>
        </r>
      </text>
    </comment>
  </commentList>
</comments>
</file>

<file path=xl/comments7.xml><?xml version="1.0" encoding="utf-8"?>
<comments xmlns="http://schemas.openxmlformats.org/spreadsheetml/2006/main">
  <authors>
    <author>DMREYES</author>
  </authors>
  <commentList>
    <comment ref="C7" authorId="0">
      <text>
        <r>
          <rPr>
            <b/>
            <sz val="9"/>
            <color indexed="81"/>
            <rFont val="Tahoma"/>
            <family val="2"/>
          </rPr>
          <t>DMREYES:</t>
        </r>
        <r>
          <rPr>
            <sz val="9"/>
            <color indexed="81"/>
            <rFont val="Tahoma"/>
            <family val="2"/>
          </rPr>
          <t xml:space="preserve">
Viene del cuadro de Costos Vs Ingresos, e Inversión en Infraestructura, si tiene dudas sobre este valor vuelva a la hoja donde diligenció los datos de Infraestructura.</t>
        </r>
      </text>
    </comment>
    <comment ref="C8" authorId="0">
      <text>
        <r>
          <rPr>
            <b/>
            <sz val="9"/>
            <color indexed="81"/>
            <rFont val="Tahoma"/>
            <family val="2"/>
          </rPr>
          <t>DMREYES:</t>
        </r>
        <r>
          <rPr>
            <sz val="9"/>
            <color indexed="81"/>
            <rFont val="Tahoma"/>
            <family val="2"/>
          </rPr>
          <t xml:space="preserve">
Viene de la hoja de infraestructura</t>
        </r>
      </text>
    </comment>
    <comment ref="C11" authorId="0">
      <text>
        <r>
          <rPr>
            <b/>
            <sz val="9"/>
            <color indexed="81"/>
            <rFont val="Tahoma"/>
            <family val="2"/>
          </rPr>
          <t>DMREYES:</t>
        </r>
        <r>
          <rPr>
            <sz val="9"/>
            <color indexed="81"/>
            <rFont val="Tahoma"/>
            <family val="2"/>
          </rPr>
          <t xml:space="preserve">
Este valor debe ser el resultado de la política de Capital de Trabajo, es decir, deben calcular cuanto meses de efectivo  requieren para cubrir sus necesidades de compra de materia prima, mano de obra y CIF, hasta que se recuperen las primeras ventas. Luego el negocio debe ser autosuficiente por si mismo.</t>
        </r>
      </text>
    </comment>
    <comment ref="D20" authorId="0">
      <text>
        <r>
          <rPr>
            <b/>
            <sz val="9"/>
            <color indexed="81"/>
            <rFont val="Tahoma"/>
            <family val="2"/>
          </rPr>
          <t>DMREYES:</t>
        </r>
        <r>
          <rPr>
            <sz val="9"/>
            <color indexed="81"/>
            <rFont val="Tahoma"/>
            <family val="2"/>
          </rPr>
          <t xml:space="preserve">
En esta casilla debe incluir el monto que será aportado por parte de los socios para la puesta en marcha del Plan de Negocio.</t>
        </r>
      </text>
    </comment>
    <comment ref="C24" authorId="0">
      <text>
        <r>
          <rPr>
            <b/>
            <sz val="9"/>
            <color indexed="81"/>
            <rFont val="Tahoma"/>
            <family val="2"/>
          </rPr>
          <t>DMREYES:</t>
        </r>
        <r>
          <rPr>
            <sz val="9"/>
            <color indexed="81"/>
            <rFont val="Tahoma"/>
            <family val="2"/>
          </rPr>
          <t xml:space="preserve">
Ingrese la tasa efectiva mensual que se cobrará por el crédito</t>
        </r>
      </text>
    </comment>
  </commentList>
</comments>
</file>

<file path=xl/comments8.xml><?xml version="1.0" encoding="utf-8"?>
<comments xmlns="http://schemas.openxmlformats.org/spreadsheetml/2006/main">
  <authors>
    <author>DMREYES</author>
  </authors>
  <commentList>
    <comment ref="E3" authorId="0">
      <text>
        <r>
          <rPr>
            <b/>
            <sz val="9"/>
            <color indexed="81"/>
            <rFont val="Tahoma"/>
            <family val="2"/>
          </rPr>
          <t>DMREYES:</t>
        </r>
        <r>
          <rPr>
            <sz val="9"/>
            <color indexed="81"/>
            <rFont val="Tahoma"/>
            <family val="2"/>
          </rPr>
          <t xml:space="preserve">
En este cuadro no se debe diligenciar ningún dato, es solo para control de la coherencia de las cifras digitadas en los cuadros anteriores.</t>
        </r>
      </text>
    </comment>
    <comment ref="E6" authorId="0">
      <text>
        <r>
          <rPr>
            <b/>
            <sz val="9"/>
            <color indexed="81"/>
            <rFont val="Tahoma"/>
            <family val="2"/>
          </rPr>
          <t>DMREYES:
Este total viene del cálculo de los salarios del personal del área de producción cuyo sueldo no está en función de las unidades producidas, es decir que cuya remuneración tiene un valor fijo mensual.</t>
        </r>
      </text>
    </comment>
  </commentList>
</comments>
</file>

<file path=xl/comments9.xml><?xml version="1.0" encoding="utf-8"?>
<comments xmlns="http://schemas.openxmlformats.org/spreadsheetml/2006/main">
  <authors>
    <author>DMREYES</author>
  </authors>
  <commentList>
    <comment ref="D29" authorId="0">
      <text>
        <r>
          <rPr>
            <b/>
            <sz val="9"/>
            <color indexed="81"/>
            <rFont val="Tahoma"/>
            <family val="2"/>
          </rPr>
          <t xml:space="preserve">DMREYES: </t>
        </r>
        <r>
          <rPr>
            <sz val="9"/>
            <color indexed="81"/>
            <rFont val="Tahoma"/>
            <family val="2"/>
          </rPr>
          <t>Total de Unidades a vender en, necesarias para que el plan de negocio no genere perdidas.</t>
        </r>
      </text>
    </comment>
    <comment ref="C35" authorId="0">
      <text>
        <r>
          <rPr>
            <b/>
            <sz val="9"/>
            <color indexed="81"/>
            <rFont val="Tahoma"/>
            <family val="2"/>
          </rPr>
          <t>DMREYES:</t>
        </r>
        <r>
          <rPr>
            <sz val="9"/>
            <color indexed="81"/>
            <rFont val="Tahoma"/>
            <family val="2"/>
          </rPr>
          <t xml:space="preserve">
Unidade a vender en el punto de equilibrio del producto/servicio 1</t>
        </r>
      </text>
    </comment>
    <comment ref="C36" authorId="0">
      <text>
        <r>
          <rPr>
            <b/>
            <sz val="9"/>
            <color indexed="81"/>
            <rFont val="Tahoma"/>
            <family val="2"/>
          </rPr>
          <t>DMREYES:</t>
        </r>
        <r>
          <rPr>
            <sz val="9"/>
            <color indexed="81"/>
            <rFont val="Tahoma"/>
            <family val="2"/>
          </rPr>
          <t xml:space="preserve">
Unidade a vender en el punto de equilibrio del producto/servicio 2</t>
        </r>
      </text>
    </comment>
    <comment ref="C37" authorId="0">
      <text>
        <r>
          <rPr>
            <b/>
            <sz val="9"/>
            <color indexed="81"/>
            <rFont val="Tahoma"/>
            <family val="2"/>
          </rPr>
          <t>DMREYES:</t>
        </r>
        <r>
          <rPr>
            <sz val="9"/>
            <color indexed="81"/>
            <rFont val="Tahoma"/>
            <family val="2"/>
          </rPr>
          <t xml:space="preserve">
Unidade a vender en el punto de equilibrio del producto/servicio 3</t>
        </r>
      </text>
    </comment>
    <comment ref="C38" authorId="0">
      <text>
        <r>
          <rPr>
            <b/>
            <sz val="9"/>
            <color indexed="81"/>
            <rFont val="Tahoma"/>
            <family val="2"/>
          </rPr>
          <t>DMREYES:</t>
        </r>
        <r>
          <rPr>
            <sz val="9"/>
            <color indexed="81"/>
            <rFont val="Tahoma"/>
            <family val="2"/>
          </rPr>
          <t xml:space="preserve">
Unidade a vender en el punto de equilibrio del producto/servicio 4</t>
        </r>
      </text>
    </comment>
    <comment ref="C39" authorId="0">
      <text>
        <r>
          <rPr>
            <b/>
            <sz val="9"/>
            <color indexed="81"/>
            <rFont val="Tahoma"/>
            <family val="2"/>
          </rPr>
          <t>DMREYES:</t>
        </r>
        <r>
          <rPr>
            <sz val="9"/>
            <color indexed="81"/>
            <rFont val="Tahoma"/>
            <family val="2"/>
          </rPr>
          <t xml:space="preserve">
Unidade a vender en el punto de equilibrio del producto/servicio 5</t>
        </r>
      </text>
    </comment>
  </commentList>
</comments>
</file>

<file path=xl/sharedStrings.xml><?xml version="1.0" encoding="utf-8"?>
<sst xmlns="http://schemas.openxmlformats.org/spreadsheetml/2006/main" count="898" uniqueCount="472">
  <si>
    <t xml:space="preserve">cantidades </t>
  </si>
  <si>
    <t xml:space="preserve">CANTIDADES VENDIDAS </t>
  </si>
  <si>
    <t>PRODUCTO</t>
  </si>
  <si>
    <t>MATERIA PRIMA E INSUMOS</t>
  </si>
  <si>
    <t>COSTOS TOTALES ANUALES</t>
  </si>
  <si>
    <t>CANTIDADES A UTILIZAR POR AÑO</t>
  </si>
  <si>
    <t>COSTO UNITARIO MP E INSUMOS AÑO1</t>
  </si>
  <si>
    <t>COSTO UNITARIO MP E INSUMOS AÑO2</t>
  </si>
  <si>
    <t>COSTO UNITARIO MP E INSUMOS AÑO3</t>
  </si>
  <si>
    <t>COSTO UNITARIO MP E INSUMOS AÑO4</t>
  </si>
  <si>
    <t>COSTO UNITARIO MP E INSUMOS AÑO5</t>
  </si>
  <si>
    <t>MANO DE OBRA DIRECTA</t>
  </si>
  <si>
    <t>MANO DE OBRA</t>
  </si>
  <si>
    <t>Subtotal</t>
  </si>
  <si>
    <t>Mano de obra</t>
  </si>
  <si>
    <t>UNIDAD DE MEDIDA</t>
  </si>
  <si>
    <t>Materia Prima e Insumos</t>
  </si>
  <si>
    <t>Año 1</t>
  </si>
  <si>
    <t>Año 2</t>
  </si>
  <si>
    <t>Año 3</t>
  </si>
  <si>
    <t>Año 4</t>
  </si>
  <si>
    <t>Año 5</t>
  </si>
  <si>
    <t>TOTAL MATERIA PRIMA E INSUMOS</t>
  </si>
  <si>
    <t>TOTAL MANO DE OBRA</t>
  </si>
  <si>
    <t>TOTAL COSTO DE PRODUCCION</t>
  </si>
  <si>
    <t>TOTAL</t>
  </si>
  <si>
    <t>PUNTO DE EQUILIBRIO</t>
  </si>
  <si>
    <t>CANTIDAD A VENDER POR PRODUCTO PARA PUNTO DE EQUILIBRIO</t>
  </si>
  <si>
    <t>DATOS GRAFICO</t>
  </si>
  <si>
    <t>UNIDADES VENDIDAS</t>
  </si>
  <si>
    <t>INGRESOS TOTALES</t>
  </si>
  <si>
    <t>CF TOTAL</t>
  </si>
  <si>
    <t>CV TOTAL</t>
  </si>
  <si>
    <t>COSTO TOTAL</t>
  </si>
  <si>
    <t>utilidad</t>
  </si>
  <si>
    <t xml:space="preserve">PLAN  DE NEGOCIO: </t>
  </si>
  <si>
    <t>COSTOS UNITARIOS VARIABLES</t>
  </si>
  <si>
    <t>VALOR MENSUAL</t>
  </si>
  <si>
    <t>VARIABLES MACROECONÓMICAS</t>
  </si>
  <si>
    <t>IPP</t>
  </si>
  <si>
    <t>DTF T.A.</t>
  </si>
  <si>
    <t>IMPUESTO DE INDUSTRIA Y COMERCIO</t>
  </si>
  <si>
    <t>POR MIL</t>
  </si>
  <si>
    <t>PRESTACIONES SOCIALES</t>
  </si>
  <si>
    <t>Cesantías</t>
  </si>
  <si>
    <t>IMPUESTO DE RENTA Y COMPLEMENTARIOS</t>
  </si>
  <si>
    <t>Prima de servicios</t>
  </si>
  <si>
    <t>Vacaciones</t>
  </si>
  <si>
    <t>Intereses sobre cesantías</t>
  </si>
  <si>
    <t xml:space="preserve">SUBTOTAL PRESTACIONES </t>
  </si>
  <si>
    <t>DEUDA</t>
  </si>
  <si>
    <t>APORTES PARAFISCALES</t>
  </si>
  <si>
    <t>Período de gracia de la deuda</t>
  </si>
  <si>
    <t>SENA</t>
  </si>
  <si>
    <t>Plazo totala de la deuda en años</t>
  </si>
  <si>
    <t>Puntos por encima del DTF</t>
  </si>
  <si>
    <t>ICBF</t>
  </si>
  <si>
    <t>SUBTOTAL PARAFISCALES</t>
  </si>
  <si>
    <t>Construcciones y edificaciones</t>
  </si>
  <si>
    <t>Depreciación</t>
  </si>
  <si>
    <t>Pensión</t>
  </si>
  <si>
    <t>Maquinaria y equipo de operación</t>
  </si>
  <si>
    <t>Salud</t>
  </si>
  <si>
    <t>Muebles y enseres</t>
  </si>
  <si>
    <t>Riesgo profesional</t>
  </si>
  <si>
    <t>Equipo de transporte</t>
  </si>
  <si>
    <t>SUBTOTAL SEGURIDAD</t>
  </si>
  <si>
    <t xml:space="preserve">Equipo de oficina </t>
  </si>
  <si>
    <t>Semovientes</t>
  </si>
  <si>
    <t>Agotamiento</t>
  </si>
  <si>
    <t>Amortización</t>
  </si>
  <si>
    <t>VARIABLES BÁSICAS PARA LOS CÁLCULOS DE LA SIMULACIÓN FINANCIERA</t>
  </si>
  <si>
    <t>Indice de Inflación</t>
  </si>
  <si>
    <t>Indice de Devaluación</t>
  </si>
  <si>
    <t>CAJA DE COMPENSACIÓN</t>
  </si>
  <si>
    <t>SEGURIDAD SOCIAL</t>
  </si>
  <si>
    <t>TOTAL CARGA PRESTACIONAL</t>
  </si>
  <si>
    <t>TASA DE RENDIMIENTO ESPERADA POR LOS EMPRENDEDORES</t>
  </si>
  <si>
    <t>VIDA ÚTIL DE ACTIVOS DEPRECIABLES Y/O AMORTIZABLES</t>
  </si>
  <si>
    <t>Cultivos</t>
  </si>
  <si>
    <t>Activos diferidos</t>
  </si>
  <si>
    <t xml:space="preserve">Antes de iniciar el proceso de simulación financiera debes agregar manualmente las variables macroeconómicas que ayudarán a generar los presupuestos de costos y de gastos de tu plan de negocio. De igual forma si dentro de tu plan de negocio piensas contratar por lo menos una persona con contrato de nómina (de planta) debes ajustar los porcentajes de la carga prestacional de acuerdo con los vigentes en el año que estes realizando la simulación. </t>
  </si>
  <si>
    <t xml:space="preserve">CARGA PRESTACIONAL MENSUAL </t>
  </si>
  <si>
    <t>PRODUCTO 1:</t>
  </si>
  <si>
    <t>IVA:</t>
  </si>
  <si>
    <t>PERIODOS</t>
  </si>
  <si>
    <t>TOTAL UNIDADES PRODUCIDAS</t>
  </si>
  <si>
    <t>Precio de venta</t>
  </si>
  <si>
    <t>PRODUCTO 2:</t>
  </si>
  <si>
    <t>PRODUCTO 3:</t>
  </si>
  <si>
    <t>PRODUCTO 4:</t>
  </si>
  <si>
    <t>PRODUCTO 5:</t>
  </si>
  <si>
    <t>PRESUPUESTO DE VENTAS</t>
  </si>
  <si>
    <t>PRODUCTOS</t>
  </si>
  <si>
    <t>CANTIDAD</t>
  </si>
  <si>
    <t>PRECIO UNITARIO</t>
  </si>
  <si>
    <t>VENTA ANUAL</t>
  </si>
  <si>
    <t>Semestre 1</t>
  </si>
  <si>
    <t>semestre 2</t>
  </si>
  <si>
    <t>TOTAL VENTAS ANUALES</t>
  </si>
  <si>
    <t>TOTAL VENTAS MAS IVA</t>
  </si>
  <si>
    <t>AÑOS</t>
  </si>
  <si>
    <t>VENTAS ANUALES
(1)</t>
  </si>
  <si>
    <t>VENTAS MENSUALES
(2)</t>
  </si>
  <si>
    <t>FACTOR A
Liquidación 
6 x1000
(3)</t>
  </si>
  <si>
    <t>IMPUESTO DE INDUSTRIA Y COMERCIO
(4)</t>
  </si>
  <si>
    <t>FACTOR B
Liquidación 15%
(5)</t>
  </si>
  <si>
    <t>LIQUIDACIÓN DE AVISOS Y TABLEROS
(6)</t>
  </si>
  <si>
    <t>CONTRIBUCIÓN ESPECIAL
(F.A + F.B)x48%
(7)</t>
  </si>
  <si>
    <t>(4)+(6)+(7)
TOTAL A PAGAR
(8)</t>
  </si>
  <si>
    <t>LIQUIDACIÓN ANUAL DE BOMBEROS
(9)
(TOTAL A PAGAR/12) X 60%</t>
  </si>
  <si>
    <t>Factor</t>
  </si>
  <si>
    <t>Liquidación de industria y comercio</t>
  </si>
  <si>
    <t>DIGITE EL NOMBRE DE CADA UNO DE SUS PRODUCTOS Y/O SERVICIOS:</t>
  </si>
  <si>
    <t>Nombre del producto 4</t>
  </si>
  <si>
    <t>Nombre del producto 5</t>
  </si>
  <si>
    <t>Ajuste de precios por medio de la Inflación</t>
  </si>
  <si>
    <t>TOTAL UNIDADES VENDIDAS DE TODOS LOS PDTOS/SERVICIOS</t>
  </si>
  <si>
    <t>PROYECCIÓN DE VENTAS DEL PLAN DE NEGOCIO:</t>
  </si>
  <si>
    <t>Nombre del plan de negocio:</t>
  </si>
  <si>
    <t>Emprendedor, antes de iniciar el diligenciamiento del simulador te invitamos a leer las recomendaciones e instrucciones generales que se presentan a continuación. Seguir estas recomendaciones le permitirá sacar mayor provecho de esta herramienta y sus resultados:</t>
  </si>
  <si>
    <t>Cantidades a vender en el semestre 1</t>
  </si>
  <si>
    <t>Cantidades a vender en el semestre 2</t>
  </si>
  <si>
    <t>VENTAS TOTALES DEL PRODUCTO 1</t>
  </si>
  <si>
    <t>TOTAL IMPUESTO DE IVA:</t>
  </si>
  <si>
    <t>No aplica</t>
  </si>
  <si>
    <t>Porcentaje de crecimiento en ventas</t>
  </si>
  <si>
    <t>cambio porcentual en unidades vendidas</t>
  </si>
  <si>
    <t>COSTOS VARIABLE DEL PRODUCTO Y/O SERVICIO</t>
  </si>
  <si>
    <t>PRECIOS DE VENTA UNITARIOS Vs COSTOS DE PORDUCCIÓN UNITARIO POR LÍNEA DE PRODUCCIÓN</t>
  </si>
  <si>
    <t>PRECIO DE VENTA UNITARIO</t>
  </si>
  <si>
    <t>MARGEN DE CONTRIBUCIÓN UNITARIO</t>
  </si>
  <si>
    <t>COSTOS INDIRECTOS (cif)</t>
  </si>
  <si>
    <t>Costos Indirectos de Fabricación</t>
  </si>
  <si>
    <t>Nombre del producto 3</t>
  </si>
  <si>
    <t>TOTAL COSTOS INDIRECTOS</t>
  </si>
  <si>
    <t>Consumo por unidad de producto</t>
  </si>
  <si>
    <t>TOTAL COSTOS ANUALES</t>
  </si>
  <si>
    <t>MARGEN DE CONTRIB TOTAL</t>
  </si>
  <si>
    <t>INGRESOS POR LÍNEA DE PRODUCTO/SERVICIO E INGRESOS VS COSTOS TOTALES CONSOLIDADO</t>
  </si>
  <si>
    <t>(-) COSTO DE PRODUCCIÓN UNITARIO</t>
  </si>
  <si>
    <t>En este Módulo solo se pueden modificar las celdas de color azul!!!!!</t>
  </si>
  <si>
    <t>PERIODO</t>
  </si>
  <si>
    <t>(-) Total nómina del administrativa</t>
  </si>
  <si>
    <t>(-) Total nómina del área de ventas</t>
  </si>
  <si>
    <t>(-) Presupuesto de la Mezcla de mercadeo</t>
  </si>
  <si>
    <t>(-) Costos Fijos</t>
  </si>
  <si>
    <t>CARGOS VINCULADOS POR MEDIO DE CONTRATO DE NÓMINA (PLANTA)</t>
  </si>
  <si>
    <t>ITEM</t>
  </si>
  <si>
    <t>Cargo</t>
  </si>
  <si>
    <t>Básico</t>
  </si>
  <si>
    <t>SUB TRANSP.</t>
  </si>
  <si>
    <t>TOTAL DEVENG.</t>
  </si>
  <si>
    <t>Interes sobre cesantías</t>
  </si>
  <si>
    <t>Aportes parafiscales</t>
  </si>
  <si>
    <t>Mensual</t>
  </si>
  <si>
    <t>Anual</t>
  </si>
  <si>
    <t>CARGOS VINCULADOS POR MEDIO DE CONTRATO DE PRESTACIÓN DE SERVICIOS, HONORARIOS.</t>
  </si>
  <si>
    <t>ANUAL</t>
  </si>
  <si>
    <t>CARGO 1</t>
  </si>
  <si>
    <t>CARGO 2</t>
  </si>
  <si>
    <t>CARGO 3</t>
  </si>
  <si>
    <t>CARGO 4</t>
  </si>
  <si>
    <t>CARGO 5</t>
  </si>
  <si>
    <t>CARGO 6</t>
  </si>
  <si>
    <t>vendedor 1</t>
  </si>
  <si>
    <t>vendedor 2</t>
  </si>
  <si>
    <t>vendedor 3</t>
  </si>
  <si>
    <t>vendedor 4</t>
  </si>
  <si>
    <t>vendedor 5</t>
  </si>
  <si>
    <t>vendedor 6</t>
  </si>
  <si>
    <t>vendedor 7</t>
  </si>
  <si>
    <t>vendedor 8</t>
  </si>
  <si>
    <t>vendedor 9</t>
  </si>
  <si>
    <t>(-) Total nómina del área de Producción</t>
  </si>
  <si>
    <t>Información:</t>
  </si>
  <si>
    <t>ARRENDO DEL ÁREA DE PRODUCCIÓN</t>
  </si>
  <si>
    <t>ARRENDO DEL ÁREA ADMINISTRATIVA</t>
  </si>
  <si>
    <t>COSTO O GASTO</t>
  </si>
  <si>
    <t>VALOR ANUAL</t>
  </si>
  <si>
    <t xml:space="preserve">SEGUROS </t>
  </si>
  <si>
    <t>CARGO DE VIGILANCIA</t>
  </si>
  <si>
    <t>CARGO DE SERVICIOS DE TRANSPORTE</t>
  </si>
  <si>
    <t>SERVICIOS DE TELECOMUNICACIÓN</t>
  </si>
  <si>
    <t>PAPELERÍA</t>
  </si>
  <si>
    <t>SERVICIOS PÚBLICOS</t>
  </si>
  <si>
    <t>SERVICISO DE ALARMA Y SEG PRIVADA</t>
  </si>
  <si>
    <t>SERVICIOS DE ASEO TERCERIZADOS</t>
  </si>
  <si>
    <t>OTROS</t>
  </si>
  <si>
    <t>TOTAL COSTOS Y GASTOS FIJOS</t>
  </si>
  <si>
    <t>UAII</t>
  </si>
  <si>
    <t>COSTOS TOTALES</t>
  </si>
  <si>
    <t>NOMBRE DEL PRODUCTO</t>
  </si>
  <si>
    <t xml:space="preserve">PRECIO DE VENTA </t>
  </si>
  <si>
    <t>COSTO DE PRODUCCIÓN</t>
  </si>
  <si>
    <t>PARTICIPACIÓN PORCENTUAL EN LAS VENTAS</t>
  </si>
  <si>
    <t>TOTAL VENTAS</t>
  </si>
  <si>
    <t>MARGEN DE CONTRIBUCIÓN PROMEDIO PONDERADO</t>
  </si>
  <si>
    <t>MARGEN DE CONT UNITARIO</t>
  </si>
  <si>
    <t>PARTICIPACIÓN  % EN VENTAS</t>
  </si>
  <si>
    <t xml:space="preserve">Margen ponderado </t>
  </si>
  <si>
    <t>TOTAL MARGEN DE CONTRIBUCIÓN PROMEDIO</t>
  </si>
  <si>
    <t>PUNTO DE EQUILBRIO EN UNIDADES</t>
  </si>
  <si>
    <t xml:space="preserve">TOTAL UNIDADES </t>
  </si>
  <si>
    <t>UNIDADES CALCULADAS PARA EL GRÁFICO.</t>
  </si>
  <si>
    <t xml:space="preserve">De acuerdo con su plan de mercadeo, derivado de la investigación de mercados, defina el valor de la inversión en cada una de las estrategias de mercadeo: </t>
  </si>
  <si>
    <t>Estrategia de Producto/servicio</t>
  </si>
  <si>
    <t>Estrategia de Servicio</t>
  </si>
  <si>
    <t>Estrategia de Distribución</t>
  </si>
  <si>
    <t>Estrategia de Comunicación</t>
  </si>
  <si>
    <t>Total de la inversión</t>
  </si>
  <si>
    <t>ESTRATEGIA</t>
  </si>
  <si>
    <t>En el cuadro que se presenta a continuación debes diligenciar la información relacionada con la inversión necesaria en infraestructura, activos no tangibles, agotables, etc., que serán necesarios para poner en funcionamiento el plan de negocio.</t>
  </si>
  <si>
    <t>INVERSIÓN EN INFRAESTRUCTURA</t>
  </si>
  <si>
    <t>Inversión</t>
  </si>
  <si>
    <t>Vida útil</t>
  </si>
  <si>
    <t>CONSTRUCCIONES Y EDIFICACIONES</t>
  </si>
  <si>
    <t>Cantidad</t>
  </si>
  <si>
    <t>Valor unitario</t>
  </si>
  <si>
    <t>Valor total</t>
  </si>
  <si>
    <t>SUBTOTAL CONSTRUCCIONES Y EDIFICACIONES</t>
  </si>
  <si>
    <t>MAQUINARIA Y EQUIPO</t>
  </si>
  <si>
    <t>SUBTOTAL MAQUINARIA Y EQUIPO</t>
  </si>
  <si>
    <t>MUEBLES Y ENSERES</t>
  </si>
  <si>
    <t>SUBTOTAL MUEBLES Y ENSERES</t>
  </si>
  <si>
    <t>EQUIPO DE TRANSPORTE</t>
  </si>
  <si>
    <t>SUBTOTAL EQUIPO DE TRANSPORTE</t>
  </si>
  <si>
    <t>EQUIPO DE OFICINA</t>
  </si>
  <si>
    <t>SUBTOTAL EQUIPO DE OFICINA</t>
  </si>
  <si>
    <t>TOTAL INVERSIÓN EN ACTIVOS DEPRECIABLES</t>
  </si>
  <si>
    <t>AGOTAMIENTO Y AMORTIZACIÓN</t>
  </si>
  <si>
    <t>AÑO 0</t>
  </si>
  <si>
    <t>AÑO 1</t>
  </si>
  <si>
    <t>AÑO 2</t>
  </si>
  <si>
    <t>AÑO 3</t>
  </si>
  <si>
    <t>AÑO 4</t>
  </si>
  <si>
    <t>AÑO 5</t>
  </si>
  <si>
    <t>SEMOVIENTES</t>
  </si>
  <si>
    <t>SUBTOTAL SEMOVIENTES</t>
  </si>
  <si>
    <t>CULTIVOS PERMANENTES</t>
  </si>
  <si>
    <t>SUBTOTAL CULTIVOS PERMANENTES</t>
  </si>
  <si>
    <t>TOTAL AMORTIZACIÓN</t>
  </si>
  <si>
    <t>DEPRECIACIÓN DE MUEBLES Y ENSERES MÉTODO LÍNEA RECTA</t>
  </si>
  <si>
    <t>EQUIPO</t>
  </si>
  <si>
    <t>VIDA ÚTIL</t>
  </si>
  <si>
    <t>VALOR EN LIBROS</t>
  </si>
  <si>
    <t>Edificaciones</t>
  </si>
  <si>
    <t>Depreciación acumulada</t>
  </si>
  <si>
    <t>Maquinaria y equipo</t>
  </si>
  <si>
    <t>Equipo de oficina</t>
  </si>
  <si>
    <t>SUBTOTAL DEPRECIACIÓN</t>
  </si>
  <si>
    <t>Cultivos permanentes</t>
  </si>
  <si>
    <t>Agotamiento acumulado</t>
  </si>
  <si>
    <t>Gastos puesta en marcha</t>
  </si>
  <si>
    <t>Amortización acumulada</t>
  </si>
  <si>
    <t>COMPRA DE ACTIVOS AÑO 0</t>
  </si>
  <si>
    <t>COMPRA DE ACTIVOSA AÑO 1</t>
  </si>
  <si>
    <t>AÑO CERO (Momento de la Inversión inicial)</t>
  </si>
  <si>
    <t>AÑO O</t>
  </si>
  <si>
    <t xml:space="preserve">DATO PARA EL BALANCE </t>
  </si>
  <si>
    <t>DEPRECIACIÓN ACUMULADA</t>
  </si>
  <si>
    <t>DEPRECIACIÓN DEL PERIÓDO</t>
  </si>
  <si>
    <t>Revisa si con el actual MARGEN DE CONTRIBUCIÓN TOTAL se cubren los gastos de administración ventas y los costos y gastos fijos:</t>
  </si>
  <si>
    <t xml:space="preserve">MONTO DE LA INVERSIÓN EN ACTIVOS </t>
  </si>
  <si>
    <t>GASTOS DE PUESTA EN MARCHA</t>
  </si>
  <si>
    <t>MESES REQUERIDOS</t>
  </si>
  <si>
    <t>Valor anual</t>
  </si>
  <si>
    <t>CAPITAL REQUERIDO</t>
  </si>
  <si>
    <t>MATERIA PRIMA</t>
  </si>
  <si>
    <t>COSTOS INDIRECTOS DE FABRICACIÓN</t>
  </si>
  <si>
    <t>TOTAL REQUERIMIENTO DE CAPITAL PARA EL PLAN DE NEGOCIO</t>
  </si>
  <si>
    <t>MONTO APORTADO POR LOS EMPRENDEDORES</t>
  </si>
  <si>
    <t>TOTAL MONTO DEL CRÉDITO A SOLICITAR</t>
  </si>
  <si>
    <t>CUOTA A PAGAR</t>
  </si>
  <si>
    <t>ABONO A CAPITAL</t>
  </si>
  <si>
    <t>INTERESES</t>
  </si>
  <si>
    <t>SALDO DE LA DEUDA</t>
  </si>
  <si>
    <t>Tasa de interés</t>
  </si>
  <si>
    <t>(-) Servicio de la Deuda</t>
  </si>
  <si>
    <t>(-) Depreciaciones</t>
  </si>
  <si>
    <t>(-) Amortizaciones</t>
  </si>
  <si>
    <t xml:space="preserve"> En este módulo solo se deben modificar las casillas en color amarillo</t>
  </si>
  <si>
    <t>BALANCE GENERAL</t>
  </si>
  <si>
    <t>Efectivo</t>
  </si>
  <si>
    <t>Gastos Anticipados</t>
  </si>
  <si>
    <t>Amortización Acumulada</t>
  </si>
  <si>
    <t>Terrenos</t>
  </si>
  <si>
    <t>Construcciones y Edificios</t>
  </si>
  <si>
    <t>Depreciación Acumulada Planta</t>
  </si>
  <si>
    <t>Construcciones y Edificios Neto</t>
  </si>
  <si>
    <t>Maquinaria y Equipo de Operación</t>
  </si>
  <si>
    <t xml:space="preserve"> Depreciación Acumulada</t>
  </si>
  <si>
    <t>Maquinaria y Equipo de Operación Neto</t>
  </si>
  <si>
    <t>Muebles y Enseres</t>
  </si>
  <si>
    <t>Muebles y Enseres Neto</t>
  </si>
  <si>
    <t>Equipo de Transporte</t>
  </si>
  <si>
    <t>Equipo de Transporte Neto</t>
  </si>
  <si>
    <t>Equipo de Oficina</t>
  </si>
  <si>
    <t>Equipo de Oficina Neto</t>
  </si>
  <si>
    <t>Semovientes pie de cria</t>
  </si>
  <si>
    <t xml:space="preserve"> Agotamiento Acumulada</t>
  </si>
  <si>
    <t>Cultivos Permanentes</t>
  </si>
  <si>
    <t>Total Activos Fijos:</t>
  </si>
  <si>
    <t>ACTIVO</t>
  </si>
  <si>
    <t>Cuentas X Pagar Proveedores</t>
  </si>
  <si>
    <t>Impuestos X Pagar</t>
  </si>
  <si>
    <t>Obligaciones Financieras</t>
  </si>
  <si>
    <t>PASIVO</t>
  </si>
  <si>
    <t>Capital Social</t>
  </si>
  <si>
    <t>Reserva Legal Acumulada</t>
  </si>
  <si>
    <t>Utilidades Retenidas</t>
  </si>
  <si>
    <t>Utilidades del Ejercicio</t>
  </si>
  <si>
    <t>Revalorizacion patrimonio</t>
  </si>
  <si>
    <t>TOTAL PATRIMONIO</t>
  </si>
  <si>
    <t>TOTAL PAS + PAT</t>
  </si>
  <si>
    <t>CUADRE</t>
  </si>
  <si>
    <t>TERRENOS</t>
  </si>
  <si>
    <t>ACTIVO NO DEPRECIABLE</t>
  </si>
  <si>
    <t>Año 0</t>
  </si>
  <si>
    <t>ESTADO DE RESULTADOS</t>
  </si>
  <si>
    <t>Ventas</t>
  </si>
  <si>
    <t>Devoluciones y rebajas en ventas</t>
  </si>
  <si>
    <t>Materia Prima, Mano de Obra</t>
  </si>
  <si>
    <t>Otros Costos</t>
  </si>
  <si>
    <t>Utilidad Bruta</t>
  </si>
  <si>
    <t>Gasto de Ventas</t>
  </si>
  <si>
    <t>Gastos de Administracion</t>
  </si>
  <si>
    <t>Industria y comercio</t>
  </si>
  <si>
    <t>Provisiones</t>
  </si>
  <si>
    <t>Amortización Gastos</t>
  </si>
  <si>
    <t>Utilidad Operativa</t>
  </si>
  <si>
    <t>Otros ingresos</t>
  </si>
  <si>
    <t xml:space="preserve"> Intereses</t>
  </si>
  <si>
    <t>Otros ingresos y egresos</t>
  </si>
  <si>
    <t xml:space="preserve"> Revalorización de Patrimonio</t>
  </si>
  <si>
    <t xml:space="preserve"> Ajuste Activos no Monetarios</t>
  </si>
  <si>
    <t xml:space="preserve"> Ajuste Depreciación Acumulada</t>
  </si>
  <si>
    <t>Ajuste Amortización Acumulada</t>
  </si>
  <si>
    <t>Ajuste Agotamiento Acumulada</t>
  </si>
  <si>
    <t>Total Corrección Monetaria</t>
  </si>
  <si>
    <t>Utilidad antes de impuestos</t>
  </si>
  <si>
    <t>Utilidad Neta Final</t>
  </si>
  <si>
    <t>Servicio de la deuda</t>
  </si>
  <si>
    <t>Gastos de Proucción</t>
  </si>
  <si>
    <t>AMORTIZACIÓN ACUMULADA</t>
  </si>
  <si>
    <t>AMORTIZACIÓN DEL PERIÓDO</t>
  </si>
  <si>
    <t>TOTAL DEPRECIACIÓN</t>
  </si>
  <si>
    <t>AGOTAMIENTO</t>
  </si>
  <si>
    <t>IMPUESTOS</t>
  </si>
  <si>
    <t>RESERVA LEGAL</t>
  </si>
  <si>
    <t>Reserva legal</t>
  </si>
  <si>
    <t>Reserva voluntaria</t>
  </si>
  <si>
    <t>RESERVA VOLUNTARIA</t>
  </si>
  <si>
    <t>PATRIMONIO</t>
  </si>
  <si>
    <t>ACTIVO CORRIENTE</t>
  </si>
  <si>
    <t>ACTIVO FIJO</t>
  </si>
  <si>
    <t>VENTAS TOTALES</t>
  </si>
  <si>
    <t>FLUJO DE CAJA</t>
  </si>
  <si>
    <t>Flujo de Caja Operativo</t>
  </si>
  <si>
    <t>Utilidad Operacional</t>
  </si>
  <si>
    <t>Depreciaciones</t>
  </si>
  <si>
    <t>Impuestos</t>
  </si>
  <si>
    <t>Neto Flujo de Caja Operativo</t>
  </si>
  <si>
    <t>Flujo de Caja Financiamiento</t>
  </si>
  <si>
    <t>Desembolsos Pasivo Largo Plazo</t>
  </si>
  <si>
    <t>Amortizaciones Pasivos Largo Plazo</t>
  </si>
  <si>
    <t>Intereses Pagados</t>
  </si>
  <si>
    <t>Dividendos Pagados</t>
  </si>
  <si>
    <t>Neto Flujo de Caja Financiamiento</t>
  </si>
  <si>
    <t>Neto Periodo</t>
  </si>
  <si>
    <t>Saldo anterior</t>
  </si>
  <si>
    <t>Impuesto de renta</t>
  </si>
  <si>
    <t>DEVOLUCIONES EN VTAS</t>
  </si>
  <si>
    <t>PROVISONES</t>
  </si>
  <si>
    <t>Amortización y agotamiento</t>
  </si>
  <si>
    <t>DIVIDENDOS</t>
  </si>
  <si>
    <t>Saldo Neto del periódo</t>
  </si>
  <si>
    <t>Capital adicional aportado por los socios</t>
  </si>
  <si>
    <t>TOTAL INVERSIONES ANUALES EN ACTIVOS</t>
  </si>
  <si>
    <t>TASA MÍNIMA DE RENDIMIENTO ESPERA POR LOS EMPRENDEDORES</t>
  </si>
  <si>
    <t>VALOR DE LA INVERSIÓN INICIAL DEL PLAN DE NEGOCIO</t>
  </si>
  <si>
    <t>FLUJO DE CAJA PARA LA EVALUACIÓN DEL PLAN DE NEGOCIO:</t>
  </si>
  <si>
    <t>VALOR PRESENTE NETO  =</t>
  </si>
  <si>
    <t>TASA INTERNA DE RETORNO =</t>
  </si>
  <si>
    <t>FLUJO DE CAJA NETO</t>
  </si>
  <si>
    <t>SI TIR</t>
  </si>
  <si>
    <t>MAYOR QUE &gt;</t>
  </si>
  <si>
    <t>TASA DE RENDIMIENTO ESPERA POR LOS EMPRENDEDORES</t>
  </si>
  <si>
    <t>(=) VALOR PRESENTE NETO POSITIVO</t>
  </si>
  <si>
    <t>(=) VALOR PRESENTE NETO NEGATIVO</t>
  </si>
  <si>
    <t>MENOR QUE &lt;</t>
  </si>
  <si>
    <t>IGUAL QUE =</t>
  </si>
  <si>
    <t>(=) VALOR PRESENTE NETO IGUAL A CERO</t>
  </si>
  <si>
    <t xml:space="preserve">  Liquidez - Razón Corriente       </t>
  </si>
  <si>
    <t xml:space="preserve">  Nivel de Endeudamiento Total       </t>
  </si>
  <si>
    <t xml:space="preserve">  Rentabilidad Operacional       </t>
  </si>
  <si>
    <t xml:space="preserve">  Rentabilidad Neta       </t>
  </si>
  <si>
    <t xml:space="preserve">  Rentabilidad Patrimonio       </t>
  </si>
  <si>
    <t xml:space="preserve">  Rentabilidad del Activo       </t>
  </si>
  <si>
    <t>PERIÓDO</t>
  </si>
  <si>
    <t>GASTOS PUESTA EN MARCHA (GASTOS PAGADOS  POR ANTICIPADO) - RENOVACIÓN ANUAL</t>
  </si>
  <si>
    <t>ACTIVOS DIFERIDOS</t>
  </si>
  <si>
    <t>FRANQUICIAS</t>
  </si>
  <si>
    <t>PATENTES</t>
  </si>
  <si>
    <t>DERECHOS DE USO DE MARCAS</t>
  </si>
  <si>
    <t>SUBTOTAL ACTIVOS DIFERIDOS</t>
  </si>
  <si>
    <t>Amortización de Diferidos</t>
  </si>
  <si>
    <t>Amortización acumulada de Diferidos</t>
  </si>
  <si>
    <t>AMORTIZACIÓN DE DIFERIDOS</t>
  </si>
  <si>
    <t xml:space="preserve">Invent. Materia Prima Rotación </t>
  </si>
  <si>
    <t>días compras</t>
  </si>
  <si>
    <t>Invent. Materia Prima</t>
  </si>
  <si>
    <t>$</t>
  </si>
  <si>
    <t>Rotación Cartera Clientes</t>
  </si>
  <si>
    <t>días</t>
  </si>
  <si>
    <t>Cartera Clientes</t>
  </si>
  <si>
    <t>Cartera Clientes (Var.)</t>
  </si>
  <si>
    <t>variación de Materia Prima</t>
  </si>
  <si>
    <t>Cuentas por cobrar</t>
  </si>
  <si>
    <t>TOTAL ACTIVO CORRIENTE</t>
  </si>
  <si>
    <t xml:space="preserve">Total Activo Corriente (NO REALIZABLE): </t>
  </si>
  <si>
    <t>TOTAL PASIVO CORRIENTE</t>
  </si>
  <si>
    <t>Cuentas por Pagar Proveedores</t>
  </si>
  <si>
    <t>Cuentas por Pagar Proveedores (Var.)</t>
  </si>
  <si>
    <t>DATOS REQUERIDOS PARA AJUSTES DEL BALANCE</t>
  </si>
  <si>
    <t>Flujo de Caja de Inversión</t>
  </si>
  <si>
    <t>Periodo</t>
  </si>
  <si>
    <t>Variacion Inv. Materias Primas e insumos</t>
  </si>
  <si>
    <t>Variación en Cuentas por Cobrar</t>
  </si>
  <si>
    <t>Variación en Cuentas por pagar a Proveedores</t>
  </si>
  <si>
    <t>Variación del capital de Trabajo</t>
  </si>
  <si>
    <t>Inversión en Terrenos</t>
  </si>
  <si>
    <t>Inversión en Construcciones</t>
  </si>
  <si>
    <t>Inversión en Maquinaria y Equipo</t>
  </si>
  <si>
    <t>Inversión en Muebles</t>
  </si>
  <si>
    <t>Inversión en Equipo de Transporte</t>
  </si>
  <si>
    <t>Inversión en Equipos de Oficina</t>
  </si>
  <si>
    <t>Inversión en Semovientes</t>
  </si>
  <si>
    <t>Inversión Cultivos Permanentes</t>
  </si>
  <si>
    <t>Inversión en Activos diferidos.</t>
  </si>
  <si>
    <t xml:space="preserve">Inversión Activos </t>
  </si>
  <si>
    <t>Neto flujo de Caja de Inversión</t>
  </si>
  <si>
    <t>Periodo de recuperación de la Inversión</t>
  </si>
  <si>
    <t>CALCULO DEL WACC</t>
  </si>
  <si>
    <t>TOTAL INVERSIÓN</t>
  </si>
  <si>
    <t>APORTE DE LOS SOCIOS</t>
  </si>
  <si>
    <t>FINANCIADO POR DEUDA</t>
  </si>
  <si>
    <t>PORCENTAJE DE PARTICIPACIÓN</t>
  </si>
  <si>
    <t>COSTO DE CAPITAL</t>
  </si>
  <si>
    <t>COSTO PROMEDIO PONDERADO DE CAPITAL.</t>
  </si>
  <si>
    <t>WACC</t>
  </si>
  <si>
    <t>TRAMITES</t>
  </si>
  <si>
    <t>DILIGENCIAS</t>
  </si>
  <si>
    <t>SITAEL LTDA</t>
  </si>
  <si>
    <t>RODAMIENTO DE MOTO</t>
  </si>
  <si>
    <t>PARQUEADERO</t>
  </si>
  <si>
    <t>EQUIPO DE COMPUTO</t>
  </si>
  <si>
    <t>EQUIPO DE COMUNICACIONES</t>
  </si>
  <si>
    <t>FAX</t>
  </si>
  <si>
    <t>IMPRESORA</t>
  </si>
  <si>
    <t>REMODELACION Y ADECUACIÓN</t>
  </si>
  <si>
    <t>ESCRITORIOS</t>
  </si>
  <si>
    <t>SILLAS DE ESCRITORIO</t>
  </si>
  <si>
    <t>SALA DE ESPERA</t>
  </si>
  <si>
    <t>GERENTE ADMINISTRATIVO Y DE OPERACIONES</t>
  </si>
  <si>
    <t>AUXILIAR DE SERVICIOS GENERALES</t>
  </si>
  <si>
    <t>SECRETARIA</t>
  </si>
  <si>
    <t>GERENTE DE MERCADEO Y ATENCIÓN AL CLIENTE</t>
  </si>
  <si>
    <t>MENSAJERO MOTORIZADO</t>
  </si>
  <si>
    <t>ASESOR COMERCIAL</t>
  </si>
  <si>
    <t>INSUMOS DE ASEO</t>
  </si>
  <si>
    <t>OTROS GASTOS DE  ADMINISTRACIÓN</t>
  </si>
</sst>
</file>

<file path=xl/styles.xml><?xml version="1.0" encoding="utf-8"?>
<styleSheet xmlns="http://schemas.openxmlformats.org/spreadsheetml/2006/main">
  <numFmts count="20">
    <numFmt numFmtId="8" formatCode="&quot;$&quot;\ #,##0.00_);[Red]\(&quot;$&quot;\ #,##0.00\)"/>
    <numFmt numFmtId="41" formatCode="_(* #,##0_);_(* \(#,##0\);_(* &quot;-&quot;_);_(@_)"/>
    <numFmt numFmtId="43" formatCode="_(* #,##0.00_);_(* \(#,##0.00\);_(* &quot;-&quot;??_);_(@_)"/>
    <numFmt numFmtId="170" formatCode="_ &quot;$&quot;\ * #,##0.00_ ;_ &quot;$&quot;\ * \-#,##0.00_ ;_ &quot;$&quot;\ * &quot;-&quot;??_ ;_ @_ "/>
    <numFmt numFmtId="171" formatCode="_ * #,##0.00_ ;_ * \-#,##0.00_ ;_ * &quot;-&quot;??_ ;_ @_ "/>
    <numFmt numFmtId="190" formatCode="_ * #,##0.0_ ;_ * \-#,##0.0_ ;_ * &quot;-&quot;??_ ;_ @_ "/>
    <numFmt numFmtId="191" formatCode="_ * #,##0_ ;_ * \-#,##0_ ;_ * &quot;-&quot;??_ ;_ @_ "/>
    <numFmt numFmtId="192" formatCode="_ * #,##0.000_ ;_ * \-#,##0.000_ ;_ * &quot;-&quot;??_ ;_ @_ "/>
    <numFmt numFmtId="196" formatCode="_ * #,##0.0000000_ ;_ * \-#,##0.0000000_ ;_ * &quot;-&quot;??_ ;_ @_ "/>
    <numFmt numFmtId="199" formatCode="_-* #,##0\ _€_-;\-* #,##0\ _€_-;_-* &quot;-&quot;??\ _€_-;_-@_-"/>
    <numFmt numFmtId="200" formatCode="[$$-240A]\ #,##0"/>
    <numFmt numFmtId="202" formatCode="_ &quot;$&quot;\ * #,##0.0_ ;_ &quot;$&quot;\ * \-#,##0.0_ ;_ &quot;$&quot;\ * &quot;-&quot;??_ ;_ @_ "/>
    <numFmt numFmtId="203" formatCode="_ &quot;$&quot;\ * #,##0_ ;_ &quot;$&quot;\ * \-#,##0_ ;_ &quot;$&quot;\ * &quot;-&quot;??_ ;_ @_ "/>
    <numFmt numFmtId="210" formatCode="&quot;Año &quot;#,##0"/>
    <numFmt numFmtId="211" formatCode="0.0%"/>
    <numFmt numFmtId="213" formatCode="0.000%"/>
    <numFmt numFmtId="214" formatCode="#,##0.0"/>
    <numFmt numFmtId="223" formatCode="_(&quot;$&quot;\ * #,##0.0_);_(&quot;$&quot;\ * \(#,##0.0\);_(&quot;$&quot;\ * &quot;-&quot;?_);_(@_)"/>
    <numFmt numFmtId="224" formatCode="_(* #,##0_);_(* \(#,##0\);_(* &quot;-&quot;??_);_(@_)"/>
    <numFmt numFmtId="225" formatCode="0.0000%"/>
  </numFmts>
  <fonts count="105">
    <font>
      <sz val="10"/>
      <name val="Arial"/>
    </font>
    <font>
      <sz val="10"/>
      <name val="Arial"/>
    </font>
    <font>
      <sz val="9"/>
      <name val="Arial"/>
      <family val="2"/>
    </font>
    <font>
      <b/>
      <sz val="9"/>
      <name val="Arial"/>
      <family val="2"/>
    </font>
    <font>
      <b/>
      <sz val="10"/>
      <name val="Arial"/>
      <family val="2"/>
    </font>
    <font>
      <b/>
      <sz val="12"/>
      <name val="Arial"/>
      <family val="2"/>
    </font>
    <font>
      <sz val="8"/>
      <color indexed="81"/>
      <name val="Tahoma"/>
      <family val="2"/>
    </font>
    <font>
      <b/>
      <sz val="10"/>
      <color indexed="81"/>
      <name val="Tahoma"/>
      <family val="2"/>
    </font>
    <font>
      <sz val="10"/>
      <color indexed="81"/>
      <name val="Tahoma"/>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6"/>
      <name val="Calibri"/>
      <family val="2"/>
    </font>
    <font>
      <sz val="11"/>
      <color indexed="60"/>
      <name val="Calibri"/>
      <family val="2"/>
    </font>
    <font>
      <b/>
      <sz val="11"/>
      <color indexed="8"/>
      <name val="Calibri"/>
      <family val="2"/>
    </font>
    <font>
      <sz val="11"/>
      <color indexed="62"/>
      <name val="Calibri"/>
      <family val="2"/>
    </font>
    <font>
      <b/>
      <sz val="11"/>
      <color indexed="63"/>
      <name val="Calibri"/>
      <family val="2"/>
    </font>
    <font>
      <b/>
      <sz val="11"/>
      <color indexed="53"/>
      <name val="Calibri"/>
      <family val="2"/>
    </font>
    <font>
      <sz val="11"/>
      <color indexed="53"/>
      <name val="Calibri"/>
      <family val="2"/>
    </font>
    <font>
      <b/>
      <sz val="11"/>
      <color indexed="9"/>
      <name val="Calibri"/>
      <family val="2"/>
    </font>
    <font>
      <sz val="11"/>
      <color indexed="10"/>
      <name val="Calibri"/>
      <family val="2"/>
    </font>
    <font>
      <sz val="10"/>
      <name val="Arial"/>
      <family val="2"/>
    </font>
    <font>
      <sz val="11"/>
      <color indexed="9"/>
      <name val="Calibri"/>
      <family val="2"/>
    </font>
    <font>
      <sz val="11"/>
      <color indexed="8"/>
      <name val="Calibri"/>
      <family val="2"/>
    </font>
    <font>
      <sz val="11"/>
      <name val="Arial"/>
      <family val="2"/>
    </font>
    <font>
      <sz val="8"/>
      <name val="Arial"/>
      <family val="2"/>
    </font>
    <font>
      <b/>
      <sz val="8"/>
      <name val="Arial"/>
      <family val="2"/>
    </font>
    <font>
      <sz val="8"/>
      <color indexed="8"/>
      <name val="Arial"/>
      <family val="2"/>
    </font>
    <font>
      <sz val="22"/>
      <name val="Arial"/>
      <family val="2"/>
    </font>
    <font>
      <sz val="28"/>
      <name val="Arial"/>
      <family val="2"/>
    </font>
    <font>
      <b/>
      <sz val="10"/>
      <color indexed="9"/>
      <name val="Arial"/>
      <family val="2"/>
    </font>
    <font>
      <b/>
      <sz val="16"/>
      <color indexed="9"/>
      <name val="Aharoni"/>
      <charset val="177"/>
    </font>
    <font>
      <b/>
      <sz val="14"/>
      <color indexed="9"/>
      <name val="Aharoni"/>
      <charset val="177"/>
    </font>
    <font>
      <b/>
      <sz val="11"/>
      <color indexed="9"/>
      <name val="Aharoni"/>
      <charset val="177"/>
    </font>
    <font>
      <b/>
      <sz val="10"/>
      <color indexed="9"/>
      <name val="Aharoni"/>
      <charset val="177"/>
    </font>
    <font>
      <b/>
      <sz val="10"/>
      <color indexed="9"/>
      <name val="Arial Black"/>
      <family val="2"/>
    </font>
    <font>
      <sz val="9"/>
      <color indexed="81"/>
      <name val="Tahoma"/>
      <family val="2"/>
    </font>
    <font>
      <b/>
      <sz val="9"/>
      <color indexed="81"/>
      <name val="Tahoma"/>
      <family val="2"/>
    </font>
    <font>
      <b/>
      <sz val="9"/>
      <color indexed="9"/>
      <name val="Aharoni"/>
      <charset val="177"/>
    </font>
    <font>
      <b/>
      <sz val="11"/>
      <color indexed="9"/>
      <name val="Arial"/>
      <family val="2"/>
    </font>
    <font>
      <b/>
      <sz val="11"/>
      <name val="Arial"/>
      <family val="2"/>
    </font>
    <font>
      <b/>
      <sz val="11"/>
      <color indexed="12"/>
      <name val="Arial"/>
      <family val="2"/>
    </font>
    <font>
      <b/>
      <sz val="9"/>
      <color indexed="9"/>
      <name val="Arial"/>
      <family val="2"/>
    </font>
    <font>
      <b/>
      <sz val="9"/>
      <color indexed="18"/>
      <name val="Arial"/>
      <family val="2"/>
    </font>
    <font>
      <b/>
      <sz val="8"/>
      <color indexed="9"/>
      <name val="Arial"/>
      <family val="2"/>
    </font>
    <font>
      <b/>
      <sz val="10"/>
      <color indexed="12"/>
      <name val="Arial"/>
      <family val="2"/>
    </font>
    <font>
      <b/>
      <sz val="14"/>
      <name val="Arial"/>
      <family val="2"/>
    </font>
    <font>
      <sz val="12"/>
      <name val="Arial"/>
      <family val="2"/>
    </font>
    <font>
      <sz val="9"/>
      <color indexed="9"/>
      <name val="Arial"/>
      <family val="2"/>
    </font>
    <font>
      <b/>
      <sz val="12"/>
      <color indexed="9"/>
      <name val="Arial"/>
      <family val="2"/>
    </font>
    <font>
      <sz val="9"/>
      <color indexed="9"/>
      <name val="Calibri"/>
      <family val="2"/>
    </font>
    <font>
      <b/>
      <i/>
      <sz val="10"/>
      <name val="Arial"/>
      <family val="2"/>
    </font>
    <font>
      <sz val="10"/>
      <color indexed="8"/>
      <name val="Arial"/>
      <family val="2"/>
    </font>
    <font>
      <b/>
      <i/>
      <sz val="11"/>
      <name val="Arial"/>
      <family val="2"/>
    </font>
    <font>
      <sz val="9"/>
      <color indexed="8"/>
      <name val="Arial"/>
      <family val="2"/>
    </font>
    <font>
      <sz val="10"/>
      <color indexed="48"/>
      <name val="Arial"/>
      <family val="2"/>
    </font>
    <font>
      <sz val="10"/>
      <name val="Arial"/>
      <family val="2"/>
    </font>
    <font>
      <sz val="10"/>
      <name val="Arial"/>
      <family val="2"/>
    </font>
    <font>
      <b/>
      <u/>
      <sz val="10"/>
      <color indexed="12"/>
      <name val="Arial"/>
      <family val="2"/>
    </font>
    <font>
      <sz val="10"/>
      <name val="Arial"/>
      <family val="2"/>
    </font>
    <font>
      <sz val="10"/>
      <color indexed="12"/>
      <name val="Arial"/>
      <family val="2"/>
    </font>
    <font>
      <b/>
      <sz val="20"/>
      <name val="Arial"/>
      <family val="2"/>
    </font>
    <font>
      <sz val="11"/>
      <color indexed="81"/>
      <name val="Tahoma"/>
      <family val="2"/>
    </font>
    <font>
      <b/>
      <sz val="10"/>
      <color indexed="8"/>
      <name val="Arial"/>
      <family val="2"/>
    </font>
    <font>
      <b/>
      <sz val="11"/>
      <color indexed="8"/>
      <name val="Arial"/>
      <family val="2"/>
    </font>
    <font>
      <b/>
      <sz val="10"/>
      <color indexed="9"/>
      <name val="Aharoni"/>
      <charset val="177"/>
    </font>
    <font>
      <b/>
      <sz val="12"/>
      <color indexed="10"/>
      <name val="Franklin Gothic Heavy"/>
      <family val="2"/>
    </font>
    <font>
      <b/>
      <u val="singleAccounting"/>
      <sz val="9"/>
      <color indexed="9"/>
      <name val="Aharoni"/>
      <charset val="177"/>
    </font>
    <font>
      <b/>
      <sz val="12"/>
      <color indexed="8"/>
      <name val="Arial"/>
      <family val="2"/>
    </font>
    <font>
      <b/>
      <sz val="10"/>
      <color indexed="9"/>
      <name val="Arial"/>
      <family val="2"/>
    </font>
    <font>
      <b/>
      <i/>
      <sz val="11"/>
      <color indexed="9"/>
      <name val="Arial"/>
      <family val="2"/>
    </font>
    <font>
      <b/>
      <sz val="11"/>
      <color indexed="9"/>
      <name val="Arial"/>
      <family val="2"/>
    </font>
    <font>
      <b/>
      <i/>
      <sz val="9"/>
      <color indexed="9"/>
      <name val="Arial"/>
      <family val="2"/>
    </font>
    <font>
      <b/>
      <sz val="9"/>
      <color indexed="9"/>
      <name val="Arial"/>
      <family val="2"/>
    </font>
    <font>
      <sz val="10"/>
      <color indexed="9"/>
      <name val="Arial"/>
      <family val="2"/>
    </font>
    <font>
      <sz val="9"/>
      <color indexed="9"/>
      <name val="Arial"/>
      <family val="2"/>
    </font>
    <font>
      <sz val="10"/>
      <color indexed="50"/>
      <name val="Arial"/>
      <family val="2"/>
    </font>
    <font>
      <b/>
      <sz val="12"/>
      <color indexed="50"/>
      <name val="Arial"/>
      <family val="2"/>
    </font>
    <font>
      <sz val="8"/>
      <color indexed="8"/>
      <name val="Arial"/>
      <family val="2"/>
    </font>
    <font>
      <b/>
      <sz val="9"/>
      <color indexed="8"/>
      <name val="Arial"/>
      <family val="2"/>
    </font>
    <font>
      <b/>
      <sz val="7"/>
      <color indexed="8"/>
      <name val="Arial"/>
      <family val="2"/>
    </font>
    <font>
      <sz val="11"/>
      <color indexed="9"/>
      <name val="Arial"/>
      <family val="2"/>
    </font>
    <font>
      <b/>
      <sz val="8"/>
      <color indexed="9"/>
      <name val="Arial"/>
      <family val="2"/>
    </font>
    <font>
      <b/>
      <sz val="10.5"/>
      <color indexed="9"/>
      <name val="Arial"/>
      <family val="2"/>
    </font>
    <font>
      <b/>
      <sz val="8"/>
      <color indexed="8"/>
      <name val="Arial"/>
      <family val="2"/>
    </font>
    <font>
      <b/>
      <sz val="8"/>
      <color indexed="56"/>
      <name val="Arial"/>
      <family val="2"/>
    </font>
    <font>
      <sz val="8"/>
      <color indexed="9"/>
      <name val="Arial"/>
      <family val="2"/>
    </font>
    <font>
      <sz val="10"/>
      <color indexed="8"/>
      <name val="Arial"/>
      <family val="2"/>
    </font>
    <font>
      <b/>
      <sz val="10"/>
      <color indexed="56"/>
      <name val="Arial"/>
      <family val="2"/>
    </font>
    <font>
      <b/>
      <sz val="12"/>
      <color indexed="9"/>
      <name val="Arial"/>
      <family val="2"/>
    </font>
    <font>
      <sz val="9"/>
      <color indexed="50"/>
      <name val="Arial"/>
      <family val="2"/>
    </font>
    <font>
      <b/>
      <sz val="9"/>
      <color indexed="50"/>
      <name val="Arial"/>
      <family val="2"/>
    </font>
    <font>
      <b/>
      <sz val="8"/>
      <color indexed="30"/>
      <name val="Arial"/>
      <family val="2"/>
    </font>
    <font>
      <b/>
      <sz val="11"/>
      <color indexed="9"/>
      <name val="Aharoni"/>
      <charset val="177"/>
    </font>
    <font>
      <b/>
      <sz val="16"/>
      <color indexed="9"/>
      <name val="Arial"/>
      <family val="2"/>
    </font>
    <font>
      <b/>
      <sz val="10"/>
      <color indexed="10"/>
      <name val="Arial"/>
      <family val="2"/>
    </font>
    <font>
      <b/>
      <sz val="20"/>
      <color indexed="13"/>
      <name val="Arial"/>
      <family val="2"/>
    </font>
    <font>
      <b/>
      <sz val="12"/>
      <color indexed="10"/>
      <name val="Arial"/>
      <family val="2"/>
    </font>
    <font>
      <b/>
      <sz val="14"/>
      <color indexed="56"/>
      <name val="Aharoni"/>
      <charset val="177"/>
    </font>
    <font>
      <b/>
      <sz val="14"/>
      <color indexed="8"/>
      <name val="Arial"/>
      <family val="2"/>
    </font>
    <font>
      <b/>
      <sz val="22"/>
      <color indexed="13"/>
      <name val="Arial"/>
      <family val="2"/>
    </font>
    <font>
      <b/>
      <sz val="22"/>
      <color indexed="10"/>
      <name val="Arial"/>
      <family val="2"/>
    </font>
    <font>
      <sz val="11"/>
      <color theme="1"/>
      <name val="Calibri"/>
      <family val="2"/>
      <scheme val="minor"/>
    </font>
  </fonts>
  <fills count="38">
    <fill>
      <patternFill patternType="none"/>
    </fill>
    <fill>
      <patternFill patternType="gray125"/>
    </fill>
    <fill>
      <patternFill patternType="solid">
        <fgColor indexed="42"/>
        <bgColor indexed="42"/>
      </patternFill>
    </fill>
    <fill>
      <patternFill patternType="solid">
        <fgColor indexed="9"/>
        <bgColor indexed="9"/>
      </patternFill>
    </fill>
    <fill>
      <patternFill patternType="solid">
        <fgColor indexed="55"/>
        <b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43"/>
        <bgColor indexed="43"/>
      </patternFill>
    </fill>
    <fill>
      <patternFill patternType="solid">
        <fgColor indexed="50"/>
        <bgColor indexed="64"/>
      </patternFill>
    </fill>
    <fill>
      <patternFill patternType="solid">
        <fgColor indexed="13"/>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indexed="9"/>
        <bgColor indexed="64"/>
      </patternFill>
    </fill>
    <fill>
      <patternFill patternType="solid">
        <fgColor indexed="30"/>
        <bgColor indexed="64"/>
      </patternFill>
    </fill>
    <fill>
      <patternFill patternType="solid">
        <fgColor indexed="26"/>
        <bgColor indexed="64"/>
      </patternFill>
    </fill>
    <fill>
      <patternFill patternType="solid">
        <fgColor indexed="43"/>
        <bgColor indexed="64"/>
      </patternFill>
    </fill>
    <fill>
      <patternFill patternType="solid">
        <fgColor indexed="18"/>
        <bgColor indexed="64"/>
      </patternFill>
    </fill>
    <fill>
      <patternFill patternType="solid">
        <fgColor indexed="22"/>
        <bgColor indexed="64"/>
      </patternFill>
    </fill>
    <fill>
      <patternFill patternType="solid">
        <fgColor indexed="31"/>
        <bgColor indexed="64"/>
      </patternFill>
    </fill>
    <fill>
      <patternFill patternType="solid">
        <fgColor indexed="8"/>
        <bgColor indexed="64"/>
      </patternFill>
    </fill>
    <fill>
      <patternFill patternType="solid">
        <fgColor indexed="44"/>
        <bgColor indexed="64"/>
      </patternFill>
    </fill>
    <fill>
      <patternFill patternType="solid">
        <fgColor indexed="23"/>
        <bgColor indexed="64"/>
      </patternFill>
    </fill>
    <fill>
      <patternFill patternType="solid">
        <fgColor indexed="9"/>
      </patternFill>
    </fill>
    <fill>
      <patternFill patternType="solid">
        <fgColor indexed="55"/>
        <bgColor indexed="64"/>
      </patternFill>
    </fill>
    <fill>
      <patternFill patternType="solid">
        <fgColor indexed="40"/>
        <bgColor indexed="64"/>
      </patternFill>
    </fill>
  </fills>
  <borders count="1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9"/>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9"/>
      </right>
      <top/>
      <bottom style="thin">
        <color indexed="64"/>
      </bottom>
      <diagonal/>
    </border>
    <border>
      <left style="thin">
        <color indexed="9"/>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top style="hair">
        <color indexed="64"/>
      </top>
      <bottom style="hair">
        <color indexed="64"/>
      </bottom>
      <diagonal/>
    </border>
    <border>
      <left style="medium">
        <color indexed="64"/>
      </left>
      <right style="thin">
        <color indexed="64"/>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medium">
        <color indexed="64"/>
      </top>
      <bottom/>
      <diagonal/>
    </border>
    <border>
      <left style="medium">
        <color indexed="64"/>
      </left>
      <right style="thin">
        <color indexed="9"/>
      </right>
      <top style="medium">
        <color indexed="64"/>
      </top>
      <bottom/>
      <diagonal/>
    </border>
    <border>
      <left style="thin">
        <color indexed="9"/>
      </left>
      <right style="thin">
        <color indexed="9"/>
      </right>
      <top style="medium">
        <color indexed="64"/>
      </top>
      <bottom/>
      <diagonal/>
    </border>
    <border>
      <left style="thin">
        <color indexed="9"/>
      </left>
      <right style="medium">
        <color indexed="64"/>
      </right>
      <top style="medium">
        <color indexed="64"/>
      </top>
      <bottom/>
      <diagonal/>
    </border>
    <border>
      <left style="hair">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9"/>
      </left>
      <right/>
      <top style="medium">
        <color indexed="64"/>
      </top>
      <bottom/>
      <diagonal/>
    </border>
    <border>
      <left style="medium">
        <color indexed="64"/>
      </left>
      <right style="thin">
        <color indexed="9"/>
      </right>
      <top style="medium">
        <color indexed="64"/>
      </top>
      <bottom style="thin">
        <color indexed="9"/>
      </bottom>
      <diagonal/>
    </border>
    <border>
      <left style="medium">
        <color indexed="64"/>
      </left>
      <right style="thin">
        <color indexed="9"/>
      </right>
      <top style="thin">
        <color indexed="9"/>
      </top>
      <bottom/>
      <diagonal/>
    </border>
    <border>
      <left style="thin">
        <color indexed="9"/>
      </left>
      <right style="medium">
        <color indexed="64"/>
      </right>
      <top style="medium">
        <color indexed="64"/>
      </top>
      <bottom style="thin">
        <color indexed="9"/>
      </bottom>
      <diagonal/>
    </border>
    <border>
      <left style="thin">
        <color indexed="9"/>
      </left>
      <right/>
      <top style="thin">
        <color indexed="9"/>
      </top>
      <bottom/>
      <diagonal/>
    </border>
    <border>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s>
  <cellStyleXfs count="56">
    <xf numFmtId="0" fontId="0" fillId="0" borderId="0"/>
    <xf numFmtId="0" fontId="13" fillId="2" borderId="0" applyNumberFormat="0" applyBorder="0" applyAlignment="0" applyProtection="0"/>
    <xf numFmtId="0" fontId="19" fillId="3" borderId="1" applyNumberFormat="0" applyAlignment="0" applyProtection="0"/>
    <xf numFmtId="0" fontId="21" fillId="4" borderId="2" applyNumberFormat="0" applyAlignment="0" applyProtection="0"/>
    <xf numFmtId="0" fontId="20" fillId="0" borderId="3" applyNumberFormat="0" applyFill="0" applyAlignment="0" applyProtection="0"/>
    <xf numFmtId="0" fontId="12" fillId="0" borderId="0" applyNumberFormat="0" applyFill="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12" borderId="0" applyNumberFormat="0" applyBorder="0" applyAlignment="0" applyProtection="0"/>
    <xf numFmtId="0" fontId="25" fillId="2" borderId="0" applyNumberFormat="0" applyBorder="0" applyAlignment="0" applyProtection="0"/>
    <xf numFmtId="0" fontId="24" fillId="13"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5" fillId="1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5" fillId="9" borderId="0" applyNumberFormat="0" applyBorder="0" applyAlignment="0" applyProtection="0"/>
    <xf numFmtId="0" fontId="24" fillId="10" borderId="0" applyNumberFormat="0" applyBorder="0" applyAlignment="0" applyProtection="0"/>
    <xf numFmtId="0" fontId="24" fillId="16" borderId="0" applyNumberFormat="0" applyBorder="0" applyAlignment="0" applyProtection="0"/>
    <xf numFmtId="0" fontId="25" fillId="12" borderId="0" applyNumberFormat="0" applyBorder="0" applyAlignment="0" applyProtection="0"/>
    <xf numFmtId="0" fontId="25" fillId="17" borderId="0" applyNumberFormat="0" applyBorder="0" applyAlignment="0" applyProtection="0"/>
    <xf numFmtId="0" fontId="24" fillId="17" borderId="0" applyNumberFormat="0" applyBorder="0" applyAlignment="0" applyProtection="0"/>
    <xf numFmtId="0" fontId="17" fillId="17" borderId="1" applyNumberFormat="0" applyAlignment="0" applyProtection="0"/>
    <xf numFmtId="0" fontId="14" fillId="18" borderId="0" applyNumberFormat="0" applyBorder="0" applyAlignment="0" applyProtection="0"/>
    <xf numFmtId="171" fontId="1" fillId="0" borderId="0" applyFont="0" applyFill="0" applyBorder="0" applyAlignment="0" applyProtection="0"/>
    <xf numFmtId="41" fontId="23" fillId="0" borderId="0" applyFont="0" applyFill="0" applyBorder="0" applyAlignment="0" applyProtection="0"/>
    <xf numFmtId="171"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170" fontId="1" fillId="0" borderId="0" applyFont="0" applyFill="0" applyBorder="0" applyAlignment="0" applyProtection="0"/>
    <xf numFmtId="170" fontId="23" fillId="0" borderId="0" applyFont="0" applyFill="0" applyBorder="0" applyAlignment="0" applyProtection="0"/>
    <xf numFmtId="0" fontId="15" fillId="19" borderId="0" applyNumberFormat="0" applyBorder="0" applyAlignment="0" applyProtection="0"/>
    <xf numFmtId="0" fontId="104" fillId="0" borderId="0"/>
    <xf numFmtId="0" fontId="104" fillId="0" borderId="0"/>
    <xf numFmtId="0" fontId="23" fillId="0" borderId="0"/>
    <xf numFmtId="0" fontId="23" fillId="12" borderId="4" applyNumberFormat="0" applyFont="0" applyAlignment="0" applyProtection="0"/>
    <xf numFmtId="9" fontId="1" fillId="0" borderId="0" applyFont="0" applyFill="0" applyBorder="0" applyAlignment="0" applyProtection="0"/>
    <xf numFmtId="9" fontId="23" fillId="0" borderId="0" applyFont="0" applyFill="0" applyBorder="0" applyAlignment="0" applyProtection="0"/>
    <xf numFmtId="0" fontId="18" fillId="3" borderId="5" applyNumberFormat="0" applyAlignment="0" applyProtection="0"/>
    <xf numFmtId="0" fontId="22"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9" fillId="0" borderId="0" applyNumberFormat="0" applyFill="0" applyBorder="0" applyAlignment="0" applyProtection="0"/>
    <xf numFmtId="0" fontId="16" fillId="0" borderId="9" applyNumberFormat="0" applyFill="0" applyAlignment="0" applyProtection="0"/>
  </cellStyleXfs>
  <cellXfs count="868">
    <xf numFmtId="0" fontId="0" fillId="0" borderId="0" xfId="0"/>
    <xf numFmtId="0" fontId="30" fillId="0" borderId="0" xfId="0" applyFont="1" applyAlignment="1"/>
    <xf numFmtId="0" fontId="31" fillId="0" borderId="0" xfId="0" applyFont="1" applyAlignment="1">
      <alignment vertical="center" wrapText="1"/>
    </xf>
    <xf numFmtId="0" fontId="0" fillId="20" borderId="0" xfId="0" applyFill="1"/>
    <xf numFmtId="0" fontId="31" fillId="20" borderId="0" xfId="0" applyFont="1" applyFill="1" applyAlignment="1">
      <alignment vertical="center" wrapText="1"/>
    </xf>
    <xf numFmtId="0" fontId="0" fillId="20" borderId="0" xfId="0" applyFill="1" applyAlignment="1">
      <alignment horizontal="center"/>
    </xf>
    <xf numFmtId="0" fontId="0" fillId="20" borderId="0" xfId="0" applyFill="1" applyAlignment="1">
      <alignment horizontal="right"/>
    </xf>
    <xf numFmtId="0" fontId="0" fillId="20" borderId="0" xfId="0" applyFill="1" applyBorder="1"/>
    <xf numFmtId="41" fontId="65" fillId="21" borderId="10" xfId="38" applyNumberFormat="1" applyFont="1" applyFill="1" applyBorder="1" applyAlignment="1" applyProtection="1">
      <alignment horizontal="left" indent="1"/>
      <protection hidden="1"/>
    </xf>
    <xf numFmtId="10" fontId="65" fillId="21" borderId="10" xfId="0" applyNumberFormat="1" applyFont="1" applyFill="1" applyBorder="1" applyAlignment="1" applyProtection="1">
      <alignment horizontal="center"/>
      <protection locked="0"/>
    </xf>
    <xf numFmtId="210" fontId="35" fillId="22" borderId="11" xfId="0" applyNumberFormat="1" applyFont="1" applyFill="1" applyBorder="1" applyAlignment="1" applyProtection="1">
      <alignment horizontal="left" vertical="center"/>
      <protection hidden="1"/>
    </xf>
    <xf numFmtId="210" fontId="35" fillId="22" borderId="11" xfId="0" applyNumberFormat="1" applyFont="1" applyFill="1" applyBorder="1" applyAlignment="1" applyProtection="1">
      <alignment vertical="center"/>
      <protection hidden="1"/>
    </xf>
    <xf numFmtId="210" fontId="35" fillId="22" borderId="12" xfId="0" applyNumberFormat="1" applyFont="1" applyFill="1" applyBorder="1" applyAlignment="1" applyProtection="1">
      <alignment vertical="center"/>
      <protection hidden="1"/>
    </xf>
    <xf numFmtId="0" fontId="0" fillId="20" borderId="0" xfId="0" applyFill="1" applyAlignment="1">
      <alignment wrapText="1"/>
    </xf>
    <xf numFmtId="191" fontId="66" fillId="21" borderId="10" xfId="35" applyNumberFormat="1" applyFont="1" applyFill="1" applyBorder="1" applyAlignment="1" applyProtection="1">
      <alignment horizontal="right"/>
      <protection locked="0"/>
    </xf>
    <xf numFmtId="210" fontId="35" fillId="22" borderId="10" xfId="0" applyNumberFormat="1" applyFont="1" applyFill="1" applyBorder="1" applyAlignment="1" applyProtection="1">
      <alignment horizontal="left"/>
      <protection hidden="1"/>
    </xf>
    <xf numFmtId="0" fontId="23" fillId="20" borderId="0" xfId="0" applyFont="1" applyFill="1"/>
    <xf numFmtId="41" fontId="65" fillId="21" borderId="13" xfId="38" applyNumberFormat="1" applyFont="1" applyFill="1" applyBorder="1" applyAlignment="1" applyProtection="1">
      <alignment horizontal="left" indent="1"/>
      <protection hidden="1"/>
    </xf>
    <xf numFmtId="210" fontId="35" fillId="22" borderId="14" xfId="0" applyNumberFormat="1" applyFont="1" applyFill="1" applyBorder="1" applyAlignment="1" applyProtection="1">
      <alignment horizontal="left"/>
      <protection hidden="1"/>
    </xf>
    <xf numFmtId="41" fontId="65" fillId="21" borderId="15" xfId="38" applyNumberFormat="1" applyFont="1" applyFill="1" applyBorder="1" applyAlignment="1" applyProtection="1">
      <alignment horizontal="left" indent="1"/>
      <protection hidden="1"/>
    </xf>
    <xf numFmtId="41" fontId="65" fillId="21" borderId="16" xfId="38" applyNumberFormat="1" applyFont="1" applyFill="1" applyBorder="1" applyAlignment="1" applyProtection="1">
      <alignment horizontal="left" indent="1"/>
      <protection hidden="1"/>
    </xf>
    <xf numFmtId="191" fontId="66" fillId="21" borderId="16" xfId="35" applyNumberFormat="1" applyFont="1" applyFill="1" applyBorder="1" applyAlignment="1" applyProtection="1">
      <alignment horizontal="right"/>
      <protection locked="0"/>
    </xf>
    <xf numFmtId="210" fontId="35" fillId="22" borderId="17" xfId="0" applyNumberFormat="1" applyFont="1" applyFill="1" applyBorder="1" applyAlignment="1" applyProtection="1">
      <alignment horizontal="left"/>
      <protection hidden="1"/>
    </xf>
    <xf numFmtId="171" fontId="66" fillId="21" borderId="14" xfId="35" applyFont="1" applyFill="1" applyBorder="1" applyAlignment="1" applyProtection="1">
      <alignment horizontal="right"/>
      <protection locked="0"/>
    </xf>
    <xf numFmtId="9" fontId="66" fillId="21" borderId="17" xfId="47" applyNumberFormat="1" applyFont="1" applyFill="1" applyBorder="1" applyAlignment="1" applyProtection="1">
      <alignment horizontal="right"/>
      <protection locked="0"/>
    </xf>
    <xf numFmtId="0" fontId="32" fillId="20" borderId="18" xfId="0" applyFont="1" applyFill="1" applyBorder="1" applyAlignment="1" applyProtection="1">
      <alignment horizontal="center"/>
      <protection hidden="1"/>
    </xf>
    <xf numFmtId="210" fontId="37" fillId="22" borderId="19" xfId="0" applyNumberFormat="1" applyFont="1" applyFill="1" applyBorder="1" applyAlignment="1" applyProtection="1">
      <alignment horizontal="center"/>
      <protection hidden="1"/>
    </xf>
    <xf numFmtId="210" fontId="37" fillId="22" borderId="20" xfId="0" applyNumberFormat="1" applyFont="1" applyFill="1" applyBorder="1" applyAlignment="1" applyProtection="1">
      <alignment horizontal="center"/>
      <protection hidden="1"/>
    </xf>
    <xf numFmtId="41" fontId="4" fillId="21" borderId="13" xfId="38" applyNumberFormat="1" applyFont="1" applyFill="1" applyBorder="1" applyAlignment="1" applyProtection="1">
      <alignment horizontal="left" indent="1"/>
      <protection hidden="1"/>
    </xf>
    <xf numFmtId="10" fontId="65" fillId="21" borderId="14" xfId="0" applyNumberFormat="1" applyFont="1" applyFill="1" applyBorder="1" applyAlignment="1" applyProtection="1">
      <alignment horizontal="center"/>
      <protection locked="0"/>
    </xf>
    <xf numFmtId="41" fontId="4" fillId="21" borderId="15" xfId="38" applyNumberFormat="1" applyFont="1" applyFill="1" applyBorder="1" applyAlignment="1" applyProtection="1">
      <alignment horizontal="left" indent="1"/>
      <protection hidden="1"/>
    </xf>
    <xf numFmtId="10" fontId="65" fillId="21" borderId="16" xfId="47" applyNumberFormat="1" applyFont="1" applyFill="1" applyBorder="1" applyAlignment="1" applyProtection="1">
      <alignment horizontal="center"/>
      <protection locked="0"/>
    </xf>
    <xf numFmtId="10" fontId="65" fillId="21" borderId="17" xfId="47" applyNumberFormat="1" applyFont="1" applyFill="1" applyBorder="1" applyAlignment="1" applyProtection="1">
      <alignment horizontal="center"/>
      <protection locked="0"/>
    </xf>
    <xf numFmtId="210" fontId="36" fillId="22" borderId="13" xfId="0" applyNumberFormat="1" applyFont="1" applyFill="1" applyBorder="1" applyAlignment="1" applyProtection="1">
      <alignment horizontal="left"/>
      <protection hidden="1"/>
    </xf>
    <xf numFmtId="0" fontId="0" fillId="20" borderId="14" xfId="0" applyFill="1" applyBorder="1"/>
    <xf numFmtId="10" fontId="66" fillId="21" borderId="14" xfId="47" applyNumberFormat="1" applyFont="1" applyFill="1" applyBorder="1" applyAlignment="1" applyProtection="1">
      <alignment horizontal="right"/>
      <protection locked="0"/>
    </xf>
    <xf numFmtId="41" fontId="67" fillId="22" borderId="13" xfId="38" applyNumberFormat="1" applyFont="1" applyFill="1" applyBorder="1" applyAlignment="1" applyProtection="1">
      <alignment horizontal="left" indent="1"/>
      <protection hidden="1"/>
    </xf>
    <xf numFmtId="10" fontId="68" fillId="21" borderId="14" xfId="47" applyNumberFormat="1" applyFont="1" applyFill="1" applyBorder="1" applyAlignment="1" applyProtection="1">
      <alignment horizontal="right" indent="1"/>
      <protection hidden="1"/>
    </xf>
    <xf numFmtId="41" fontId="69" fillId="22" borderId="15" xfId="38" applyNumberFormat="1" applyFont="1" applyFill="1" applyBorder="1" applyAlignment="1" applyProtection="1">
      <alignment horizontal="left" indent="1"/>
      <protection hidden="1"/>
    </xf>
    <xf numFmtId="10" fontId="68" fillId="21" borderId="17" xfId="47" applyNumberFormat="1" applyFont="1" applyFill="1" applyBorder="1" applyAlignment="1" applyProtection="1">
      <alignment horizontal="right" indent="1"/>
      <protection hidden="1"/>
    </xf>
    <xf numFmtId="210" fontId="37" fillId="23" borderId="19" xfId="0" applyNumberFormat="1" applyFont="1" applyFill="1" applyBorder="1" applyAlignment="1" applyProtection="1">
      <alignment horizontal="center"/>
      <protection locked="0" hidden="1"/>
    </xf>
    <xf numFmtId="210" fontId="44" fillId="22" borderId="19" xfId="0" applyNumberFormat="1" applyFont="1" applyFill="1" applyBorder="1" applyAlignment="1" applyProtection="1">
      <alignment horizontal="center"/>
      <protection hidden="1"/>
    </xf>
    <xf numFmtId="210" fontId="44" fillId="22" borderId="10" xfId="0" applyNumberFormat="1" applyFont="1" applyFill="1" applyBorder="1" applyAlignment="1" applyProtection="1">
      <alignment horizontal="center"/>
      <protection hidden="1"/>
    </xf>
    <xf numFmtId="210" fontId="44" fillId="22" borderId="16" xfId="0" applyNumberFormat="1" applyFont="1" applyFill="1" applyBorder="1" applyAlignment="1" applyProtection="1">
      <alignment horizontal="center"/>
      <protection hidden="1"/>
    </xf>
    <xf numFmtId="0" fontId="26" fillId="20" borderId="0" xfId="0" applyFont="1" applyFill="1"/>
    <xf numFmtId="3" fontId="26" fillId="20" borderId="10" xfId="43" applyNumberFormat="1" applyFont="1" applyFill="1" applyBorder="1" applyProtection="1">
      <protection locked="0"/>
    </xf>
    <xf numFmtId="0" fontId="2" fillId="20" borderId="0" xfId="0" applyFont="1" applyFill="1"/>
    <xf numFmtId="3" fontId="44" fillId="24" borderId="10" xfId="43" applyNumberFormat="1" applyFont="1" applyFill="1" applyBorder="1" applyAlignment="1">
      <alignment vertical="center" wrapText="1"/>
    </xf>
    <xf numFmtId="3" fontId="66" fillId="20" borderId="10" xfId="40" applyNumberFormat="1" applyFont="1" applyFill="1" applyBorder="1"/>
    <xf numFmtId="0" fontId="46" fillId="24" borderId="10" xfId="43" applyFont="1" applyFill="1" applyBorder="1" applyAlignment="1">
      <alignment vertical="center" wrapText="1"/>
    </xf>
    <xf numFmtId="210" fontId="44" fillId="22" borderId="21" xfId="0" applyNumberFormat="1" applyFont="1" applyFill="1" applyBorder="1" applyAlignment="1" applyProtection="1">
      <alignment horizontal="center"/>
      <protection hidden="1"/>
    </xf>
    <xf numFmtId="0" fontId="23" fillId="20" borderId="0" xfId="0" applyFont="1" applyFill="1" applyAlignment="1">
      <alignment vertical="top" wrapText="1"/>
    </xf>
    <xf numFmtId="0" fontId="0" fillId="0" borderId="0" xfId="0" applyAlignment="1"/>
    <xf numFmtId="214" fontId="26" fillId="20" borderId="10" xfId="43" applyNumberFormat="1" applyFont="1" applyFill="1" applyBorder="1" applyProtection="1">
      <protection locked="0"/>
    </xf>
    <xf numFmtId="9" fontId="42" fillId="21" borderId="22" xfId="43" applyNumberFormat="1" applyFont="1" applyFill="1" applyBorder="1" applyProtection="1">
      <protection locked="0"/>
    </xf>
    <xf numFmtId="0" fontId="41" fillId="22" borderId="23" xfId="43" applyFont="1" applyFill="1" applyBorder="1" applyAlignment="1">
      <alignment horizontal="center" vertical="center"/>
    </xf>
    <xf numFmtId="0" fontId="66" fillId="21" borderId="24" xfId="0" applyFont="1" applyFill="1" applyBorder="1"/>
    <xf numFmtId="3" fontId="42" fillId="20" borderId="10" xfId="43" applyNumberFormat="1" applyFont="1" applyFill="1" applyBorder="1" applyProtection="1">
      <protection locked="0"/>
    </xf>
    <xf numFmtId="0" fontId="66" fillId="21" borderId="25" xfId="0" applyFont="1" applyFill="1" applyBorder="1"/>
    <xf numFmtId="0" fontId="26" fillId="21" borderId="26" xfId="43" applyFont="1" applyFill="1" applyBorder="1"/>
    <xf numFmtId="0" fontId="26" fillId="20" borderId="0" xfId="43" applyFont="1" applyFill="1" applyBorder="1"/>
    <xf numFmtId="0" fontId="26" fillId="20" borderId="27" xfId="43" applyFont="1" applyFill="1" applyBorder="1"/>
    <xf numFmtId="0" fontId="41" fillId="22" borderId="28" xfId="43" applyFont="1" applyFill="1" applyBorder="1" applyAlignment="1">
      <alignment vertical="center"/>
    </xf>
    <xf numFmtId="0" fontId="41" fillId="22" borderId="29" xfId="43" applyFont="1" applyFill="1" applyBorder="1" applyAlignment="1">
      <alignment horizontal="center" vertical="center"/>
    </xf>
    <xf numFmtId="0" fontId="26" fillId="20" borderId="13" xfId="43" applyFont="1" applyFill="1" applyBorder="1"/>
    <xf numFmtId="214" fontId="26" fillId="20" borderId="14" xfId="43" applyNumberFormat="1" applyFont="1" applyFill="1" applyBorder="1" applyProtection="1">
      <protection locked="0"/>
    </xf>
    <xf numFmtId="3" fontId="26" fillId="20" borderId="14" xfId="43" applyNumberFormat="1" applyFont="1" applyFill="1" applyBorder="1" applyProtection="1">
      <protection locked="0"/>
    </xf>
    <xf numFmtId="0" fontId="66" fillId="20" borderId="13" xfId="43" applyFont="1" applyFill="1" applyBorder="1"/>
    <xf numFmtId="3" fontId="66" fillId="20" borderId="14" xfId="40" applyNumberFormat="1" applyFont="1" applyFill="1" applyBorder="1"/>
    <xf numFmtId="3" fontId="43" fillId="25" borderId="15" xfId="43" applyNumberFormat="1" applyFont="1" applyFill="1" applyBorder="1"/>
    <xf numFmtId="203" fontId="47" fillId="25" borderId="16" xfId="40" applyNumberFormat="1" applyFont="1" applyFill="1" applyBorder="1" applyProtection="1">
      <protection locked="0"/>
    </xf>
    <xf numFmtId="203" fontId="47" fillId="25" borderId="16" xfId="40" applyNumberFormat="1" applyFont="1" applyFill="1" applyBorder="1"/>
    <xf numFmtId="203" fontId="47" fillId="25" borderId="17" xfId="40" applyNumberFormat="1" applyFont="1" applyFill="1" applyBorder="1"/>
    <xf numFmtId="10" fontId="66" fillId="26" borderId="10" xfId="43" applyNumberFormat="1" applyFont="1" applyFill="1" applyBorder="1" applyAlignment="1">
      <alignment horizontal="center" vertical="center" wrapText="1"/>
    </xf>
    <xf numFmtId="10" fontId="66" fillId="26" borderId="14" xfId="43" applyNumberFormat="1" applyFont="1" applyFill="1" applyBorder="1" applyAlignment="1">
      <alignment horizontal="center" vertical="center" wrapText="1"/>
    </xf>
    <xf numFmtId="0" fontId="66" fillId="26" borderId="13" xfId="43" applyFont="1" applyFill="1" applyBorder="1" applyAlignment="1">
      <alignment horizontal="left" vertical="center" wrapText="1"/>
    </xf>
    <xf numFmtId="9" fontId="66" fillId="26" borderId="10" xfId="43" applyNumberFormat="1" applyFont="1" applyFill="1" applyBorder="1" applyAlignment="1">
      <alignment horizontal="center" vertical="center" wrapText="1"/>
    </xf>
    <xf numFmtId="171" fontId="2" fillId="20" borderId="10" xfId="35" applyFont="1" applyFill="1" applyBorder="1"/>
    <xf numFmtId="171" fontId="4" fillId="20" borderId="10" xfId="35" applyFont="1" applyFill="1" applyBorder="1"/>
    <xf numFmtId="171" fontId="3" fillId="20" borderId="30" xfId="35" applyFont="1" applyFill="1" applyBorder="1" applyAlignment="1"/>
    <xf numFmtId="171" fontId="3" fillId="20" borderId="31" xfId="35" applyFont="1" applyFill="1" applyBorder="1" applyAlignment="1"/>
    <xf numFmtId="196" fontId="3" fillId="20" borderId="10" xfId="0" applyNumberFormat="1" applyFont="1" applyFill="1" applyBorder="1"/>
    <xf numFmtId="171" fontId="3" fillId="20" borderId="30" xfId="35" applyFont="1" applyFill="1" applyBorder="1" applyAlignment="1">
      <alignment horizontal="center"/>
    </xf>
    <xf numFmtId="0" fontId="4" fillId="20" borderId="0" xfId="0" applyFont="1" applyFill="1" applyBorder="1" applyAlignment="1"/>
    <xf numFmtId="0" fontId="4" fillId="20" borderId="32" xfId="0" applyFont="1" applyFill="1" applyBorder="1" applyAlignment="1"/>
    <xf numFmtId="0" fontId="4" fillId="20" borderId="30" xfId="0" applyFont="1" applyFill="1" applyBorder="1" applyAlignment="1"/>
    <xf numFmtId="171" fontId="4" fillId="20" borderId="19" xfId="0" applyNumberFormat="1" applyFont="1" applyFill="1" applyBorder="1"/>
    <xf numFmtId="0" fontId="4" fillId="20" borderId="33" xfId="0" applyFont="1" applyFill="1" applyBorder="1" applyAlignment="1"/>
    <xf numFmtId="0" fontId="4" fillId="20" borderId="34" xfId="0" applyFont="1" applyFill="1" applyBorder="1" applyAlignment="1"/>
    <xf numFmtId="171" fontId="4" fillId="20" borderId="10" xfId="0" applyNumberFormat="1" applyFont="1" applyFill="1" applyBorder="1"/>
    <xf numFmtId="0" fontId="4" fillId="20" borderId="35" xfId="0" applyFont="1" applyFill="1" applyBorder="1" applyAlignment="1"/>
    <xf numFmtId="0" fontId="4" fillId="20" borderId="36" xfId="0" applyFont="1" applyFill="1" applyBorder="1" applyAlignment="1"/>
    <xf numFmtId="0" fontId="0" fillId="20" borderId="21" xfId="0" applyFill="1" applyBorder="1"/>
    <xf numFmtId="191" fontId="4" fillId="20" borderId="10" xfId="35" applyNumberFormat="1" applyFont="1" applyFill="1" applyBorder="1"/>
    <xf numFmtId="0" fontId="5" fillId="21" borderId="13" xfId="0" applyFont="1" applyFill="1" applyBorder="1" applyAlignment="1">
      <alignment horizontal="center"/>
    </xf>
    <xf numFmtId="0" fontId="5" fillId="21" borderId="15" xfId="0" applyFont="1" applyFill="1" applyBorder="1" applyAlignment="1">
      <alignment horizontal="center"/>
    </xf>
    <xf numFmtId="0" fontId="70" fillId="21" borderId="10" xfId="0" applyFont="1" applyFill="1" applyBorder="1" applyAlignment="1">
      <alignment horizontal="center"/>
    </xf>
    <xf numFmtId="0" fontId="48" fillId="22" borderId="25" xfId="0" applyFont="1" applyFill="1" applyBorder="1" applyAlignment="1"/>
    <xf numFmtId="0" fontId="71" fillId="22" borderId="31" xfId="0" applyFont="1" applyFill="1" applyBorder="1" applyAlignment="1"/>
    <xf numFmtId="0" fontId="71" fillId="22" borderId="22" xfId="0" applyFont="1" applyFill="1" applyBorder="1" applyAlignment="1">
      <alignment horizontal="center"/>
    </xf>
    <xf numFmtId="0" fontId="65" fillId="21" borderId="10" xfId="0" applyFont="1" applyFill="1" applyBorder="1" applyAlignment="1">
      <alignment horizontal="center"/>
    </xf>
    <xf numFmtId="190" fontId="5" fillId="20" borderId="10" xfId="35" applyNumberFormat="1" applyFont="1" applyFill="1" applyBorder="1"/>
    <xf numFmtId="190" fontId="5" fillId="20" borderId="14" xfId="35" applyNumberFormat="1" applyFont="1" applyFill="1" applyBorder="1"/>
    <xf numFmtId="190" fontId="5" fillId="20" borderId="16" xfId="35" applyNumberFormat="1" applyFont="1" applyFill="1" applyBorder="1"/>
    <xf numFmtId="0" fontId="71" fillId="22" borderId="0" xfId="0" applyFont="1" applyFill="1" applyBorder="1" applyAlignment="1">
      <alignment horizontal="center"/>
    </xf>
    <xf numFmtId="171" fontId="2" fillId="27" borderId="10" xfId="35" applyFont="1" applyFill="1" applyBorder="1" applyAlignment="1">
      <alignment horizontal="right" wrapText="1"/>
    </xf>
    <xf numFmtId="171" fontId="72" fillId="26" borderId="37" xfId="35" applyFont="1" applyFill="1" applyBorder="1" applyAlignment="1" applyProtection="1">
      <alignment wrapText="1"/>
      <protection locked="0"/>
    </xf>
    <xf numFmtId="171" fontId="72" fillId="26" borderId="10" xfId="35" applyFont="1" applyFill="1" applyBorder="1" applyAlignment="1" applyProtection="1">
      <alignment horizontal="left" wrapText="1"/>
      <protection locked="0"/>
    </xf>
    <xf numFmtId="171" fontId="73" fillId="26" borderId="10" xfId="35" applyFont="1" applyFill="1" applyBorder="1" applyAlignment="1" applyProtection="1">
      <alignment horizontal="left"/>
      <protection locked="0"/>
    </xf>
    <xf numFmtId="171" fontId="72" fillId="26" borderId="37" xfId="35" applyFont="1" applyFill="1" applyBorder="1" applyProtection="1">
      <protection locked="0"/>
    </xf>
    <xf numFmtId="171" fontId="72" fillId="26" borderId="37" xfId="35" applyFont="1" applyFill="1" applyBorder="1" applyAlignment="1" applyProtection="1">
      <alignment horizontal="left" wrapText="1"/>
      <protection locked="0"/>
    </xf>
    <xf numFmtId="171" fontId="74" fillId="26" borderId="37" xfId="35" applyFont="1" applyFill="1" applyBorder="1" applyProtection="1">
      <protection locked="0"/>
    </xf>
    <xf numFmtId="171" fontId="74" fillId="26" borderId="37" xfId="35" applyFont="1" applyFill="1" applyBorder="1" applyAlignment="1" applyProtection="1">
      <alignment horizontal="center"/>
      <protection locked="0"/>
    </xf>
    <xf numFmtId="171" fontId="75" fillId="26" borderId="10" xfId="35" applyFont="1" applyFill="1" applyBorder="1" applyProtection="1">
      <protection locked="0"/>
    </xf>
    <xf numFmtId="171" fontId="75" fillId="23" borderId="30" xfId="35" applyFont="1" applyFill="1" applyBorder="1" applyAlignment="1"/>
    <xf numFmtId="0" fontId="76" fillId="20" borderId="0" xfId="0" applyFont="1" applyFill="1"/>
    <xf numFmtId="0" fontId="77" fillId="20" borderId="0" xfId="0" applyFont="1" applyFill="1"/>
    <xf numFmtId="0" fontId="23" fillId="20" borderId="21" xfId="0" applyFont="1" applyFill="1" applyBorder="1"/>
    <xf numFmtId="171" fontId="4" fillId="20" borderId="38" xfId="35" applyFont="1" applyFill="1" applyBorder="1"/>
    <xf numFmtId="0" fontId="0" fillId="20" borderId="39" xfId="0" applyFill="1" applyBorder="1"/>
    <xf numFmtId="171" fontId="4" fillId="20" borderId="19" xfId="35" applyFont="1" applyFill="1" applyBorder="1"/>
    <xf numFmtId="170" fontId="71" fillId="22" borderId="40" xfId="0" applyNumberFormat="1" applyFont="1" applyFill="1" applyBorder="1" applyAlignment="1">
      <alignment horizontal="center"/>
    </xf>
    <xf numFmtId="170" fontId="71" fillId="22" borderId="41" xfId="0" applyNumberFormat="1" applyFont="1" applyFill="1" applyBorder="1" applyAlignment="1">
      <alignment horizontal="center"/>
    </xf>
    <xf numFmtId="171" fontId="3" fillId="20" borderId="10" xfId="0" applyNumberFormat="1" applyFont="1" applyFill="1" applyBorder="1"/>
    <xf numFmtId="171" fontId="2" fillId="27" borderId="10" xfId="35" applyFont="1" applyFill="1" applyBorder="1"/>
    <xf numFmtId="171" fontId="2" fillId="27" borderId="14" xfId="35" applyFont="1" applyFill="1" applyBorder="1"/>
    <xf numFmtId="171" fontId="3" fillId="27" borderId="16" xfId="35" applyFont="1" applyFill="1" applyBorder="1"/>
    <xf numFmtId="171" fontId="3" fillId="27" borderId="17" xfId="35" applyFont="1" applyFill="1" applyBorder="1"/>
    <xf numFmtId="171" fontId="3" fillId="27" borderId="10" xfId="35" applyFont="1" applyFill="1" applyBorder="1"/>
    <xf numFmtId="171" fontId="3" fillId="20" borderId="21" xfId="35" applyFont="1" applyFill="1" applyBorder="1" applyAlignment="1"/>
    <xf numFmtId="171" fontId="3" fillId="20" borderId="34" xfId="35" applyFont="1" applyFill="1" applyBorder="1" applyAlignment="1"/>
    <xf numFmtId="171" fontId="3" fillId="20" borderId="37" xfId="35" applyFont="1" applyFill="1" applyBorder="1" applyAlignment="1"/>
    <xf numFmtId="171" fontId="3" fillId="20" borderId="42" xfId="35" applyFont="1" applyFill="1" applyBorder="1" applyAlignment="1"/>
    <xf numFmtId="171" fontId="3" fillId="20" borderId="36" xfId="35" applyFont="1" applyFill="1" applyBorder="1" applyAlignment="1"/>
    <xf numFmtId="171" fontId="3" fillId="20" borderId="43" xfId="35" applyFont="1" applyFill="1" applyBorder="1" applyAlignment="1"/>
    <xf numFmtId="171" fontId="3" fillId="20" borderId="44" xfId="35" applyFont="1" applyFill="1" applyBorder="1" applyAlignment="1"/>
    <xf numFmtId="171" fontId="77" fillId="26" borderId="10" xfId="35" applyFont="1" applyFill="1" applyBorder="1" applyProtection="1">
      <protection locked="0"/>
    </xf>
    <xf numFmtId="171" fontId="3" fillId="28" borderId="16" xfId="35" applyFont="1" applyFill="1" applyBorder="1"/>
    <xf numFmtId="170" fontId="71" fillId="24" borderId="16" xfId="40" applyFont="1" applyFill="1" applyBorder="1"/>
    <xf numFmtId="0" fontId="78" fillId="20" borderId="0" xfId="0" applyFont="1" applyFill="1" applyBorder="1"/>
    <xf numFmtId="9" fontId="79" fillId="20" borderId="0" xfId="47" applyFont="1" applyFill="1" applyBorder="1"/>
    <xf numFmtId="0" fontId="37" fillId="22" borderId="18" xfId="43" applyFont="1" applyFill="1" applyBorder="1" applyAlignment="1" applyProtection="1">
      <alignment horizontal="left" vertical="center" wrapText="1"/>
      <protection hidden="1"/>
    </xf>
    <xf numFmtId="9" fontId="66" fillId="21" borderId="24" xfId="47" applyFont="1" applyFill="1" applyBorder="1" applyProtection="1">
      <protection locked="0"/>
    </xf>
    <xf numFmtId="9" fontId="66" fillId="21" borderId="45" xfId="47" applyFont="1" applyFill="1" applyBorder="1" applyProtection="1">
      <protection locked="0"/>
    </xf>
    <xf numFmtId="0" fontId="80" fillId="21" borderId="22" xfId="43" applyFont="1" applyFill="1" applyBorder="1" applyAlignment="1" applyProtection="1">
      <alignment horizontal="center" vertical="center" wrapText="1"/>
      <protection hidden="1"/>
    </xf>
    <xf numFmtId="0" fontId="80" fillId="21" borderId="46" xfId="43" applyFont="1" applyFill="1" applyBorder="1" applyAlignment="1" applyProtection="1">
      <alignment horizontal="center" vertical="center" wrapText="1"/>
      <protection hidden="1"/>
    </xf>
    <xf numFmtId="0" fontId="80" fillId="21" borderId="26" xfId="43" applyFont="1" applyFill="1" applyBorder="1" applyAlignment="1" applyProtection="1">
      <alignment horizontal="center" vertical="center" wrapText="1"/>
      <protection hidden="1"/>
    </xf>
    <xf numFmtId="0" fontId="80" fillId="21" borderId="47" xfId="43" applyFont="1" applyFill="1" applyBorder="1" applyAlignment="1" applyProtection="1">
      <alignment horizontal="center" vertical="center" wrapText="1"/>
      <protection hidden="1"/>
    </xf>
    <xf numFmtId="0" fontId="2" fillId="22" borderId="20" xfId="43" applyFont="1" applyFill="1" applyBorder="1" applyAlignment="1" applyProtection="1">
      <alignment horizontal="center"/>
      <protection hidden="1"/>
    </xf>
    <xf numFmtId="3" fontId="2" fillId="22" borderId="18" xfId="43" applyNumberFormat="1" applyFont="1" applyFill="1" applyBorder="1" applyProtection="1">
      <protection hidden="1"/>
    </xf>
    <xf numFmtId="3" fontId="2" fillId="22" borderId="19" xfId="43" applyNumberFormat="1" applyFont="1" applyFill="1" applyBorder="1" applyProtection="1">
      <protection hidden="1"/>
    </xf>
    <xf numFmtId="3" fontId="2" fillId="22" borderId="20" xfId="43" applyNumberFormat="1" applyFont="1" applyFill="1" applyBorder="1" applyProtection="1">
      <protection hidden="1"/>
    </xf>
    <xf numFmtId="3" fontId="2" fillId="22" borderId="39" xfId="43" applyNumberFormat="1" applyFont="1" applyFill="1" applyBorder="1" applyProtection="1">
      <protection hidden="1"/>
    </xf>
    <xf numFmtId="0" fontId="2" fillId="22" borderId="14" xfId="43" applyFont="1" applyFill="1" applyBorder="1" applyAlignment="1" applyProtection="1">
      <alignment horizontal="center"/>
      <protection hidden="1"/>
    </xf>
    <xf numFmtId="3" fontId="2" fillId="22" borderId="13" xfId="43" applyNumberFormat="1" applyFont="1" applyFill="1" applyBorder="1" applyProtection="1">
      <protection hidden="1"/>
    </xf>
    <xf numFmtId="3" fontId="2" fillId="22" borderId="10" xfId="43" applyNumberFormat="1" applyFont="1" applyFill="1" applyBorder="1" applyProtection="1">
      <protection hidden="1"/>
    </xf>
    <xf numFmtId="3" fontId="2" fillId="22" borderId="14" xfId="43" applyNumberFormat="1" applyFont="1" applyFill="1" applyBorder="1" applyProtection="1">
      <protection hidden="1"/>
    </xf>
    <xf numFmtId="3" fontId="2" fillId="22" borderId="21" xfId="43" applyNumberFormat="1" applyFont="1" applyFill="1" applyBorder="1" applyProtection="1">
      <protection hidden="1"/>
    </xf>
    <xf numFmtId="0" fontId="81" fillId="22" borderId="15" xfId="43" applyFont="1" applyFill="1" applyBorder="1" applyAlignment="1" applyProtection="1">
      <alignment horizontal="left" vertical="center" wrapText="1"/>
      <protection hidden="1"/>
    </xf>
    <xf numFmtId="0" fontId="45" fillId="22" borderId="17" xfId="43" applyFont="1" applyFill="1" applyBorder="1" applyAlignment="1" applyProtection="1">
      <alignment horizontal="center" vertical="center"/>
      <protection hidden="1"/>
    </xf>
    <xf numFmtId="3" fontId="45" fillId="22" borderId="15" xfId="43" applyNumberFormat="1" applyFont="1" applyFill="1" applyBorder="1" applyAlignment="1" applyProtection="1">
      <alignment horizontal="right" vertical="center"/>
      <protection hidden="1"/>
    </xf>
    <xf numFmtId="3" fontId="45" fillId="22" borderId="16" xfId="43" applyNumberFormat="1" applyFont="1" applyFill="1" applyBorder="1" applyAlignment="1" applyProtection="1">
      <alignment horizontal="right" vertical="center"/>
      <protection hidden="1"/>
    </xf>
    <xf numFmtId="200" fontId="45" fillId="22" borderId="17" xfId="43" applyNumberFormat="1" applyFont="1" applyFill="1" applyBorder="1" applyAlignment="1" applyProtection="1">
      <alignment horizontal="right" vertical="center"/>
      <protection hidden="1"/>
    </xf>
    <xf numFmtId="3" fontId="45" fillId="22" borderId="48" xfId="43" applyNumberFormat="1" applyFont="1" applyFill="1" applyBorder="1" applyAlignment="1" applyProtection="1">
      <alignment horizontal="right" vertical="center"/>
      <protection hidden="1"/>
    </xf>
    <xf numFmtId="3" fontId="45" fillId="22" borderId="17" xfId="43" applyNumberFormat="1" applyFont="1" applyFill="1" applyBorder="1" applyAlignment="1" applyProtection="1">
      <alignment horizontal="right" vertical="center"/>
      <protection hidden="1"/>
    </xf>
    <xf numFmtId="0" fontId="2" fillId="21" borderId="20" xfId="43" applyFont="1" applyFill="1" applyBorder="1" applyAlignment="1" applyProtection="1">
      <alignment horizontal="center"/>
      <protection hidden="1"/>
    </xf>
    <xf numFmtId="3" fontId="2" fillId="21" borderId="18" xfId="43" applyNumberFormat="1" applyFont="1" applyFill="1" applyBorder="1" applyProtection="1">
      <protection hidden="1"/>
    </xf>
    <xf numFmtId="3" fontId="2" fillId="21" borderId="19" xfId="43" applyNumberFormat="1" applyFont="1" applyFill="1" applyBorder="1" applyProtection="1">
      <protection hidden="1"/>
    </xf>
    <xf numFmtId="3" fontId="2" fillId="21" borderId="20" xfId="43" applyNumberFormat="1" applyFont="1" applyFill="1" applyBorder="1" applyProtection="1">
      <protection hidden="1"/>
    </xf>
    <xf numFmtId="3" fontId="2" fillId="21" borderId="39" xfId="43" applyNumberFormat="1" applyFont="1" applyFill="1" applyBorder="1" applyProtection="1">
      <protection hidden="1"/>
    </xf>
    <xf numFmtId="0" fontId="2" fillId="21" borderId="14" xfId="43" applyFont="1" applyFill="1" applyBorder="1" applyAlignment="1" applyProtection="1">
      <alignment horizontal="center"/>
      <protection hidden="1"/>
    </xf>
    <xf numFmtId="3" fontId="2" fillId="21" borderId="13" xfId="43" applyNumberFormat="1" applyFont="1" applyFill="1" applyBorder="1" applyProtection="1">
      <protection hidden="1"/>
    </xf>
    <xf numFmtId="3" fontId="2" fillId="21" borderId="10" xfId="43" applyNumberFormat="1" applyFont="1" applyFill="1" applyBorder="1" applyProtection="1">
      <protection hidden="1"/>
    </xf>
    <xf numFmtId="3" fontId="2" fillId="21" borderId="14" xfId="43" applyNumberFormat="1" applyFont="1" applyFill="1" applyBorder="1" applyProtection="1">
      <protection hidden="1"/>
    </xf>
    <xf numFmtId="3" fontId="2" fillId="21" borderId="21" xfId="43" applyNumberFormat="1" applyFont="1" applyFill="1" applyBorder="1" applyProtection="1">
      <protection hidden="1"/>
    </xf>
    <xf numFmtId="0" fontId="81" fillId="21" borderId="15" xfId="43" applyFont="1" applyFill="1" applyBorder="1" applyAlignment="1" applyProtection="1">
      <alignment horizontal="left" vertical="center" wrapText="1"/>
      <protection hidden="1"/>
    </xf>
    <xf numFmtId="0" fontId="45" fillId="21" borderId="17" xfId="43" applyFont="1" applyFill="1" applyBorder="1" applyAlignment="1" applyProtection="1">
      <alignment horizontal="center" vertical="center"/>
      <protection hidden="1"/>
    </xf>
    <xf numFmtId="3" fontId="45" fillId="21" borderId="15" xfId="43" applyNumberFormat="1" applyFont="1" applyFill="1" applyBorder="1" applyAlignment="1" applyProtection="1">
      <alignment horizontal="right" vertical="center"/>
      <protection hidden="1"/>
    </xf>
    <xf numFmtId="3" fontId="45" fillId="21" borderId="16" xfId="43" applyNumberFormat="1" applyFont="1" applyFill="1" applyBorder="1" applyAlignment="1" applyProtection="1">
      <alignment horizontal="right" vertical="center"/>
      <protection hidden="1"/>
    </xf>
    <xf numFmtId="200" fontId="45" fillId="21" borderId="17" xfId="43" applyNumberFormat="1" applyFont="1" applyFill="1" applyBorder="1" applyAlignment="1" applyProtection="1">
      <alignment horizontal="right" vertical="center"/>
      <protection hidden="1"/>
    </xf>
    <xf numFmtId="3" fontId="45" fillId="21" borderId="48" xfId="43" applyNumberFormat="1" applyFont="1" applyFill="1" applyBorder="1" applyAlignment="1" applyProtection="1">
      <alignment horizontal="right" vertical="center"/>
      <protection hidden="1"/>
    </xf>
    <xf numFmtId="3" fontId="45" fillId="21" borderId="17" xfId="43" applyNumberFormat="1" applyFont="1" applyFill="1" applyBorder="1" applyAlignment="1" applyProtection="1">
      <alignment horizontal="right" vertical="center"/>
      <protection hidden="1"/>
    </xf>
    <xf numFmtId="0" fontId="45" fillId="22" borderId="17" xfId="43" applyFont="1" applyFill="1" applyBorder="1" applyAlignment="1" applyProtection="1">
      <alignment horizontal="right" vertical="center"/>
      <protection hidden="1"/>
    </xf>
    <xf numFmtId="0" fontId="81" fillId="20" borderId="49" xfId="43" applyFont="1" applyFill="1" applyBorder="1" applyAlignment="1" applyProtection="1">
      <alignment horizontal="left" vertical="center" wrapText="1"/>
      <protection hidden="1"/>
    </xf>
    <xf numFmtId="0" fontId="45" fillId="20" borderId="50" xfId="43" applyFont="1" applyFill="1" applyBorder="1" applyAlignment="1" applyProtection="1">
      <alignment horizontal="right" vertical="center"/>
      <protection hidden="1"/>
    </xf>
    <xf numFmtId="3" fontId="45" fillId="20" borderId="49" xfId="43" applyNumberFormat="1" applyFont="1" applyFill="1" applyBorder="1" applyAlignment="1" applyProtection="1">
      <alignment horizontal="right" vertical="center"/>
      <protection hidden="1"/>
    </xf>
    <xf numFmtId="3" fontId="45" fillId="20" borderId="38" xfId="43" applyNumberFormat="1" applyFont="1" applyFill="1" applyBorder="1" applyAlignment="1" applyProtection="1">
      <alignment horizontal="right" vertical="center"/>
      <protection hidden="1"/>
    </xf>
    <xf numFmtId="203" fontId="45" fillId="20" borderId="50" xfId="40" applyNumberFormat="1" applyFont="1" applyFill="1" applyBorder="1" applyAlignment="1" applyProtection="1">
      <alignment horizontal="right" vertical="center"/>
      <protection hidden="1"/>
    </xf>
    <xf numFmtId="3" fontId="3" fillId="21" borderId="13" xfId="43" applyNumberFormat="1" applyFont="1" applyFill="1" applyBorder="1" applyProtection="1">
      <protection hidden="1"/>
    </xf>
    <xf numFmtId="0" fontId="71" fillId="24" borderId="51" xfId="43" applyFont="1" applyFill="1" applyBorder="1" applyAlignment="1" applyProtection="1">
      <alignment horizontal="left" vertical="center" wrapText="1"/>
      <protection hidden="1"/>
    </xf>
    <xf numFmtId="0" fontId="71" fillId="24" borderId="17" xfId="43" applyFont="1" applyFill="1" applyBorder="1" applyAlignment="1" applyProtection="1">
      <alignment horizontal="right" vertical="center"/>
      <protection hidden="1"/>
    </xf>
    <xf numFmtId="3" fontId="71" fillId="24" borderId="15" xfId="43" applyNumberFormat="1" applyFont="1" applyFill="1" applyBorder="1" applyAlignment="1" applyProtection="1">
      <alignment horizontal="right" vertical="center"/>
      <protection hidden="1"/>
    </xf>
    <xf numFmtId="3" fontId="71" fillId="24" borderId="16" xfId="43" applyNumberFormat="1" applyFont="1" applyFill="1" applyBorder="1" applyAlignment="1" applyProtection="1">
      <alignment horizontal="right" vertical="center"/>
      <protection hidden="1"/>
    </xf>
    <xf numFmtId="203" fontId="71" fillId="24" borderId="17" xfId="40" applyNumberFormat="1" applyFont="1" applyFill="1" applyBorder="1" applyAlignment="1" applyProtection="1">
      <alignment horizontal="right" vertical="center"/>
      <protection hidden="1"/>
    </xf>
    <xf numFmtId="203" fontId="71" fillId="24" borderId="48" xfId="40" applyNumberFormat="1" applyFont="1" applyFill="1" applyBorder="1" applyAlignment="1" applyProtection="1">
      <alignment horizontal="right" vertical="center"/>
      <protection hidden="1"/>
    </xf>
    <xf numFmtId="0" fontId="2" fillId="20" borderId="0" xfId="0" applyFont="1" applyFill="1" applyProtection="1">
      <protection hidden="1"/>
    </xf>
    <xf numFmtId="0" fontId="2" fillId="20" borderId="0" xfId="43" applyFont="1" applyFill="1" applyProtection="1">
      <protection hidden="1"/>
    </xf>
    <xf numFmtId="0" fontId="81" fillId="21" borderId="28" xfId="43" applyFont="1" applyFill="1" applyBorder="1" applyAlignment="1" applyProtection="1">
      <alignment horizontal="center" vertical="center" wrapText="1"/>
      <protection hidden="1"/>
    </xf>
    <xf numFmtId="0" fontId="82" fillId="21" borderId="23" xfId="43" applyFont="1" applyFill="1" applyBorder="1" applyAlignment="1" applyProtection="1">
      <alignment horizontal="center" vertical="center" wrapText="1"/>
      <protection hidden="1"/>
    </xf>
    <xf numFmtId="0" fontId="82" fillId="21" borderId="29" xfId="43" applyFont="1" applyFill="1" applyBorder="1" applyAlignment="1" applyProtection="1">
      <alignment horizontal="center" vertical="center" wrapText="1"/>
      <protection hidden="1"/>
    </xf>
    <xf numFmtId="0" fontId="26" fillId="20" borderId="13" xfId="43" applyFont="1" applyFill="1" applyBorder="1" applyAlignment="1" applyProtection="1">
      <alignment horizontal="left" vertical="center" wrapText="1"/>
      <protection hidden="1"/>
    </xf>
    <xf numFmtId="0" fontId="26" fillId="20" borderId="10" xfId="43" applyFont="1" applyFill="1" applyBorder="1" applyAlignment="1" applyProtection="1">
      <alignment horizontal="center" vertical="center" wrapText="1"/>
      <protection hidden="1"/>
    </xf>
    <xf numFmtId="9" fontId="26" fillId="20" borderId="10" xfId="43" applyNumberFormat="1" applyFont="1" applyFill="1" applyBorder="1" applyAlignment="1" applyProtection="1">
      <alignment horizontal="center" vertical="center" wrapText="1"/>
      <protection hidden="1"/>
    </xf>
    <xf numFmtId="9" fontId="26" fillId="20" borderId="14" xfId="43" applyNumberFormat="1" applyFont="1" applyFill="1" applyBorder="1" applyAlignment="1" applyProtection="1">
      <alignment horizontal="center" vertical="center" wrapText="1"/>
      <protection hidden="1"/>
    </xf>
    <xf numFmtId="0" fontId="26" fillId="20" borderId="15" xfId="43" applyFont="1" applyFill="1" applyBorder="1" applyAlignment="1" applyProtection="1">
      <alignment horizontal="left" vertical="center"/>
      <protection hidden="1"/>
    </xf>
    <xf numFmtId="3" fontId="26" fillId="20" borderId="16" xfId="43" applyNumberFormat="1" applyFont="1" applyFill="1" applyBorder="1" applyAlignment="1" applyProtection="1">
      <alignment horizontal="right" vertical="center"/>
      <protection hidden="1"/>
    </xf>
    <xf numFmtId="3" fontId="26" fillId="20" borderId="17" xfId="43" applyNumberFormat="1" applyFont="1" applyFill="1" applyBorder="1" applyAlignment="1" applyProtection="1">
      <alignment horizontal="right" vertical="center"/>
      <protection hidden="1"/>
    </xf>
    <xf numFmtId="3" fontId="2" fillId="20" borderId="0" xfId="43" applyNumberFormat="1" applyFont="1" applyFill="1" applyProtection="1">
      <protection hidden="1"/>
    </xf>
    <xf numFmtId="199" fontId="83" fillId="26" borderId="10" xfId="35" applyNumberFormat="1" applyFont="1" applyFill="1" applyBorder="1" applyAlignment="1" applyProtection="1">
      <protection locked="0"/>
    </xf>
    <xf numFmtId="171" fontId="26" fillId="26" borderId="37" xfId="35" applyFont="1" applyFill="1" applyBorder="1" applyProtection="1">
      <protection locked="0"/>
    </xf>
    <xf numFmtId="171" fontId="26" fillId="26" borderId="10" xfId="35" applyFont="1" applyFill="1" applyBorder="1" applyAlignment="1" applyProtection="1">
      <alignment horizontal="left"/>
      <protection locked="0"/>
    </xf>
    <xf numFmtId="171" fontId="26" fillId="26" borderId="10" xfId="35" applyFont="1" applyFill="1" applyBorder="1" applyProtection="1">
      <protection locked="0"/>
    </xf>
    <xf numFmtId="0" fontId="26" fillId="26" borderId="10" xfId="0" applyFont="1" applyFill="1" applyBorder="1" applyAlignment="1" applyProtection="1">
      <alignment horizontal="right"/>
      <protection locked="0"/>
    </xf>
    <xf numFmtId="0" fontId="27" fillId="0" borderId="52" xfId="0" applyFont="1" applyBorder="1"/>
    <xf numFmtId="0" fontId="27" fillId="0" borderId="53" xfId="0" applyFont="1" applyBorder="1"/>
    <xf numFmtId="0" fontId="27" fillId="0" borderId="54" xfId="0" applyFont="1" applyBorder="1"/>
    <xf numFmtId="170" fontId="73" fillId="23" borderId="48" xfId="40" applyFont="1" applyFill="1" applyBorder="1"/>
    <xf numFmtId="170" fontId="73" fillId="23" borderId="16" xfId="40" applyFont="1" applyFill="1" applyBorder="1"/>
    <xf numFmtId="0" fontId="4" fillId="20" borderId="0" xfId="0" applyFont="1" applyFill="1"/>
    <xf numFmtId="0" fontId="46" fillId="29" borderId="55" xfId="0" applyFont="1" applyFill="1" applyBorder="1" applyAlignment="1">
      <alignment horizontal="center" vertical="center" wrapText="1"/>
    </xf>
    <xf numFmtId="0" fontId="46" fillId="29" borderId="56" xfId="0" applyFont="1" applyFill="1" applyBorder="1" applyAlignment="1">
      <alignment horizontal="center" vertical="center" wrapText="1"/>
    </xf>
    <xf numFmtId="0" fontId="46" fillId="29" borderId="57" xfId="0" applyFont="1" applyFill="1" applyBorder="1" applyAlignment="1">
      <alignment horizontal="center" vertical="center" wrapText="1"/>
    </xf>
    <xf numFmtId="0" fontId="27" fillId="0" borderId="10" xfId="0" applyFont="1" applyBorder="1" applyAlignment="1">
      <alignment horizontal="center" vertical="center" wrapText="1"/>
    </xf>
    <xf numFmtId="3" fontId="27" fillId="0" borderId="10" xfId="35" applyNumberFormat="1" applyFont="1" applyBorder="1" applyAlignment="1">
      <alignment horizontal="center" vertical="center" wrapText="1"/>
    </xf>
    <xf numFmtId="10" fontId="27" fillId="0" borderId="10" xfId="0" applyNumberFormat="1" applyFont="1" applyBorder="1" applyAlignment="1">
      <alignment horizontal="center" vertical="center" wrapText="1"/>
    </xf>
    <xf numFmtId="9" fontId="27" fillId="0" borderId="10" xfId="0" applyNumberFormat="1" applyFont="1" applyBorder="1" applyAlignment="1">
      <alignment horizontal="center" vertical="center" wrapText="1"/>
    </xf>
    <xf numFmtId="211" fontId="27" fillId="0" borderId="10" xfId="0" applyNumberFormat="1" applyFont="1" applyBorder="1" applyAlignment="1">
      <alignment horizontal="center" vertical="center" wrapText="1"/>
    </xf>
    <xf numFmtId="9" fontId="27" fillId="0" borderId="21" xfId="0" applyNumberFormat="1" applyFont="1" applyBorder="1" applyAlignment="1">
      <alignment horizontal="center" vertical="center" wrapText="1"/>
    </xf>
    <xf numFmtId="0" fontId="27" fillId="25" borderId="10" xfId="0" applyFont="1" applyFill="1" applyBorder="1" applyAlignment="1">
      <alignment horizontal="center" vertical="center" wrapText="1"/>
    </xf>
    <xf numFmtId="3" fontId="27" fillId="0" borderId="10" xfId="35" applyNumberFormat="1" applyFont="1" applyFill="1" applyBorder="1" applyAlignment="1" applyProtection="1">
      <alignment horizontal="right"/>
    </xf>
    <xf numFmtId="3" fontId="29" fillId="0" borderId="10" xfId="35" applyNumberFormat="1" applyFont="1" applyBorder="1" applyAlignment="1">
      <alignment horizontal="right"/>
    </xf>
    <xf numFmtId="3" fontId="29" fillId="0" borderId="21" xfId="35" applyNumberFormat="1" applyFont="1" applyBorder="1" applyAlignment="1">
      <alignment horizontal="right"/>
    </xf>
    <xf numFmtId="3" fontId="29" fillId="25" borderId="10" xfId="35" applyNumberFormat="1" applyFont="1" applyFill="1" applyBorder="1" applyAlignment="1">
      <alignment horizontal="right"/>
    </xf>
    <xf numFmtId="3" fontId="27" fillId="25" borderId="10" xfId="0" applyNumberFormat="1" applyFont="1" applyFill="1" applyBorder="1" applyAlignment="1">
      <alignment horizontal="right" vertical="center" wrapText="1"/>
    </xf>
    <xf numFmtId="0" fontId="46" fillId="29" borderId="10" xfId="0" applyFont="1" applyFill="1" applyBorder="1" applyAlignment="1">
      <alignment horizontal="left" vertical="center" wrapText="1"/>
    </xf>
    <xf numFmtId="0" fontId="29" fillId="0" borderId="10" xfId="0" applyFont="1" applyBorder="1"/>
    <xf numFmtId="0" fontId="29" fillId="0" borderId="10" xfId="0" applyFont="1" applyBorder="1" applyAlignment="1">
      <alignment horizontal="center"/>
    </xf>
    <xf numFmtId="0" fontId="27" fillId="0" borderId="10" xfId="0" applyFont="1" applyBorder="1"/>
    <xf numFmtId="203" fontId="84" fillId="23" borderId="10" xfId="40" applyNumberFormat="1" applyFont="1" applyFill="1" applyBorder="1" applyProtection="1"/>
    <xf numFmtId="203" fontId="84" fillId="23" borderId="10" xfId="40" applyNumberFormat="1" applyFont="1" applyFill="1" applyBorder="1" applyAlignment="1" applyProtection="1">
      <alignment horizontal="right"/>
    </xf>
    <xf numFmtId="203" fontId="84" fillId="23" borderId="58" xfId="40" applyNumberFormat="1" applyFont="1" applyFill="1" applyBorder="1"/>
    <xf numFmtId="0" fontId="27" fillId="21" borderId="10" xfId="0" applyFont="1" applyFill="1" applyBorder="1" applyProtection="1">
      <protection locked="0"/>
    </xf>
    <xf numFmtId="3" fontId="27" fillId="21" borderId="10" xfId="35" applyNumberFormat="1" applyFont="1" applyFill="1" applyBorder="1" applyAlignment="1" applyProtection="1">
      <alignment horizontal="right"/>
      <protection locked="0"/>
    </xf>
    <xf numFmtId="0" fontId="28" fillId="21" borderId="10" xfId="0" applyFont="1" applyFill="1" applyBorder="1" applyProtection="1">
      <protection locked="0"/>
    </xf>
    <xf numFmtId="3" fontId="28" fillId="21" borderId="10" xfId="35" applyNumberFormat="1" applyFont="1" applyFill="1" applyBorder="1" applyAlignment="1" applyProtection="1">
      <alignment horizontal="right"/>
      <protection locked="0"/>
    </xf>
    <xf numFmtId="0" fontId="49" fillId="20" borderId="0" xfId="0" applyFont="1" applyFill="1"/>
    <xf numFmtId="0" fontId="4" fillId="21" borderId="0" xfId="0" applyFont="1" applyFill="1"/>
    <xf numFmtId="0" fontId="71" fillId="24" borderId="10" xfId="0" applyFont="1" applyFill="1" applyBorder="1"/>
    <xf numFmtId="203" fontId="85" fillId="26" borderId="10" xfId="40" applyNumberFormat="1" applyFont="1" applyFill="1" applyBorder="1"/>
    <xf numFmtId="0" fontId="74" fillId="24" borderId="10" xfId="0" applyFont="1" applyFill="1" applyBorder="1"/>
    <xf numFmtId="0" fontId="0" fillId="23" borderId="10" xfId="0" applyFill="1" applyBorder="1"/>
    <xf numFmtId="0" fontId="4" fillId="23" borderId="10" xfId="0" applyFont="1" applyFill="1" applyBorder="1"/>
    <xf numFmtId="203" fontId="71" fillId="23" borderId="10" xfId="0" applyNumberFormat="1" applyFont="1" applyFill="1" applyBorder="1"/>
    <xf numFmtId="203" fontId="65" fillId="25" borderId="10" xfId="40" applyNumberFormat="1" applyFont="1" applyFill="1" applyBorder="1"/>
    <xf numFmtId="203" fontId="23" fillId="21" borderId="10" xfId="40" applyNumberFormat="1" applyFont="1" applyFill="1" applyBorder="1" applyProtection="1">
      <protection locked="0"/>
    </xf>
    <xf numFmtId="0" fontId="65" fillId="25" borderId="25" xfId="0" applyFont="1" applyFill="1" applyBorder="1"/>
    <xf numFmtId="223" fontId="65" fillId="25" borderId="24" xfId="0" applyNumberFormat="1" applyFont="1" applyFill="1" applyBorder="1"/>
    <xf numFmtId="202" fontId="84" fillId="23" borderId="0" xfId="40" applyNumberFormat="1" applyFont="1" applyFill="1" applyBorder="1"/>
    <xf numFmtId="0" fontId="27" fillId="21" borderId="10" xfId="0" applyFont="1" applyFill="1" applyBorder="1" applyAlignment="1" applyProtection="1">
      <alignment horizontal="center" vertical="center" wrapText="1"/>
      <protection locked="0"/>
    </xf>
    <xf numFmtId="0" fontId="27" fillId="20" borderId="0" xfId="0" applyFont="1" applyFill="1"/>
    <xf numFmtId="0" fontId="28" fillId="20" borderId="0" xfId="0" applyFont="1" applyFill="1"/>
    <xf numFmtId="0" fontId="71" fillId="24" borderId="0" xfId="0" applyFont="1" applyFill="1"/>
    <xf numFmtId="191" fontId="2" fillId="25" borderId="10" xfId="35" applyNumberFormat="1" applyFont="1" applyFill="1" applyBorder="1" applyAlignment="1" applyProtection="1">
      <protection locked="0"/>
    </xf>
    <xf numFmtId="191" fontId="2" fillId="25" borderId="10" xfId="35" applyNumberFormat="1" applyFont="1" applyFill="1" applyBorder="1" applyProtection="1">
      <protection locked="0"/>
    </xf>
    <xf numFmtId="203" fontId="75" fillId="23" borderId="10" xfId="40" applyNumberFormat="1" applyFont="1" applyFill="1" applyBorder="1"/>
    <xf numFmtId="0" fontId="53" fillId="20" borderId="0" xfId="0" applyFont="1" applyFill="1" applyBorder="1" applyAlignment="1">
      <alignment horizontal="left" vertical="top" wrapText="1"/>
    </xf>
    <xf numFmtId="0" fontId="54" fillId="21" borderId="10" xfId="0" applyFont="1" applyFill="1" applyBorder="1" applyProtection="1">
      <protection locked="0"/>
    </xf>
    <xf numFmtId="0" fontId="23" fillId="21" borderId="10" xfId="0" applyFont="1" applyFill="1" applyBorder="1" applyAlignment="1" applyProtection="1">
      <alignment horizontal="justify" vertical="top" wrapText="1"/>
      <protection locked="0"/>
    </xf>
    <xf numFmtId="0" fontId="23" fillId="21" borderId="10" xfId="0" applyFont="1" applyFill="1" applyBorder="1" applyAlignment="1" applyProtection="1">
      <alignment horizontal="left" vertical="center" wrapText="1"/>
      <protection locked="0"/>
    </xf>
    <xf numFmtId="0" fontId="23" fillId="21" borderId="21" xfId="0" applyFont="1" applyFill="1" applyBorder="1" applyAlignment="1" applyProtection="1">
      <alignment horizontal="justify" vertical="top" wrapText="1"/>
      <protection locked="0"/>
    </xf>
    <xf numFmtId="0" fontId="23" fillId="21" borderId="10" xfId="0" applyFont="1" applyFill="1" applyBorder="1" applyAlignment="1" applyProtection="1">
      <alignment horizontal="left" vertical="top" wrapText="1"/>
      <protection locked="0"/>
    </xf>
    <xf numFmtId="0" fontId="27" fillId="0" borderId="0" xfId="0" applyFont="1"/>
    <xf numFmtId="0" fontId="28" fillId="0" borderId="10" xfId="0" applyFont="1" applyBorder="1" applyAlignment="1">
      <alignment horizontal="center" vertical="center" wrapText="1"/>
    </xf>
    <xf numFmtId="0" fontId="27" fillId="30" borderId="10" xfId="0" applyFont="1" applyFill="1" applyBorder="1"/>
    <xf numFmtId="0" fontId="29" fillId="21" borderId="10" xfId="0" applyFont="1" applyFill="1" applyBorder="1" applyProtection="1">
      <protection locked="0"/>
    </xf>
    <xf numFmtId="0" fontId="29" fillId="0" borderId="10" xfId="0" applyFont="1" applyFill="1" applyBorder="1" applyProtection="1"/>
    <xf numFmtId="1" fontId="29" fillId="0" borderId="10" xfId="0" applyNumberFormat="1" applyFont="1" applyFill="1" applyBorder="1"/>
    <xf numFmtId="0" fontId="27" fillId="30" borderId="10" xfId="0" applyFont="1" applyFill="1" applyBorder="1" applyAlignment="1">
      <alignment vertical="center" wrapText="1"/>
    </xf>
    <xf numFmtId="0" fontId="27" fillId="21" borderId="10" xfId="0" applyFont="1" applyFill="1" applyBorder="1" applyAlignment="1" applyProtection="1">
      <alignment horizontal="right" vertical="top" wrapText="1"/>
      <protection locked="0"/>
    </xf>
    <xf numFmtId="3" fontId="27" fillId="21" borderId="10" xfId="0" applyNumberFormat="1" applyFont="1" applyFill="1" applyBorder="1" applyAlignment="1" applyProtection="1">
      <alignment horizontal="right" vertical="top" wrapText="1"/>
      <protection locked="0"/>
    </xf>
    <xf numFmtId="3" fontId="27" fillId="0" borderId="10" xfId="35" applyNumberFormat="1" applyFont="1" applyFill="1" applyBorder="1" applyProtection="1"/>
    <xf numFmtId="3" fontId="29" fillId="21" borderId="10" xfId="0" applyNumberFormat="1" applyFont="1" applyFill="1" applyBorder="1" applyProtection="1">
      <protection locked="0"/>
    </xf>
    <xf numFmtId="1" fontId="27" fillId="0" borderId="10" xfId="0" applyNumberFormat="1" applyFont="1" applyBorder="1" applyAlignment="1">
      <alignment horizontal="right"/>
    </xf>
    <xf numFmtId="0" fontId="27" fillId="21" borderId="10" xfId="0" applyFont="1" applyFill="1" applyBorder="1" applyAlignment="1" applyProtection="1">
      <alignment horizontal="right" vertical="center" wrapText="1"/>
      <protection locked="0"/>
    </xf>
    <xf numFmtId="3" fontId="27" fillId="21" borderId="10" xfId="0" applyNumberFormat="1" applyFont="1" applyFill="1" applyBorder="1" applyAlignment="1" applyProtection="1">
      <alignment horizontal="right" vertical="center" wrapText="1"/>
      <protection locked="0"/>
    </xf>
    <xf numFmtId="0" fontId="27" fillId="21" borderId="10" xfId="0" applyFont="1" applyFill="1" applyBorder="1" applyAlignment="1" applyProtection="1">
      <alignment horizontal="center" vertical="top" wrapText="1"/>
      <protection locked="0"/>
    </xf>
    <xf numFmtId="0" fontId="27" fillId="0" borderId="10" xfId="0" applyFont="1" applyFill="1" applyBorder="1" applyProtection="1"/>
    <xf numFmtId="1" fontId="27" fillId="0" borderId="10" xfId="0" applyNumberFormat="1" applyFont="1" applyFill="1" applyBorder="1" applyAlignment="1">
      <alignment horizontal="right"/>
    </xf>
    <xf numFmtId="3" fontId="27" fillId="30" borderId="10" xfId="0" applyNumberFormat="1" applyFont="1" applyFill="1" applyBorder="1" applyAlignment="1">
      <alignment vertical="center" wrapText="1"/>
    </xf>
    <xf numFmtId="0" fontId="29" fillId="0" borderId="0" xfId="0" applyFont="1"/>
    <xf numFmtId="3" fontId="29" fillId="0" borderId="10" xfId="0" applyNumberFormat="1" applyFont="1" applyFill="1" applyBorder="1" applyProtection="1"/>
    <xf numFmtId="1" fontId="29" fillId="0" borderId="10" xfId="0" applyNumberFormat="1" applyFont="1" applyBorder="1"/>
    <xf numFmtId="0" fontId="27" fillId="0" borderId="0" xfId="0" applyFont="1" applyBorder="1" applyAlignment="1">
      <alignment vertical="center" wrapText="1"/>
    </xf>
    <xf numFmtId="0" fontId="27" fillId="0" borderId="0" xfId="0" applyFont="1" applyBorder="1"/>
    <xf numFmtId="0" fontId="27" fillId="0" borderId="10" xfId="0" applyFont="1" applyFill="1" applyBorder="1" applyAlignment="1">
      <alignment vertical="center" wrapText="1"/>
    </xf>
    <xf numFmtId="0" fontId="27" fillId="0" borderId="0" xfId="0" applyFont="1" applyFill="1" applyBorder="1"/>
    <xf numFmtId="3" fontId="27" fillId="0" borderId="10" xfId="0" applyNumberFormat="1" applyFont="1" applyFill="1" applyBorder="1" applyAlignment="1">
      <alignment horizontal="right" vertical="center" wrapText="1"/>
    </xf>
    <xf numFmtId="3" fontId="27" fillId="0" borderId="10" xfId="0" applyNumberFormat="1" applyFont="1" applyFill="1" applyBorder="1" applyAlignment="1">
      <alignment vertical="center" wrapText="1"/>
    </xf>
    <xf numFmtId="3" fontId="27" fillId="0" borderId="0" xfId="0" applyNumberFormat="1" applyFont="1" applyFill="1" applyBorder="1" applyAlignment="1">
      <alignment horizontal="center" vertical="center" wrapText="1"/>
    </xf>
    <xf numFmtId="3" fontId="27" fillId="31" borderId="10" xfId="0" applyNumberFormat="1" applyFont="1" applyFill="1" applyBorder="1" applyAlignment="1">
      <alignment horizontal="right" vertical="center" wrapText="1"/>
    </xf>
    <xf numFmtId="3" fontId="27" fillId="31" borderId="10" xfId="0" applyNumberFormat="1" applyFont="1" applyFill="1" applyBorder="1" applyAlignment="1">
      <alignment vertical="center" wrapText="1"/>
    </xf>
    <xf numFmtId="3" fontId="27" fillId="0" borderId="0" xfId="0" applyNumberFormat="1" applyFont="1" applyFill="1" applyBorder="1"/>
    <xf numFmtId="3" fontId="27" fillId="0" borderId="0" xfId="35" applyNumberFormat="1" applyFont="1" applyFill="1" applyBorder="1"/>
    <xf numFmtId="3" fontId="27" fillId="0" borderId="10" xfId="0" applyNumberFormat="1" applyFont="1" applyFill="1" applyBorder="1" applyAlignment="1" applyProtection="1">
      <alignment vertical="center" wrapText="1"/>
      <protection locked="0"/>
    </xf>
    <xf numFmtId="3" fontId="27" fillId="0" borderId="0" xfId="0" applyNumberFormat="1" applyFont="1" applyFill="1" applyBorder="1" applyAlignment="1">
      <alignment horizontal="right" vertical="center"/>
    </xf>
    <xf numFmtId="0" fontId="27" fillId="0" borderId="0" xfId="0" applyFont="1" applyFill="1" applyAlignment="1">
      <alignment horizontal="right" vertical="center"/>
    </xf>
    <xf numFmtId="0" fontId="28" fillId="0" borderId="42" xfId="0" applyFont="1" applyBorder="1" applyAlignment="1">
      <alignment horizontal="left"/>
    </xf>
    <xf numFmtId="0" fontId="84" fillId="32" borderId="21" xfId="0" applyFont="1" applyFill="1" applyBorder="1" applyAlignment="1">
      <alignment vertical="center" wrapText="1"/>
    </xf>
    <xf numFmtId="0" fontId="84" fillId="32" borderId="10" xfId="0" applyFont="1" applyFill="1" applyBorder="1" applyProtection="1">
      <protection locked="0"/>
    </xf>
    <xf numFmtId="3" fontId="84" fillId="32" borderId="10" xfId="0" applyNumberFormat="1" applyFont="1" applyFill="1" applyBorder="1" applyProtection="1"/>
    <xf numFmtId="1" fontId="84" fillId="32" borderId="10" xfId="0" applyNumberFormat="1" applyFont="1" applyFill="1" applyBorder="1"/>
    <xf numFmtId="0" fontId="84" fillId="24" borderId="18" xfId="0" applyFont="1" applyFill="1" applyBorder="1" applyAlignment="1">
      <alignment horizontal="center" vertical="center" wrapText="1"/>
    </xf>
    <xf numFmtId="0" fontId="84" fillId="24" borderId="19" xfId="0" applyFont="1" applyFill="1" applyBorder="1" applyAlignment="1">
      <alignment horizontal="center" vertical="center" wrapText="1"/>
    </xf>
    <xf numFmtId="0" fontId="84" fillId="24" borderId="20" xfId="0" applyFont="1" applyFill="1" applyBorder="1" applyAlignment="1">
      <alignment horizontal="center" vertical="center" wrapText="1"/>
    </xf>
    <xf numFmtId="0" fontId="23" fillId="0" borderId="33" xfId="0" applyFont="1" applyBorder="1" applyAlignment="1">
      <alignment vertical="center" wrapText="1"/>
    </xf>
    <xf numFmtId="3" fontId="27" fillId="0" borderId="14" xfId="0" applyNumberFormat="1" applyFont="1" applyFill="1" applyBorder="1" applyAlignment="1">
      <alignment horizontal="right"/>
    </xf>
    <xf numFmtId="0" fontId="23" fillId="33" borderId="33" xfId="0" applyFont="1" applyFill="1" applyBorder="1" applyAlignment="1">
      <alignment vertical="center" wrapText="1"/>
    </xf>
    <xf numFmtId="0" fontId="23" fillId="0" borderId="33" xfId="0" applyFont="1" applyBorder="1" applyAlignment="1">
      <alignment horizontal="left" vertical="center" wrapText="1"/>
    </xf>
    <xf numFmtId="0" fontId="46" fillId="29" borderId="15" xfId="0" applyFont="1" applyFill="1" applyBorder="1" applyAlignment="1">
      <alignment horizontal="left" vertical="center" wrapText="1"/>
    </xf>
    <xf numFmtId="3" fontId="27" fillId="30" borderId="16" xfId="0" applyNumberFormat="1" applyFont="1" applyFill="1" applyBorder="1" applyAlignment="1">
      <alignment vertical="center" wrapText="1"/>
    </xf>
    <xf numFmtId="3" fontId="27" fillId="30" borderId="17" xfId="0" applyNumberFormat="1" applyFont="1" applyFill="1" applyBorder="1" applyAlignment="1">
      <alignment vertical="center" wrapText="1"/>
    </xf>
    <xf numFmtId="0" fontId="23" fillId="0" borderId="32" xfId="0" applyFont="1" applyBorder="1" applyAlignment="1">
      <alignment horizontal="left" vertical="center" wrapText="1"/>
    </xf>
    <xf numFmtId="3" fontId="27" fillId="0" borderId="19" xfId="0" applyNumberFormat="1" applyFont="1" applyFill="1" applyBorder="1" applyAlignment="1">
      <alignment horizontal="right" vertical="center" wrapText="1"/>
    </xf>
    <xf numFmtId="3" fontId="27" fillId="0" borderId="19" xfId="0" applyNumberFormat="1" applyFont="1" applyFill="1" applyBorder="1" applyAlignment="1">
      <alignment vertical="center" wrapText="1"/>
    </xf>
    <xf numFmtId="3" fontId="27" fillId="0" borderId="20" xfId="0" applyNumberFormat="1" applyFont="1" applyFill="1" applyBorder="1" applyAlignment="1">
      <alignment horizontal="right"/>
    </xf>
    <xf numFmtId="3" fontId="27" fillId="30" borderId="17" xfId="0" applyNumberFormat="1" applyFont="1" applyFill="1" applyBorder="1"/>
    <xf numFmtId="3" fontId="27" fillId="31" borderId="19" xfId="0" applyNumberFormat="1" applyFont="1" applyFill="1" applyBorder="1" applyAlignment="1">
      <alignment horizontal="right" vertical="center" wrapText="1"/>
    </xf>
    <xf numFmtId="3" fontId="27" fillId="31" borderId="19" xfId="0" applyNumberFormat="1" applyFont="1" applyFill="1" applyBorder="1" applyAlignment="1">
      <alignment vertical="center" wrapText="1"/>
    </xf>
    <xf numFmtId="3" fontId="27" fillId="30" borderId="20" xfId="0" applyNumberFormat="1" applyFont="1" applyFill="1" applyBorder="1"/>
    <xf numFmtId="0" fontId="23" fillId="33" borderId="35" xfId="0" applyFont="1" applyFill="1" applyBorder="1" applyAlignment="1">
      <alignment vertical="center" wrapText="1"/>
    </xf>
    <xf numFmtId="1" fontId="27" fillId="0" borderId="10" xfId="0" applyNumberFormat="1" applyFont="1" applyFill="1" applyBorder="1" applyAlignment="1">
      <alignment vertical="center" wrapText="1"/>
    </xf>
    <xf numFmtId="0" fontId="28" fillId="0" borderId="0" xfId="0" applyFont="1" applyBorder="1" applyAlignment="1">
      <alignment horizontal="left" vertical="center" wrapText="1"/>
    </xf>
    <xf numFmtId="0" fontId="73" fillId="24" borderId="10" xfId="0" applyFont="1" applyFill="1" applyBorder="1" applyAlignment="1">
      <alignment horizontal="center" vertical="center" wrapText="1"/>
    </xf>
    <xf numFmtId="3" fontId="84" fillId="24" borderId="10" xfId="0" applyNumberFormat="1" applyFont="1" applyFill="1" applyBorder="1" applyProtection="1"/>
    <xf numFmtId="191" fontId="27" fillId="0" borderId="10" xfId="35" applyNumberFormat="1" applyFont="1" applyFill="1" applyBorder="1" applyAlignment="1">
      <alignment vertical="center" wrapText="1"/>
    </xf>
    <xf numFmtId="0" fontId="23" fillId="20" borderId="0" xfId="0" applyFont="1" applyFill="1" applyAlignment="1">
      <alignment horizontal="right"/>
    </xf>
    <xf numFmtId="3" fontId="0" fillId="20" borderId="0" xfId="0" applyNumberFormat="1" applyFill="1"/>
    <xf numFmtId="3" fontId="23" fillId="20" borderId="0" xfId="0" applyNumberFormat="1" applyFont="1" applyFill="1"/>
    <xf numFmtId="191" fontId="0" fillId="20" borderId="0" xfId="0" applyNumberFormat="1" applyFill="1"/>
    <xf numFmtId="0" fontId="27" fillId="31" borderId="10" xfId="0" applyFont="1" applyFill="1" applyBorder="1" applyAlignment="1">
      <alignment vertical="center" wrapText="1"/>
    </xf>
    <xf numFmtId="191" fontId="27" fillId="31" borderId="10" xfId="0" applyNumberFormat="1" applyFont="1" applyFill="1" applyBorder="1" applyAlignment="1">
      <alignment vertical="center" wrapText="1"/>
    </xf>
    <xf numFmtId="0" fontId="71" fillId="24" borderId="13" xfId="0" applyFont="1" applyFill="1" applyBorder="1"/>
    <xf numFmtId="0" fontId="71" fillId="24" borderId="14" xfId="0" applyFont="1" applyFill="1" applyBorder="1"/>
    <xf numFmtId="0" fontId="71" fillId="26" borderId="13" xfId="0" applyFont="1" applyFill="1" applyBorder="1"/>
    <xf numFmtId="203" fontId="85" fillId="26" borderId="14" xfId="40" applyNumberFormat="1" applyFont="1" applyFill="1" applyBorder="1"/>
    <xf numFmtId="0" fontId="28" fillId="22" borderId="13" xfId="0" applyFont="1" applyFill="1" applyBorder="1"/>
    <xf numFmtId="0" fontId="28" fillId="22" borderId="13" xfId="0" applyFont="1" applyFill="1" applyBorder="1" applyAlignment="1">
      <alignment wrapText="1"/>
    </xf>
    <xf numFmtId="0" fontId="28" fillId="23" borderId="59" xfId="0" applyFont="1" applyFill="1" applyBorder="1"/>
    <xf numFmtId="223" fontId="65" fillId="25" borderId="45" xfId="0" applyNumberFormat="1" applyFont="1" applyFill="1" applyBorder="1"/>
    <xf numFmtId="202" fontId="86" fillId="31" borderId="10" xfId="40" applyNumberFormat="1" applyFont="1" applyFill="1" applyBorder="1"/>
    <xf numFmtId="202" fontId="86" fillId="31" borderId="14" xfId="40" applyNumberFormat="1" applyFont="1" applyFill="1" applyBorder="1"/>
    <xf numFmtId="3" fontId="27" fillId="0" borderId="0" xfId="0" applyNumberFormat="1" applyFont="1"/>
    <xf numFmtId="0" fontId="28" fillId="22" borderId="10" xfId="0" applyFont="1" applyFill="1" applyBorder="1"/>
    <xf numFmtId="10" fontId="58" fillId="20" borderId="0" xfId="47" applyNumberFormat="1" applyFont="1" applyFill="1"/>
    <xf numFmtId="0" fontId="50" fillId="24" borderId="10" xfId="0" applyFont="1" applyFill="1" applyBorder="1" applyAlignment="1">
      <alignment horizontal="center" vertical="center" wrapText="1"/>
    </xf>
    <xf numFmtId="0" fontId="52" fillId="24" borderId="10" xfId="0" applyFont="1" applyFill="1" applyBorder="1" applyAlignment="1">
      <alignment horizontal="center" vertical="center" wrapText="1"/>
    </xf>
    <xf numFmtId="0" fontId="56" fillId="22" borderId="10" xfId="0" applyFont="1" applyFill="1" applyBorder="1" applyAlignment="1">
      <alignment horizontal="center"/>
    </xf>
    <xf numFmtId="203" fontId="2" fillId="25" borderId="10" xfId="40" applyNumberFormat="1" applyFont="1" applyFill="1" applyBorder="1"/>
    <xf numFmtId="203" fontId="56" fillId="25" borderId="10" xfId="40" applyNumberFormat="1" applyFont="1" applyFill="1" applyBorder="1"/>
    <xf numFmtId="0" fontId="0" fillId="20" borderId="60" xfId="0" applyFill="1" applyBorder="1"/>
    <xf numFmtId="0" fontId="23" fillId="20" borderId="61" xfId="0" applyFont="1" applyFill="1" applyBorder="1"/>
    <xf numFmtId="203" fontId="58" fillId="20" borderId="62" xfId="40" applyNumberFormat="1" applyFont="1" applyFill="1" applyBorder="1"/>
    <xf numFmtId="0" fontId="76" fillId="24" borderId="0" xfId="0" applyFont="1" applyFill="1"/>
    <xf numFmtId="203" fontId="55" fillId="25" borderId="0" xfId="0" applyNumberFormat="1" applyFont="1" applyFill="1"/>
    <xf numFmtId="203" fontId="4" fillId="25" borderId="0" xfId="0" applyNumberFormat="1" applyFont="1" applyFill="1"/>
    <xf numFmtId="0" fontId="23" fillId="25" borderId="10" xfId="0" applyFont="1" applyFill="1" applyBorder="1"/>
    <xf numFmtId="0" fontId="23" fillId="25" borderId="63" xfId="0" applyFont="1" applyFill="1" applyBorder="1"/>
    <xf numFmtId="0" fontId="76" fillId="24" borderId="63" xfId="0" applyFont="1" applyFill="1" applyBorder="1"/>
    <xf numFmtId="0" fontId="76" fillId="24" borderId="64" xfId="0" applyFont="1" applyFill="1" applyBorder="1"/>
    <xf numFmtId="203" fontId="58" fillId="25" borderId="65" xfId="40" applyNumberFormat="1" applyFont="1" applyFill="1" applyBorder="1"/>
    <xf numFmtId="203" fontId="71" fillId="24" borderId="21" xfId="40" applyNumberFormat="1" applyFont="1" applyFill="1" applyBorder="1"/>
    <xf numFmtId="0" fontId="0" fillId="21" borderId="62" xfId="0" applyFill="1" applyBorder="1" applyProtection="1">
      <protection locked="0"/>
    </xf>
    <xf numFmtId="170" fontId="58" fillId="21" borderId="62" xfId="40" applyFont="1" applyFill="1" applyBorder="1" applyProtection="1">
      <protection locked="0"/>
    </xf>
    <xf numFmtId="9" fontId="58" fillId="21" borderId="0" xfId="47" applyFont="1" applyFill="1" applyProtection="1">
      <protection locked="0"/>
    </xf>
    <xf numFmtId="170" fontId="77" fillId="26" borderId="65" xfId="40" applyFont="1" applyFill="1" applyBorder="1"/>
    <xf numFmtId="170" fontId="77" fillId="26" borderId="62" xfId="40" applyFont="1" applyFill="1" applyBorder="1"/>
    <xf numFmtId="170" fontId="77" fillId="26" borderId="61" xfId="40" applyFont="1" applyFill="1" applyBorder="1"/>
    <xf numFmtId="202" fontId="2" fillId="0" borderId="27" xfId="40" applyNumberFormat="1" applyFont="1" applyBorder="1"/>
    <xf numFmtId="202" fontId="2" fillId="0" borderId="0" xfId="40" applyNumberFormat="1" applyFont="1" applyBorder="1"/>
    <xf numFmtId="202" fontId="2" fillId="0" borderId="59" xfId="40" applyNumberFormat="1" applyFont="1" applyBorder="1"/>
    <xf numFmtId="202" fontId="2" fillId="0" borderId="64" xfId="40" applyNumberFormat="1" applyFont="1" applyBorder="1"/>
    <xf numFmtId="202" fontId="2" fillId="0" borderId="63" xfId="40" applyNumberFormat="1" applyFont="1" applyBorder="1"/>
    <xf numFmtId="202" fontId="2" fillId="0" borderId="60" xfId="40" applyNumberFormat="1" applyFont="1" applyBorder="1"/>
    <xf numFmtId="0" fontId="28" fillId="21" borderId="66" xfId="0" applyFont="1" applyFill="1" applyBorder="1" applyAlignment="1"/>
    <xf numFmtId="0" fontId="28" fillId="21" borderId="67" xfId="0" applyFont="1" applyFill="1" applyBorder="1" applyAlignment="1">
      <alignment horizontal="center"/>
    </xf>
    <xf numFmtId="0" fontId="28" fillId="21" borderId="38" xfId="0" applyFont="1" applyFill="1" applyBorder="1" applyAlignment="1">
      <alignment horizontal="center"/>
    </xf>
    <xf numFmtId="0" fontId="28" fillId="21" borderId="50" xfId="0" applyFont="1" applyFill="1" applyBorder="1" applyAlignment="1">
      <alignment horizontal="center"/>
    </xf>
    <xf numFmtId="171" fontId="27" fillId="20" borderId="10" xfId="35" applyFont="1" applyFill="1" applyBorder="1"/>
    <xf numFmtId="171" fontId="27" fillId="20" borderId="14" xfId="35" applyFont="1" applyFill="1" applyBorder="1"/>
    <xf numFmtId="170" fontId="84" fillId="24" borderId="10" xfId="40" applyFont="1" applyFill="1" applyBorder="1"/>
    <xf numFmtId="170" fontId="84" fillId="24" borderId="14" xfId="40" applyFont="1" applyFill="1" applyBorder="1"/>
    <xf numFmtId="170" fontId="84" fillId="24" borderId="22" xfId="40" applyFont="1" applyFill="1" applyBorder="1"/>
    <xf numFmtId="170" fontId="84" fillId="24" borderId="47" xfId="40" applyFont="1" applyFill="1" applyBorder="1"/>
    <xf numFmtId="0" fontId="87" fillId="22" borderId="68" xfId="0" applyFont="1" applyFill="1" applyBorder="1" applyAlignment="1">
      <alignment horizontal="left" wrapText="1"/>
    </xf>
    <xf numFmtId="203" fontId="87" fillId="22" borderId="69" xfId="40" applyNumberFormat="1" applyFont="1" applyFill="1" applyBorder="1"/>
    <xf numFmtId="203" fontId="87" fillId="22" borderId="70" xfId="40" applyNumberFormat="1" applyFont="1" applyFill="1" applyBorder="1"/>
    <xf numFmtId="0" fontId="87" fillId="23" borderId="25" xfId="0" applyFont="1" applyFill="1" applyBorder="1" applyAlignment="1">
      <alignment horizontal="left" wrapText="1"/>
    </xf>
    <xf numFmtId="203" fontId="87" fillId="23" borderId="24" xfId="40" applyNumberFormat="1" applyFont="1" applyFill="1" applyBorder="1"/>
    <xf numFmtId="203" fontId="87" fillId="23" borderId="45" xfId="40" applyNumberFormat="1" applyFont="1" applyFill="1" applyBorder="1"/>
    <xf numFmtId="0" fontId="84" fillId="24" borderId="25" xfId="0" applyFont="1" applyFill="1" applyBorder="1" applyAlignment="1">
      <alignment horizontal="left" wrapText="1"/>
    </xf>
    <xf numFmtId="203" fontId="84" fillId="24" borderId="24" xfId="40" applyNumberFormat="1" applyFont="1" applyFill="1" applyBorder="1"/>
    <xf numFmtId="203" fontId="84" fillId="24" borderId="45" xfId="40" applyNumberFormat="1" applyFont="1" applyFill="1" applyBorder="1"/>
    <xf numFmtId="0" fontId="27" fillId="0" borderId="59" xfId="0" applyFont="1" applyBorder="1"/>
    <xf numFmtId="0" fontId="75" fillId="24" borderId="0" xfId="0" applyFont="1" applyFill="1" applyBorder="1" applyAlignment="1">
      <alignment horizontal="center"/>
    </xf>
    <xf numFmtId="0" fontId="75" fillId="24" borderId="27" xfId="0" applyFont="1" applyFill="1" applyBorder="1" applyAlignment="1">
      <alignment horizontal="center"/>
    </xf>
    <xf numFmtId="0" fontId="42" fillId="21" borderId="60" xfId="0" applyFont="1" applyFill="1" applyBorder="1"/>
    <xf numFmtId="0" fontId="73" fillId="24" borderId="63" xfId="0" applyFont="1" applyFill="1" applyBorder="1" applyAlignment="1">
      <alignment horizontal="center"/>
    </xf>
    <xf numFmtId="0" fontId="41" fillId="29" borderId="15" xfId="0" applyFont="1" applyFill="1" applyBorder="1" applyAlignment="1">
      <alignment horizontal="left" vertical="center" wrapText="1"/>
    </xf>
    <xf numFmtId="224" fontId="23" fillId="20" borderId="0" xfId="38" applyNumberFormat="1" applyFont="1" applyFill="1" applyBorder="1" applyProtection="1">
      <protection hidden="1"/>
    </xf>
    <xf numFmtId="41" fontId="23" fillId="20" borderId="0" xfId="36" applyFill="1" applyBorder="1" applyAlignment="1" applyProtection="1">
      <alignment horizontal="center"/>
      <protection hidden="1"/>
    </xf>
    <xf numFmtId="224" fontId="4" fillId="25" borderId="13" xfId="38" applyNumberFormat="1" applyFont="1" applyFill="1" applyBorder="1" applyProtection="1">
      <protection hidden="1"/>
    </xf>
    <xf numFmtId="224" fontId="71" fillId="34" borderId="13" xfId="38" applyNumberFormat="1" applyFont="1" applyFill="1" applyBorder="1" applyAlignment="1" applyProtection="1">
      <protection hidden="1"/>
    </xf>
    <xf numFmtId="224" fontId="51" fillId="24" borderId="66" xfId="38" applyNumberFormat="1" applyFont="1" applyFill="1" applyBorder="1" applyAlignment="1" applyProtection="1">
      <alignment horizontal="center"/>
      <protection hidden="1"/>
    </xf>
    <xf numFmtId="224" fontId="71" fillId="24" borderId="13" xfId="38" applyNumberFormat="1" applyFont="1" applyFill="1" applyBorder="1" applyProtection="1">
      <protection hidden="1"/>
    </xf>
    <xf numFmtId="224" fontId="4" fillId="23" borderId="0" xfId="38" applyNumberFormat="1" applyFont="1" applyFill="1" applyBorder="1" applyProtection="1">
      <protection hidden="1"/>
    </xf>
    <xf numFmtId="3" fontId="32" fillId="23" borderId="0" xfId="36" applyNumberFormat="1" applyFont="1" applyFill="1" applyBorder="1" applyAlignment="1" applyProtection="1">
      <alignment horizontal="center"/>
      <protection hidden="1"/>
    </xf>
    <xf numFmtId="3" fontId="28" fillId="0" borderId="0" xfId="0" applyNumberFormat="1" applyFont="1"/>
    <xf numFmtId="0" fontId="4" fillId="20" borderId="0" xfId="0" applyFont="1" applyFill="1" applyAlignment="1">
      <alignment horizontal="right"/>
    </xf>
    <xf numFmtId="191" fontId="59" fillId="20" borderId="0" xfId="35" applyNumberFormat="1" applyFont="1" applyFill="1"/>
    <xf numFmtId="3" fontId="27" fillId="0" borderId="47" xfId="0" applyNumberFormat="1" applyFont="1" applyFill="1" applyBorder="1" applyAlignment="1">
      <alignment horizontal="right"/>
    </xf>
    <xf numFmtId="224" fontId="71" fillId="26" borderId="13" xfId="38" applyNumberFormat="1" applyFont="1" applyFill="1" applyBorder="1" applyAlignment="1" applyProtection="1">
      <alignment horizontal="left" indent="1"/>
      <protection hidden="1"/>
    </xf>
    <xf numFmtId="224" fontId="76" fillId="26" borderId="13" xfId="38" quotePrefix="1" applyNumberFormat="1" applyFont="1" applyFill="1" applyBorder="1" applyAlignment="1" applyProtection="1">
      <alignment horizontal="left"/>
      <protection hidden="1"/>
    </xf>
    <xf numFmtId="224" fontId="76" fillId="26" borderId="13" xfId="38" applyNumberFormat="1" applyFont="1" applyFill="1" applyBorder="1" applyProtection="1">
      <protection hidden="1"/>
    </xf>
    <xf numFmtId="224" fontId="51" fillId="24" borderId="25" xfId="38" applyNumberFormat="1" applyFont="1" applyFill="1" applyBorder="1" applyAlignment="1" applyProtection="1">
      <alignment horizontal="center"/>
      <protection hidden="1"/>
    </xf>
    <xf numFmtId="0" fontId="32" fillId="24" borderId="69" xfId="0" applyFont="1" applyFill="1" applyBorder="1" applyAlignment="1" applyProtection="1">
      <alignment horizontal="center"/>
      <protection hidden="1"/>
    </xf>
    <xf numFmtId="0" fontId="32" fillId="24" borderId="70" xfId="0" applyFont="1" applyFill="1" applyBorder="1" applyAlignment="1" applyProtection="1">
      <alignment horizontal="center"/>
      <protection hidden="1"/>
    </xf>
    <xf numFmtId="203" fontId="71" fillId="26" borderId="10" xfId="40" applyNumberFormat="1" applyFont="1" applyFill="1" applyBorder="1" applyAlignment="1" applyProtection="1">
      <alignment horizontal="center"/>
      <protection hidden="1"/>
    </xf>
    <xf numFmtId="203" fontId="76" fillId="26" borderId="37" xfId="40" applyNumberFormat="1" applyFont="1" applyFill="1" applyBorder="1" applyAlignment="1" applyProtection="1">
      <alignment horizontal="center"/>
      <protection hidden="1"/>
    </xf>
    <xf numFmtId="203" fontId="76" fillId="26" borderId="71" xfId="40" applyNumberFormat="1" applyFont="1" applyFill="1" applyBorder="1" applyAlignment="1" applyProtection="1">
      <alignment horizontal="center"/>
      <protection hidden="1"/>
    </xf>
    <xf numFmtId="203" fontId="76" fillId="26" borderId="10" xfId="40" applyNumberFormat="1" applyFont="1" applyFill="1" applyBorder="1" applyAlignment="1" applyProtection="1">
      <alignment horizontal="center"/>
      <protection hidden="1"/>
    </xf>
    <xf numFmtId="203" fontId="76" fillId="26" borderId="14" xfId="40" applyNumberFormat="1" applyFont="1" applyFill="1" applyBorder="1" applyAlignment="1" applyProtection="1">
      <alignment horizontal="center"/>
      <protection hidden="1"/>
    </xf>
    <xf numFmtId="203" fontId="71" fillId="26" borderId="71" xfId="40" applyNumberFormat="1" applyFont="1" applyFill="1" applyBorder="1" applyAlignment="1" applyProtection="1">
      <alignment horizontal="center"/>
      <protection hidden="1"/>
    </xf>
    <xf numFmtId="203" fontId="23" fillId="25" borderId="37" xfId="40" applyNumberFormat="1" applyFont="1" applyFill="1" applyBorder="1" applyAlignment="1" applyProtection="1">
      <alignment horizontal="center"/>
      <protection hidden="1"/>
    </xf>
    <xf numFmtId="203" fontId="76" fillId="34" borderId="37" xfId="40" applyNumberFormat="1" applyFont="1" applyFill="1" applyBorder="1" applyAlignment="1" applyProtection="1">
      <alignment horizontal="center"/>
      <protection hidden="1"/>
    </xf>
    <xf numFmtId="203" fontId="76" fillId="34" borderId="71" xfId="40" applyNumberFormat="1" applyFont="1" applyFill="1" applyBorder="1" applyAlignment="1" applyProtection="1">
      <alignment horizontal="center"/>
      <protection hidden="1"/>
    </xf>
    <xf numFmtId="203" fontId="23" fillId="25" borderId="71" xfId="40" applyNumberFormat="1" applyFont="1" applyFill="1" applyBorder="1" applyAlignment="1" applyProtection="1">
      <alignment horizontal="center"/>
      <protection hidden="1"/>
    </xf>
    <xf numFmtId="203" fontId="71" fillId="24" borderId="37" xfId="40" applyNumberFormat="1" applyFont="1" applyFill="1" applyBorder="1" applyAlignment="1" applyProtection="1">
      <alignment horizontal="center"/>
      <protection hidden="1"/>
    </xf>
    <xf numFmtId="203" fontId="71" fillId="24" borderId="71" xfId="40" applyNumberFormat="1" applyFont="1" applyFill="1" applyBorder="1" applyAlignment="1" applyProtection="1">
      <alignment horizontal="center"/>
      <protection hidden="1"/>
    </xf>
    <xf numFmtId="225" fontId="27" fillId="20" borderId="0" xfId="47" applyNumberFormat="1" applyFont="1" applyFill="1"/>
    <xf numFmtId="0" fontId="65" fillId="20" borderId="0" xfId="0" applyFont="1" applyFill="1" applyBorder="1"/>
    <xf numFmtId="223" fontId="65" fillId="20" borderId="0" xfId="0" applyNumberFormat="1" applyFont="1" applyFill="1" applyBorder="1"/>
    <xf numFmtId="203" fontId="28" fillId="21" borderId="10" xfId="40" applyNumberFormat="1" applyFont="1" applyFill="1" applyBorder="1" applyAlignment="1" applyProtection="1">
      <alignment horizontal="center"/>
    </xf>
    <xf numFmtId="203" fontId="28" fillId="21" borderId="22" xfId="40" applyNumberFormat="1" applyFont="1" applyFill="1" applyBorder="1" applyAlignment="1" applyProtection="1">
      <alignment horizontal="center"/>
    </xf>
    <xf numFmtId="0" fontId="27" fillId="20" borderId="0" xfId="0" applyFont="1" applyFill="1" applyProtection="1"/>
    <xf numFmtId="0" fontId="84" fillId="24" borderId="72" xfId="0" applyFont="1" applyFill="1" applyBorder="1" applyAlignment="1" applyProtection="1">
      <alignment horizontal="center" vertical="center" wrapText="1"/>
    </xf>
    <xf numFmtId="0" fontId="84" fillId="24" borderId="19" xfId="0" applyFont="1" applyFill="1" applyBorder="1" applyAlignment="1" applyProtection="1">
      <alignment vertical="center"/>
    </xf>
    <xf numFmtId="0" fontId="84" fillId="24" borderId="19" xfId="0" applyFont="1" applyFill="1" applyBorder="1" applyAlignment="1" applyProtection="1">
      <alignment vertical="center" wrapText="1"/>
    </xf>
    <xf numFmtId="0" fontId="84" fillId="24" borderId="20" xfId="0" applyFont="1" applyFill="1" applyBorder="1" applyAlignment="1" applyProtection="1">
      <alignment wrapText="1"/>
    </xf>
    <xf numFmtId="202" fontId="28" fillId="25" borderId="10" xfId="40" applyNumberFormat="1" applyFont="1" applyFill="1" applyBorder="1" applyProtection="1"/>
    <xf numFmtId="10" fontId="28" fillId="25" borderId="14" xfId="47" applyNumberFormat="1" applyFont="1" applyFill="1" applyBorder="1" applyProtection="1"/>
    <xf numFmtId="202" fontId="28" fillId="25" borderId="22" xfId="40" applyNumberFormat="1" applyFont="1" applyFill="1" applyBorder="1" applyProtection="1"/>
    <xf numFmtId="202" fontId="28" fillId="25" borderId="16" xfId="40" applyNumberFormat="1" applyFont="1" applyFill="1" applyBorder="1" applyProtection="1"/>
    <xf numFmtId="203" fontId="28" fillId="25" borderId="70" xfId="40" applyNumberFormat="1" applyFont="1" applyFill="1" applyBorder="1" applyProtection="1"/>
    <xf numFmtId="0" fontId="28" fillId="20" borderId="0" xfId="0" applyFont="1" applyFill="1" applyProtection="1"/>
    <xf numFmtId="0" fontId="88" fillId="24" borderId="10" xfId="0" applyFont="1" applyFill="1" applyBorder="1" applyAlignment="1" applyProtection="1">
      <alignment wrapText="1"/>
    </xf>
    <xf numFmtId="0" fontId="88" fillId="24" borderId="10" xfId="0" applyFont="1" applyFill="1" applyBorder="1" applyProtection="1"/>
    <xf numFmtId="202" fontId="28" fillId="25" borderId="10" xfId="0" applyNumberFormat="1" applyFont="1" applyFill="1" applyBorder="1" applyProtection="1"/>
    <xf numFmtId="10" fontId="28" fillId="25" borderId="10" xfId="0" applyNumberFormat="1" applyFont="1" applyFill="1" applyBorder="1" applyProtection="1"/>
    <xf numFmtId="223" fontId="28" fillId="25" borderId="10" xfId="0" applyNumberFormat="1" applyFont="1" applyFill="1" applyBorder="1" applyProtection="1"/>
    <xf numFmtId="203" fontId="28" fillId="23" borderId="0" xfId="40" applyNumberFormat="1" applyFont="1" applyFill="1" applyProtection="1"/>
    <xf numFmtId="1" fontId="86" fillId="21" borderId="0" xfId="0" applyNumberFormat="1" applyFont="1" applyFill="1" applyProtection="1"/>
    <xf numFmtId="0" fontId="28" fillId="35" borderId="10" xfId="0" applyFont="1" applyFill="1" applyBorder="1" applyProtection="1"/>
    <xf numFmtId="0" fontId="27" fillId="35" borderId="10" xfId="0" applyFont="1" applyFill="1" applyBorder="1" applyProtection="1"/>
    <xf numFmtId="1" fontId="27" fillId="35" borderId="10" xfId="0" applyNumberFormat="1" applyFont="1" applyFill="1" applyBorder="1" applyProtection="1"/>
    <xf numFmtId="171" fontId="27" fillId="25" borderId="10" xfId="35" applyFont="1" applyFill="1" applyBorder="1" applyProtection="1"/>
    <xf numFmtId="171" fontId="27" fillId="23" borderId="10" xfId="35" applyFont="1" applyFill="1" applyBorder="1" applyProtection="1"/>
    <xf numFmtId="200" fontId="27" fillId="35" borderId="10" xfId="0" applyNumberFormat="1" applyFont="1" applyFill="1" applyBorder="1" applyProtection="1"/>
    <xf numFmtId="170" fontId="27" fillId="35" borderId="10" xfId="40" applyFont="1" applyFill="1" applyBorder="1" applyProtection="1"/>
    <xf numFmtId="171" fontId="28" fillId="25" borderId="10" xfId="0" applyNumberFormat="1" applyFont="1" applyFill="1" applyBorder="1" applyProtection="1"/>
    <xf numFmtId="171" fontId="28" fillId="23" borderId="10" xfId="0" applyNumberFormat="1" applyFont="1" applyFill="1" applyBorder="1" applyProtection="1"/>
    <xf numFmtId="3" fontId="23" fillId="20" borderId="10" xfId="39" applyNumberFormat="1" applyFill="1" applyBorder="1" applyAlignment="1" applyProtection="1">
      <alignment horizontal="center"/>
      <protection hidden="1"/>
    </xf>
    <xf numFmtId="43" fontId="23" fillId="20" borderId="10" xfId="39" applyFill="1" applyBorder="1" applyAlignment="1" applyProtection="1">
      <alignment horizontal="left" indent="1"/>
      <protection hidden="1"/>
    </xf>
    <xf numFmtId="224" fontId="57" fillId="20" borderId="10" xfId="39" applyNumberFormat="1" applyFont="1" applyFill="1" applyBorder="1" applyAlignment="1" applyProtection="1">
      <alignment horizontal="left" indent="1"/>
      <protection hidden="1"/>
    </xf>
    <xf numFmtId="3" fontId="57" fillId="20" borderId="10" xfId="39" applyNumberFormat="1" applyFont="1" applyFill="1" applyBorder="1" applyAlignment="1" applyProtection="1">
      <alignment horizontal="center"/>
      <protection hidden="1"/>
    </xf>
    <xf numFmtId="43" fontId="23" fillId="20" borderId="10" xfId="39" applyFill="1" applyBorder="1" applyProtection="1">
      <protection hidden="1"/>
    </xf>
    <xf numFmtId="43" fontId="51" fillId="24" borderId="25" xfId="39" applyFont="1" applyFill="1" applyBorder="1" applyAlignment="1" applyProtection="1">
      <alignment horizontal="center"/>
      <protection hidden="1"/>
    </xf>
    <xf numFmtId="0" fontId="32" fillId="24" borderId="24" xfId="0" applyFont="1" applyFill="1" applyBorder="1" applyAlignment="1" applyProtection="1">
      <alignment horizontal="center"/>
      <protection hidden="1"/>
    </xf>
    <xf numFmtId="0" fontId="32" fillId="24" borderId="45" xfId="0" applyFont="1" applyFill="1" applyBorder="1" applyAlignment="1" applyProtection="1">
      <alignment horizontal="center"/>
      <protection hidden="1"/>
    </xf>
    <xf numFmtId="224" fontId="89" fillId="20" borderId="10" xfId="39" applyNumberFormat="1" applyFont="1" applyFill="1" applyBorder="1" applyAlignment="1" applyProtection="1">
      <alignment horizontal="left" indent="1"/>
      <protection hidden="1"/>
    </xf>
    <xf numFmtId="3" fontId="89" fillId="20" borderId="10" xfId="39" applyNumberFormat="1" applyFont="1" applyFill="1" applyBorder="1" applyAlignment="1" applyProtection="1">
      <alignment horizontal="center"/>
      <protection hidden="1"/>
    </xf>
    <xf numFmtId="43" fontId="73" fillId="24" borderId="10" xfId="39" applyFont="1" applyFill="1" applyBorder="1" applyAlignment="1" applyProtection="1">
      <alignment horizontal="left"/>
      <protection hidden="1"/>
    </xf>
    <xf numFmtId="43" fontId="71" fillId="24" borderId="10" xfId="39" applyFont="1" applyFill="1" applyBorder="1" applyProtection="1">
      <protection hidden="1"/>
    </xf>
    <xf numFmtId="3" fontId="71" fillId="24" borderId="10" xfId="39" applyNumberFormat="1" applyFont="1" applyFill="1" applyBorder="1" applyAlignment="1" applyProtection="1">
      <alignment horizontal="center"/>
      <protection hidden="1"/>
    </xf>
    <xf numFmtId="43" fontId="71" fillId="24" borderId="10" xfId="39" quotePrefix="1" applyFont="1" applyFill="1" applyBorder="1" applyAlignment="1" applyProtection="1">
      <alignment horizontal="left"/>
      <protection hidden="1"/>
    </xf>
    <xf numFmtId="0" fontId="23" fillId="22" borderId="25" xfId="0" applyFont="1" applyFill="1" applyBorder="1"/>
    <xf numFmtId="0" fontId="23" fillId="22" borderId="61" xfId="0" applyFont="1" applyFill="1" applyBorder="1"/>
    <xf numFmtId="9" fontId="90" fillId="21" borderId="66" xfId="47" applyNumberFormat="1" applyFont="1" applyFill="1" applyBorder="1" applyProtection="1">
      <protection locked="0"/>
    </xf>
    <xf numFmtId="9" fontId="90" fillId="21" borderId="54" xfId="47" applyNumberFormat="1" applyFont="1" applyFill="1" applyBorder="1" applyProtection="1">
      <protection locked="0"/>
    </xf>
    <xf numFmtId="203" fontId="0" fillId="20" borderId="0" xfId="0" applyNumberFormat="1" applyFill="1"/>
    <xf numFmtId="203" fontId="61" fillId="20" borderId="0" xfId="40" applyNumberFormat="1" applyFont="1" applyFill="1"/>
    <xf numFmtId="43" fontId="23" fillId="25" borderId="38" xfId="39" applyFont="1" applyFill="1" applyBorder="1" applyAlignment="1" applyProtection="1">
      <alignment horizontal="left" indent="1"/>
      <protection hidden="1"/>
    </xf>
    <xf numFmtId="3" fontId="23" fillId="25" borderId="38" xfId="39" applyNumberFormat="1" applyFill="1" applyBorder="1" applyAlignment="1" applyProtection="1">
      <alignment horizontal="center"/>
      <protection hidden="1"/>
    </xf>
    <xf numFmtId="43" fontId="23" fillId="25" borderId="10" xfId="39" quotePrefix="1" applyFill="1" applyBorder="1" applyAlignment="1" applyProtection="1">
      <alignment horizontal="left" indent="1"/>
      <protection hidden="1"/>
    </xf>
    <xf numFmtId="3" fontId="23" fillId="25" borderId="10" xfId="39" applyNumberFormat="1" applyFill="1" applyBorder="1" applyAlignment="1" applyProtection="1">
      <alignment horizontal="center"/>
      <protection hidden="1"/>
    </xf>
    <xf numFmtId="43" fontId="23" fillId="25" borderId="10" xfId="39" applyFill="1" applyBorder="1" applyAlignment="1" applyProtection="1">
      <alignment horizontal="left" indent="1"/>
      <protection hidden="1"/>
    </xf>
    <xf numFmtId="224" fontId="89" fillId="25" borderId="10" xfId="39" applyNumberFormat="1" applyFont="1" applyFill="1" applyBorder="1" applyAlignment="1" applyProtection="1">
      <alignment horizontal="left" indent="1"/>
      <protection hidden="1"/>
    </xf>
    <xf numFmtId="3" fontId="89" fillId="25" borderId="10" xfId="39" applyNumberFormat="1" applyFont="1" applyFill="1" applyBorder="1" applyAlignment="1" applyProtection="1">
      <alignment horizontal="center"/>
      <protection hidden="1"/>
    </xf>
    <xf numFmtId="43" fontId="23" fillId="25" borderId="10" xfId="39" applyFont="1" applyFill="1" applyBorder="1" applyProtection="1">
      <protection hidden="1"/>
    </xf>
    <xf numFmtId="43" fontId="4" fillId="25" borderId="10" xfId="39" applyFont="1" applyFill="1" applyBorder="1" applyProtection="1">
      <protection hidden="1"/>
    </xf>
    <xf numFmtId="3" fontId="4" fillId="25" borderId="10" xfId="39" applyNumberFormat="1" applyFont="1" applyFill="1" applyBorder="1" applyAlignment="1" applyProtection="1">
      <alignment horizontal="center"/>
      <protection hidden="1"/>
    </xf>
    <xf numFmtId="43" fontId="23" fillId="25" borderId="10" xfId="39" applyFill="1" applyBorder="1" applyAlignment="1" applyProtection="1">
      <alignment horizontal="left"/>
      <protection hidden="1"/>
    </xf>
    <xf numFmtId="224" fontId="23" fillId="20" borderId="0" xfId="39" applyNumberFormat="1" applyFont="1" applyFill="1" applyProtection="1">
      <protection hidden="1"/>
    </xf>
    <xf numFmtId="224" fontId="60" fillId="20" borderId="0" xfId="39" applyNumberFormat="1" applyFont="1" applyFill="1" applyProtection="1">
      <protection hidden="1"/>
    </xf>
    <xf numFmtId="3" fontId="47" fillId="20" borderId="0" xfId="39" applyNumberFormat="1" applyFont="1" applyFill="1" applyAlignment="1" applyProtection="1">
      <alignment horizontal="center"/>
      <protection hidden="1"/>
    </xf>
    <xf numFmtId="224" fontId="91" fillId="24" borderId="66" xfId="39" applyNumberFormat="1" applyFont="1" applyFill="1" applyBorder="1" applyAlignment="1" applyProtection="1">
      <alignment horizontal="center"/>
      <protection hidden="1"/>
    </xf>
    <xf numFmtId="0" fontId="71" fillId="24" borderId="25" xfId="0" applyFont="1" applyFill="1" applyBorder="1" applyAlignment="1" applyProtection="1">
      <alignment horizontal="center"/>
      <protection hidden="1"/>
    </xf>
    <xf numFmtId="0" fontId="71" fillId="24" borderId="24" xfId="0" applyFont="1" applyFill="1" applyBorder="1" applyAlignment="1" applyProtection="1">
      <alignment horizontal="center"/>
      <protection hidden="1"/>
    </xf>
    <xf numFmtId="0" fontId="71" fillId="24" borderId="45" xfId="0" applyFont="1" applyFill="1" applyBorder="1" applyAlignment="1" applyProtection="1">
      <alignment horizontal="center"/>
      <protection hidden="1"/>
    </xf>
    <xf numFmtId="224" fontId="71" fillId="24" borderId="10" xfId="39" applyNumberFormat="1" applyFont="1" applyFill="1" applyBorder="1" applyProtection="1">
      <protection hidden="1"/>
    </xf>
    <xf numFmtId="203" fontId="71" fillId="24" borderId="10" xfId="40" applyNumberFormat="1" applyFont="1" applyFill="1" applyBorder="1" applyProtection="1">
      <protection hidden="1"/>
    </xf>
    <xf numFmtId="203" fontId="71" fillId="24" borderId="10" xfId="40" applyNumberFormat="1" applyFont="1" applyFill="1" applyBorder="1" applyAlignment="1" applyProtection="1">
      <alignment horizontal="center"/>
      <protection hidden="1"/>
    </xf>
    <xf numFmtId="224" fontId="23" fillId="25" borderId="38" xfId="39" applyNumberFormat="1" applyFont="1" applyFill="1" applyBorder="1" applyProtection="1">
      <protection hidden="1"/>
    </xf>
    <xf numFmtId="3" fontId="23" fillId="25" borderId="38" xfId="39" applyNumberFormat="1" applyFont="1" applyFill="1" applyBorder="1" applyAlignment="1" applyProtection="1">
      <alignment horizontal="center"/>
      <protection hidden="1"/>
    </xf>
    <xf numFmtId="224" fontId="23" fillId="25" borderId="10" xfId="39" applyNumberFormat="1" applyFont="1" applyFill="1" applyBorder="1" applyProtection="1">
      <protection hidden="1"/>
    </xf>
    <xf numFmtId="3" fontId="23" fillId="25" borderId="10" xfId="39" applyNumberFormat="1" applyFont="1" applyFill="1" applyBorder="1" applyAlignment="1" applyProtection="1">
      <alignment horizontal="center"/>
      <protection hidden="1"/>
    </xf>
    <xf numFmtId="224" fontId="4" fillId="25" borderId="10" xfId="39" applyNumberFormat="1" applyFont="1" applyFill="1" applyBorder="1" applyProtection="1">
      <protection hidden="1"/>
    </xf>
    <xf numFmtId="170" fontId="42" fillId="25" borderId="16" xfId="40" applyFont="1" applyFill="1" applyBorder="1" applyProtection="1">
      <protection locked="0"/>
    </xf>
    <xf numFmtId="170" fontId="42" fillId="25" borderId="17" xfId="40" applyFont="1" applyFill="1" applyBorder="1" applyProtection="1">
      <protection locked="0"/>
    </xf>
    <xf numFmtId="0" fontId="29" fillId="21" borderId="10" xfId="0" applyFont="1" applyFill="1" applyBorder="1" applyProtection="1">
      <protection locked="0"/>
    </xf>
    <xf numFmtId="0" fontId="71" fillId="24" borderId="60" xfId="0" applyFont="1" applyFill="1" applyBorder="1"/>
    <xf numFmtId="0" fontId="71" fillId="24" borderId="63" xfId="0" applyFont="1" applyFill="1" applyBorder="1"/>
    <xf numFmtId="10" fontId="76" fillId="24" borderId="64" xfId="0" applyNumberFormat="1" applyFont="1" applyFill="1" applyBorder="1"/>
    <xf numFmtId="0" fontId="71" fillId="24" borderId="61" xfId="0" applyFont="1" applyFill="1" applyBorder="1"/>
    <xf numFmtId="0" fontId="71" fillId="24" borderId="62" xfId="0" applyFont="1" applyFill="1" applyBorder="1"/>
    <xf numFmtId="0" fontId="76" fillId="24" borderId="65" xfId="0" applyFont="1" applyFill="1" applyBorder="1"/>
    <xf numFmtId="0" fontId="0" fillId="22" borderId="0" xfId="0" applyFill="1"/>
    <xf numFmtId="0" fontId="4" fillId="22" borderId="0" xfId="0" applyFont="1" applyFill="1"/>
    <xf numFmtId="0" fontId="0" fillId="25" borderId="62" xfId="0" applyFill="1" applyBorder="1"/>
    <xf numFmtId="8" fontId="0" fillId="20" borderId="0" xfId="0" applyNumberFormat="1" applyFill="1"/>
    <xf numFmtId="0" fontId="76" fillId="24" borderId="62" xfId="0" applyFont="1" applyFill="1" applyBorder="1"/>
    <xf numFmtId="0" fontId="71" fillId="24" borderId="68" xfId="0" applyFont="1" applyFill="1" applyBorder="1"/>
    <xf numFmtId="0" fontId="71" fillId="24" borderId="69" xfId="0" applyFont="1" applyFill="1" applyBorder="1"/>
    <xf numFmtId="0" fontId="71" fillId="24" borderId="70" xfId="0" applyFont="1" applyFill="1" applyBorder="1"/>
    <xf numFmtId="0" fontId="28" fillId="25" borderId="66" xfId="0" applyFont="1" applyFill="1" applyBorder="1"/>
    <xf numFmtId="0" fontId="4" fillId="25" borderId="61" xfId="0" applyFont="1" applyFill="1" applyBorder="1"/>
    <xf numFmtId="0" fontId="71" fillId="24" borderId="0" xfId="0" applyFont="1" applyFill="1" applyAlignment="1">
      <alignment horizontal="center"/>
    </xf>
    <xf numFmtId="0" fontId="79" fillId="20" borderId="0" xfId="0" applyFont="1" applyFill="1" applyBorder="1" applyAlignment="1">
      <alignment horizontal="center"/>
    </xf>
    <xf numFmtId="0" fontId="92" fillId="20" borderId="0" xfId="0" applyFont="1" applyFill="1" applyBorder="1"/>
    <xf numFmtId="0" fontId="78" fillId="20" borderId="0" xfId="0" applyFont="1" applyFill="1"/>
    <xf numFmtId="0" fontId="93" fillId="20" borderId="0" xfId="0" applyFont="1" applyFill="1" applyAlignment="1"/>
    <xf numFmtId="203" fontId="42" fillId="26" borderId="64" xfId="0" applyNumberFormat="1" applyFont="1" applyFill="1" applyBorder="1" applyProtection="1">
      <protection hidden="1"/>
    </xf>
    <xf numFmtId="10" fontId="42" fillId="25" borderId="65" xfId="0" applyNumberFormat="1" applyFont="1" applyFill="1" applyBorder="1" applyProtection="1">
      <protection hidden="1"/>
    </xf>
    <xf numFmtId="192" fontId="73" fillId="34" borderId="10" xfId="35" applyNumberFormat="1" applyFont="1" applyFill="1" applyBorder="1" applyProtection="1">
      <protection hidden="1"/>
    </xf>
    <xf numFmtId="10" fontId="73" fillId="34" borderId="10" xfId="47" applyNumberFormat="1" applyFont="1" applyFill="1" applyBorder="1" applyProtection="1">
      <protection hidden="1"/>
    </xf>
    <xf numFmtId="213" fontId="73" fillId="34" borderId="10" xfId="47" applyNumberFormat="1" applyFont="1" applyFill="1" applyBorder="1" applyProtection="1">
      <protection hidden="1"/>
    </xf>
    <xf numFmtId="203" fontId="4" fillId="25" borderId="65" xfId="40" applyNumberFormat="1" applyFont="1" applyFill="1" applyBorder="1" applyProtection="1">
      <protection hidden="1"/>
    </xf>
    <xf numFmtId="203" fontId="3" fillId="25" borderId="68" xfId="40" applyNumberFormat="1" applyFont="1" applyFill="1" applyBorder="1" applyProtection="1">
      <protection hidden="1"/>
    </xf>
    <xf numFmtId="203" fontId="3" fillId="25" borderId="69" xfId="40" applyNumberFormat="1" applyFont="1" applyFill="1" applyBorder="1" applyProtection="1">
      <protection hidden="1"/>
    </xf>
    <xf numFmtId="203" fontId="3" fillId="25" borderId="70" xfId="40" applyNumberFormat="1" applyFont="1" applyFill="1" applyBorder="1" applyProtection="1">
      <protection hidden="1"/>
    </xf>
    <xf numFmtId="0" fontId="94" fillId="21" borderId="0" xfId="0" applyFont="1" applyFill="1" applyAlignment="1" applyProtection="1">
      <alignment vertical="top" wrapText="1"/>
      <protection locked="0"/>
    </xf>
    <xf numFmtId="224" fontId="32" fillId="24" borderId="34" xfId="39" applyNumberFormat="1" applyFont="1" applyFill="1" applyBorder="1" applyAlignment="1" applyProtection="1">
      <alignment horizontal="center"/>
      <protection hidden="1"/>
    </xf>
    <xf numFmtId="0" fontId="28" fillId="0" borderId="0" xfId="0" applyFont="1" applyBorder="1" applyAlignment="1">
      <alignment horizontal="center"/>
    </xf>
    <xf numFmtId="0" fontId="29" fillId="0" borderId="0" xfId="0" applyFont="1" applyBorder="1"/>
    <xf numFmtId="0" fontId="95" fillId="26" borderId="21" xfId="0" applyFont="1" applyFill="1" applyBorder="1" applyAlignment="1" applyProtection="1">
      <alignment horizontal="justify" vertical="top" wrapText="1"/>
      <protection locked="0"/>
    </xf>
    <xf numFmtId="0" fontId="28" fillId="30" borderId="10" xfId="0" applyFont="1" applyFill="1" applyBorder="1" applyAlignment="1">
      <alignment vertical="center" wrapText="1"/>
    </xf>
    <xf numFmtId="3" fontId="84" fillId="32" borderId="22" xfId="0" applyNumberFormat="1" applyFont="1" applyFill="1" applyBorder="1"/>
    <xf numFmtId="0" fontId="84" fillId="32" borderId="10" xfId="0" applyFont="1" applyFill="1" applyBorder="1"/>
    <xf numFmtId="3" fontId="84" fillId="32" borderId="10" xfId="0" applyNumberFormat="1" applyFont="1" applyFill="1" applyBorder="1"/>
    <xf numFmtId="0" fontId="28" fillId="30" borderId="22" xfId="0" applyFont="1" applyFill="1" applyBorder="1" applyAlignment="1">
      <alignment vertical="center" wrapText="1"/>
    </xf>
    <xf numFmtId="0" fontId="27" fillId="0" borderId="25" xfId="0" applyFont="1" applyBorder="1"/>
    <xf numFmtId="0" fontId="27" fillId="0" borderId="24" xfId="0" applyFont="1" applyBorder="1"/>
    <xf numFmtId="3" fontId="28" fillId="0" borderId="66" xfId="0" applyNumberFormat="1" applyFont="1" applyBorder="1"/>
    <xf numFmtId="3" fontId="88" fillId="32" borderId="0" xfId="0" applyNumberFormat="1" applyFont="1" applyFill="1" applyBorder="1"/>
    <xf numFmtId="0" fontId="88" fillId="32" borderId="0" xfId="0" applyFont="1" applyFill="1" applyBorder="1"/>
    <xf numFmtId="0" fontId="88" fillId="0" borderId="0" xfId="0" applyFont="1" applyBorder="1"/>
    <xf numFmtId="0" fontId="88" fillId="0" borderId="0" xfId="0" applyFont="1"/>
    <xf numFmtId="3" fontId="84" fillId="32" borderId="0" xfId="0" applyNumberFormat="1" applyFont="1" applyFill="1" applyBorder="1" applyProtection="1"/>
    <xf numFmtId="0" fontId="23" fillId="33" borderId="10" xfId="0" applyFont="1" applyFill="1" applyBorder="1" applyAlignment="1">
      <alignment vertical="center" wrapText="1"/>
    </xf>
    <xf numFmtId="3" fontId="27" fillId="31" borderId="22" xfId="0" applyNumberFormat="1" applyFont="1" applyFill="1" applyBorder="1" applyAlignment="1">
      <alignment horizontal="right" vertical="center" wrapText="1"/>
    </xf>
    <xf numFmtId="3" fontId="27" fillId="31" borderId="22" xfId="0" applyNumberFormat="1" applyFont="1" applyFill="1" applyBorder="1" applyAlignment="1">
      <alignment vertical="center" wrapText="1"/>
    </xf>
    <xf numFmtId="3" fontId="27" fillId="0" borderId="47" xfId="0" applyNumberFormat="1" applyFont="1" applyFill="1" applyBorder="1"/>
    <xf numFmtId="0" fontId="23" fillId="33" borderId="73" xfId="0" applyFont="1" applyFill="1" applyBorder="1" applyAlignment="1">
      <alignment vertical="center" wrapText="1"/>
    </xf>
    <xf numFmtId="0" fontId="23" fillId="33" borderId="74" xfId="0" applyFont="1" applyFill="1" applyBorder="1" applyAlignment="1">
      <alignment vertical="center" wrapText="1"/>
    </xf>
    <xf numFmtId="3" fontId="27" fillId="0" borderId="38" xfId="0" applyNumberFormat="1" applyFont="1" applyFill="1" applyBorder="1" applyAlignment="1">
      <alignment horizontal="right"/>
    </xf>
    <xf numFmtId="3" fontId="27" fillId="0" borderId="70" xfId="0" applyNumberFormat="1" applyFont="1" applyFill="1" applyBorder="1"/>
    <xf numFmtId="3" fontId="27" fillId="31" borderId="75" xfId="0" applyNumberFormat="1" applyFont="1" applyFill="1" applyBorder="1" applyAlignment="1">
      <alignment horizontal="right" vertical="center" wrapText="1"/>
    </xf>
    <xf numFmtId="3" fontId="27" fillId="31" borderId="75" xfId="0" applyNumberFormat="1" applyFont="1" applyFill="1" applyBorder="1" applyAlignment="1">
      <alignment vertical="center" wrapText="1"/>
    </xf>
    <xf numFmtId="3" fontId="27" fillId="30" borderId="76" xfId="0" applyNumberFormat="1" applyFont="1" applyFill="1" applyBorder="1"/>
    <xf numFmtId="0" fontId="0" fillId="20" borderId="10" xfId="0" applyFill="1" applyBorder="1"/>
    <xf numFmtId="0" fontId="23" fillId="0" borderId="25" xfId="0" applyFont="1" applyFill="1" applyBorder="1" applyAlignment="1">
      <alignment vertical="center" wrapText="1"/>
    </xf>
    <xf numFmtId="0" fontId="23" fillId="0" borderId="10" xfId="0" applyFont="1" applyFill="1" applyBorder="1" applyAlignment="1">
      <alignment vertical="center" wrapText="1"/>
    </xf>
    <xf numFmtId="224" fontId="65" fillId="0" borderId="13" xfId="38" applyNumberFormat="1" applyFont="1" applyFill="1" applyBorder="1" applyAlignment="1" applyProtection="1">
      <alignment horizontal="left"/>
      <protection hidden="1"/>
    </xf>
    <xf numFmtId="203" fontId="65" fillId="0" borderId="37" xfId="40" applyNumberFormat="1" applyFont="1" applyFill="1" applyBorder="1" applyAlignment="1" applyProtection="1">
      <alignment horizontal="center"/>
      <protection hidden="1"/>
    </xf>
    <xf numFmtId="3" fontId="29" fillId="21" borderId="10" xfId="0" applyNumberFormat="1" applyFont="1" applyFill="1" applyBorder="1" applyProtection="1">
      <protection locked="0"/>
    </xf>
    <xf numFmtId="3" fontId="23" fillId="0" borderId="77" xfId="39" applyNumberFormat="1" applyFont="1" applyBorder="1" applyAlignment="1" applyProtection="1">
      <alignment horizontal="center"/>
      <protection hidden="1"/>
    </xf>
    <xf numFmtId="0" fontId="32" fillId="24" borderId="75" xfId="0" applyFont="1" applyFill="1" applyBorder="1" applyAlignment="1" applyProtection="1">
      <alignment horizontal="center"/>
      <protection hidden="1"/>
    </xf>
    <xf numFmtId="0" fontId="32" fillId="24" borderId="76" xfId="0" applyFont="1" applyFill="1" applyBorder="1" applyAlignment="1" applyProtection="1">
      <alignment horizontal="center"/>
      <protection hidden="1"/>
    </xf>
    <xf numFmtId="0" fontId="0" fillId="0" borderId="63" xfId="0" applyBorder="1" applyAlignment="1" applyProtection="1">
      <alignment horizontal="center"/>
      <protection hidden="1"/>
    </xf>
    <xf numFmtId="41" fontId="23" fillId="0" borderId="78" xfId="39" applyNumberFormat="1" applyFont="1" applyFill="1" applyBorder="1" applyAlignment="1" applyProtection="1">
      <alignment horizontal="center"/>
      <protection hidden="1"/>
    </xf>
    <xf numFmtId="3" fontId="23" fillId="0" borderId="78" xfId="39" applyNumberFormat="1" applyFont="1" applyBorder="1" applyAlignment="1" applyProtection="1">
      <alignment horizontal="center"/>
      <protection hidden="1"/>
    </xf>
    <xf numFmtId="3" fontId="23" fillId="0" borderId="79" xfId="39" applyNumberFormat="1" applyFont="1" applyBorder="1" applyAlignment="1" applyProtection="1">
      <alignment horizontal="center"/>
      <protection hidden="1"/>
    </xf>
    <xf numFmtId="0" fontId="0" fillId="0" borderId="62" xfId="0" applyBorder="1" applyAlignment="1" applyProtection="1">
      <alignment horizontal="center"/>
      <protection hidden="1"/>
    </xf>
    <xf numFmtId="41" fontId="23" fillId="0" borderId="12" xfId="39" applyNumberFormat="1" applyFont="1" applyFill="1" applyBorder="1" applyAlignment="1" applyProtection="1">
      <alignment horizontal="center"/>
      <protection hidden="1"/>
    </xf>
    <xf numFmtId="41" fontId="23" fillId="0" borderId="80" xfId="39" applyNumberFormat="1" applyFont="1" applyFill="1" applyBorder="1" applyAlignment="1" applyProtection="1">
      <alignment horizontal="center"/>
      <protection hidden="1"/>
    </xf>
    <xf numFmtId="41" fontId="23" fillId="0" borderId="81" xfId="39" applyNumberFormat="1" applyFont="1" applyFill="1" applyBorder="1" applyAlignment="1" applyProtection="1">
      <alignment horizontal="center"/>
      <protection hidden="1"/>
    </xf>
    <xf numFmtId="41" fontId="23" fillId="0" borderId="82" xfId="39" applyNumberFormat="1" applyFont="1" applyBorder="1" applyAlignment="1" applyProtection="1">
      <alignment horizontal="left" indent="1"/>
      <protection hidden="1"/>
    </xf>
    <xf numFmtId="41" fontId="23" fillId="0" borderId="83" xfId="39" applyNumberFormat="1" applyFont="1" applyBorder="1" applyAlignment="1" applyProtection="1">
      <alignment horizontal="left" indent="1"/>
      <protection hidden="1"/>
    </xf>
    <xf numFmtId="41" fontId="23" fillId="0" borderId="84" xfId="39" applyNumberFormat="1" applyFont="1" applyBorder="1" applyAlignment="1" applyProtection="1">
      <alignment horizontal="left" indent="1"/>
      <protection hidden="1"/>
    </xf>
    <xf numFmtId="41" fontId="71" fillId="34" borderId="82" xfId="39" applyNumberFormat="1" applyFont="1" applyFill="1" applyBorder="1" applyAlignment="1" applyProtection="1">
      <alignment horizontal="left" indent="1"/>
      <protection hidden="1"/>
    </xf>
    <xf numFmtId="41" fontId="71" fillId="34" borderId="83" xfId="39" applyNumberFormat="1" applyFont="1" applyFill="1" applyBorder="1" applyAlignment="1" applyProtection="1">
      <alignment horizontal="left" indent="1"/>
      <protection hidden="1"/>
    </xf>
    <xf numFmtId="41" fontId="71" fillId="34" borderId="84" xfId="39" applyNumberFormat="1" applyFont="1" applyFill="1" applyBorder="1" applyAlignment="1" applyProtection="1">
      <alignment horizontal="left" indent="1"/>
      <protection hidden="1"/>
    </xf>
    <xf numFmtId="203" fontId="76" fillId="24" borderId="37" xfId="40" applyNumberFormat="1" applyFont="1" applyFill="1" applyBorder="1" applyAlignment="1" applyProtection="1">
      <alignment horizontal="center"/>
      <protection hidden="1"/>
    </xf>
    <xf numFmtId="224" fontId="91" fillId="24" borderId="13" xfId="38" applyNumberFormat="1" applyFont="1" applyFill="1" applyBorder="1" applyProtection="1">
      <protection hidden="1"/>
    </xf>
    <xf numFmtId="203" fontId="91" fillId="24" borderId="37" xfId="40" applyNumberFormat="1" applyFont="1" applyFill="1" applyBorder="1" applyAlignment="1" applyProtection="1">
      <alignment horizontal="center"/>
      <protection hidden="1"/>
    </xf>
    <xf numFmtId="224" fontId="91" fillId="24" borderId="15" xfId="38" applyNumberFormat="1" applyFont="1" applyFill="1" applyBorder="1" applyProtection="1">
      <protection hidden="1"/>
    </xf>
    <xf numFmtId="203" fontId="91" fillId="24" borderId="16" xfId="40" applyNumberFormat="1" applyFont="1" applyFill="1" applyBorder="1" applyAlignment="1" applyProtection="1">
      <alignment horizontal="center"/>
      <protection hidden="1"/>
    </xf>
    <xf numFmtId="203" fontId="91" fillId="24" borderId="17" xfId="40" applyNumberFormat="1" applyFont="1" applyFill="1" applyBorder="1" applyAlignment="1" applyProtection="1">
      <alignment horizontal="center"/>
      <protection hidden="1"/>
    </xf>
    <xf numFmtId="224" fontId="71" fillId="25" borderId="26" xfId="38" applyNumberFormat="1" applyFont="1" applyFill="1" applyBorder="1" applyProtection="1">
      <protection hidden="1"/>
    </xf>
    <xf numFmtId="203" fontId="71" fillId="25" borderId="85" xfId="40" applyNumberFormat="1" applyFont="1" applyFill="1" applyBorder="1" applyAlignment="1" applyProtection="1">
      <alignment horizontal="center"/>
      <protection hidden="1"/>
    </xf>
    <xf numFmtId="203" fontId="71" fillId="25" borderId="86" xfId="40" applyNumberFormat="1" applyFont="1" applyFill="1" applyBorder="1" applyAlignment="1" applyProtection="1">
      <alignment horizontal="center"/>
      <protection hidden="1"/>
    </xf>
    <xf numFmtId="224" fontId="71" fillId="24" borderId="13" xfId="38" quotePrefix="1" applyNumberFormat="1" applyFont="1" applyFill="1" applyBorder="1" applyAlignment="1" applyProtection="1">
      <alignment horizontal="left"/>
      <protection hidden="1"/>
    </xf>
    <xf numFmtId="3" fontId="23" fillId="0" borderId="77" xfId="39" applyNumberFormat="1" applyBorder="1" applyAlignment="1" applyProtection="1">
      <alignment horizontal="center"/>
      <protection hidden="1"/>
    </xf>
    <xf numFmtId="41" fontId="76" fillId="34" borderId="82" xfId="39" applyNumberFormat="1" applyFont="1" applyFill="1" applyBorder="1" applyAlignment="1" applyProtection="1">
      <alignment horizontal="left" indent="1"/>
      <protection hidden="1"/>
    </xf>
    <xf numFmtId="41" fontId="76" fillId="34" borderId="83" xfId="39" applyNumberFormat="1" applyFont="1" applyFill="1" applyBorder="1" applyAlignment="1" applyProtection="1">
      <alignment horizontal="left" indent="1"/>
      <protection hidden="1"/>
    </xf>
    <xf numFmtId="41" fontId="76" fillId="34" borderId="84" xfId="39" applyNumberFormat="1" applyFont="1" applyFill="1" applyBorder="1" applyAlignment="1" applyProtection="1">
      <alignment horizontal="left" indent="1"/>
      <protection hidden="1"/>
    </xf>
    <xf numFmtId="3" fontId="62" fillId="20" borderId="80" xfId="39" applyNumberFormat="1" applyFont="1" applyFill="1" applyBorder="1" applyAlignment="1" applyProtection="1">
      <alignment horizontal="center"/>
      <protection hidden="1"/>
    </xf>
    <xf numFmtId="3" fontId="62" fillId="21" borderId="87" xfId="39" applyNumberFormat="1" applyFont="1" applyFill="1" applyBorder="1" applyAlignment="1" applyProtection="1">
      <alignment horizontal="center"/>
      <protection locked="0"/>
    </xf>
    <xf numFmtId="3" fontId="62" fillId="21" borderId="88" xfId="39" applyNumberFormat="1" applyFont="1" applyFill="1" applyBorder="1" applyAlignment="1" applyProtection="1">
      <alignment horizontal="center"/>
      <protection locked="0"/>
    </xf>
    <xf numFmtId="3" fontId="62" fillId="21" borderId="89" xfId="39" applyNumberFormat="1" applyFont="1" applyFill="1" applyBorder="1" applyAlignment="1" applyProtection="1">
      <alignment horizontal="center"/>
      <protection locked="0"/>
    </xf>
    <xf numFmtId="0" fontId="32" fillId="24" borderId="34" xfId="35" applyNumberFormat="1" applyFont="1" applyFill="1" applyBorder="1" applyAlignment="1" applyProtection="1">
      <alignment horizontal="center"/>
      <protection hidden="1"/>
    </xf>
    <xf numFmtId="224" fontId="53" fillId="36" borderId="38" xfId="39" applyNumberFormat="1" applyFont="1" applyFill="1" applyBorder="1" applyProtection="1">
      <protection hidden="1"/>
    </xf>
    <xf numFmtId="3" fontId="4" fillId="25" borderId="38" xfId="39" applyNumberFormat="1" applyFont="1" applyFill="1" applyBorder="1" applyAlignment="1" applyProtection="1">
      <alignment horizontal="center"/>
      <protection hidden="1"/>
    </xf>
    <xf numFmtId="3" fontId="4" fillId="36" borderId="38" xfId="39" applyNumberFormat="1" applyFont="1" applyFill="1" applyBorder="1" applyAlignment="1" applyProtection="1">
      <alignment horizontal="center"/>
      <protection hidden="1"/>
    </xf>
    <xf numFmtId="224" fontId="71" fillId="25" borderId="0" xfId="39" applyNumberFormat="1" applyFont="1" applyFill="1" applyBorder="1" applyProtection="1">
      <protection hidden="1"/>
    </xf>
    <xf numFmtId="3" fontId="71" fillId="25" borderId="0" xfId="39" applyNumberFormat="1" applyFont="1" applyFill="1" applyBorder="1" applyAlignment="1" applyProtection="1">
      <alignment horizontal="center"/>
      <protection hidden="1"/>
    </xf>
    <xf numFmtId="224" fontId="42" fillId="21" borderId="10" xfId="39" applyNumberFormat="1" applyFont="1" applyFill="1" applyBorder="1" applyProtection="1">
      <protection hidden="1"/>
    </xf>
    <xf numFmtId="3" fontId="42" fillId="21" borderId="10" xfId="39" applyNumberFormat="1" applyFont="1" applyFill="1" applyBorder="1" applyAlignment="1" applyProtection="1">
      <alignment horizontal="center"/>
      <protection hidden="1"/>
    </xf>
    <xf numFmtId="213" fontId="73" fillId="34" borderId="22" xfId="47" applyNumberFormat="1" applyFont="1" applyFill="1" applyBorder="1" applyProtection="1">
      <protection hidden="1"/>
    </xf>
    <xf numFmtId="0" fontId="76" fillId="24" borderId="69" xfId="0" applyFont="1" applyFill="1" applyBorder="1"/>
    <xf numFmtId="0" fontId="71" fillId="24" borderId="69" xfId="0" applyFont="1" applyFill="1" applyBorder="1" applyAlignment="1">
      <alignment wrapText="1"/>
    </xf>
    <xf numFmtId="0" fontId="71" fillId="24" borderId="70" xfId="0" applyFont="1" applyFill="1" applyBorder="1" applyAlignment="1">
      <alignment wrapText="1"/>
    </xf>
    <xf numFmtId="0" fontId="73" fillId="24" borderId="45" xfId="0" applyFont="1" applyFill="1" applyBorder="1"/>
    <xf numFmtId="170" fontId="73" fillId="34" borderId="69" xfId="40" applyFont="1" applyFill="1" applyBorder="1"/>
    <xf numFmtId="170" fontId="83" fillId="34" borderId="38" xfId="40" applyFont="1" applyFill="1" applyBorder="1"/>
    <xf numFmtId="170" fontId="83" fillId="34" borderId="16" xfId="40" applyFont="1" applyFill="1" applyBorder="1"/>
    <xf numFmtId="0" fontId="76" fillId="24" borderId="69" xfId="0" applyFont="1" applyFill="1" applyBorder="1" applyAlignment="1">
      <alignment wrapText="1"/>
    </xf>
    <xf numFmtId="10" fontId="96" fillId="34" borderId="38" xfId="47" applyNumberFormat="1" applyFont="1" applyFill="1" applyBorder="1"/>
    <xf numFmtId="10" fontId="96" fillId="34" borderId="50" xfId="0" applyNumberFormat="1" applyFont="1" applyFill="1" applyBorder="1"/>
    <xf numFmtId="10" fontId="96" fillId="34" borderId="16" xfId="47" applyNumberFormat="1" applyFont="1" applyFill="1" applyBorder="1"/>
    <xf numFmtId="10" fontId="96" fillId="34" borderId="17" xfId="0" applyNumberFormat="1" applyFont="1" applyFill="1" applyBorder="1"/>
    <xf numFmtId="9" fontId="96" fillId="34" borderId="67" xfId="0" applyNumberFormat="1" applyFont="1" applyFill="1" applyBorder="1" applyAlignment="1">
      <alignment horizontal="center"/>
    </xf>
    <xf numFmtId="0" fontId="63" fillId="25" borderId="0" xfId="0" applyFont="1" applyFill="1"/>
    <xf numFmtId="0" fontId="0" fillId="25" borderId="0" xfId="0" applyFill="1"/>
    <xf numFmtId="0" fontId="30" fillId="25" borderId="0" xfId="0" applyFont="1" applyFill="1" applyAlignment="1"/>
    <xf numFmtId="0" fontId="31" fillId="25" borderId="0" xfId="0" applyFont="1" applyFill="1" applyAlignment="1">
      <alignment vertical="center" wrapText="1"/>
    </xf>
    <xf numFmtId="223" fontId="97" fillId="25" borderId="10" xfId="0" applyNumberFormat="1" applyFont="1" applyFill="1" applyBorder="1" applyProtection="1"/>
    <xf numFmtId="10" fontId="98" fillId="34" borderId="0" xfId="0" applyNumberFormat="1" applyFont="1" applyFill="1" applyProtection="1">
      <protection hidden="1"/>
    </xf>
    <xf numFmtId="0" fontId="28" fillId="20" borderId="0" xfId="0" applyFont="1" applyFill="1" applyAlignment="1">
      <alignment horizontal="center" vertical="top"/>
    </xf>
    <xf numFmtId="0" fontId="28" fillId="20" borderId="0" xfId="0" applyFont="1" applyFill="1" applyAlignment="1">
      <alignment horizontal="left" vertical="top" wrapText="1"/>
    </xf>
    <xf numFmtId="0" fontId="4" fillId="20" borderId="0" xfId="0" applyFont="1" applyFill="1" applyAlignment="1">
      <alignment horizontal="left" vertical="top" wrapText="1"/>
    </xf>
    <xf numFmtId="41" fontId="65" fillId="21" borderId="21" xfId="38" applyNumberFormat="1" applyFont="1" applyFill="1" applyBorder="1" applyAlignment="1" applyProtection="1">
      <alignment horizontal="center"/>
      <protection hidden="1"/>
    </xf>
    <xf numFmtId="41" fontId="65" fillId="21" borderId="37" xfId="38" applyNumberFormat="1" applyFont="1" applyFill="1" applyBorder="1" applyAlignment="1" applyProtection="1">
      <alignment horizontal="center"/>
      <protection hidden="1"/>
    </xf>
    <xf numFmtId="210" fontId="35" fillId="22" borderId="11" xfId="0" applyNumberFormat="1" applyFont="1" applyFill="1" applyBorder="1" applyAlignment="1" applyProtection="1">
      <alignment horizontal="center" vertical="center"/>
      <protection hidden="1"/>
    </xf>
    <xf numFmtId="210" fontId="35" fillId="22" borderId="91" xfId="0" applyNumberFormat="1" applyFont="1" applyFill="1" applyBorder="1" applyAlignment="1" applyProtection="1">
      <alignment horizontal="center" vertical="center"/>
      <protection hidden="1"/>
    </xf>
    <xf numFmtId="210" fontId="35" fillId="22" borderId="92" xfId="0" applyNumberFormat="1" applyFont="1" applyFill="1" applyBorder="1" applyAlignment="1" applyProtection="1">
      <alignment horizontal="center" vertical="center"/>
      <protection hidden="1"/>
    </xf>
    <xf numFmtId="210" fontId="40" fillId="22" borderId="11" xfId="0" applyNumberFormat="1" applyFont="1" applyFill="1" applyBorder="1" applyAlignment="1" applyProtection="1">
      <alignment horizontal="left" vertical="center" wrapText="1"/>
      <protection hidden="1"/>
    </xf>
    <xf numFmtId="210" fontId="40" fillId="22" borderId="91" xfId="0" applyNumberFormat="1" applyFont="1" applyFill="1" applyBorder="1" applyAlignment="1" applyProtection="1">
      <alignment horizontal="left" vertical="center" wrapText="1"/>
      <protection hidden="1"/>
    </xf>
    <xf numFmtId="210" fontId="40" fillId="22" borderId="92" xfId="0" applyNumberFormat="1" applyFont="1" applyFill="1" applyBorder="1" applyAlignment="1" applyProtection="1">
      <alignment horizontal="left" vertical="center" wrapText="1"/>
      <protection hidden="1"/>
    </xf>
    <xf numFmtId="210" fontId="35" fillId="22" borderId="93" xfId="0" applyNumberFormat="1" applyFont="1" applyFill="1" applyBorder="1" applyAlignment="1" applyProtection="1">
      <alignment horizontal="center" vertical="center"/>
      <protection hidden="1"/>
    </xf>
    <xf numFmtId="210" fontId="35" fillId="22" borderId="94" xfId="0" applyNumberFormat="1" applyFont="1" applyFill="1" applyBorder="1" applyAlignment="1" applyProtection="1">
      <alignment horizontal="center" vertical="center"/>
      <protection hidden="1"/>
    </xf>
    <xf numFmtId="210" fontId="33" fillId="22" borderId="11" xfId="0" applyNumberFormat="1" applyFont="1" applyFill="1" applyBorder="1" applyAlignment="1" applyProtection="1">
      <alignment horizontal="center"/>
      <protection hidden="1"/>
    </xf>
    <xf numFmtId="210" fontId="33" fillId="22" borderId="91" xfId="0" applyNumberFormat="1" applyFont="1" applyFill="1" applyBorder="1" applyAlignment="1" applyProtection="1">
      <alignment horizontal="center"/>
      <protection hidden="1"/>
    </xf>
    <xf numFmtId="210" fontId="35" fillId="22" borderId="95" xfId="0" applyNumberFormat="1" applyFont="1" applyFill="1" applyBorder="1" applyAlignment="1" applyProtection="1">
      <alignment horizontal="center"/>
      <protection hidden="1"/>
    </xf>
    <xf numFmtId="210" fontId="35" fillId="22" borderId="63" xfId="0" applyNumberFormat="1" applyFont="1" applyFill="1" applyBorder="1" applyAlignment="1" applyProtection="1">
      <alignment horizontal="center"/>
      <protection hidden="1"/>
    </xf>
    <xf numFmtId="210" fontId="35" fillId="22" borderId="93" xfId="0" applyNumberFormat="1" applyFont="1" applyFill="1" applyBorder="1" applyAlignment="1" applyProtection="1">
      <alignment horizontal="center"/>
      <protection hidden="1"/>
    </xf>
    <xf numFmtId="210" fontId="35" fillId="22" borderId="94" xfId="0" applyNumberFormat="1" applyFont="1" applyFill="1" applyBorder="1" applyAlignment="1" applyProtection="1">
      <alignment horizontal="center"/>
      <protection hidden="1"/>
    </xf>
    <xf numFmtId="210" fontId="35" fillId="22" borderId="32" xfId="0" applyNumberFormat="1" applyFont="1" applyFill="1" applyBorder="1" applyAlignment="1" applyProtection="1">
      <alignment horizontal="center" vertical="center" wrapText="1"/>
      <protection hidden="1"/>
    </xf>
    <xf numFmtId="210" fontId="35" fillId="22" borderId="30" xfId="0" applyNumberFormat="1" applyFont="1" applyFill="1" applyBorder="1" applyAlignment="1" applyProtection="1">
      <alignment horizontal="center" vertical="center" wrapText="1"/>
      <protection hidden="1"/>
    </xf>
    <xf numFmtId="210" fontId="35" fillId="22" borderId="31" xfId="0" applyNumberFormat="1" applyFont="1" applyFill="1" applyBorder="1" applyAlignment="1" applyProtection="1">
      <alignment horizontal="center" vertical="center" wrapText="1"/>
      <protection hidden="1"/>
    </xf>
    <xf numFmtId="0" fontId="94" fillId="21" borderId="96" xfId="43" applyFont="1" applyFill="1" applyBorder="1" applyAlignment="1" applyProtection="1">
      <alignment horizontal="center" vertical="center" wrapText="1"/>
      <protection hidden="1"/>
    </xf>
    <xf numFmtId="0" fontId="94" fillId="21" borderId="97" xfId="43" applyFont="1" applyFill="1" applyBorder="1" applyAlignment="1" applyProtection="1">
      <alignment horizontal="center" vertical="center" wrapText="1"/>
      <protection hidden="1"/>
    </xf>
    <xf numFmtId="0" fontId="94" fillId="21" borderId="98" xfId="43" applyFont="1" applyFill="1" applyBorder="1" applyAlignment="1" applyProtection="1">
      <alignment horizontal="center" vertical="center" wrapText="1"/>
      <protection hidden="1"/>
    </xf>
    <xf numFmtId="210" fontId="42" fillId="21" borderId="19" xfId="43" applyNumberFormat="1" applyFont="1" applyFill="1" applyBorder="1" applyAlignment="1" applyProtection="1">
      <alignment horizontal="left"/>
      <protection hidden="1"/>
    </xf>
    <xf numFmtId="0" fontId="42" fillId="21" borderId="19" xfId="43" applyFont="1" applyFill="1" applyBorder="1" applyAlignment="1" applyProtection="1">
      <alignment horizontal="left"/>
      <protection hidden="1"/>
    </xf>
    <xf numFmtId="0" fontId="42" fillId="21" borderId="20" xfId="43" applyFont="1" applyFill="1" applyBorder="1" applyAlignment="1" applyProtection="1">
      <alignment horizontal="left"/>
      <protection hidden="1"/>
    </xf>
    <xf numFmtId="0" fontId="2" fillId="20" borderId="0" xfId="43" applyFont="1" applyFill="1" applyBorder="1" applyAlignment="1">
      <alignment horizontal="center"/>
    </xf>
    <xf numFmtId="0" fontId="86" fillId="21" borderId="102" xfId="43" applyFont="1" applyFill="1" applyBorder="1" applyAlignment="1" applyProtection="1">
      <alignment horizontal="center" vertical="center" wrapText="1"/>
      <protection hidden="1"/>
    </xf>
    <xf numFmtId="0" fontId="86" fillId="21" borderId="103" xfId="43" applyFont="1" applyFill="1" applyBorder="1" applyAlignment="1" applyProtection="1">
      <alignment horizontal="center" vertical="center" wrapText="1"/>
      <protection hidden="1"/>
    </xf>
    <xf numFmtId="0" fontId="86" fillId="21" borderId="104" xfId="43" applyFont="1" applyFill="1" applyBorder="1" applyAlignment="1" applyProtection="1">
      <alignment horizontal="center" vertical="center" wrapText="1"/>
      <protection hidden="1"/>
    </xf>
    <xf numFmtId="0" fontId="86" fillId="21" borderId="105" xfId="43" applyFont="1" applyFill="1" applyBorder="1" applyAlignment="1" applyProtection="1">
      <alignment horizontal="center" vertical="center" wrapText="1"/>
      <protection hidden="1"/>
    </xf>
    <xf numFmtId="0" fontId="99" fillId="21" borderId="90" xfId="43" applyFont="1" applyFill="1" applyBorder="1" applyAlignment="1" applyProtection="1">
      <alignment horizontal="left" vertical="center"/>
      <protection hidden="1"/>
    </xf>
    <xf numFmtId="0" fontId="99" fillId="21" borderId="49" xfId="43" applyFont="1" applyFill="1" applyBorder="1" applyAlignment="1" applyProtection="1">
      <alignment horizontal="left" vertical="center"/>
      <protection hidden="1"/>
    </xf>
    <xf numFmtId="0" fontId="99" fillId="22" borderId="90" xfId="43" applyFont="1" applyFill="1" applyBorder="1" applyAlignment="1" applyProtection="1">
      <alignment horizontal="left" vertical="center"/>
      <protection hidden="1"/>
    </xf>
    <xf numFmtId="0" fontId="99" fillId="22" borderId="49" xfId="43" applyFont="1" applyFill="1" applyBorder="1" applyAlignment="1" applyProtection="1">
      <alignment horizontal="left" vertical="center"/>
      <protection hidden="1"/>
    </xf>
    <xf numFmtId="3" fontId="2" fillId="22" borderId="25" xfId="43" applyNumberFormat="1" applyFont="1" applyFill="1" applyBorder="1" applyAlignment="1" applyProtection="1">
      <alignment horizontal="center"/>
      <protection hidden="1"/>
    </xf>
    <xf numFmtId="3" fontId="2" fillId="22" borderId="24" xfId="43" applyNumberFormat="1" applyFont="1" applyFill="1" applyBorder="1" applyAlignment="1" applyProtection="1">
      <alignment horizontal="center"/>
      <protection hidden="1"/>
    </xf>
    <xf numFmtId="3" fontId="2" fillId="22" borderId="45" xfId="43" applyNumberFormat="1" applyFont="1" applyFill="1" applyBorder="1" applyAlignment="1" applyProtection="1">
      <alignment horizontal="center"/>
      <protection hidden="1"/>
    </xf>
    <xf numFmtId="0" fontId="94" fillId="21" borderId="101" xfId="43" applyFont="1" applyFill="1" applyBorder="1" applyAlignment="1" applyProtection="1">
      <alignment horizontal="center" vertical="center" wrapText="1"/>
      <protection hidden="1"/>
    </xf>
    <xf numFmtId="210" fontId="34" fillId="22" borderId="99" xfId="0" applyNumberFormat="1" applyFont="1" applyFill="1" applyBorder="1" applyAlignment="1" applyProtection="1">
      <alignment horizontal="center"/>
      <protection hidden="1"/>
    </xf>
    <xf numFmtId="210" fontId="34" fillId="22" borderId="24" xfId="0" applyNumberFormat="1" applyFont="1" applyFill="1" applyBorder="1" applyAlignment="1" applyProtection="1">
      <alignment horizontal="center"/>
      <protection hidden="1"/>
    </xf>
    <xf numFmtId="210" fontId="35" fillId="23" borderId="24" xfId="0" applyNumberFormat="1" applyFont="1" applyFill="1" applyBorder="1" applyAlignment="1" applyProtection="1">
      <alignment horizontal="center"/>
      <protection hidden="1"/>
    </xf>
    <xf numFmtId="210" fontId="35" fillId="23" borderId="45" xfId="0" applyNumberFormat="1" applyFont="1" applyFill="1" applyBorder="1" applyAlignment="1" applyProtection="1">
      <alignment horizontal="center"/>
      <protection hidden="1"/>
    </xf>
    <xf numFmtId="210" fontId="35" fillId="22" borderId="18" xfId="0" applyNumberFormat="1" applyFont="1" applyFill="1" applyBorder="1" applyAlignment="1" applyProtection="1">
      <alignment horizontal="center" vertical="center" wrapText="1"/>
      <protection hidden="1"/>
    </xf>
    <xf numFmtId="210" fontId="35" fillId="22" borderId="13" xfId="0" applyNumberFormat="1" applyFont="1" applyFill="1" applyBorder="1" applyAlignment="1" applyProtection="1">
      <alignment horizontal="center" vertical="center" wrapText="1"/>
      <protection hidden="1"/>
    </xf>
    <xf numFmtId="210" fontId="35" fillId="22" borderId="15" xfId="0" applyNumberFormat="1" applyFont="1" applyFill="1" applyBorder="1" applyAlignment="1" applyProtection="1">
      <alignment horizontal="center" vertical="center" wrapText="1"/>
      <protection hidden="1"/>
    </xf>
    <xf numFmtId="210" fontId="86" fillId="21" borderId="100" xfId="0" applyNumberFormat="1" applyFont="1" applyFill="1" applyBorder="1" applyAlignment="1" applyProtection="1">
      <alignment horizontal="center"/>
      <protection locked="0" hidden="1"/>
    </xf>
    <xf numFmtId="210" fontId="86" fillId="21" borderId="24" xfId="0" applyNumberFormat="1" applyFont="1" applyFill="1" applyBorder="1" applyAlignment="1" applyProtection="1">
      <alignment horizontal="center"/>
      <protection locked="0" hidden="1"/>
    </xf>
    <xf numFmtId="210" fontId="86" fillId="21" borderId="45" xfId="0" applyNumberFormat="1" applyFont="1" applyFill="1" applyBorder="1" applyAlignment="1" applyProtection="1">
      <alignment horizontal="center"/>
      <protection locked="0" hidden="1"/>
    </xf>
    <xf numFmtId="210" fontId="86" fillId="21" borderId="68" xfId="0" applyNumberFormat="1" applyFont="1" applyFill="1" applyBorder="1" applyAlignment="1" applyProtection="1">
      <alignment horizontal="center"/>
      <protection locked="0" hidden="1"/>
    </xf>
    <xf numFmtId="210" fontId="86" fillId="21" borderId="69" xfId="0" applyNumberFormat="1" applyFont="1" applyFill="1" applyBorder="1" applyAlignment="1" applyProtection="1">
      <alignment horizontal="center"/>
      <protection locked="0" hidden="1"/>
    </xf>
    <xf numFmtId="210" fontId="86" fillId="21" borderId="70" xfId="0" applyNumberFormat="1" applyFont="1" applyFill="1" applyBorder="1" applyAlignment="1" applyProtection="1">
      <alignment horizontal="center"/>
      <protection locked="0" hidden="1"/>
    </xf>
    <xf numFmtId="210" fontId="86" fillId="21" borderId="19" xfId="0" applyNumberFormat="1" applyFont="1" applyFill="1" applyBorder="1" applyAlignment="1" applyProtection="1">
      <alignment horizontal="center"/>
      <protection locked="0" hidden="1"/>
    </xf>
    <xf numFmtId="210" fontId="86" fillId="21" borderId="20" xfId="0" applyNumberFormat="1" applyFont="1" applyFill="1" applyBorder="1" applyAlignment="1" applyProtection="1">
      <alignment horizontal="center"/>
      <protection locked="0" hidden="1"/>
    </xf>
    <xf numFmtId="0" fontId="71" fillId="22" borderId="85" xfId="0" applyFont="1" applyFill="1" applyBorder="1" applyAlignment="1">
      <alignment horizontal="center" vertical="center" wrapText="1"/>
    </xf>
    <xf numFmtId="0" fontId="71" fillId="22" borderId="106" xfId="0" applyFont="1" applyFill="1" applyBorder="1" applyAlignment="1">
      <alignment horizontal="center" vertical="center" wrapText="1"/>
    </xf>
    <xf numFmtId="0" fontId="73" fillId="22" borderId="39" xfId="0" applyFont="1" applyFill="1" applyBorder="1" applyAlignment="1">
      <alignment horizontal="center"/>
    </xf>
    <xf numFmtId="0" fontId="73" fillId="22" borderId="30" xfId="0" applyFont="1" applyFill="1" applyBorder="1" applyAlignment="1">
      <alignment horizontal="center"/>
    </xf>
    <xf numFmtId="171" fontId="3" fillId="20" borderId="36" xfId="35" applyFont="1" applyFill="1" applyBorder="1" applyAlignment="1">
      <alignment horizontal="left"/>
    </xf>
    <xf numFmtId="0" fontId="79" fillId="20" borderId="0" xfId="0" applyFont="1" applyFill="1" applyBorder="1" applyAlignment="1">
      <alignment horizontal="center"/>
    </xf>
    <xf numFmtId="171" fontId="3" fillId="20" borderId="35" xfId="35" applyFont="1" applyFill="1" applyBorder="1" applyAlignment="1">
      <alignment horizontal="left"/>
    </xf>
    <xf numFmtId="171" fontId="3" fillId="20" borderId="43" xfId="35" applyFont="1" applyFill="1" applyBorder="1" applyAlignment="1">
      <alignment horizontal="left"/>
    </xf>
    <xf numFmtId="171" fontId="2" fillId="20" borderId="30" xfId="35" applyFont="1" applyFill="1" applyBorder="1" applyAlignment="1">
      <alignment horizontal="center"/>
    </xf>
    <xf numFmtId="171" fontId="2" fillId="20" borderId="72" xfId="35" applyFont="1" applyFill="1" applyBorder="1" applyAlignment="1">
      <alignment horizontal="center"/>
    </xf>
    <xf numFmtId="0" fontId="73" fillId="22" borderId="31" xfId="0" applyFont="1" applyFill="1" applyBorder="1" applyAlignment="1">
      <alignment horizontal="center"/>
    </xf>
    <xf numFmtId="0" fontId="42" fillId="21" borderId="26" xfId="0" applyFont="1" applyFill="1" applyBorder="1" applyAlignment="1">
      <alignment horizontal="center" vertical="center" wrapText="1"/>
    </xf>
    <xf numFmtId="0" fontId="42" fillId="21" borderId="109" xfId="0" applyFont="1" applyFill="1" applyBorder="1" applyAlignment="1">
      <alignment horizontal="center" vertical="center" wrapText="1"/>
    </xf>
    <xf numFmtId="0" fontId="42" fillId="21" borderId="49" xfId="0" applyFont="1" applyFill="1" applyBorder="1" applyAlignment="1">
      <alignment horizontal="center" vertical="center" wrapText="1"/>
    </xf>
    <xf numFmtId="0" fontId="71" fillId="22" borderId="18" xfId="0" applyFont="1" applyFill="1" applyBorder="1" applyAlignment="1">
      <alignment horizontal="center" vertical="center" wrapText="1"/>
    </xf>
    <xf numFmtId="0" fontId="71" fillId="22" borderId="26" xfId="0" applyFont="1" applyFill="1" applyBorder="1" applyAlignment="1">
      <alignment horizontal="center" vertical="center" wrapText="1"/>
    </xf>
    <xf numFmtId="0" fontId="71" fillId="22" borderId="72" xfId="0" applyFont="1" applyFill="1" applyBorder="1" applyAlignment="1">
      <alignment horizontal="center"/>
    </xf>
    <xf numFmtId="0" fontId="71" fillId="22" borderId="19" xfId="0" applyFont="1" applyFill="1" applyBorder="1" applyAlignment="1">
      <alignment horizontal="center"/>
    </xf>
    <xf numFmtId="0" fontId="71" fillId="22" borderId="20" xfId="0" applyFont="1" applyFill="1" applyBorder="1" applyAlignment="1">
      <alignment horizontal="center"/>
    </xf>
    <xf numFmtId="0" fontId="42" fillId="21" borderId="90" xfId="0" applyFont="1" applyFill="1" applyBorder="1" applyAlignment="1">
      <alignment horizontal="center" vertical="center" wrapText="1"/>
    </xf>
    <xf numFmtId="0" fontId="42" fillId="21" borderId="51" xfId="0" applyFont="1" applyFill="1" applyBorder="1" applyAlignment="1">
      <alignment horizontal="center" vertical="center" wrapText="1"/>
    </xf>
    <xf numFmtId="0" fontId="5" fillId="20" borderId="0" xfId="0" applyFont="1" applyFill="1" applyAlignment="1">
      <alignment horizontal="center"/>
    </xf>
    <xf numFmtId="0" fontId="48" fillId="21" borderId="52" xfId="0" applyFont="1" applyFill="1" applyBorder="1" applyAlignment="1">
      <alignment horizontal="center" vertical="center" wrapText="1"/>
    </xf>
    <xf numFmtId="0" fontId="48" fillId="21" borderId="53" xfId="0" applyFont="1" applyFill="1" applyBorder="1" applyAlignment="1">
      <alignment horizontal="center" vertical="center" wrapText="1"/>
    </xf>
    <xf numFmtId="0" fontId="48" fillId="21" borderId="54" xfId="0" applyFont="1" applyFill="1" applyBorder="1" applyAlignment="1">
      <alignment horizontal="center" vertical="center" wrapText="1"/>
    </xf>
    <xf numFmtId="0" fontId="71" fillId="22" borderId="90" xfId="0" applyFont="1" applyFill="1" applyBorder="1" applyAlignment="1">
      <alignment horizontal="center"/>
    </xf>
    <xf numFmtId="0" fontId="71" fillId="22" borderId="109" xfId="0" applyFont="1" applyFill="1" applyBorder="1" applyAlignment="1">
      <alignment horizontal="center"/>
    </xf>
    <xf numFmtId="0" fontId="5" fillId="21" borderId="18" xfId="0" applyFont="1" applyFill="1" applyBorder="1" applyAlignment="1">
      <alignment horizontal="center"/>
    </xf>
    <xf numFmtId="0" fontId="5" fillId="21" borderId="13" xfId="0" applyFont="1" applyFill="1" applyBorder="1" applyAlignment="1">
      <alignment horizontal="center"/>
    </xf>
    <xf numFmtId="0" fontId="91" fillId="23" borderId="24" xfId="0" applyFont="1" applyFill="1" applyBorder="1" applyAlignment="1">
      <alignment horizontal="center"/>
    </xf>
    <xf numFmtId="0" fontId="91" fillId="23" borderId="45" xfId="0" applyFont="1" applyFill="1" applyBorder="1" applyAlignment="1">
      <alignment horizontal="center"/>
    </xf>
    <xf numFmtId="0" fontId="5" fillId="20" borderId="39" xfId="0" applyFont="1" applyFill="1" applyBorder="1" applyAlignment="1">
      <alignment horizontal="center"/>
    </xf>
    <xf numFmtId="0" fontId="5" fillId="20" borderId="30" xfId="0" applyFont="1" applyFill="1" applyBorder="1" applyAlignment="1">
      <alignment horizontal="center"/>
    </xf>
    <xf numFmtId="0" fontId="5" fillId="20" borderId="31" xfId="0" applyFont="1" applyFill="1" applyBorder="1" applyAlignment="1">
      <alignment horizontal="center"/>
    </xf>
    <xf numFmtId="0" fontId="71" fillId="22" borderId="22" xfId="0" applyFont="1" applyFill="1" applyBorder="1" applyAlignment="1">
      <alignment horizontal="center" wrapText="1"/>
    </xf>
    <xf numFmtId="0" fontId="71" fillId="22" borderId="108" xfId="0" applyFont="1" applyFill="1" applyBorder="1" applyAlignment="1">
      <alignment horizontal="center" wrapText="1"/>
    </xf>
    <xf numFmtId="0" fontId="71" fillId="22" borderId="52" xfId="0" applyFont="1" applyFill="1" applyBorder="1" applyAlignment="1">
      <alignment horizontal="center" vertical="center" wrapText="1"/>
    </xf>
    <xf numFmtId="0" fontId="71" fillId="22" borderId="53" xfId="0" applyFont="1" applyFill="1" applyBorder="1" applyAlignment="1">
      <alignment horizontal="center" vertical="center" wrapText="1"/>
    </xf>
    <xf numFmtId="0" fontId="73" fillId="26" borderId="25" xfId="0" applyFont="1" applyFill="1" applyBorder="1" applyAlignment="1">
      <alignment horizontal="center"/>
    </xf>
    <xf numFmtId="0" fontId="73" fillId="26" borderId="24" xfId="0" applyFont="1" applyFill="1" applyBorder="1" applyAlignment="1">
      <alignment horizontal="center"/>
    </xf>
    <xf numFmtId="0" fontId="73" fillId="26" borderId="45" xfId="0" applyFont="1" applyFill="1" applyBorder="1" applyAlignment="1">
      <alignment horizontal="center"/>
    </xf>
    <xf numFmtId="0" fontId="71" fillId="22" borderId="22" xfId="0" applyFont="1" applyFill="1" applyBorder="1" applyAlignment="1">
      <alignment horizontal="center" vertical="center" wrapText="1"/>
    </xf>
    <xf numFmtId="0" fontId="71" fillId="22" borderId="108" xfId="0" applyFont="1" applyFill="1" applyBorder="1" applyAlignment="1">
      <alignment horizontal="center" vertical="center" wrapText="1"/>
    </xf>
    <xf numFmtId="0" fontId="75" fillId="22" borderId="46" xfId="0" applyFont="1" applyFill="1" applyBorder="1" applyAlignment="1">
      <alignment horizontal="center" vertical="center" wrapText="1"/>
    </xf>
    <xf numFmtId="0" fontId="75" fillId="22" borderId="107" xfId="0" applyFont="1" applyFill="1" applyBorder="1" applyAlignment="1">
      <alignment horizontal="center" vertical="center" wrapText="1"/>
    </xf>
    <xf numFmtId="0" fontId="28" fillId="0" borderId="25" xfId="0" applyFont="1" applyBorder="1" applyAlignment="1">
      <alignment horizontal="center"/>
    </xf>
    <xf numFmtId="0" fontId="28" fillId="0" borderId="65" xfId="0" applyFont="1" applyBorder="1" applyAlignment="1">
      <alignment horizontal="center"/>
    </xf>
    <xf numFmtId="0" fontId="28" fillId="22" borderId="60" xfId="0" applyFont="1" applyFill="1" applyBorder="1" applyAlignment="1">
      <alignment horizontal="center"/>
    </xf>
    <xf numFmtId="0" fontId="28" fillId="22" borderId="63" xfId="0" applyFont="1" applyFill="1" applyBorder="1" applyAlignment="1">
      <alignment horizontal="center"/>
    </xf>
    <xf numFmtId="0" fontId="28" fillId="22" borderId="64" xfId="0" applyFont="1" applyFill="1" applyBorder="1" applyAlignment="1">
      <alignment horizontal="center"/>
    </xf>
    <xf numFmtId="0" fontId="28" fillId="21" borderId="60" xfId="0" applyFont="1" applyFill="1" applyBorder="1" applyAlignment="1">
      <alignment horizontal="center" wrapText="1"/>
    </xf>
    <xf numFmtId="0" fontId="28" fillId="21" borderId="59" xfId="0" applyFont="1" applyFill="1" applyBorder="1" applyAlignment="1">
      <alignment horizontal="center" wrapText="1"/>
    </xf>
    <xf numFmtId="0" fontId="28" fillId="21" borderId="61" xfId="0" applyFont="1" applyFill="1" applyBorder="1" applyAlignment="1">
      <alignment horizontal="center" wrapText="1"/>
    </xf>
    <xf numFmtId="0" fontId="53" fillId="20" borderId="60" xfId="0" applyFont="1" applyFill="1" applyBorder="1" applyAlignment="1">
      <alignment horizontal="left" vertical="top" wrapText="1"/>
    </xf>
    <xf numFmtId="0" fontId="53" fillId="20" borderId="63" xfId="0" applyFont="1" applyFill="1" applyBorder="1" applyAlignment="1">
      <alignment horizontal="left" vertical="top" wrapText="1"/>
    </xf>
    <xf numFmtId="0" fontId="53" fillId="20" borderId="64" xfId="0" applyFont="1" applyFill="1" applyBorder="1" applyAlignment="1">
      <alignment horizontal="left" vertical="top" wrapText="1"/>
    </xf>
    <xf numFmtId="0" fontId="53" fillId="20" borderId="59" xfId="0" applyFont="1" applyFill="1" applyBorder="1" applyAlignment="1">
      <alignment horizontal="left" vertical="top" wrapText="1"/>
    </xf>
    <xf numFmtId="0" fontId="53" fillId="20" borderId="0" xfId="0" applyFont="1" applyFill="1" applyBorder="1" applyAlignment="1">
      <alignment horizontal="left" vertical="top" wrapText="1"/>
    </xf>
    <xf numFmtId="0" fontId="53" fillId="20" borderId="27" xfId="0" applyFont="1" applyFill="1" applyBorder="1" applyAlignment="1">
      <alignment horizontal="left" vertical="top" wrapText="1"/>
    </xf>
    <xf numFmtId="0" fontId="53" fillId="20" borderId="61" xfId="0" applyFont="1" applyFill="1" applyBorder="1" applyAlignment="1">
      <alignment horizontal="left" vertical="top" wrapText="1"/>
    </xf>
    <xf numFmtId="0" fontId="53" fillId="20" borderId="62" xfId="0" applyFont="1" applyFill="1" applyBorder="1" applyAlignment="1">
      <alignment horizontal="left" vertical="top" wrapText="1"/>
    </xf>
    <xf numFmtId="0" fontId="53" fillId="20" borderId="65" xfId="0" applyFont="1" applyFill="1" applyBorder="1" applyAlignment="1">
      <alignment horizontal="left" vertical="top" wrapText="1"/>
    </xf>
    <xf numFmtId="0" fontId="73" fillId="37" borderId="21" xfId="0" applyFont="1" applyFill="1" applyBorder="1" applyAlignment="1">
      <alignment horizontal="center"/>
    </xf>
    <xf numFmtId="0" fontId="73" fillId="37" borderId="34" xfId="0" applyFont="1" applyFill="1" applyBorder="1" applyAlignment="1">
      <alignment horizontal="center"/>
    </xf>
    <xf numFmtId="0" fontId="73" fillId="24" borderId="21" xfId="0" applyFont="1" applyFill="1" applyBorder="1" applyAlignment="1">
      <alignment horizontal="center"/>
    </xf>
    <xf numFmtId="0" fontId="73" fillId="24" borderId="34" xfId="0" applyFont="1" applyFill="1" applyBorder="1" applyAlignment="1">
      <alignment horizontal="center"/>
    </xf>
    <xf numFmtId="0" fontId="73" fillId="24" borderId="37" xfId="0" applyFont="1" applyFill="1" applyBorder="1" applyAlignment="1">
      <alignment horizontal="center"/>
    </xf>
    <xf numFmtId="0" fontId="28" fillId="22" borderId="25" xfId="0" applyFont="1" applyFill="1" applyBorder="1" applyAlignment="1">
      <alignment horizontal="center"/>
    </xf>
    <xf numFmtId="0" fontId="28" fillId="22" borderId="24" xfId="0" applyFont="1" applyFill="1" applyBorder="1" applyAlignment="1">
      <alignment horizontal="center"/>
    </xf>
    <xf numFmtId="0" fontId="28" fillId="22" borderId="45" xfId="0" applyFont="1" applyFill="1" applyBorder="1" applyAlignment="1">
      <alignment horizontal="center"/>
    </xf>
    <xf numFmtId="0" fontId="28" fillId="21" borderId="26" xfId="0" applyFont="1" applyFill="1" applyBorder="1" applyAlignment="1">
      <alignment horizontal="left" wrapText="1"/>
    </xf>
    <xf numFmtId="0" fontId="28" fillId="21" borderId="109" xfId="0" applyFont="1" applyFill="1" applyBorder="1" applyAlignment="1">
      <alignment horizontal="left" wrapText="1"/>
    </xf>
    <xf numFmtId="0" fontId="28" fillId="21" borderId="49" xfId="0" applyFont="1" applyFill="1" applyBorder="1" applyAlignment="1">
      <alignment horizontal="left" wrapText="1"/>
    </xf>
    <xf numFmtId="0" fontId="29" fillId="0" borderId="10" xfId="0" applyFont="1" applyBorder="1" applyAlignment="1">
      <alignment horizontal="center"/>
    </xf>
    <xf numFmtId="0" fontId="29" fillId="0" borderId="21" xfId="0" applyFont="1" applyBorder="1" applyAlignment="1">
      <alignment horizontal="center"/>
    </xf>
    <xf numFmtId="0" fontId="29" fillId="0" borderId="34" xfId="0" applyFont="1" applyBorder="1" applyAlignment="1">
      <alignment horizontal="center"/>
    </xf>
    <xf numFmtId="0" fontId="29" fillId="0" borderId="37" xfId="0" applyFont="1" applyBorder="1" applyAlignment="1">
      <alignment horizontal="center"/>
    </xf>
    <xf numFmtId="0" fontId="28" fillId="0" borderId="10" xfId="0" applyFont="1" applyBorder="1" applyAlignment="1">
      <alignment horizontal="center" vertical="center" wrapText="1"/>
    </xf>
    <xf numFmtId="0" fontId="100" fillId="21" borderId="42" xfId="0" applyFont="1" applyFill="1" applyBorder="1" applyAlignment="1">
      <alignment horizontal="center"/>
    </xf>
    <xf numFmtId="0" fontId="28" fillId="0" borderId="110" xfId="0" applyFont="1" applyBorder="1" applyAlignment="1">
      <alignment horizontal="center" vertical="center" wrapText="1"/>
    </xf>
    <xf numFmtId="0" fontId="28" fillId="0" borderId="42" xfId="0" applyFont="1" applyBorder="1" applyAlignment="1">
      <alignment horizontal="center" vertical="center" wrapText="1"/>
    </xf>
    <xf numFmtId="0" fontId="53" fillId="20" borderId="0" xfId="0" applyFont="1" applyFill="1" applyAlignment="1">
      <alignment horizontal="left" vertical="center" wrapText="1"/>
    </xf>
    <xf numFmtId="0" fontId="3" fillId="21" borderId="10" xfId="0" applyFont="1" applyFill="1" applyBorder="1" applyAlignment="1" applyProtection="1">
      <alignment horizontal="left"/>
      <protection locked="0"/>
    </xf>
    <xf numFmtId="0" fontId="3" fillId="21" borderId="10" xfId="0" applyFont="1" applyFill="1" applyBorder="1" applyAlignment="1" applyProtection="1">
      <alignment horizontal="left"/>
    </xf>
    <xf numFmtId="0" fontId="74" fillId="24" borderId="10" xfId="0" applyFont="1" applyFill="1" applyBorder="1" applyAlignment="1">
      <alignment horizontal="center"/>
    </xf>
    <xf numFmtId="0" fontId="23" fillId="21" borderId="0" xfId="0" applyFont="1" applyFill="1" applyAlignment="1">
      <alignment horizontal="center"/>
    </xf>
    <xf numFmtId="0" fontId="0" fillId="21" borderId="0" xfId="0" applyFill="1" applyAlignment="1">
      <alignment horizontal="center"/>
    </xf>
    <xf numFmtId="0" fontId="23" fillId="21" borderId="0" xfId="0" applyFont="1" applyFill="1" applyAlignment="1">
      <alignment horizontal="left"/>
    </xf>
    <xf numFmtId="0" fontId="75" fillId="24" borderId="0" xfId="0" applyFont="1" applyFill="1" applyAlignment="1">
      <alignment horizontal="left"/>
    </xf>
    <xf numFmtId="0" fontId="4" fillId="20" borderId="60" xfId="0" applyFont="1" applyFill="1" applyBorder="1" applyAlignment="1">
      <alignment horizontal="center" vertical="center" wrapText="1"/>
    </xf>
    <xf numFmtId="0" fontId="4" fillId="20" borderId="63" xfId="0" applyFont="1" applyFill="1" applyBorder="1" applyAlignment="1">
      <alignment horizontal="center" vertical="center" wrapText="1"/>
    </xf>
    <xf numFmtId="0" fontId="4" fillId="20" borderId="64" xfId="0" applyFont="1" applyFill="1" applyBorder="1" applyAlignment="1">
      <alignment horizontal="center" vertical="center" wrapText="1"/>
    </xf>
    <xf numFmtId="0" fontId="4" fillId="20" borderId="59" xfId="0" applyFont="1" applyFill="1" applyBorder="1" applyAlignment="1">
      <alignment horizontal="center" vertical="center" wrapText="1"/>
    </xf>
    <xf numFmtId="0" fontId="4" fillId="20" borderId="0" xfId="0" applyFont="1" applyFill="1" applyBorder="1" applyAlignment="1">
      <alignment horizontal="center" vertical="center" wrapText="1"/>
    </xf>
    <xf numFmtId="0" fontId="4" fillId="20" borderId="27" xfId="0" applyFont="1" applyFill="1" applyBorder="1" applyAlignment="1">
      <alignment horizontal="center" vertical="center" wrapText="1"/>
    </xf>
    <xf numFmtId="0" fontId="4" fillId="20" borderId="61" xfId="0" applyFont="1" applyFill="1" applyBorder="1" applyAlignment="1">
      <alignment horizontal="center" vertical="center" wrapText="1"/>
    </xf>
    <xf numFmtId="0" fontId="4" fillId="20" borderId="62" xfId="0" applyFont="1" applyFill="1" applyBorder="1" applyAlignment="1">
      <alignment horizontal="center" vertical="center" wrapText="1"/>
    </xf>
    <xf numFmtId="0" fontId="4" fillId="20" borderId="65" xfId="0" applyFont="1" applyFill="1" applyBorder="1" applyAlignment="1">
      <alignment horizontal="center" vertical="center" wrapText="1"/>
    </xf>
    <xf numFmtId="0" fontId="0" fillId="0" borderId="0" xfId="0"/>
    <xf numFmtId="0" fontId="4" fillId="20" borderId="32" xfId="0" applyFont="1" applyFill="1" applyBorder="1" applyAlignment="1">
      <alignment horizontal="center" wrapText="1"/>
    </xf>
    <xf numFmtId="0" fontId="4" fillId="20" borderId="30" xfId="0" applyFont="1" applyFill="1" applyBorder="1" applyAlignment="1">
      <alignment horizontal="center" wrapText="1"/>
    </xf>
    <xf numFmtId="0" fontId="4" fillId="20" borderId="31" xfId="0" applyFont="1" applyFill="1" applyBorder="1" applyAlignment="1">
      <alignment horizontal="center" wrapText="1"/>
    </xf>
    <xf numFmtId="0" fontId="88" fillId="24" borderId="10" xfId="0" applyFont="1" applyFill="1" applyBorder="1" applyAlignment="1" applyProtection="1">
      <alignment horizontal="center" wrapText="1"/>
    </xf>
    <xf numFmtId="0" fontId="84" fillId="24" borderId="0" xfId="0" applyFont="1" applyFill="1" applyAlignment="1" applyProtection="1">
      <alignment horizontal="center"/>
    </xf>
    <xf numFmtId="0" fontId="84" fillId="24" borderId="59" xfId="0" applyFont="1" applyFill="1" applyBorder="1" applyAlignment="1" applyProtection="1">
      <alignment horizontal="center" vertical="center" wrapText="1"/>
    </xf>
    <xf numFmtId="0" fontId="84" fillId="24" borderId="0" xfId="0" applyFont="1" applyFill="1" applyBorder="1" applyAlignment="1" applyProtection="1">
      <alignment horizontal="center" vertical="center" wrapText="1"/>
    </xf>
    <xf numFmtId="0" fontId="84" fillId="24" borderId="21" xfId="0" applyFont="1" applyFill="1" applyBorder="1" applyAlignment="1" applyProtection="1">
      <alignment horizontal="center" wrapText="1"/>
    </xf>
    <xf numFmtId="0" fontId="84" fillId="24" borderId="34" xfId="0" applyFont="1" applyFill="1" applyBorder="1" applyAlignment="1" applyProtection="1">
      <alignment horizontal="center" wrapText="1"/>
    </xf>
    <xf numFmtId="0" fontId="84" fillId="24" borderId="37" xfId="0" applyFont="1" applyFill="1" applyBorder="1" applyAlignment="1" applyProtection="1">
      <alignment horizontal="center" wrapText="1"/>
    </xf>
    <xf numFmtId="0" fontId="27" fillId="21" borderId="0" xfId="0" applyFont="1" applyFill="1" applyAlignment="1" applyProtection="1">
      <alignment horizontal="center" wrapText="1"/>
    </xf>
    <xf numFmtId="0" fontId="88" fillId="24" borderId="10" xfId="0" applyFont="1" applyFill="1" applyBorder="1" applyAlignment="1" applyProtection="1">
      <alignment horizontal="center"/>
    </xf>
    <xf numFmtId="0" fontId="28" fillId="21" borderId="10" xfId="0" applyFont="1" applyFill="1" applyBorder="1" applyAlignment="1" applyProtection="1">
      <alignment horizontal="center"/>
    </xf>
    <xf numFmtId="0" fontId="84" fillId="24" borderId="32" xfId="0" applyFont="1" applyFill="1" applyBorder="1" applyAlignment="1" applyProtection="1">
      <alignment horizontal="center" vertical="center"/>
    </xf>
    <xf numFmtId="0" fontId="84" fillId="24" borderId="30" xfId="0" applyFont="1" applyFill="1" applyBorder="1" applyAlignment="1" applyProtection="1">
      <alignment horizontal="center" vertical="center"/>
    </xf>
    <xf numFmtId="0" fontId="84" fillId="24" borderId="72" xfId="0" applyFont="1" applyFill="1" applyBorder="1" applyAlignment="1" applyProtection="1">
      <alignment horizontal="center" vertical="center"/>
    </xf>
    <xf numFmtId="0" fontId="28" fillId="21" borderId="13" xfId="0" applyFont="1" applyFill="1" applyBorder="1" applyAlignment="1" applyProtection="1">
      <alignment horizontal="center"/>
    </xf>
    <xf numFmtId="0" fontId="28" fillId="21" borderId="26" xfId="0" applyFont="1" applyFill="1" applyBorder="1" applyAlignment="1" applyProtection="1">
      <alignment horizontal="center"/>
    </xf>
    <xf numFmtId="0" fontId="28" fillId="21" borderId="22" xfId="0" applyFont="1" applyFill="1" applyBorder="1" applyAlignment="1" applyProtection="1">
      <alignment horizontal="center"/>
    </xf>
    <xf numFmtId="0" fontId="28" fillId="25" borderId="25" xfId="0" applyFont="1" applyFill="1" applyBorder="1" applyAlignment="1" applyProtection="1">
      <alignment horizontal="center"/>
    </xf>
    <xf numFmtId="0" fontId="28" fillId="25" borderId="24" xfId="0" applyFont="1" applyFill="1" applyBorder="1" applyAlignment="1" applyProtection="1">
      <alignment horizontal="center"/>
    </xf>
    <xf numFmtId="0" fontId="28" fillId="25" borderId="111" xfId="0" applyFont="1" applyFill="1" applyBorder="1" applyAlignment="1" applyProtection="1">
      <alignment horizontal="center"/>
    </xf>
    <xf numFmtId="224" fontId="71" fillId="26" borderId="62" xfId="38" applyNumberFormat="1" applyFont="1" applyFill="1" applyBorder="1" applyAlignment="1" applyProtection="1">
      <alignment horizontal="center"/>
      <protection hidden="1"/>
    </xf>
    <xf numFmtId="224" fontId="71" fillId="26" borderId="112" xfId="38" applyNumberFormat="1" applyFont="1" applyFill="1" applyBorder="1" applyAlignment="1" applyProtection="1">
      <alignment horizontal="center"/>
      <protection hidden="1"/>
    </xf>
    <xf numFmtId="1" fontId="32" fillId="24" borderId="25" xfId="0" applyNumberFormat="1" applyFont="1" applyFill="1" applyBorder="1" applyAlignment="1" applyProtection="1">
      <alignment horizontal="center"/>
      <protection hidden="1"/>
    </xf>
    <xf numFmtId="1" fontId="32" fillId="24" borderId="24" xfId="0" applyNumberFormat="1" applyFont="1" applyFill="1" applyBorder="1" applyAlignment="1" applyProtection="1">
      <alignment horizontal="center"/>
      <protection hidden="1"/>
    </xf>
    <xf numFmtId="1" fontId="32" fillId="24" borderId="45" xfId="0" applyNumberFormat="1" applyFont="1" applyFill="1" applyBorder="1" applyAlignment="1" applyProtection="1">
      <alignment horizontal="center"/>
      <protection hidden="1"/>
    </xf>
    <xf numFmtId="224" fontId="101" fillId="0" borderId="33" xfId="38" applyNumberFormat="1" applyFont="1" applyFill="1" applyBorder="1" applyAlignment="1" applyProtection="1">
      <alignment horizontal="center"/>
      <protection hidden="1"/>
    </xf>
    <xf numFmtId="224" fontId="101" fillId="0" borderId="34" xfId="38" applyNumberFormat="1" applyFont="1" applyFill="1" applyBorder="1" applyAlignment="1" applyProtection="1">
      <alignment horizontal="center"/>
      <protection hidden="1"/>
    </xf>
    <xf numFmtId="224" fontId="101" fillId="0" borderId="71" xfId="38" applyNumberFormat="1" applyFont="1" applyFill="1" applyBorder="1" applyAlignment="1" applyProtection="1">
      <alignment horizontal="center"/>
      <protection hidden="1"/>
    </xf>
    <xf numFmtId="224" fontId="41" fillId="24" borderId="25" xfId="39" applyNumberFormat="1" applyFont="1" applyFill="1" applyBorder="1" applyAlignment="1" applyProtection="1">
      <alignment horizontal="center"/>
      <protection hidden="1"/>
    </xf>
    <xf numFmtId="224" fontId="41" fillId="24" borderId="24" xfId="39" applyNumberFormat="1" applyFont="1" applyFill="1" applyBorder="1" applyAlignment="1" applyProtection="1">
      <alignment horizontal="center"/>
      <protection hidden="1"/>
    </xf>
    <xf numFmtId="224" fontId="41" fillId="24" borderId="45" xfId="39" applyNumberFormat="1" applyFont="1" applyFill="1" applyBorder="1" applyAlignment="1" applyProtection="1">
      <alignment horizontal="center"/>
      <protection hidden="1"/>
    </xf>
    <xf numFmtId="224" fontId="41" fillId="24" borderId="34" xfId="39" applyNumberFormat="1" applyFont="1" applyFill="1" applyBorder="1" applyAlignment="1" applyProtection="1">
      <alignment horizontal="center"/>
      <protection hidden="1"/>
    </xf>
    <xf numFmtId="224" fontId="41" fillId="24" borderId="60" xfId="39" applyNumberFormat="1" applyFont="1" applyFill="1" applyBorder="1" applyAlignment="1" applyProtection="1">
      <alignment horizontal="center"/>
      <protection hidden="1"/>
    </xf>
    <xf numFmtId="224" fontId="41" fillId="24" borderId="63" xfId="39" applyNumberFormat="1" applyFont="1" applyFill="1" applyBorder="1" applyAlignment="1" applyProtection="1">
      <alignment horizontal="center"/>
      <protection hidden="1"/>
    </xf>
    <xf numFmtId="224" fontId="41" fillId="24" borderId="64" xfId="39" applyNumberFormat="1" applyFont="1" applyFill="1" applyBorder="1" applyAlignment="1" applyProtection="1">
      <alignment horizontal="center"/>
      <protection hidden="1"/>
    </xf>
    <xf numFmtId="224" fontId="23" fillId="0" borderId="60" xfId="39" applyNumberFormat="1" applyFont="1" applyBorder="1" applyAlignment="1" applyProtection="1">
      <alignment horizontal="left" vertical="center"/>
      <protection hidden="1"/>
    </xf>
    <xf numFmtId="224" fontId="23" fillId="0" borderId="64" xfId="39" applyNumberFormat="1" applyFont="1" applyBorder="1" applyAlignment="1" applyProtection="1">
      <alignment horizontal="left" vertical="center"/>
      <protection hidden="1"/>
    </xf>
    <xf numFmtId="224" fontId="23" fillId="0" borderId="61" xfId="39" applyNumberFormat="1" applyFont="1" applyBorder="1" applyAlignment="1" applyProtection="1">
      <alignment horizontal="left" vertical="center"/>
      <protection hidden="1"/>
    </xf>
    <xf numFmtId="224" fontId="23" fillId="0" borderId="65" xfId="39" applyNumberFormat="1" applyFont="1" applyBorder="1" applyAlignment="1" applyProtection="1">
      <alignment horizontal="left" vertical="center"/>
      <protection hidden="1"/>
    </xf>
    <xf numFmtId="192" fontId="102" fillId="34" borderId="60" xfId="35" applyNumberFormat="1" applyFont="1" applyFill="1" applyBorder="1" applyAlignment="1" applyProtection="1">
      <alignment vertical="center"/>
      <protection hidden="1"/>
    </xf>
    <xf numFmtId="192" fontId="102" fillId="34" borderId="63" xfId="35" applyNumberFormat="1" applyFont="1" applyFill="1" applyBorder="1" applyAlignment="1" applyProtection="1">
      <alignment vertical="center"/>
      <protection hidden="1"/>
    </xf>
    <xf numFmtId="192" fontId="102" fillId="34" borderId="61" xfId="35" applyNumberFormat="1" applyFont="1" applyFill="1" applyBorder="1" applyAlignment="1" applyProtection="1">
      <alignment vertical="center"/>
      <protection hidden="1"/>
    </xf>
    <xf numFmtId="192" fontId="102" fillId="34" borderId="62" xfId="35" applyNumberFormat="1" applyFont="1" applyFill="1" applyBorder="1" applyAlignment="1" applyProtection="1">
      <alignment vertical="center"/>
      <protection hidden="1"/>
    </xf>
    <xf numFmtId="0" fontId="103" fillId="25" borderId="64" xfId="0" applyFont="1" applyFill="1" applyBorder="1" applyAlignment="1">
      <alignment horizontal="center"/>
    </xf>
    <xf numFmtId="0" fontId="103" fillId="25" borderId="65" xfId="0" applyFont="1" applyFill="1" applyBorder="1" applyAlignment="1">
      <alignment horizontal="center"/>
    </xf>
    <xf numFmtId="0" fontId="4" fillId="25" borderId="49" xfId="0" applyFont="1" applyFill="1" applyBorder="1" applyAlignment="1">
      <alignment horizontal="center" vertical="center" wrapText="1"/>
    </xf>
    <xf numFmtId="0" fontId="4" fillId="25" borderId="15" xfId="0" applyFont="1" applyFill="1" applyBorder="1" applyAlignment="1">
      <alignment horizontal="center" vertical="center" wrapText="1"/>
    </xf>
    <xf numFmtId="0" fontId="71" fillId="24" borderId="60" xfId="0" applyFont="1" applyFill="1" applyBorder="1" applyAlignment="1">
      <alignment horizontal="left"/>
    </xf>
    <xf numFmtId="0" fontId="71" fillId="24" borderId="63" xfId="0" applyFont="1" applyFill="1" applyBorder="1" applyAlignment="1">
      <alignment horizontal="left"/>
    </xf>
    <xf numFmtId="0" fontId="28" fillId="25" borderId="63" xfId="0" applyFont="1" applyFill="1" applyBorder="1" applyAlignment="1">
      <alignment horizontal="center" vertical="center" wrapText="1"/>
    </xf>
    <xf numFmtId="0" fontId="28" fillId="25" borderId="62" xfId="0" applyFont="1" applyFill="1" applyBorder="1" applyAlignment="1">
      <alignment horizontal="center" vertical="center" wrapText="1"/>
    </xf>
    <xf numFmtId="224" fontId="23" fillId="0" borderId="46" xfId="39" applyNumberFormat="1" applyFont="1" applyBorder="1" applyAlignment="1" applyProtection="1">
      <alignment horizontal="left" vertical="center"/>
      <protection hidden="1"/>
    </xf>
    <xf numFmtId="224" fontId="23" fillId="0" borderId="85" xfId="39" applyNumberFormat="1" applyFont="1" applyBorder="1" applyAlignment="1" applyProtection="1">
      <alignment horizontal="left" vertical="center"/>
      <protection hidden="1"/>
    </xf>
    <xf numFmtId="0" fontId="71" fillId="24" borderId="42" xfId="0" applyFont="1" applyFill="1" applyBorder="1" applyAlignment="1">
      <alignment horizontal="center"/>
    </xf>
    <xf numFmtId="224" fontId="23" fillId="0" borderId="21" xfId="39" applyNumberFormat="1" applyFont="1" applyBorder="1" applyAlignment="1" applyProtection="1">
      <alignment horizontal="left" vertical="center"/>
      <protection hidden="1"/>
    </xf>
    <xf numFmtId="224" fontId="23" fillId="0" borderId="37" xfId="39" applyNumberFormat="1" applyFont="1" applyBorder="1" applyAlignment="1" applyProtection="1">
      <alignment horizontal="left" vertical="center"/>
      <protection hidden="1"/>
    </xf>
    <xf numFmtId="0" fontId="3" fillId="25" borderId="60" xfId="0" applyFont="1" applyFill="1" applyBorder="1" applyAlignment="1">
      <alignment horizontal="center" vertical="center"/>
    </xf>
    <xf numFmtId="0" fontId="3" fillId="25" borderId="61" xfId="0" applyFont="1" applyFill="1" applyBorder="1" applyAlignment="1">
      <alignment horizontal="center" vertical="center"/>
    </xf>
    <xf numFmtId="10" fontId="75" fillId="24" borderId="63" xfId="0" applyNumberFormat="1" applyFont="1" applyFill="1" applyBorder="1" applyAlignment="1">
      <alignment horizontal="center" vertical="center"/>
    </xf>
    <xf numFmtId="10" fontId="75" fillId="24" borderId="62" xfId="0" applyNumberFormat="1" applyFont="1" applyFill="1" applyBorder="1" applyAlignment="1">
      <alignment horizontal="center" vertical="center"/>
    </xf>
    <xf numFmtId="0" fontId="3" fillId="25" borderId="63" xfId="0" applyFont="1" applyFill="1" applyBorder="1" applyAlignment="1">
      <alignment horizontal="center" vertical="center"/>
    </xf>
    <xf numFmtId="0" fontId="3" fillId="25" borderId="62" xfId="0" applyFont="1" applyFill="1" applyBorder="1" applyAlignment="1">
      <alignment horizontal="center" vertical="center"/>
    </xf>
    <xf numFmtId="0" fontId="28" fillId="25" borderId="64" xfId="0" applyFont="1" applyFill="1" applyBorder="1" applyAlignment="1">
      <alignment horizontal="center" wrapText="1"/>
    </xf>
    <xf numFmtId="0" fontId="28" fillId="25" borderId="65" xfId="0" applyFont="1" applyFill="1" applyBorder="1" applyAlignment="1">
      <alignment horizontal="center" wrapText="1"/>
    </xf>
  </cellXfs>
  <cellStyles count="56">
    <cellStyle name="Buena" xfId="1" builtinId="26" customBuiltin="1"/>
    <cellStyle name="Cálculo" xfId="2" builtinId="22" customBuiltin="1"/>
    <cellStyle name="Celda de comprobación" xfId="3" builtinId="23" customBuiltin="1"/>
    <cellStyle name="Celda vinculada" xfId="4" builtinId="24" customBuiltin="1"/>
    <cellStyle name="Encabezado 4" xfId="5" builtinId="19" customBuiltin="1"/>
    <cellStyle name="Énfasis 1" xfId="6"/>
    <cellStyle name="Énfasis 2" xfId="7"/>
    <cellStyle name="Énfasis 3" xfId="8"/>
    <cellStyle name="Énfasis1" xfId="9" builtinId="29" customBuiltin="1"/>
    <cellStyle name="Énfasis1 - 20%" xfId="10"/>
    <cellStyle name="Énfasis1 - 40%" xfId="11"/>
    <cellStyle name="Énfasis1 - 60%" xfId="12"/>
    <cellStyle name="Énfasis2" xfId="13" builtinId="33" customBuiltin="1"/>
    <cellStyle name="Énfasis2 - 20%" xfId="14"/>
    <cellStyle name="Énfasis2 - 40%" xfId="15"/>
    <cellStyle name="Énfasis2 - 60%" xfId="16"/>
    <cellStyle name="Énfasis3" xfId="17" builtinId="37" customBuiltin="1"/>
    <cellStyle name="Énfasis3 - 20%" xfId="18"/>
    <cellStyle name="Énfasis3 - 40%" xfId="19"/>
    <cellStyle name="Énfasis3 - 60%" xfId="20"/>
    <cellStyle name="Énfasis4" xfId="21" builtinId="41" customBuiltin="1"/>
    <cellStyle name="Énfasis4 - 20%" xfId="22"/>
    <cellStyle name="Énfasis4 - 40%" xfId="23"/>
    <cellStyle name="Énfasis4 - 60%" xfId="24"/>
    <cellStyle name="Énfasis5" xfId="25" builtinId="45" customBuiltin="1"/>
    <cellStyle name="Énfasis5 - 20%" xfId="26"/>
    <cellStyle name="Énfasis5 - 40%" xfId="27"/>
    <cellStyle name="Énfasis5 - 60%" xfId="28"/>
    <cellStyle name="Énfasis6" xfId="29" builtinId="49" customBuiltin="1"/>
    <cellStyle name="Énfasis6 - 20%" xfId="30"/>
    <cellStyle name="Énfasis6 - 40%" xfId="31"/>
    <cellStyle name="Énfasis6 - 60%" xfId="32"/>
    <cellStyle name="Entrada" xfId="33" builtinId="20" customBuiltin="1"/>
    <cellStyle name="Incorrecto" xfId="34" builtinId="27" customBuiltin="1"/>
    <cellStyle name="Millares" xfId="35" builtinId="3"/>
    <cellStyle name="Millares [0]_Modelo Financiero ACME Final" xfId="36"/>
    <cellStyle name="Millares 2" xfId="37"/>
    <cellStyle name="Millares_Modelo Financiero ACME Final" xfId="38"/>
    <cellStyle name="Millares_Modelo Financiero ACME Final 2" xfId="39"/>
    <cellStyle name="Moneda" xfId="40" builtinId="4"/>
    <cellStyle name="Moneda 2" xfId="41"/>
    <cellStyle name="Neutral" xfId="42" builtinId="28" customBuiltin="1"/>
    <cellStyle name="Normal" xfId="0" builtinId="0"/>
    <cellStyle name="Normal 3" xfId="43"/>
    <cellStyle name="Normal 3 2" xfId="44"/>
    <cellStyle name="Normal 4" xfId="45"/>
    <cellStyle name="Notas" xfId="46" builtinId="10" customBuiltin="1"/>
    <cellStyle name="Porcentual" xfId="47" builtinId="5"/>
    <cellStyle name="Porcentual 2" xfId="48"/>
    <cellStyle name="Salida" xfId="49" builtinId="21" customBuiltin="1"/>
    <cellStyle name="Texto de advertencia" xfId="50" builtinId="11" customBuiltin="1"/>
    <cellStyle name="Título 1" xfId="51" builtinId="16" customBuiltin="1"/>
    <cellStyle name="Título 2" xfId="52" builtinId="17" customBuiltin="1"/>
    <cellStyle name="Título 3" xfId="53" builtinId="18" customBuiltin="1"/>
    <cellStyle name="Título de hoja" xfId="54"/>
    <cellStyle name="Total" xfId="55" builtinId="25" customBuiltin="1"/>
  </cellStyles>
  <dxfs count="1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9"/>
      </font>
      <fill>
        <patternFill>
          <bgColor indexed="51"/>
        </patternFill>
      </fill>
    </dxf>
    <dxf>
      <font>
        <condense val="0"/>
        <extend val="0"/>
        <color indexed="9"/>
      </font>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n-US" sz="1200"/>
              <a:t>COMPORTAMIENTO DE LAS VENTAS DEL PRODUCTO 1</a:t>
            </a:r>
          </a:p>
        </c:rich>
      </c:tx>
      <c:layout/>
      <c:spPr>
        <a:noFill/>
        <a:ln w="25400">
          <a:noFill/>
        </a:ln>
      </c:spPr>
    </c:title>
    <c:plotArea>
      <c:layout/>
      <c:lineChart>
        <c:grouping val="standard"/>
        <c:ser>
          <c:idx val="0"/>
          <c:order val="0"/>
          <c:tx>
            <c:strRef>
              <c:f>'PROYECCIÓN DE VENTAS'!$B$8:$F$8</c:f>
              <c:strCache>
                <c:ptCount val="1"/>
                <c:pt idx="0">
                  <c:v>TRAMITES</c:v>
                </c:pt>
              </c:strCache>
            </c:strRef>
          </c:tx>
          <c:spPr>
            <a:ln w="25400">
              <a:solidFill>
                <a:srgbClr val="0070C0"/>
              </a:solidFill>
            </a:ln>
          </c:spPr>
          <c:marker>
            <c:symbol val="none"/>
          </c:marker>
          <c:val>
            <c:numRef>
              <c:f>'PROYECCIÓN DE VENTAS'!$B$15:$F$15</c:f>
              <c:numCache>
                <c:formatCode>#,##0</c:formatCode>
                <c:ptCount val="5"/>
                <c:pt idx="0">
                  <c:v>17280</c:v>
                </c:pt>
                <c:pt idx="1">
                  <c:v>17452.8</c:v>
                </c:pt>
                <c:pt idx="2">
                  <c:v>17801.856</c:v>
                </c:pt>
                <c:pt idx="3">
                  <c:v>18335.911679999997</c:v>
                </c:pt>
                <c:pt idx="4">
                  <c:v>19069.348147199998</c:v>
                </c:pt>
              </c:numCache>
            </c:numRef>
          </c:val>
        </c:ser>
        <c:marker val="1"/>
        <c:axId val="77345152"/>
        <c:axId val="77346688"/>
      </c:lineChart>
      <c:catAx>
        <c:axId val="77345152"/>
        <c:scaling>
          <c:orientation val="minMax"/>
        </c:scaling>
        <c:axPos val="b"/>
        <c:numFmt formatCode="General" sourceLinked="1"/>
        <c:tickLblPos val="nextTo"/>
        <c:txPr>
          <a:bodyPr/>
          <a:lstStyle/>
          <a:p>
            <a:pPr>
              <a:defRPr sz="800"/>
            </a:pPr>
            <a:endParaRPr lang="es-CO"/>
          </a:p>
        </c:txPr>
        <c:crossAx val="77346688"/>
        <c:crosses val="autoZero"/>
        <c:auto val="1"/>
        <c:lblAlgn val="ctr"/>
        <c:lblOffset val="100"/>
      </c:catAx>
      <c:valAx>
        <c:axId val="77346688"/>
        <c:scaling>
          <c:orientation val="minMax"/>
        </c:scaling>
        <c:axPos val="l"/>
        <c:majorGridlines/>
        <c:numFmt formatCode="#,##0" sourceLinked="1"/>
        <c:tickLblPos val="nextTo"/>
        <c:txPr>
          <a:bodyPr/>
          <a:lstStyle/>
          <a:p>
            <a:pPr>
              <a:defRPr sz="800"/>
            </a:pPr>
            <a:endParaRPr lang="es-CO"/>
          </a:p>
        </c:txPr>
        <c:crossAx val="77345152"/>
        <c:crosses val="autoZero"/>
        <c:crossBetween val="midCat"/>
      </c:valAx>
    </c:plotArea>
    <c:legend>
      <c:legendPos val="r"/>
      <c:layout>
        <c:manualLayout>
          <c:xMode val="edge"/>
          <c:yMode val="edge"/>
          <c:x val="0.65825242718446597"/>
          <c:y val="0.51572643798175843"/>
          <c:w val="0.32427184466019415"/>
          <c:h val="0.15094432331173419"/>
        </c:manualLayout>
      </c:layout>
    </c:legend>
    <c:plotVisOnly val="1"/>
    <c:dispBlanksAs val="gap"/>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CO"/>
  <c:style val="8"/>
  <c:chart>
    <c:title>
      <c:spPr>
        <a:noFill/>
        <a:ln w="25400">
          <a:noFill/>
        </a:ln>
      </c:spPr>
    </c:title>
    <c:plotArea>
      <c:layout>
        <c:manualLayout>
          <c:layoutTarget val="inner"/>
          <c:xMode val="edge"/>
          <c:yMode val="edge"/>
          <c:x val="0.12500025431366846"/>
          <c:y val="0.20408231054126322"/>
          <c:w val="0.48333431667951798"/>
          <c:h val="0.68027436847087741"/>
        </c:manualLayout>
      </c:layout>
      <c:barChart>
        <c:barDir val="col"/>
        <c:grouping val="clustered"/>
        <c:ser>
          <c:idx val="0"/>
          <c:order val="0"/>
          <c:tx>
            <c:strRef>
              <c:f>'ANÁLISIS DE VPN Y TIR'!$A$32:$B$32</c:f>
              <c:strCache>
                <c:ptCount val="1"/>
                <c:pt idx="0">
                  <c:v>  Rentabilidad Operacional       </c:v>
                </c:pt>
              </c:strCache>
            </c:strRef>
          </c:tx>
          <c:cat>
            <c:numRef>
              <c:f>'ANÁLISIS DE VPN Y TIR'!$C$29:$G$29</c:f>
              <c:numCache>
                <c:formatCode>General</c:formatCode>
                <c:ptCount val="5"/>
                <c:pt idx="0">
                  <c:v>2012</c:v>
                </c:pt>
                <c:pt idx="1">
                  <c:v>2013</c:v>
                </c:pt>
                <c:pt idx="2">
                  <c:v>2014</c:v>
                </c:pt>
                <c:pt idx="3">
                  <c:v>2015</c:v>
                </c:pt>
                <c:pt idx="4">
                  <c:v>2016</c:v>
                </c:pt>
              </c:numCache>
            </c:numRef>
          </c:cat>
          <c:val>
            <c:numRef>
              <c:f>'ANÁLISIS DE VPN Y TIR'!$C$32:$G$32</c:f>
              <c:numCache>
                <c:formatCode>0.00%</c:formatCode>
                <c:ptCount val="5"/>
                <c:pt idx="0">
                  <c:v>0.54829174793320101</c:v>
                </c:pt>
                <c:pt idx="1">
                  <c:v>0.53871729637634413</c:v>
                </c:pt>
                <c:pt idx="2">
                  <c:v>0.54942980263859353</c:v>
                </c:pt>
                <c:pt idx="3">
                  <c:v>0.56579595025737095</c:v>
                </c:pt>
                <c:pt idx="4">
                  <c:v>0.58298015991067698</c:v>
                </c:pt>
              </c:numCache>
            </c:numRef>
          </c:val>
        </c:ser>
        <c:axId val="95487872"/>
        <c:axId val="95489408"/>
      </c:barChart>
      <c:catAx>
        <c:axId val="95487872"/>
        <c:scaling>
          <c:orientation val="minMax"/>
        </c:scaling>
        <c:axPos val="b"/>
        <c:numFmt formatCode="General" sourceLinked="1"/>
        <c:tickLblPos val="nextTo"/>
        <c:crossAx val="95489408"/>
        <c:crosses val="autoZero"/>
        <c:auto val="1"/>
        <c:lblAlgn val="ctr"/>
        <c:lblOffset val="100"/>
      </c:catAx>
      <c:valAx>
        <c:axId val="95489408"/>
        <c:scaling>
          <c:orientation val="minMax"/>
        </c:scaling>
        <c:axPos val="l"/>
        <c:majorGridlines/>
        <c:numFmt formatCode="0.00%" sourceLinked="1"/>
        <c:tickLblPos val="nextTo"/>
        <c:crossAx val="95487872"/>
        <c:crosses val="autoZero"/>
        <c:crossBetween val="between"/>
      </c:valAx>
    </c:plotArea>
    <c:legend>
      <c:legendPos val="r"/>
      <c:layout>
        <c:manualLayout>
          <c:xMode val="edge"/>
          <c:yMode val="edge"/>
          <c:x val="0.62500127156834218"/>
          <c:y val="0.52381126372257558"/>
          <c:w val="0.34166736179069374"/>
          <c:h val="8.1632924216505295E-2"/>
        </c:manualLayout>
      </c:layout>
    </c:legend>
    <c:plotVisOnly val="1"/>
    <c:dispBlanksAs val="gap"/>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CO"/>
  <c:style val="6"/>
  <c:chart>
    <c:title>
      <c:spPr>
        <a:noFill/>
        <a:ln w="25400">
          <a:noFill/>
        </a:ln>
      </c:spPr>
    </c:title>
    <c:plotArea>
      <c:layout>
        <c:manualLayout>
          <c:layoutTarget val="inner"/>
          <c:xMode val="edge"/>
          <c:yMode val="edge"/>
          <c:x val="0.11692864605258449"/>
          <c:y val="0.20477815699658702"/>
          <c:w val="0.58289802659049583"/>
          <c:h val="0.67918088737201365"/>
        </c:manualLayout>
      </c:layout>
      <c:barChart>
        <c:barDir val="col"/>
        <c:grouping val="clustered"/>
        <c:ser>
          <c:idx val="0"/>
          <c:order val="0"/>
          <c:tx>
            <c:strRef>
              <c:f>'ANÁLISIS DE VPN Y TIR'!$A$33:$B$33</c:f>
              <c:strCache>
                <c:ptCount val="1"/>
                <c:pt idx="0">
                  <c:v>  Rentabilidad Neta       </c:v>
                </c:pt>
              </c:strCache>
            </c:strRef>
          </c:tx>
          <c:cat>
            <c:numRef>
              <c:f>'ANÁLISIS DE VPN Y TIR'!$C$29:$G$29</c:f>
              <c:numCache>
                <c:formatCode>General</c:formatCode>
                <c:ptCount val="5"/>
                <c:pt idx="0">
                  <c:v>2012</c:v>
                </c:pt>
                <c:pt idx="1">
                  <c:v>2013</c:v>
                </c:pt>
                <c:pt idx="2">
                  <c:v>2014</c:v>
                </c:pt>
                <c:pt idx="3">
                  <c:v>2015</c:v>
                </c:pt>
                <c:pt idx="4">
                  <c:v>2016</c:v>
                </c:pt>
              </c:numCache>
            </c:numRef>
          </c:cat>
          <c:val>
            <c:numRef>
              <c:f>'ANÁLISIS DE VPN Y TIR'!$C$33:$G$33</c:f>
              <c:numCache>
                <c:formatCode>0.000%</c:formatCode>
                <c:ptCount val="5"/>
                <c:pt idx="0">
                  <c:v>0.18605015292129451</c:v>
                </c:pt>
                <c:pt idx="1">
                  <c:v>0.18482636481997089</c:v>
                </c:pt>
                <c:pt idx="2">
                  <c:v>0.1908381693160624</c:v>
                </c:pt>
                <c:pt idx="3">
                  <c:v>0.19877931273283794</c:v>
                </c:pt>
                <c:pt idx="4">
                  <c:v>0.20685704662614754</c:v>
                </c:pt>
              </c:numCache>
            </c:numRef>
          </c:val>
        </c:ser>
        <c:axId val="95513600"/>
        <c:axId val="95535872"/>
      </c:barChart>
      <c:catAx>
        <c:axId val="95513600"/>
        <c:scaling>
          <c:orientation val="minMax"/>
        </c:scaling>
        <c:axPos val="b"/>
        <c:numFmt formatCode="General" sourceLinked="1"/>
        <c:tickLblPos val="nextTo"/>
        <c:crossAx val="95535872"/>
        <c:crosses val="autoZero"/>
        <c:auto val="1"/>
        <c:lblAlgn val="ctr"/>
        <c:lblOffset val="100"/>
      </c:catAx>
      <c:valAx>
        <c:axId val="95535872"/>
        <c:scaling>
          <c:orientation val="minMax"/>
        </c:scaling>
        <c:axPos val="l"/>
        <c:majorGridlines/>
        <c:numFmt formatCode="0.000%" sourceLinked="1"/>
        <c:tickLblPos val="nextTo"/>
        <c:crossAx val="95513600"/>
        <c:crosses val="autoZero"/>
        <c:crossBetween val="between"/>
      </c:valAx>
    </c:plotArea>
    <c:legend>
      <c:legendPos val="r"/>
      <c:layout>
        <c:manualLayout>
          <c:xMode val="edge"/>
          <c:yMode val="edge"/>
          <c:x val="0.71378830202249333"/>
          <c:y val="0.52559726962457343"/>
          <c:w val="0.25654493984671523"/>
          <c:h val="8.191126279863481E-2"/>
        </c:manualLayout>
      </c:layout>
    </c:legend>
    <c:plotVisOnly val="1"/>
    <c:dispBlanksAs val="gap"/>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CO"/>
  <c:style val="21"/>
  <c:chart>
    <c:title>
      <c:spPr>
        <a:noFill/>
        <a:ln w="25400">
          <a:noFill/>
        </a:ln>
      </c:spPr>
    </c:title>
    <c:plotArea>
      <c:layout>
        <c:manualLayout>
          <c:layoutTarget val="inner"/>
          <c:xMode val="edge"/>
          <c:yMode val="edge"/>
          <c:x val="0.15195087103647073"/>
          <c:y val="0.20477815699658702"/>
          <c:w val="0.45790600325855368"/>
          <c:h val="0.67918088737201365"/>
        </c:manualLayout>
      </c:layout>
      <c:barChart>
        <c:barDir val="col"/>
        <c:grouping val="clustered"/>
        <c:ser>
          <c:idx val="0"/>
          <c:order val="0"/>
          <c:tx>
            <c:strRef>
              <c:f>'ANÁLISIS DE VPN Y TIR'!$A$34:$B$34</c:f>
              <c:strCache>
                <c:ptCount val="1"/>
                <c:pt idx="0">
                  <c:v>  Rentabilidad Patrimonio       </c:v>
                </c:pt>
              </c:strCache>
            </c:strRef>
          </c:tx>
          <c:cat>
            <c:numRef>
              <c:f>'ANÁLISIS DE VPN Y TIR'!$C$29:$G$29</c:f>
              <c:numCache>
                <c:formatCode>General</c:formatCode>
                <c:ptCount val="5"/>
                <c:pt idx="0">
                  <c:v>2012</c:v>
                </c:pt>
                <c:pt idx="1">
                  <c:v>2013</c:v>
                </c:pt>
                <c:pt idx="2">
                  <c:v>2014</c:v>
                </c:pt>
                <c:pt idx="3">
                  <c:v>2015</c:v>
                </c:pt>
                <c:pt idx="4">
                  <c:v>2016</c:v>
                </c:pt>
              </c:numCache>
            </c:numRef>
          </c:cat>
          <c:val>
            <c:numRef>
              <c:f>'ANÁLISIS DE VPN Y TIR'!$C$34:$G$34</c:f>
              <c:numCache>
                <c:formatCode>0.00%</c:formatCode>
                <c:ptCount val="5"/>
                <c:pt idx="0">
                  <c:v>9.0018505989439124</c:v>
                </c:pt>
                <c:pt idx="1">
                  <c:v>0.86894772049270042</c:v>
                </c:pt>
                <c:pt idx="2">
                  <c:v>0.57050919313617487</c:v>
                </c:pt>
                <c:pt idx="3">
                  <c:v>0.59212249375798887</c:v>
                </c:pt>
                <c:pt idx="4">
                  <c:v>0.60329565207447577</c:v>
                </c:pt>
              </c:numCache>
            </c:numRef>
          </c:val>
        </c:ser>
        <c:axId val="95625600"/>
        <c:axId val="95627136"/>
      </c:barChart>
      <c:catAx>
        <c:axId val="95625600"/>
        <c:scaling>
          <c:orientation val="minMax"/>
        </c:scaling>
        <c:axPos val="b"/>
        <c:numFmt formatCode="General" sourceLinked="1"/>
        <c:tickLblPos val="nextTo"/>
        <c:crossAx val="95627136"/>
        <c:crosses val="autoZero"/>
        <c:auto val="1"/>
        <c:lblAlgn val="ctr"/>
        <c:lblOffset val="100"/>
      </c:catAx>
      <c:valAx>
        <c:axId val="95627136"/>
        <c:scaling>
          <c:orientation val="minMax"/>
        </c:scaling>
        <c:axPos val="l"/>
        <c:majorGridlines/>
        <c:numFmt formatCode="0.00%" sourceLinked="1"/>
        <c:tickLblPos val="nextTo"/>
        <c:crossAx val="95625600"/>
        <c:crosses val="autoZero"/>
        <c:crossBetween val="between"/>
      </c:valAx>
    </c:plotArea>
    <c:legend>
      <c:legendPos val="r"/>
      <c:layout>
        <c:manualLayout>
          <c:xMode val="edge"/>
          <c:yMode val="edge"/>
          <c:x val="0.62423060533901487"/>
          <c:y val="0.52559726962457343"/>
          <c:w val="0.34291615490662991"/>
          <c:h val="8.191126279863481E-2"/>
        </c:manualLayout>
      </c:layout>
    </c:legend>
    <c:plotVisOnly val="1"/>
    <c:dispBlanksAs val="gap"/>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CO"/>
  <c:style val="20"/>
  <c:chart>
    <c:title>
      <c:spPr>
        <a:noFill/>
        <a:ln w="25400">
          <a:noFill/>
        </a:ln>
      </c:spPr>
    </c:title>
    <c:plotArea>
      <c:layout>
        <c:manualLayout>
          <c:layoutTarget val="inner"/>
          <c:xMode val="edge"/>
          <c:yMode val="edge"/>
          <c:x val="0.15416698032019108"/>
          <c:y val="0.20408231054126322"/>
          <c:w val="0.45416759067299534"/>
          <c:h val="0.68027436847087741"/>
        </c:manualLayout>
      </c:layout>
      <c:barChart>
        <c:barDir val="col"/>
        <c:grouping val="clustered"/>
        <c:ser>
          <c:idx val="0"/>
          <c:order val="0"/>
          <c:tx>
            <c:strRef>
              <c:f>'ANÁLISIS DE VPN Y TIR'!$A$35:$B$35</c:f>
              <c:strCache>
                <c:ptCount val="1"/>
                <c:pt idx="0">
                  <c:v>  Rentabilidad del Activo       </c:v>
                </c:pt>
              </c:strCache>
            </c:strRef>
          </c:tx>
          <c:cat>
            <c:numRef>
              <c:f>'ANÁLISIS DE VPN Y TIR'!$C$29:$G$29</c:f>
              <c:numCache>
                <c:formatCode>General</c:formatCode>
                <c:ptCount val="5"/>
                <c:pt idx="0">
                  <c:v>2012</c:v>
                </c:pt>
                <c:pt idx="1">
                  <c:v>2013</c:v>
                </c:pt>
                <c:pt idx="2">
                  <c:v>2014</c:v>
                </c:pt>
                <c:pt idx="3">
                  <c:v>2015</c:v>
                </c:pt>
                <c:pt idx="4">
                  <c:v>2016</c:v>
                </c:pt>
              </c:numCache>
            </c:numRef>
          </c:cat>
          <c:val>
            <c:numRef>
              <c:f>'ANÁLISIS DE VPN Y TIR'!$C$35:$G$35</c:f>
              <c:numCache>
                <c:formatCode>0.000%</c:formatCode>
                <c:ptCount val="5"/>
                <c:pt idx="0">
                  <c:v>1.8057874822354891</c:v>
                </c:pt>
                <c:pt idx="1">
                  <c:v>0.41618570445656966</c:v>
                </c:pt>
                <c:pt idx="2">
                  <c:v>0.34950198641760966</c:v>
                </c:pt>
                <c:pt idx="3">
                  <c:v>0.3717882573577565</c:v>
                </c:pt>
                <c:pt idx="4">
                  <c:v>0.38830214853698153</c:v>
                </c:pt>
              </c:numCache>
            </c:numRef>
          </c:val>
        </c:ser>
        <c:axId val="95655424"/>
        <c:axId val="95656960"/>
      </c:barChart>
      <c:catAx>
        <c:axId val="95655424"/>
        <c:scaling>
          <c:orientation val="minMax"/>
        </c:scaling>
        <c:axPos val="b"/>
        <c:numFmt formatCode="General" sourceLinked="1"/>
        <c:tickLblPos val="nextTo"/>
        <c:crossAx val="95656960"/>
        <c:crosses val="autoZero"/>
        <c:auto val="1"/>
        <c:lblAlgn val="ctr"/>
        <c:lblOffset val="100"/>
      </c:catAx>
      <c:valAx>
        <c:axId val="95656960"/>
        <c:scaling>
          <c:orientation val="minMax"/>
        </c:scaling>
        <c:axPos val="l"/>
        <c:majorGridlines/>
        <c:numFmt formatCode="0.000%" sourceLinked="1"/>
        <c:tickLblPos val="nextTo"/>
        <c:crossAx val="95655424"/>
        <c:crosses val="autoZero"/>
        <c:crossBetween val="between"/>
      </c:valAx>
    </c:plotArea>
    <c:legend>
      <c:legendPos val="r"/>
      <c:layout>
        <c:manualLayout>
          <c:xMode val="edge"/>
          <c:yMode val="edge"/>
          <c:x val="0.62500127156834218"/>
          <c:y val="0.52381126372257558"/>
          <c:w val="0.34166736179069374"/>
          <c:h val="8.1632924216505295E-2"/>
        </c:manualLayout>
      </c:layout>
    </c:legend>
    <c:plotVisOnly val="1"/>
    <c:dispBlanksAs val="gap"/>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n-US" sz="1200"/>
              <a:t>COMPORTAMIENTO</a:t>
            </a:r>
            <a:r>
              <a:rPr lang="en-US" sz="1200" baseline="0"/>
              <a:t> DE LAS VENTAS DEL PRODUCTO 2</a:t>
            </a:r>
            <a:endParaRPr lang="en-US" sz="1400"/>
          </a:p>
        </c:rich>
      </c:tx>
      <c:layout/>
      <c:spPr>
        <a:noFill/>
        <a:ln w="25400">
          <a:noFill/>
        </a:ln>
      </c:spPr>
    </c:title>
    <c:plotArea>
      <c:layout/>
      <c:lineChart>
        <c:grouping val="standard"/>
        <c:ser>
          <c:idx val="0"/>
          <c:order val="0"/>
          <c:tx>
            <c:strRef>
              <c:f>'PROYECCIÓN DE VENTAS'!$B$19:$F$19</c:f>
              <c:strCache>
                <c:ptCount val="1"/>
                <c:pt idx="0">
                  <c:v>DILIGENCIAS</c:v>
                </c:pt>
              </c:strCache>
            </c:strRef>
          </c:tx>
          <c:spPr>
            <a:ln w="25400">
              <a:solidFill>
                <a:srgbClr val="FF0000"/>
              </a:solidFill>
            </a:ln>
          </c:spPr>
          <c:marker>
            <c:symbol val="none"/>
          </c:marker>
          <c:val>
            <c:numRef>
              <c:f>'PROYECCIÓN DE VENTAS'!$B$26:$F$26</c:f>
              <c:numCache>
                <c:formatCode>#,##0</c:formatCode>
                <c:ptCount val="5"/>
                <c:pt idx="0">
                  <c:v>17280</c:v>
                </c:pt>
                <c:pt idx="1">
                  <c:v>17452.8</c:v>
                </c:pt>
                <c:pt idx="2">
                  <c:v>17801.856</c:v>
                </c:pt>
                <c:pt idx="3">
                  <c:v>18335.911679999997</c:v>
                </c:pt>
                <c:pt idx="4">
                  <c:v>19069.348147199998</c:v>
                </c:pt>
              </c:numCache>
            </c:numRef>
          </c:val>
        </c:ser>
        <c:marker val="1"/>
        <c:axId val="77366784"/>
        <c:axId val="77368320"/>
      </c:lineChart>
      <c:catAx>
        <c:axId val="77366784"/>
        <c:scaling>
          <c:orientation val="minMax"/>
        </c:scaling>
        <c:axPos val="b"/>
        <c:numFmt formatCode="General" sourceLinked="1"/>
        <c:tickLblPos val="nextTo"/>
        <c:txPr>
          <a:bodyPr/>
          <a:lstStyle/>
          <a:p>
            <a:pPr>
              <a:defRPr sz="800"/>
            </a:pPr>
            <a:endParaRPr lang="es-CO"/>
          </a:p>
        </c:txPr>
        <c:crossAx val="77368320"/>
        <c:crosses val="autoZero"/>
        <c:auto val="1"/>
        <c:lblAlgn val="ctr"/>
        <c:lblOffset val="100"/>
      </c:catAx>
      <c:valAx>
        <c:axId val="77368320"/>
        <c:scaling>
          <c:orientation val="minMax"/>
        </c:scaling>
        <c:axPos val="l"/>
        <c:majorGridlines/>
        <c:numFmt formatCode="#,##0" sourceLinked="1"/>
        <c:tickLblPos val="nextTo"/>
        <c:txPr>
          <a:bodyPr/>
          <a:lstStyle/>
          <a:p>
            <a:pPr>
              <a:defRPr sz="800"/>
            </a:pPr>
            <a:endParaRPr lang="es-CO"/>
          </a:p>
        </c:txPr>
        <c:crossAx val="77366784"/>
        <c:crosses val="autoZero"/>
        <c:crossBetween val="between"/>
      </c:valAx>
    </c:plotArea>
    <c:legend>
      <c:legendPos val="r"/>
      <c:layout>
        <c:manualLayout>
          <c:xMode val="edge"/>
          <c:yMode val="edge"/>
          <c:x val="0.66085271317829453"/>
          <c:y val="0.51162790697674421"/>
          <c:w val="0.3236434108527132"/>
          <c:h val="0.13953488372093023"/>
        </c:manualLayout>
      </c:layout>
    </c:legend>
    <c:plotVisOnly val="1"/>
    <c:dispBlanksAs val="gap"/>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n-US" sz="1200"/>
              <a:t>COMPORTAMIENTO</a:t>
            </a:r>
            <a:r>
              <a:rPr lang="en-US" sz="1200" baseline="0"/>
              <a:t> DE LAS VENTAS DEL PRODUCTO 3</a:t>
            </a:r>
            <a:endParaRPr lang="en-US" sz="1400"/>
          </a:p>
        </c:rich>
      </c:tx>
      <c:layout/>
      <c:spPr>
        <a:noFill/>
        <a:ln w="25400">
          <a:noFill/>
        </a:ln>
      </c:spPr>
    </c:title>
    <c:plotArea>
      <c:layout/>
      <c:lineChart>
        <c:grouping val="standard"/>
        <c:ser>
          <c:idx val="0"/>
          <c:order val="0"/>
          <c:tx>
            <c:strRef>
              <c:f>'PROYECCIÓN DE VENTAS'!$B$29:$F$29</c:f>
              <c:strCache>
                <c:ptCount val="1"/>
                <c:pt idx="0">
                  <c:v>Nombre del producto 3</c:v>
                </c:pt>
              </c:strCache>
            </c:strRef>
          </c:tx>
          <c:spPr>
            <a:ln w="25400">
              <a:solidFill>
                <a:srgbClr val="00B050"/>
              </a:solidFill>
            </a:ln>
          </c:spPr>
          <c:marker>
            <c:symbol val="none"/>
          </c:marker>
          <c:val>
            <c:numRef>
              <c:f>'PROYECCIÓN DE VENTAS'!$B$36:$F$36</c:f>
              <c:numCache>
                <c:formatCode>#,##0</c:formatCode>
                <c:ptCount val="5"/>
                <c:pt idx="0">
                  <c:v>0</c:v>
                </c:pt>
                <c:pt idx="1">
                  <c:v>0</c:v>
                </c:pt>
                <c:pt idx="2">
                  <c:v>0</c:v>
                </c:pt>
                <c:pt idx="3">
                  <c:v>0</c:v>
                </c:pt>
                <c:pt idx="4">
                  <c:v>0</c:v>
                </c:pt>
              </c:numCache>
            </c:numRef>
          </c:val>
        </c:ser>
        <c:marker val="1"/>
        <c:axId val="77388416"/>
        <c:axId val="77488512"/>
      </c:lineChart>
      <c:catAx>
        <c:axId val="77388416"/>
        <c:scaling>
          <c:orientation val="minMax"/>
        </c:scaling>
        <c:axPos val="b"/>
        <c:numFmt formatCode="General" sourceLinked="1"/>
        <c:tickLblPos val="nextTo"/>
        <c:txPr>
          <a:bodyPr/>
          <a:lstStyle/>
          <a:p>
            <a:pPr>
              <a:defRPr sz="800"/>
            </a:pPr>
            <a:endParaRPr lang="es-CO"/>
          </a:p>
        </c:txPr>
        <c:crossAx val="77488512"/>
        <c:crosses val="autoZero"/>
        <c:auto val="1"/>
        <c:lblAlgn val="ctr"/>
        <c:lblOffset val="100"/>
      </c:catAx>
      <c:valAx>
        <c:axId val="77488512"/>
        <c:scaling>
          <c:orientation val="minMax"/>
        </c:scaling>
        <c:axPos val="l"/>
        <c:majorGridlines/>
        <c:numFmt formatCode="#,##0" sourceLinked="1"/>
        <c:tickLblPos val="nextTo"/>
        <c:txPr>
          <a:bodyPr/>
          <a:lstStyle/>
          <a:p>
            <a:pPr>
              <a:defRPr sz="800"/>
            </a:pPr>
            <a:endParaRPr lang="es-CO"/>
          </a:p>
        </c:txPr>
        <c:crossAx val="77388416"/>
        <c:crosses val="autoZero"/>
        <c:crossBetween val="between"/>
      </c:valAx>
    </c:plotArea>
    <c:legend>
      <c:legendPos val="r"/>
      <c:layout>
        <c:manualLayout>
          <c:xMode val="edge"/>
          <c:yMode val="edge"/>
          <c:x val="0.66085271317829453"/>
          <c:y val="0.51162790697674421"/>
          <c:w val="0.3236434108527132"/>
          <c:h val="0.13953488372093023"/>
        </c:manualLayout>
      </c:layout>
    </c:legend>
    <c:plotVisOnly val="1"/>
    <c:dispBlanksAs val="gap"/>
  </c:chart>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n-US" sz="1200"/>
              <a:t>COMPORTAMIENTO</a:t>
            </a:r>
            <a:r>
              <a:rPr lang="en-US" sz="1200" baseline="0"/>
              <a:t> DE LAS VENTAS DEL PRODUCTO 4</a:t>
            </a:r>
            <a:endParaRPr lang="en-US" sz="1400"/>
          </a:p>
        </c:rich>
      </c:tx>
      <c:spPr>
        <a:noFill/>
        <a:ln w="25400">
          <a:noFill/>
        </a:ln>
      </c:spPr>
    </c:title>
    <c:plotArea>
      <c:layout/>
      <c:lineChart>
        <c:grouping val="standard"/>
        <c:ser>
          <c:idx val="0"/>
          <c:order val="0"/>
          <c:tx>
            <c:strRef>
              <c:f>'PROYECCIÓN DE VENTAS'!$B$39:$F$39</c:f>
              <c:strCache>
                <c:ptCount val="1"/>
                <c:pt idx="0">
                  <c:v>Nombre del producto 4</c:v>
                </c:pt>
              </c:strCache>
            </c:strRef>
          </c:tx>
          <c:spPr>
            <a:ln w="25400">
              <a:solidFill>
                <a:srgbClr val="FFC000"/>
              </a:solidFill>
            </a:ln>
          </c:spPr>
          <c:marker>
            <c:symbol val="none"/>
          </c:marker>
          <c:val>
            <c:numRef>
              <c:f>'PROYECCIÓN DE VENTAS'!$B$46:$F$46</c:f>
              <c:numCache>
                <c:formatCode>#,##0</c:formatCode>
                <c:ptCount val="5"/>
                <c:pt idx="0">
                  <c:v>0</c:v>
                </c:pt>
                <c:pt idx="1">
                  <c:v>0</c:v>
                </c:pt>
                <c:pt idx="2">
                  <c:v>0</c:v>
                </c:pt>
                <c:pt idx="3">
                  <c:v>0</c:v>
                </c:pt>
                <c:pt idx="4">
                  <c:v>0</c:v>
                </c:pt>
              </c:numCache>
            </c:numRef>
          </c:val>
        </c:ser>
        <c:marker val="1"/>
        <c:axId val="79056896"/>
        <c:axId val="79058432"/>
      </c:lineChart>
      <c:catAx>
        <c:axId val="79056896"/>
        <c:scaling>
          <c:orientation val="minMax"/>
        </c:scaling>
        <c:axPos val="b"/>
        <c:numFmt formatCode="General" sourceLinked="1"/>
        <c:tickLblPos val="nextTo"/>
        <c:txPr>
          <a:bodyPr/>
          <a:lstStyle/>
          <a:p>
            <a:pPr>
              <a:defRPr sz="800"/>
            </a:pPr>
            <a:endParaRPr lang="es-CO"/>
          </a:p>
        </c:txPr>
        <c:crossAx val="79058432"/>
        <c:crosses val="autoZero"/>
        <c:auto val="1"/>
        <c:lblAlgn val="ctr"/>
        <c:lblOffset val="100"/>
      </c:catAx>
      <c:valAx>
        <c:axId val="79058432"/>
        <c:scaling>
          <c:orientation val="minMax"/>
        </c:scaling>
        <c:axPos val="l"/>
        <c:majorGridlines/>
        <c:numFmt formatCode="#,##0" sourceLinked="1"/>
        <c:tickLblPos val="nextTo"/>
        <c:txPr>
          <a:bodyPr/>
          <a:lstStyle/>
          <a:p>
            <a:pPr>
              <a:defRPr sz="800"/>
            </a:pPr>
            <a:endParaRPr lang="es-CO"/>
          </a:p>
        </c:txPr>
        <c:crossAx val="79056896"/>
        <c:crosses val="autoZero"/>
        <c:crossBetween val="between"/>
      </c:valAx>
    </c:plotArea>
    <c:legend>
      <c:legendPos val="r"/>
      <c:layout>
        <c:manualLayout>
          <c:xMode val="edge"/>
          <c:yMode val="edge"/>
          <c:x val="0.66085271317829453"/>
          <c:y val="0.5117647058823529"/>
          <c:w val="0.3236434108527132"/>
          <c:h val="0.14117647058823529"/>
        </c:manualLayout>
      </c:layout>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n-US" sz="1200"/>
              <a:t>COMPORTAMIENTO</a:t>
            </a:r>
            <a:r>
              <a:rPr lang="en-US" sz="1200" baseline="0"/>
              <a:t> DE LAS VENTAS DEL PRODUCTO 5</a:t>
            </a:r>
          </a:p>
        </c:rich>
      </c:tx>
      <c:spPr>
        <a:noFill/>
        <a:ln w="25400">
          <a:noFill/>
        </a:ln>
      </c:spPr>
    </c:title>
    <c:plotArea>
      <c:layout/>
      <c:lineChart>
        <c:grouping val="standard"/>
        <c:ser>
          <c:idx val="0"/>
          <c:order val="0"/>
          <c:tx>
            <c:strRef>
              <c:f>'PROYECCIÓN DE VENTAS'!$B$49:$F$49</c:f>
              <c:strCache>
                <c:ptCount val="1"/>
                <c:pt idx="0">
                  <c:v>Nombre del producto 5</c:v>
                </c:pt>
              </c:strCache>
            </c:strRef>
          </c:tx>
          <c:spPr>
            <a:ln w="25400">
              <a:solidFill>
                <a:srgbClr val="7030A0"/>
              </a:solidFill>
            </a:ln>
          </c:spPr>
          <c:marker>
            <c:symbol val="none"/>
          </c:marker>
          <c:val>
            <c:numRef>
              <c:f>'PROYECCIÓN DE VENTAS'!$B$56:$F$56</c:f>
              <c:numCache>
                <c:formatCode>#,##0</c:formatCode>
                <c:ptCount val="5"/>
                <c:pt idx="0">
                  <c:v>0</c:v>
                </c:pt>
                <c:pt idx="1">
                  <c:v>0</c:v>
                </c:pt>
                <c:pt idx="2">
                  <c:v>0</c:v>
                </c:pt>
                <c:pt idx="3">
                  <c:v>0</c:v>
                </c:pt>
                <c:pt idx="4">
                  <c:v>0</c:v>
                </c:pt>
              </c:numCache>
            </c:numRef>
          </c:val>
        </c:ser>
        <c:marker val="1"/>
        <c:axId val="86332544"/>
        <c:axId val="86334080"/>
      </c:lineChart>
      <c:catAx>
        <c:axId val="86332544"/>
        <c:scaling>
          <c:orientation val="minMax"/>
        </c:scaling>
        <c:axPos val="b"/>
        <c:numFmt formatCode="General" sourceLinked="1"/>
        <c:tickLblPos val="nextTo"/>
        <c:txPr>
          <a:bodyPr/>
          <a:lstStyle/>
          <a:p>
            <a:pPr>
              <a:defRPr sz="800"/>
            </a:pPr>
            <a:endParaRPr lang="es-CO"/>
          </a:p>
        </c:txPr>
        <c:crossAx val="86334080"/>
        <c:crosses val="autoZero"/>
        <c:auto val="1"/>
        <c:lblAlgn val="ctr"/>
        <c:lblOffset val="100"/>
      </c:catAx>
      <c:valAx>
        <c:axId val="86334080"/>
        <c:scaling>
          <c:orientation val="minMax"/>
        </c:scaling>
        <c:axPos val="l"/>
        <c:majorGridlines/>
        <c:numFmt formatCode="#,##0" sourceLinked="1"/>
        <c:tickLblPos val="nextTo"/>
        <c:txPr>
          <a:bodyPr/>
          <a:lstStyle/>
          <a:p>
            <a:pPr>
              <a:defRPr sz="800"/>
            </a:pPr>
            <a:endParaRPr lang="es-CO"/>
          </a:p>
        </c:txPr>
        <c:crossAx val="86332544"/>
        <c:crosses val="autoZero"/>
        <c:crossBetween val="between"/>
      </c:valAx>
    </c:plotArea>
    <c:legend>
      <c:legendPos val="r"/>
      <c:layout>
        <c:manualLayout>
          <c:xMode val="edge"/>
          <c:yMode val="edge"/>
          <c:x val="0.66085271317829453"/>
          <c:y val="0.51461988304093564"/>
          <c:w val="0.3236434108527132"/>
          <c:h val="0.14035087719298245"/>
        </c:manualLayout>
      </c:layout>
    </c:legend>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style val="42"/>
  <c:chart>
    <c:title>
      <c:tx>
        <c:rich>
          <a:bodyPr/>
          <a:lstStyle/>
          <a:p>
            <a:pPr>
              <a:defRPr sz="1400"/>
            </a:pPr>
            <a:r>
              <a:rPr lang="es-CO" sz="1400"/>
              <a:t>INGRESOS VS COSTOS TOTALES</a:t>
            </a:r>
          </a:p>
        </c:rich>
      </c:tx>
      <c:layout>
        <c:manualLayout>
          <c:xMode val="edge"/>
          <c:yMode val="edge"/>
          <c:x val="0.22517615108836947"/>
          <c:y val="0"/>
        </c:manualLayout>
      </c:layout>
      <c:spPr>
        <a:noFill/>
        <a:ln w="25400">
          <a:noFill/>
        </a:ln>
      </c:spPr>
    </c:title>
    <c:view3D>
      <c:depthPercent val="100"/>
      <c:perspective val="30"/>
    </c:view3D>
    <c:plotArea>
      <c:layout>
        <c:manualLayout>
          <c:layoutTarget val="inner"/>
          <c:xMode val="edge"/>
          <c:yMode val="edge"/>
          <c:x val="0.179839594411903"/>
          <c:y val="0.16282750271295862"/>
          <c:w val="0.63360440132173423"/>
          <c:h val="0.77269487076827259"/>
        </c:manualLayout>
      </c:layout>
      <c:bar3DChart>
        <c:barDir val="col"/>
        <c:grouping val="clustered"/>
        <c:ser>
          <c:idx val="1"/>
          <c:order val="0"/>
          <c:tx>
            <c:strRef>
              <c:f>'CUADRO DE COSTOS Y GASTOS FIJOS'!$E$3</c:f>
              <c:strCache>
                <c:ptCount val="1"/>
                <c:pt idx="0">
                  <c:v>MARGEN DE CONTRIB TOTAL</c:v>
                </c:pt>
              </c:strCache>
            </c:strRef>
          </c:tx>
          <c:cat>
            <c:numRef>
              <c:f>'CUADRO DE COSTOS Y GASTOS FIJOS'!$F$2:$J$2</c:f>
              <c:numCache>
                <c:formatCode>General</c:formatCode>
                <c:ptCount val="5"/>
                <c:pt idx="0">
                  <c:v>2012</c:v>
                </c:pt>
                <c:pt idx="1">
                  <c:v>2013</c:v>
                </c:pt>
                <c:pt idx="2">
                  <c:v>2014</c:v>
                </c:pt>
                <c:pt idx="3">
                  <c:v>2015</c:v>
                </c:pt>
                <c:pt idx="4">
                  <c:v>2016</c:v>
                </c:pt>
              </c:numCache>
            </c:numRef>
          </c:cat>
          <c:val>
            <c:numRef>
              <c:f>'CUADRO DE COSTOS Y GASTOS FIJOS'!$F$3:$J$3</c:f>
              <c:numCache>
                <c:formatCode>_ "$"\ * #,##0_ ;_ "$"\ * \-#,##0_ ;_ "$"\ * "-"??_ ;_ @_ </c:formatCode>
                <c:ptCount val="5"/>
                <c:pt idx="0">
                  <c:v>475440000</c:v>
                </c:pt>
                <c:pt idx="1">
                  <c:v>493165270.1281175</c:v>
                </c:pt>
                <c:pt idx="2">
                  <c:v>522314259.13092303</c:v>
                </c:pt>
                <c:pt idx="3">
                  <c:v>557711924.76606941</c:v>
                </c:pt>
                <c:pt idx="4">
                  <c:v>600391264.08629823</c:v>
                </c:pt>
              </c:numCache>
            </c:numRef>
          </c:val>
        </c:ser>
        <c:ser>
          <c:idx val="2"/>
          <c:order val="1"/>
          <c:tx>
            <c:strRef>
              <c:f>'CUADRO DE COSTOS Y GASTOS FIJOS'!$E$13</c:f>
              <c:strCache>
                <c:ptCount val="1"/>
                <c:pt idx="0">
                  <c:v>UAII</c:v>
                </c:pt>
              </c:strCache>
            </c:strRef>
          </c:tx>
          <c:cat>
            <c:numRef>
              <c:f>'CUADRO DE COSTOS Y GASTOS FIJOS'!$F$2:$J$2</c:f>
              <c:numCache>
                <c:formatCode>General</c:formatCode>
                <c:ptCount val="5"/>
                <c:pt idx="0">
                  <c:v>2012</c:v>
                </c:pt>
                <c:pt idx="1">
                  <c:v>2013</c:v>
                </c:pt>
                <c:pt idx="2">
                  <c:v>2014</c:v>
                </c:pt>
                <c:pt idx="3">
                  <c:v>2015</c:v>
                </c:pt>
                <c:pt idx="4">
                  <c:v>2016</c:v>
                </c:pt>
              </c:numCache>
            </c:numRef>
          </c:cat>
          <c:val>
            <c:numRef>
              <c:f>'CUADRO DE COSTOS Y GASTOS FIJOS'!$F$13:$J$13</c:f>
              <c:numCache>
                <c:formatCode>_("$"\ * #,##0.0_);_("$"\ * \(#,##0.0\);_("$"\ * "-"?_);_(@_)</c:formatCode>
                <c:ptCount val="5"/>
                <c:pt idx="0">
                  <c:v>249529083.80668256</c:v>
                </c:pt>
                <c:pt idx="1">
                  <c:v>261726605.49755958</c:v>
                </c:pt>
                <c:pt idx="2">
                  <c:v>286122750.72738427</c:v>
                </c:pt>
                <c:pt idx="3">
                  <c:v>318117671.14647794</c:v>
                </c:pt>
                <c:pt idx="4">
                  <c:v>356285052.89604676</c:v>
                </c:pt>
              </c:numCache>
            </c:numRef>
          </c:val>
        </c:ser>
        <c:ser>
          <c:idx val="0"/>
          <c:order val="2"/>
          <c:tx>
            <c:strRef>
              <c:f>'CUADRO DE COSTOS Y GASTOS FIJOS'!$E$12</c:f>
              <c:strCache>
                <c:ptCount val="1"/>
                <c:pt idx="0">
                  <c:v>COSTOS TOTALES</c:v>
                </c:pt>
              </c:strCache>
            </c:strRef>
          </c:tx>
          <c:cat>
            <c:numRef>
              <c:f>'CUADRO DE COSTOS Y GASTOS FIJOS'!$F$2:$J$2</c:f>
              <c:numCache>
                <c:formatCode>General</c:formatCode>
                <c:ptCount val="5"/>
                <c:pt idx="0">
                  <c:v>2012</c:v>
                </c:pt>
                <c:pt idx="1">
                  <c:v>2013</c:v>
                </c:pt>
                <c:pt idx="2">
                  <c:v>2014</c:v>
                </c:pt>
                <c:pt idx="3">
                  <c:v>2015</c:v>
                </c:pt>
                <c:pt idx="4">
                  <c:v>2016</c:v>
                </c:pt>
              </c:numCache>
            </c:numRef>
          </c:cat>
          <c:val>
            <c:numRef>
              <c:f>'CUADRO DE COSTOS Y GASTOS FIJOS'!$F$12:$J$12</c:f>
              <c:numCache>
                <c:formatCode>_ "$"\ * #,##0.0_ ;_ "$"\ * \-#,##0.0_ ;_ "$"\ * "-"??_ ;_ @_ </c:formatCode>
                <c:ptCount val="5"/>
                <c:pt idx="0">
                  <c:v>225910916.19331744</c:v>
                </c:pt>
                <c:pt idx="1">
                  <c:v>231438664.63055792</c:v>
                </c:pt>
                <c:pt idx="2">
                  <c:v>236191508.40353876</c:v>
                </c:pt>
                <c:pt idx="3">
                  <c:v>239594253.61959144</c:v>
                </c:pt>
                <c:pt idx="4">
                  <c:v>244106211.19025147</c:v>
                </c:pt>
              </c:numCache>
            </c:numRef>
          </c:val>
        </c:ser>
        <c:shape val="box"/>
        <c:axId val="84665088"/>
        <c:axId val="84666624"/>
        <c:axId val="0"/>
      </c:bar3DChart>
      <c:catAx>
        <c:axId val="84665088"/>
        <c:scaling>
          <c:orientation val="minMax"/>
        </c:scaling>
        <c:axPos val="b"/>
        <c:numFmt formatCode="General" sourceLinked="0"/>
        <c:majorTickMark val="none"/>
        <c:tickLblPos val="nextTo"/>
        <c:crossAx val="84666624"/>
        <c:crosses val="autoZero"/>
        <c:auto val="1"/>
        <c:lblAlgn val="ctr"/>
        <c:lblOffset val="100"/>
      </c:catAx>
      <c:valAx>
        <c:axId val="84666624"/>
        <c:scaling>
          <c:orientation val="minMax"/>
        </c:scaling>
        <c:axPos val="l"/>
        <c:majorGridlines/>
        <c:numFmt formatCode="_ &quot;$&quot;\ * #,##0_ ;_ &quot;$&quot;\ * \-#,##0_ ;_ &quot;$&quot;\ * &quot;-&quot;??_ ;_ @_ " sourceLinked="1"/>
        <c:majorTickMark val="none"/>
        <c:tickLblPos val="nextTo"/>
        <c:txPr>
          <a:bodyPr/>
          <a:lstStyle/>
          <a:p>
            <a:pPr>
              <a:defRPr sz="800"/>
            </a:pPr>
            <a:endParaRPr lang="es-CO"/>
          </a:p>
        </c:txPr>
        <c:crossAx val="84665088"/>
        <c:crosses val="autoZero"/>
        <c:crossBetween val="between"/>
      </c:valAx>
      <c:spPr>
        <a:noFill/>
        <a:ln w="25400">
          <a:noFill/>
        </a:ln>
      </c:spPr>
    </c:plotArea>
    <c:legend>
      <c:legendPos val="r"/>
      <c:layout>
        <c:manualLayout>
          <c:xMode val="edge"/>
          <c:yMode val="edge"/>
          <c:x val="0.79810787019102281"/>
          <c:y val="0.20846938694362491"/>
          <c:w val="0.18296544059715147"/>
          <c:h val="0.55048947489800948"/>
        </c:manualLayout>
      </c:layout>
    </c:legend>
    <c:plotVisOnly val="1"/>
    <c:dispBlanksAs val="gap"/>
  </c:chart>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style val="10"/>
  <c:chart>
    <c:title>
      <c:tx>
        <c:rich>
          <a:bodyPr/>
          <a:lstStyle/>
          <a:p>
            <a:pPr>
              <a:defRPr/>
            </a:pPr>
            <a:r>
              <a:rPr lang="es-CO" sz="1400"/>
              <a:t>PUNTO DE EQULIBRIO GLOBAL DEL PLAN DE NEGOCIO</a:t>
            </a:r>
          </a:p>
        </c:rich>
      </c:tx>
      <c:spPr>
        <a:noFill/>
        <a:ln w="25400">
          <a:noFill/>
        </a:ln>
      </c:spPr>
    </c:title>
    <c:plotArea>
      <c:layout>
        <c:manualLayout>
          <c:layoutTarget val="inner"/>
          <c:xMode val="edge"/>
          <c:yMode val="edge"/>
          <c:x val="0.17229745004502175"/>
          <c:y val="0.13430232558139535"/>
          <c:w val="0.75443013966319905"/>
          <c:h val="0.62826863211865958"/>
        </c:manualLayout>
      </c:layout>
      <c:lineChart>
        <c:grouping val="standard"/>
        <c:ser>
          <c:idx val="0"/>
          <c:order val="0"/>
          <c:tx>
            <c:strRef>
              <c:f>'PUNTO DE EQUILIBRIO'!$F$35</c:f>
              <c:strCache>
                <c:ptCount val="1"/>
                <c:pt idx="0">
                  <c:v>INGRESOS TOTALES</c:v>
                </c:pt>
              </c:strCache>
            </c:strRef>
          </c:tx>
          <c:cat>
            <c:numRef>
              <c:f>'PUNTO DE EQUILIBRIO'!$G$34:$I$34</c:f>
              <c:numCache>
                <c:formatCode>0</c:formatCode>
                <c:ptCount val="3"/>
                <c:pt idx="0">
                  <c:v>0</c:v>
                </c:pt>
                <c:pt idx="1">
                  <c:v>16421.591081190163</c:v>
                </c:pt>
                <c:pt idx="2">
                  <c:v>32843.182162380326</c:v>
                </c:pt>
              </c:numCache>
            </c:numRef>
          </c:cat>
          <c:val>
            <c:numRef>
              <c:f>'PUNTO DE EQUILIBRIO'!$G$35:$I$35</c:f>
              <c:numCache>
                <c:formatCode>[$$-240A]\ #,##0</c:formatCode>
                <c:ptCount val="3"/>
                <c:pt idx="0">
                  <c:v>0</c:v>
                </c:pt>
                <c:pt idx="1">
                  <c:v>229902275.13666227</c:v>
                </c:pt>
                <c:pt idx="2">
                  <c:v>459804550.27332455</c:v>
                </c:pt>
              </c:numCache>
            </c:numRef>
          </c:val>
        </c:ser>
        <c:ser>
          <c:idx val="1"/>
          <c:order val="1"/>
          <c:tx>
            <c:strRef>
              <c:f>'PUNTO DE EQUILIBRIO'!$F$36</c:f>
              <c:strCache>
                <c:ptCount val="1"/>
                <c:pt idx="0">
                  <c:v>CF TOTAL</c:v>
                </c:pt>
              </c:strCache>
            </c:strRef>
          </c:tx>
          <c:cat>
            <c:numRef>
              <c:f>'PUNTO DE EQUILIBRIO'!$G$34:$I$34</c:f>
              <c:numCache>
                <c:formatCode>0</c:formatCode>
                <c:ptCount val="3"/>
                <c:pt idx="0">
                  <c:v>0</c:v>
                </c:pt>
                <c:pt idx="1">
                  <c:v>16421.591081190163</c:v>
                </c:pt>
                <c:pt idx="2">
                  <c:v>32843.182162380326</c:v>
                </c:pt>
              </c:numCache>
            </c:numRef>
          </c:cat>
          <c:val>
            <c:numRef>
              <c:f>'PUNTO DE EQUILIBRIO'!$G$36:$I$36</c:f>
              <c:numCache>
                <c:formatCode>[$$-240A]\ #,##0</c:formatCode>
                <c:ptCount val="3"/>
                <c:pt idx="0">
                  <c:v>225910916.19331744</c:v>
                </c:pt>
                <c:pt idx="1">
                  <c:v>225910916.19331744</c:v>
                </c:pt>
                <c:pt idx="2">
                  <c:v>225910916.19331744</c:v>
                </c:pt>
              </c:numCache>
            </c:numRef>
          </c:val>
        </c:ser>
        <c:ser>
          <c:idx val="2"/>
          <c:order val="2"/>
          <c:tx>
            <c:strRef>
              <c:f>'PUNTO DE EQUILIBRIO'!$F$38</c:f>
              <c:strCache>
                <c:ptCount val="1"/>
                <c:pt idx="0">
                  <c:v>COSTO TOTAL</c:v>
                </c:pt>
              </c:strCache>
            </c:strRef>
          </c:tx>
          <c:cat>
            <c:numRef>
              <c:f>'PUNTO DE EQUILIBRIO'!$G$34:$I$34</c:f>
              <c:numCache>
                <c:formatCode>0</c:formatCode>
                <c:ptCount val="3"/>
                <c:pt idx="0">
                  <c:v>0</c:v>
                </c:pt>
                <c:pt idx="1">
                  <c:v>16421.591081190163</c:v>
                </c:pt>
                <c:pt idx="2">
                  <c:v>32843.182162380326</c:v>
                </c:pt>
              </c:numCache>
            </c:numRef>
          </c:cat>
          <c:val>
            <c:numRef>
              <c:f>'PUNTO DE EQUILIBRIO'!$G$38:$I$38</c:f>
              <c:numCache>
                <c:formatCode>[$$-240A]\ #,##0</c:formatCode>
                <c:ptCount val="3"/>
                <c:pt idx="0">
                  <c:v>225910916.19331744</c:v>
                </c:pt>
                <c:pt idx="1">
                  <c:v>229902275.13666227</c:v>
                </c:pt>
                <c:pt idx="2">
                  <c:v>233893634.08000711</c:v>
                </c:pt>
              </c:numCache>
            </c:numRef>
          </c:val>
        </c:ser>
        <c:hiLowLines/>
        <c:marker val="1"/>
        <c:axId val="79090432"/>
        <c:axId val="95841664"/>
      </c:lineChart>
      <c:catAx>
        <c:axId val="79090432"/>
        <c:scaling>
          <c:orientation val="minMax"/>
        </c:scaling>
        <c:axPos val="b"/>
        <c:title>
          <c:tx>
            <c:rich>
              <a:bodyPr/>
              <a:lstStyle/>
              <a:p>
                <a:pPr>
                  <a:defRPr/>
                </a:pPr>
                <a:r>
                  <a:rPr lang="es-CO"/>
                  <a:t>CANTIDADES VENDIDAS</a:t>
                </a:r>
              </a:p>
            </c:rich>
          </c:tx>
          <c:spPr>
            <a:noFill/>
            <a:ln w="25400">
              <a:noFill/>
            </a:ln>
          </c:spPr>
        </c:title>
        <c:numFmt formatCode="0" sourceLinked="1"/>
        <c:majorTickMark val="none"/>
        <c:tickLblPos val="nextTo"/>
        <c:crossAx val="95841664"/>
        <c:crosses val="autoZero"/>
        <c:auto val="1"/>
        <c:lblAlgn val="ctr"/>
        <c:lblOffset val="100"/>
      </c:catAx>
      <c:valAx>
        <c:axId val="95841664"/>
        <c:scaling>
          <c:orientation val="minMax"/>
        </c:scaling>
        <c:axPos val="l"/>
        <c:majorGridlines/>
        <c:title>
          <c:tx>
            <c:rich>
              <a:bodyPr/>
              <a:lstStyle/>
              <a:p>
                <a:pPr>
                  <a:defRPr/>
                </a:pPr>
                <a:r>
                  <a:rPr lang="en-US"/>
                  <a:t>INGRESOS</a:t>
                </a:r>
              </a:p>
            </c:rich>
          </c:tx>
          <c:layout>
            <c:manualLayout>
              <c:xMode val="edge"/>
              <c:yMode val="edge"/>
              <c:x val="5.6441756935079246E-2"/>
              <c:y val="0.71816974913019593"/>
            </c:manualLayout>
          </c:layout>
          <c:spPr>
            <a:noFill/>
            <a:ln w="25400">
              <a:noFill/>
            </a:ln>
          </c:spPr>
        </c:title>
        <c:numFmt formatCode="[$$-240A]\ #,##0" sourceLinked="1"/>
        <c:tickLblPos val="nextTo"/>
        <c:crossAx val="79090432"/>
        <c:crosses val="autoZero"/>
        <c:crossBetween val="midCat"/>
      </c:valAx>
    </c:plotArea>
    <c:legend>
      <c:legendPos val="r"/>
      <c:layout>
        <c:manualLayout>
          <c:xMode val="edge"/>
          <c:yMode val="edge"/>
          <c:x val="0.21915324864980551"/>
          <c:y val="0.89244186046511631"/>
          <c:w val="0.76427393436696878"/>
          <c:h val="7.5581395348837205E-2"/>
        </c:manualLayout>
      </c:layout>
    </c:legend>
    <c:plotVisOnly val="1"/>
    <c:dispBlanksAs val="gap"/>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chart>
    <c:title>
      <c:spPr>
        <a:noFill/>
        <a:ln w="25400">
          <a:noFill/>
        </a:ln>
      </c:spPr>
    </c:title>
    <c:plotArea>
      <c:layout>
        <c:manualLayout>
          <c:layoutTarget val="inner"/>
          <c:xMode val="edge"/>
          <c:yMode val="edge"/>
          <c:x val="9.9476609328318144E-2"/>
          <c:y val="0.20408231054126322"/>
          <c:w val="0.5253063054004169"/>
          <c:h val="0.68027436847087741"/>
        </c:manualLayout>
      </c:layout>
      <c:barChart>
        <c:barDir val="col"/>
        <c:grouping val="clustered"/>
        <c:ser>
          <c:idx val="0"/>
          <c:order val="0"/>
          <c:tx>
            <c:strRef>
              <c:f>'ANÁLISIS DE VPN Y TIR'!$A$30:$B$30</c:f>
              <c:strCache>
                <c:ptCount val="1"/>
                <c:pt idx="0">
                  <c:v>  Liquidez - Razón Corriente       </c:v>
                </c:pt>
              </c:strCache>
            </c:strRef>
          </c:tx>
          <c:cat>
            <c:numRef>
              <c:f>'ANÁLISIS DE VPN Y TIR'!$C$29:$G$29</c:f>
              <c:numCache>
                <c:formatCode>General</c:formatCode>
                <c:ptCount val="5"/>
                <c:pt idx="0">
                  <c:v>2012</c:v>
                </c:pt>
                <c:pt idx="1">
                  <c:v>2013</c:v>
                </c:pt>
                <c:pt idx="2">
                  <c:v>2014</c:v>
                </c:pt>
                <c:pt idx="3">
                  <c:v>2015</c:v>
                </c:pt>
                <c:pt idx="4">
                  <c:v>2016</c:v>
                </c:pt>
              </c:numCache>
            </c:numRef>
          </c:cat>
          <c:val>
            <c:numRef>
              <c:f>'ANÁLISIS DE VPN Y TIR'!$C$30:$G$30</c:f>
              <c:numCache>
                <c:formatCode>_ * #,##0.000_ ;_ * \-#,##0.000_ ;_ * "-"??_ ;_ @_ </c:formatCode>
                <c:ptCount val="5"/>
                <c:pt idx="0">
                  <c:v>2.3510188337041789</c:v>
                </c:pt>
                <c:pt idx="1">
                  <c:v>3.0376335474764962</c:v>
                </c:pt>
                <c:pt idx="2">
                  <c:v>2.9654638284838128</c:v>
                </c:pt>
                <c:pt idx="3">
                  <c:v>2.8926441648805254</c:v>
                </c:pt>
                <c:pt idx="4">
                  <c:v>2.8562724001118052</c:v>
                </c:pt>
              </c:numCache>
            </c:numRef>
          </c:val>
        </c:ser>
        <c:axId val="61066624"/>
        <c:axId val="60953728"/>
      </c:barChart>
      <c:catAx>
        <c:axId val="61066624"/>
        <c:scaling>
          <c:orientation val="minMax"/>
        </c:scaling>
        <c:axPos val="b"/>
        <c:numFmt formatCode="General" sourceLinked="1"/>
        <c:tickLblPos val="nextTo"/>
        <c:crossAx val="60953728"/>
        <c:crosses val="autoZero"/>
        <c:auto val="1"/>
        <c:lblAlgn val="ctr"/>
        <c:lblOffset val="100"/>
      </c:catAx>
      <c:valAx>
        <c:axId val="60953728"/>
        <c:scaling>
          <c:orientation val="minMax"/>
        </c:scaling>
        <c:axPos val="l"/>
        <c:majorGridlines/>
        <c:numFmt formatCode="_ * #,##0.000_ ;_ * \-#,##0.000_ ;_ * &quot;-&quot;??_ ;_ @_ " sourceLinked="1"/>
        <c:tickLblPos val="nextTo"/>
        <c:crossAx val="61066624"/>
        <c:crosses val="autoZero"/>
        <c:crossBetween val="between"/>
      </c:valAx>
    </c:plotArea>
    <c:legend>
      <c:legendPos val="r"/>
      <c:layout>
        <c:manualLayout>
          <c:xMode val="edge"/>
          <c:yMode val="edge"/>
          <c:x val="0.63525413676329479"/>
          <c:y val="0.52381126372257558"/>
          <c:w val="0.33333390143348712"/>
          <c:h val="8.1632924216505295E-2"/>
        </c:manualLayout>
      </c:layout>
    </c:legend>
    <c:plotVisOnly val="1"/>
    <c:dispBlanksAs val="gap"/>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style val="4"/>
  <c:chart>
    <c:title>
      <c:layout>
        <c:manualLayout>
          <c:xMode val="edge"/>
          <c:yMode val="edge"/>
          <c:x val="0.18891189372101766"/>
          <c:y val="1.7006859211771936E-2"/>
        </c:manualLayout>
      </c:layout>
      <c:spPr>
        <a:noFill/>
        <a:ln w="25400">
          <a:noFill/>
        </a:ln>
      </c:spPr>
    </c:title>
    <c:plotArea>
      <c:layout>
        <c:manualLayout>
          <c:layoutTarget val="inner"/>
          <c:xMode val="edge"/>
          <c:yMode val="edge"/>
          <c:x val="0.12320340894848979"/>
          <c:y val="0.20408231054126322"/>
          <c:w val="0.48870685549567616"/>
          <c:h val="0.68027436847087741"/>
        </c:manualLayout>
      </c:layout>
      <c:barChart>
        <c:barDir val="col"/>
        <c:grouping val="clustered"/>
        <c:ser>
          <c:idx val="0"/>
          <c:order val="0"/>
          <c:tx>
            <c:strRef>
              <c:f>'ANÁLISIS DE VPN Y TIR'!$A$31:$B$31</c:f>
              <c:strCache>
                <c:ptCount val="1"/>
                <c:pt idx="0">
                  <c:v>  Nivel de Endeudamiento Total       </c:v>
                </c:pt>
              </c:strCache>
            </c:strRef>
          </c:tx>
          <c:cat>
            <c:numRef>
              <c:f>'ANÁLISIS DE VPN Y TIR'!$C$29:$G$29</c:f>
              <c:numCache>
                <c:formatCode>General</c:formatCode>
                <c:ptCount val="5"/>
                <c:pt idx="0">
                  <c:v>2012</c:v>
                </c:pt>
                <c:pt idx="1">
                  <c:v>2013</c:v>
                </c:pt>
                <c:pt idx="2">
                  <c:v>2014</c:v>
                </c:pt>
                <c:pt idx="3">
                  <c:v>2015</c:v>
                </c:pt>
                <c:pt idx="4">
                  <c:v>2016</c:v>
                </c:pt>
              </c:numCache>
            </c:numRef>
          </c:cat>
          <c:val>
            <c:numRef>
              <c:f>'ANÁLISIS DE VPN Y TIR'!$C$31:$G$31</c:f>
              <c:numCache>
                <c:formatCode>0.00%</c:formatCode>
                <c:ptCount val="5"/>
                <c:pt idx="0">
                  <c:v>0.79939819458375128</c:v>
                </c:pt>
                <c:pt idx="1">
                  <c:v>0.52104632460444344</c:v>
                </c:pt>
                <c:pt idx="2">
                  <c:v>0.38738588155548442</c:v>
                </c:pt>
                <c:pt idx="3">
                  <c:v>0.37210921510826273</c:v>
                </c:pt>
                <c:pt idx="4">
                  <c:v>0.35636508036851183</c:v>
                </c:pt>
              </c:numCache>
            </c:numRef>
          </c:val>
        </c:ser>
        <c:axId val="60982016"/>
        <c:axId val="60983552"/>
      </c:barChart>
      <c:catAx>
        <c:axId val="60982016"/>
        <c:scaling>
          <c:orientation val="minMax"/>
        </c:scaling>
        <c:axPos val="b"/>
        <c:numFmt formatCode="General" sourceLinked="1"/>
        <c:tickLblPos val="nextTo"/>
        <c:crossAx val="60983552"/>
        <c:crosses val="autoZero"/>
        <c:auto val="1"/>
        <c:lblAlgn val="ctr"/>
        <c:lblOffset val="100"/>
      </c:catAx>
      <c:valAx>
        <c:axId val="60983552"/>
        <c:scaling>
          <c:orientation val="minMax"/>
        </c:scaling>
        <c:axPos val="l"/>
        <c:majorGridlines/>
        <c:numFmt formatCode="0.00%" sourceLinked="1"/>
        <c:tickLblPos val="nextTo"/>
        <c:crossAx val="60982016"/>
        <c:crosses val="autoZero"/>
        <c:crossBetween val="between"/>
      </c:valAx>
    </c:plotArea>
    <c:legend>
      <c:legendPos val="r"/>
      <c:layout>
        <c:manualLayout>
          <c:xMode val="edge"/>
          <c:yMode val="edge"/>
          <c:x val="0.62423060533901487"/>
          <c:y val="0.49660028898374053"/>
          <c:w val="0.33880937460834692"/>
          <c:h val="0.13605487369417549"/>
        </c:manualLayout>
      </c:layout>
    </c:legend>
    <c:plotVisOnly val="1"/>
    <c:dispBlanksAs val="gap"/>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INSTRUCCIONES GENERALES'!A1"/><Relationship Id="rId5" Type="http://schemas.openxmlformats.org/officeDocument/2006/relationships/hyperlink" Target="mailto:dmreyes@ean.edu.co" TargetMode="External"/><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3" Type="http://schemas.openxmlformats.org/officeDocument/2006/relationships/hyperlink" Target="#'NECESIDADES DE FINANCIACI&#211;N'!A1"/><Relationship Id="rId2" Type="http://schemas.openxmlformats.org/officeDocument/2006/relationships/image" Target="../media/image1.jpeg"/><Relationship Id="rId1" Type="http://schemas.openxmlformats.org/officeDocument/2006/relationships/chart" Target="../charts/chart6.xml"/><Relationship Id="rId5" Type="http://schemas.openxmlformats.org/officeDocument/2006/relationships/hyperlink" Target="#Men&#250;!A1"/><Relationship Id="rId4" Type="http://schemas.openxmlformats.org/officeDocument/2006/relationships/hyperlink" Target="#'PUNTO DE EQUILIBRIO'!A1"/></Relationships>
</file>

<file path=xl/drawings/_rels/drawing11.xml.rels><?xml version="1.0" encoding="UTF-8" standalone="yes"?>
<Relationships xmlns="http://schemas.openxmlformats.org/package/2006/relationships"><Relationship Id="rId3" Type="http://schemas.openxmlformats.org/officeDocument/2006/relationships/hyperlink" Target="mailto:dmreyes@ean.edu.co" TargetMode="External"/><Relationship Id="rId7" Type="http://schemas.openxmlformats.org/officeDocument/2006/relationships/hyperlink" Target="#Men&#250;!A1"/><Relationship Id="rId2" Type="http://schemas.openxmlformats.org/officeDocument/2006/relationships/chart" Target="../charts/chart7.xml"/><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hyperlink" Target="#'BALANCE GENERAL'!A1"/><Relationship Id="rId4" Type="http://schemas.openxmlformats.org/officeDocument/2006/relationships/hyperlink" Target="#'CUADRO DE COSTOS Y GASTOS FIJOS'!A1"/></Relationships>
</file>

<file path=xl/drawings/_rels/drawing12.xml.rels><?xml version="1.0" encoding="UTF-8" standalone="yes"?>
<Relationships xmlns="http://schemas.openxmlformats.org/package/2006/relationships"><Relationship Id="rId3" Type="http://schemas.openxmlformats.org/officeDocument/2006/relationships/hyperlink" Target="#'ESTADO DE RESULTADOS'!A1"/><Relationship Id="rId2" Type="http://schemas.openxmlformats.org/officeDocument/2006/relationships/hyperlink" Target="#'PUNTO DE EQUILIBRIO'!A1"/><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hyperlink" Target="#Men&#250;!A1"/><Relationship Id="rId4" Type="http://schemas.openxmlformats.org/officeDocument/2006/relationships/hyperlink" Target="mailto:dmreyes@ean.edu.co"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BALANCE GENERAL'!A1"/><Relationship Id="rId2" Type="http://schemas.openxmlformats.org/officeDocument/2006/relationships/hyperlink" Target="mailto:dmreyes@ean.edu.co" TargetMode="External"/><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image" Target="../media/image19.png"/><Relationship Id="rId4" Type="http://schemas.openxmlformats.org/officeDocument/2006/relationships/hyperlink" Target="#'FLUJO DE CAJA'!A1"/></Relationships>
</file>

<file path=xl/drawings/_rels/drawing1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hyperlink" Target="mailto:dmreyes@ean.edu.co" TargetMode="External"/><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hyperlink" Target="#'AN&#193;LISIS DE VPN Y TIR'!A1"/><Relationship Id="rId4" Type="http://schemas.openxmlformats.org/officeDocument/2006/relationships/hyperlink" Target="#'ESTADO DE RESULTADOS'!A1"/></Relationships>
</file>

<file path=xl/drawings/_rels/drawing15.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image" Target="../media/image21.png"/><Relationship Id="rId1" Type="http://schemas.openxmlformats.org/officeDocument/2006/relationships/image" Target="../media/image1.jpeg"/><Relationship Id="rId6" Type="http://schemas.openxmlformats.org/officeDocument/2006/relationships/chart" Target="../charts/chart11.xml"/><Relationship Id="rId11" Type="http://schemas.openxmlformats.org/officeDocument/2006/relationships/hyperlink" Target="#Men&#250;!A1"/><Relationship Id="rId5" Type="http://schemas.openxmlformats.org/officeDocument/2006/relationships/chart" Target="../charts/chart10.xml"/><Relationship Id="rId10" Type="http://schemas.openxmlformats.org/officeDocument/2006/relationships/hyperlink" Target="#'FLUJO DE CAJA'!A1"/><Relationship Id="rId4" Type="http://schemas.openxmlformats.org/officeDocument/2006/relationships/chart" Target="../charts/chart9.xml"/><Relationship Id="rId9" Type="http://schemas.openxmlformats.org/officeDocument/2006/relationships/hyperlink" Target="mailto:dmreyes@ean.edu.co"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hyperlink" Target="mailto:dmreyes@ean.edu.co" TargetMode="External"/><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hyperlink" Target="#Men&#250;!A1"/><Relationship Id="rId1" Type="http://schemas.openxmlformats.org/officeDocument/2006/relationships/image" Target="../media/image5.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hyperlink" Target="#PORTADA!A1"/><Relationship Id="rId10" Type="http://schemas.openxmlformats.org/officeDocument/2006/relationships/image" Target="../media/image10.png"/><Relationship Id="rId4" Type="http://schemas.openxmlformats.org/officeDocument/2006/relationships/hyperlink" Target="#Men&#250;!A1"/><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hyperlink" Target="#'CUADRO DE COSTOS Y GASTOS FIJOS'!A1"/><Relationship Id="rId13" Type="http://schemas.openxmlformats.org/officeDocument/2006/relationships/hyperlink" Target="#'AN&#193;LISIS DE VPN Y TIR'!A1"/><Relationship Id="rId3" Type="http://schemas.openxmlformats.org/officeDocument/2006/relationships/hyperlink" Target="#'PROYECCI&#211;N DE VENTAS'!A1"/><Relationship Id="rId7" Type="http://schemas.openxmlformats.org/officeDocument/2006/relationships/hyperlink" Target="#'NECESIDADES DE FINANCIACI&#211;N'!A1"/><Relationship Id="rId12" Type="http://schemas.openxmlformats.org/officeDocument/2006/relationships/hyperlink" Target="#'FLUJO DE CAJA'!A1"/><Relationship Id="rId2" Type="http://schemas.openxmlformats.org/officeDocument/2006/relationships/image" Target="../media/image1.jpeg"/><Relationship Id="rId1" Type="http://schemas.openxmlformats.org/officeDocument/2006/relationships/hyperlink" Target="#'1'!A1"/><Relationship Id="rId6" Type="http://schemas.openxmlformats.org/officeDocument/2006/relationships/hyperlink" Target="#'GTOS ADTIVO Y VTAS - CTOS FIJOS'!A1"/><Relationship Id="rId11" Type="http://schemas.openxmlformats.org/officeDocument/2006/relationships/hyperlink" Target="#'ESTADO DE RESULTADOS'!A1"/><Relationship Id="rId5" Type="http://schemas.openxmlformats.org/officeDocument/2006/relationships/hyperlink" Target="#'CTOS VS ING OPER - INV INFRAEST'!A1"/><Relationship Id="rId10" Type="http://schemas.openxmlformats.org/officeDocument/2006/relationships/hyperlink" Target="#'BALANCE GENERAL'!A1"/><Relationship Id="rId4" Type="http://schemas.openxmlformats.org/officeDocument/2006/relationships/hyperlink" Target="#'COSTOS DE PRODUCCION'!A1"/><Relationship Id="rId9" Type="http://schemas.openxmlformats.org/officeDocument/2006/relationships/hyperlink" Target="#'PUNTO DE EQUILIBRIO'!A1"/><Relationship Id="rId14" Type="http://schemas.openxmlformats.org/officeDocument/2006/relationships/hyperlink" Target="#'INSTRUCCIONES GENERALES'!A1"/></Relationships>
</file>

<file path=xl/drawings/_rels/drawing4.xml.rels><?xml version="1.0" encoding="UTF-8" standalone="yes"?>
<Relationships xmlns="http://schemas.openxmlformats.org/package/2006/relationships"><Relationship Id="rId3" Type="http://schemas.openxmlformats.org/officeDocument/2006/relationships/hyperlink" Target="#'PROYECCI&#211;N DE VENTAS'!F1C1"/><Relationship Id="rId2" Type="http://schemas.openxmlformats.org/officeDocument/2006/relationships/image" Target="../media/image13.jpeg"/><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hyperlink" Target="#'INSTRUCCIONES GENERALES'!A1"/><Relationship Id="rId4" Type="http://schemas.openxmlformats.org/officeDocument/2006/relationships/hyperlink" Target="mailto:dmreyes@ean.edu.co"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COSTOS DE PRODUCCION'!A1"/><Relationship Id="rId13" Type="http://schemas.openxmlformats.org/officeDocument/2006/relationships/hyperlink" Target="#'CTOS VS ING OPER - INV INFRAEST'!A1"/><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hyperlink" Target="mailto:dmreyes@ean.edu.co" TargetMode="External"/><Relationship Id="rId2" Type="http://schemas.openxmlformats.org/officeDocument/2006/relationships/image" Target="../media/image14.png"/><Relationship Id="rId1" Type="http://schemas.openxmlformats.org/officeDocument/2006/relationships/image" Target="../media/image1.jpeg"/><Relationship Id="rId6" Type="http://schemas.openxmlformats.org/officeDocument/2006/relationships/chart" Target="../charts/chart4.xml"/><Relationship Id="rId11" Type="http://schemas.openxmlformats.org/officeDocument/2006/relationships/hyperlink" Target="#'COSTOS DE PRODUCCION'!A1"/><Relationship Id="rId5" Type="http://schemas.openxmlformats.org/officeDocument/2006/relationships/chart" Target="../charts/chart3.xml"/><Relationship Id="rId15" Type="http://schemas.openxmlformats.org/officeDocument/2006/relationships/hyperlink" Target="#Men&#250;!A1"/><Relationship Id="rId10" Type="http://schemas.openxmlformats.org/officeDocument/2006/relationships/hyperlink" Target="#'BASES DE LA SIMULACI&#211;N'!A1"/><Relationship Id="rId4" Type="http://schemas.openxmlformats.org/officeDocument/2006/relationships/chart" Target="../charts/chart2.xml"/><Relationship Id="rId9" Type="http://schemas.openxmlformats.org/officeDocument/2006/relationships/hyperlink" Target="#'BASES DE LA SIMULACI&#211;N'!A1"/><Relationship Id="rId14"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CTOS VS ING OPER - INV INFRAEST'!A1"/><Relationship Id="rId2" Type="http://schemas.openxmlformats.org/officeDocument/2006/relationships/hyperlink" Target="#'PROYECCI&#211;N DE VENTAS'!A1"/><Relationship Id="rId1" Type="http://schemas.openxmlformats.org/officeDocument/2006/relationships/image" Target="../media/image1.jpeg"/><Relationship Id="rId5" Type="http://schemas.openxmlformats.org/officeDocument/2006/relationships/hyperlink" Target="#Men&#250;!A1"/><Relationship Id="rId4" Type="http://schemas.openxmlformats.org/officeDocument/2006/relationships/hyperlink" Target="mailto:dmreyes@ean.edu.co"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INSTRUCCIONES GENERALES'!A1"/><Relationship Id="rId2" Type="http://schemas.openxmlformats.org/officeDocument/2006/relationships/hyperlink" Target="#'GTOS ADTIVO Y VTAS - CTOS FIJOS'!A1"/><Relationship Id="rId1" Type="http://schemas.openxmlformats.org/officeDocument/2006/relationships/image" Target="../media/image1.jpeg"/><Relationship Id="rId5" Type="http://schemas.openxmlformats.org/officeDocument/2006/relationships/hyperlink" Target="#Men&#250;!A1"/><Relationship Id="rId4" Type="http://schemas.openxmlformats.org/officeDocument/2006/relationships/hyperlink" Target="#'COSTOS DE PRODUCCION'!A1"/></Relationships>
</file>

<file path=xl/drawings/_rels/drawing8.xml.rels><?xml version="1.0" encoding="UTF-8" standalone="yes"?>
<Relationships xmlns="http://schemas.openxmlformats.org/package/2006/relationships"><Relationship Id="rId8" Type="http://schemas.openxmlformats.org/officeDocument/2006/relationships/hyperlink" Target="#'CTOS VS ING OPER - INV INFRAEST'!A1"/><Relationship Id="rId13" Type="http://schemas.openxmlformats.org/officeDocument/2006/relationships/hyperlink" Target="#'NECESIDADES DE FINANCIACI&#211;N'!A1"/><Relationship Id="rId18" Type="http://schemas.openxmlformats.org/officeDocument/2006/relationships/hyperlink" Target="#Men&#250;!A1"/><Relationship Id="rId3" Type="http://schemas.openxmlformats.org/officeDocument/2006/relationships/image" Target="../media/image16.png"/><Relationship Id="rId7" Type="http://schemas.openxmlformats.org/officeDocument/2006/relationships/hyperlink" Target="#'NECESIDADES DE FINANCIACI&#211;N'!A1"/><Relationship Id="rId12" Type="http://schemas.openxmlformats.org/officeDocument/2006/relationships/hyperlink" Target="#'CTOS VS ING OPER - INV INFRAEST'!A1"/><Relationship Id="rId17" Type="http://schemas.openxmlformats.org/officeDocument/2006/relationships/hyperlink" Target="#Men&#250;!A1"/><Relationship Id="rId2" Type="http://schemas.openxmlformats.org/officeDocument/2006/relationships/image" Target="../media/image15.png"/><Relationship Id="rId16" Type="http://schemas.openxmlformats.org/officeDocument/2006/relationships/hyperlink" Target="#Men&#250;!A1"/><Relationship Id="rId1" Type="http://schemas.openxmlformats.org/officeDocument/2006/relationships/image" Target="../media/image1.jpeg"/><Relationship Id="rId6" Type="http://schemas.openxmlformats.org/officeDocument/2006/relationships/hyperlink" Target="#'CTOS VS ING OPER - INV INFRAEST'!A1"/><Relationship Id="rId11" Type="http://schemas.openxmlformats.org/officeDocument/2006/relationships/hyperlink" Target="#'NECESIDADES DE FINANCIACI&#211;N'!A1"/><Relationship Id="rId5" Type="http://schemas.openxmlformats.org/officeDocument/2006/relationships/image" Target="../media/image18.png"/><Relationship Id="rId15" Type="http://schemas.openxmlformats.org/officeDocument/2006/relationships/hyperlink" Target="#Men&#250;!A1"/><Relationship Id="rId10" Type="http://schemas.openxmlformats.org/officeDocument/2006/relationships/hyperlink" Target="#'CTOS VS ING OPER - INV INFRAEST'!A1"/><Relationship Id="rId4" Type="http://schemas.openxmlformats.org/officeDocument/2006/relationships/image" Target="../media/image17.png"/><Relationship Id="rId9" Type="http://schemas.openxmlformats.org/officeDocument/2006/relationships/hyperlink" Target="#'NECESIDADES DE FINANCIACI&#211;N'!A1"/><Relationship Id="rId14" Type="http://schemas.openxmlformats.org/officeDocument/2006/relationships/hyperlink" Target="mailto:dmreyes@ean.edu.co"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CUADRO DE COSTOS Y GASTOS FIJOS'!A1"/><Relationship Id="rId2" Type="http://schemas.openxmlformats.org/officeDocument/2006/relationships/hyperlink" Target="#'GTOS ADTIVO Y VTAS - CTOS FIJOS'!A1"/><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hyperlink" Target="#'CTOS VS ING OPER - INV INFRAEST'!A1"/><Relationship Id="rId4" Type="http://schemas.openxmlformats.org/officeDocument/2006/relationships/hyperlink" Target="mailto:dmreyes@ean.edu.co" TargetMode="External"/></Relationships>
</file>

<file path=xl/drawings/drawing1.xml><?xml version="1.0" encoding="utf-8"?>
<xdr:wsDr xmlns:xdr="http://schemas.openxmlformats.org/drawingml/2006/spreadsheetDrawing" xmlns:a="http://schemas.openxmlformats.org/drawingml/2006/main">
  <xdr:oneCellAnchor>
    <xdr:from>
      <xdr:col>0</xdr:col>
      <xdr:colOff>344366</xdr:colOff>
      <xdr:row>0</xdr:row>
      <xdr:rowOff>80597</xdr:rowOff>
    </xdr:from>
    <xdr:ext cx="6433038" cy="658745"/>
    <xdr:sp macro="" textlink="">
      <xdr:nvSpPr>
        <xdr:cNvPr id="3" name="2 Rectángulo"/>
        <xdr:cNvSpPr/>
      </xdr:nvSpPr>
      <xdr:spPr>
        <a:xfrm>
          <a:off x="344366" y="80597"/>
          <a:ext cx="6433038" cy="658745"/>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2</xdr:col>
      <xdr:colOff>502715</xdr:colOff>
      <xdr:row>3</xdr:row>
      <xdr:rowOff>87922</xdr:rowOff>
    </xdr:from>
    <xdr:to>
      <xdr:col>5</xdr:col>
      <xdr:colOff>381001</xdr:colOff>
      <xdr:row>11</xdr:row>
      <xdr:rowOff>141525</xdr:rowOff>
    </xdr:to>
    <xdr:pic>
      <xdr:nvPicPr>
        <xdr:cNvPr id="4" name="3 Imagen" descr="logo_ean_izquierda.jpg"/>
        <xdr:cNvPicPr>
          <a:picLocks noChangeAspect="1"/>
        </xdr:cNvPicPr>
      </xdr:nvPicPr>
      <xdr:blipFill>
        <a:blip xmlns:r="http://schemas.openxmlformats.org/officeDocument/2006/relationships" r:embed="rId1" cstate="print"/>
        <a:stretch>
          <a:fillRect/>
        </a:stretch>
      </xdr:blipFill>
      <xdr:spPr>
        <a:xfrm>
          <a:off x="2026715" y="571499"/>
          <a:ext cx="2164286" cy="1343141"/>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1</xdr:col>
      <xdr:colOff>747346</xdr:colOff>
      <xdr:row>13</xdr:row>
      <xdr:rowOff>5746</xdr:rowOff>
    </xdr:from>
    <xdr:to>
      <xdr:col>8</xdr:col>
      <xdr:colOff>190500</xdr:colOff>
      <xdr:row>16</xdr:row>
      <xdr:rowOff>153865</xdr:rowOff>
    </xdr:to>
    <xdr:sp macro="" textlink="">
      <xdr:nvSpPr>
        <xdr:cNvPr id="5" name="4 CuadroTexto"/>
        <xdr:cNvSpPr txBox="1"/>
      </xdr:nvSpPr>
      <xdr:spPr>
        <a:xfrm>
          <a:off x="1509346" y="2101246"/>
          <a:ext cx="4777154" cy="631696"/>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wrap="square" rtlCol="0" anchor="t"/>
        <a:lstStyle/>
        <a:p>
          <a:pPr algn="ctr"/>
          <a:r>
            <a:rPr lang="es-CO" sz="1000">
              <a:solidFill>
                <a:schemeClr val="dk1"/>
              </a:solidFill>
              <a:latin typeface="+mn-lt"/>
              <a:ea typeface="+mn-ea"/>
              <a:cs typeface="+mn-cs"/>
            </a:rPr>
            <a:t>Ayudamos</a:t>
          </a:r>
          <a:r>
            <a:rPr lang="es-CO" sz="1000" baseline="0">
              <a:solidFill>
                <a:schemeClr val="dk1"/>
              </a:solidFill>
              <a:latin typeface="+mn-lt"/>
              <a:ea typeface="+mn-ea"/>
              <a:cs typeface="+mn-cs"/>
            </a:rPr>
            <a:t> a construir nuestra M</a:t>
          </a:r>
          <a:r>
            <a:rPr lang="es-CO" sz="1000">
              <a:solidFill>
                <a:schemeClr val="dk1"/>
              </a:solidFill>
              <a:latin typeface="+mn-lt"/>
              <a:ea typeface="+mn-ea"/>
              <a:cs typeface="+mn-cs"/>
            </a:rPr>
            <a:t>isión</a:t>
          </a:r>
          <a:r>
            <a:rPr lang="es-CO" sz="1000" baseline="0">
              <a:solidFill>
                <a:schemeClr val="dk1"/>
              </a:solidFill>
              <a:latin typeface="+mn-lt"/>
              <a:ea typeface="+mn-ea"/>
              <a:cs typeface="+mn-cs"/>
            </a:rPr>
            <a:t> Institucional: </a:t>
          </a:r>
        </a:p>
        <a:p>
          <a:pPr algn="ctr"/>
          <a:r>
            <a:rPr lang="es-CO" sz="1000">
              <a:solidFill>
                <a:schemeClr val="dk1"/>
              </a:solidFill>
              <a:latin typeface="+mn-lt"/>
              <a:ea typeface="+mn-ea"/>
              <a:cs typeface="+mn-cs"/>
            </a:rPr>
            <a:t>"Contribuir a la formación integral de la persona y estimular su aptitud emprendedora, de tal forma que su acción coadyuve al desarrollo económico y social de los pueblos”.</a:t>
          </a:r>
          <a:r>
            <a:rPr lang="es-CO" sz="1050">
              <a:solidFill>
                <a:schemeClr val="dk1"/>
              </a:solidFill>
              <a:latin typeface="+mn-lt"/>
              <a:ea typeface="+mn-ea"/>
              <a:cs typeface="+mn-cs"/>
            </a:rPr>
            <a:t/>
          </a:r>
          <a:br>
            <a:rPr lang="es-CO" sz="1050">
              <a:solidFill>
                <a:schemeClr val="dk1"/>
              </a:solidFill>
              <a:latin typeface="+mn-lt"/>
              <a:ea typeface="+mn-ea"/>
              <a:cs typeface="+mn-cs"/>
            </a:rPr>
          </a:br>
          <a:endParaRPr lang="es-CO" sz="1050"/>
        </a:p>
      </xdr:txBody>
    </xdr:sp>
    <xdr:clientData/>
  </xdr:twoCellAnchor>
  <xdr:twoCellAnchor editAs="oneCell">
    <xdr:from>
      <xdr:col>0</xdr:col>
      <xdr:colOff>54428</xdr:colOff>
      <xdr:row>14</xdr:row>
      <xdr:rowOff>145791</xdr:rowOff>
    </xdr:from>
    <xdr:to>
      <xdr:col>1</xdr:col>
      <xdr:colOff>462642</xdr:colOff>
      <xdr:row>20</xdr:row>
      <xdr:rowOff>1944</xdr:rowOff>
    </xdr:to>
    <xdr:pic>
      <xdr:nvPicPr>
        <xdr:cNvPr id="8" name="7 Imagen" descr="contable.jpg"/>
        <xdr:cNvPicPr>
          <a:picLocks noChangeAspect="1"/>
        </xdr:cNvPicPr>
      </xdr:nvPicPr>
      <xdr:blipFill>
        <a:blip xmlns:r="http://schemas.openxmlformats.org/officeDocument/2006/relationships" r:embed="rId2" cstate="print"/>
        <a:stretch>
          <a:fillRect/>
        </a:stretch>
      </xdr:blipFill>
      <xdr:spPr>
        <a:xfrm>
          <a:off x="54428" y="2431791"/>
          <a:ext cx="1170214" cy="835867"/>
        </a:xfrm>
        <a:prstGeom prst="roundRect">
          <a:avLst>
            <a:gd name="adj" fmla="val 16667"/>
          </a:avLst>
        </a:prstGeom>
        <a:ln>
          <a:noFill/>
        </a:ln>
        <a:effectLst>
          <a:outerShdw blurRad="152400" dist="12000" dir="900000" sy="98000" kx="110000" ky="200000" algn="tl" rotWithShape="0">
            <a:srgbClr val="000000">
              <a:alpha val="30000"/>
            </a:srgbClr>
          </a:outerShdw>
        </a:effectLst>
        <a:scene3d>
          <a:camera prst="perspectiveRelaxed">
            <a:rot lat="19800000" lon="1200000" rev="20820000"/>
          </a:camera>
          <a:lightRig rig="threePt" dir="t"/>
        </a:scene3d>
        <a:sp3d contourW="6350" prstMaterial="matte">
          <a:bevelT w="101600" h="101600"/>
          <a:contourClr>
            <a:srgbClr val="969696"/>
          </a:contourClr>
        </a:sp3d>
      </xdr:spPr>
    </xdr:pic>
    <xdr:clientData/>
  </xdr:twoCellAnchor>
  <xdr:twoCellAnchor editAs="oneCell">
    <xdr:from>
      <xdr:col>0</xdr:col>
      <xdr:colOff>88446</xdr:colOff>
      <xdr:row>3</xdr:row>
      <xdr:rowOff>156482</xdr:rowOff>
    </xdr:from>
    <xdr:to>
      <xdr:col>1</xdr:col>
      <xdr:colOff>469446</xdr:colOff>
      <xdr:row>8</xdr:row>
      <xdr:rowOff>134795</xdr:rowOff>
    </xdr:to>
    <xdr:pic>
      <xdr:nvPicPr>
        <xdr:cNvPr id="9" name="8 Imagen" descr="presupuesto2.jpg"/>
        <xdr:cNvPicPr>
          <a:picLocks noChangeAspect="1"/>
        </xdr:cNvPicPr>
      </xdr:nvPicPr>
      <xdr:blipFill>
        <a:blip xmlns:r="http://schemas.openxmlformats.org/officeDocument/2006/relationships" r:embed="rId3" cstate="print"/>
        <a:stretch>
          <a:fillRect/>
        </a:stretch>
      </xdr:blipFill>
      <xdr:spPr>
        <a:xfrm>
          <a:off x="88446" y="646339"/>
          <a:ext cx="1143000" cy="794742"/>
        </a:xfrm>
        <a:prstGeom prst="roundRect">
          <a:avLst>
            <a:gd name="adj" fmla="val 16667"/>
          </a:avLst>
        </a:prstGeom>
        <a:ln>
          <a:noFill/>
        </a:ln>
        <a:effectLst>
          <a:outerShdw blurRad="152400" dist="12000" dir="900000" sy="98000" kx="110000" ky="200000" algn="tl" rotWithShape="0">
            <a:srgbClr val="000000">
              <a:alpha val="30000"/>
            </a:srgbClr>
          </a:outerShdw>
        </a:effectLst>
        <a:scene3d>
          <a:camera prst="perspectiveRelaxed">
            <a:rot lat="19800000" lon="1200000" rev="20820000"/>
          </a:camera>
          <a:lightRig rig="threePt" dir="t"/>
        </a:scene3d>
        <a:sp3d contourW="6350" prstMaterial="matte">
          <a:bevelT w="101600" h="101600"/>
          <a:contourClr>
            <a:srgbClr val="969696"/>
          </a:contourClr>
        </a:sp3d>
      </xdr:spPr>
    </xdr:pic>
    <xdr:clientData/>
  </xdr:twoCellAnchor>
  <xdr:twoCellAnchor editAs="oneCell">
    <xdr:from>
      <xdr:col>0</xdr:col>
      <xdr:colOff>73104</xdr:colOff>
      <xdr:row>9</xdr:row>
      <xdr:rowOff>102054</xdr:rowOff>
    </xdr:from>
    <xdr:to>
      <xdr:col>1</xdr:col>
      <xdr:colOff>567417</xdr:colOff>
      <xdr:row>14</xdr:row>
      <xdr:rowOff>6803</xdr:rowOff>
    </xdr:to>
    <xdr:pic>
      <xdr:nvPicPr>
        <xdr:cNvPr id="10" name="9 Imagen" descr="segmentacion-de-mercado1.jpg"/>
        <xdr:cNvPicPr>
          <a:picLocks noChangeAspect="1"/>
        </xdr:cNvPicPr>
      </xdr:nvPicPr>
      <xdr:blipFill>
        <a:blip xmlns:r="http://schemas.openxmlformats.org/officeDocument/2006/relationships" r:embed="rId4" cstate="print"/>
        <a:stretch>
          <a:fillRect/>
        </a:stretch>
      </xdr:blipFill>
      <xdr:spPr>
        <a:xfrm>
          <a:off x="73104" y="1571625"/>
          <a:ext cx="1256313" cy="721178"/>
        </a:xfrm>
        <a:prstGeom prst="roundRect">
          <a:avLst>
            <a:gd name="adj" fmla="val 16667"/>
          </a:avLst>
        </a:prstGeom>
        <a:ln>
          <a:noFill/>
        </a:ln>
        <a:effectLst>
          <a:outerShdw blurRad="152400" dist="12000" dir="900000" sy="98000" kx="110000" ky="200000" algn="tl" rotWithShape="0">
            <a:srgbClr val="000000">
              <a:alpha val="30000"/>
            </a:srgbClr>
          </a:outerShdw>
        </a:effectLst>
        <a:scene3d>
          <a:camera prst="perspectiveRelaxed">
            <a:rot lat="19800000" lon="1200000" rev="20820000"/>
          </a:camera>
          <a:lightRig rig="threePt" dir="t"/>
        </a:scene3d>
        <a:sp3d contourW="6350" prstMaterial="matte">
          <a:bevelT w="101600" h="101600"/>
          <a:contourClr>
            <a:srgbClr val="969696"/>
          </a:contourClr>
        </a:sp3d>
      </xdr:spPr>
    </xdr:pic>
    <xdr:clientData/>
  </xdr:twoCellAnchor>
  <xdr:twoCellAnchor>
    <xdr:from>
      <xdr:col>5</xdr:col>
      <xdr:colOff>688730</xdr:colOff>
      <xdr:row>17</xdr:row>
      <xdr:rowOff>139212</xdr:rowOff>
    </xdr:from>
    <xdr:to>
      <xdr:col>8</xdr:col>
      <xdr:colOff>743159</xdr:colOff>
      <xdr:row>20</xdr:row>
      <xdr:rowOff>131885</xdr:rowOff>
    </xdr:to>
    <xdr:sp macro="" textlink="">
      <xdr:nvSpPr>
        <xdr:cNvPr id="11" name="10 CuadroTexto">
          <a:hlinkClick xmlns:r="http://schemas.openxmlformats.org/officeDocument/2006/relationships" r:id="rId5"/>
        </xdr:cNvPr>
        <xdr:cNvSpPr txBox="1"/>
      </xdr:nvSpPr>
      <xdr:spPr>
        <a:xfrm>
          <a:off x="4498730" y="2879481"/>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5</xdr:col>
      <xdr:colOff>615461</xdr:colOff>
      <xdr:row>7</xdr:row>
      <xdr:rowOff>153866</xdr:rowOff>
    </xdr:from>
    <xdr:to>
      <xdr:col>8</xdr:col>
      <xdr:colOff>21980</xdr:colOff>
      <xdr:row>11</xdr:row>
      <xdr:rowOff>153866</xdr:rowOff>
    </xdr:to>
    <xdr:sp macro="" textlink="">
      <xdr:nvSpPr>
        <xdr:cNvPr id="12" name="11 Flecha derecha">
          <a:hlinkClick xmlns:r="http://schemas.openxmlformats.org/officeDocument/2006/relationships" r:id="rId6"/>
        </xdr:cNvPr>
        <xdr:cNvSpPr/>
      </xdr:nvSpPr>
      <xdr:spPr>
        <a:xfrm>
          <a:off x="4425461" y="1282212"/>
          <a:ext cx="1692519" cy="644769"/>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CLICK PARA INICIAR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609600</xdr:colOff>
      <xdr:row>14</xdr:row>
      <xdr:rowOff>0</xdr:rowOff>
    </xdr:from>
    <xdr:to>
      <xdr:col>10</xdr:col>
      <xdr:colOff>152400</xdr:colOff>
      <xdr:row>31</xdr:row>
      <xdr:rowOff>161925</xdr:rowOff>
    </xdr:to>
    <xdr:graphicFrame macro="">
      <xdr:nvGraphicFramePr>
        <xdr:cNvPr id="8025885"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256853</xdr:colOff>
      <xdr:row>0</xdr:row>
      <xdr:rowOff>192640</xdr:rowOff>
    </xdr:from>
    <xdr:to>
      <xdr:col>2</xdr:col>
      <xdr:colOff>550703</xdr:colOff>
      <xdr:row>6</xdr:row>
      <xdr:rowOff>139129</xdr:rowOff>
    </xdr:to>
    <xdr:pic>
      <xdr:nvPicPr>
        <xdr:cNvPr id="3" name="2 Imagen" descr="logo_ean_izquierda.jpg"/>
        <xdr:cNvPicPr>
          <a:picLocks noChangeAspect="1"/>
        </xdr:cNvPicPr>
      </xdr:nvPicPr>
      <xdr:blipFill>
        <a:blip xmlns:r="http://schemas.openxmlformats.org/officeDocument/2006/relationships" r:embed="rId2" cstate="print"/>
        <a:stretch>
          <a:fillRect/>
        </a:stretch>
      </xdr:blipFill>
      <xdr:spPr>
        <a:xfrm>
          <a:off x="256853" y="192640"/>
          <a:ext cx="1813569" cy="1113034"/>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0</xdr:col>
      <xdr:colOff>535781</xdr:colOff>
      <xdr:row>7</xdr:row>
      <xdr:rowOff>107155</xdr:rowOff>
    </xdr:from>
    <xdr:to>
      <xdr:col>2</xdr:col>
      <xdr:colOff>345281</xdr:colOff>
      <xdr:row>10</xdr:row>
      <xdr:rowOff>59530</xdr:rowOff>
    </xdr:to>
    <xdr:sp macro="" textlink="">
      <xdr:nvSpPr>
        <xdr:cNvPr id="4" name="3 Flecha izquierda">
          <a:hlinkClick xmlns:r="http://schemas.openxmlformats.org/officeDocument/2006/relationships" r:id="rId3"/>
        </xdr:cNvPr>
        <xdr:cNvSpPr/>
      </xdr:nvSpPr>
      <xdr:spPr>
        <a:xfrm>
          <a:off x="535781" y="1464468"/>
          <a:ext cx="1333500" cy="452437"/>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0</xdr:col>
      <xdr:colOff>583406</xdr:colOff>
      <xdr:row>11</xdr:row>
      <xdr:rowOff>23812</xdr:rowOff>
    </xdr:from>
    <xdr:to>
      <xdr:col>2</xdr:col>
      <xdr:colOff>392906</xdr:colOff>
      <xdr:row>13</xdr:row>
      <xdr:rowOff>154781</xdr:rowOff>
    </xdr:to>
    <xdr:sp macro="" textlink="">
      <xdr:nvSpPr>
        <xdr:cNvPr id="5" name="4 Flecha derecha">
          <a:hlinkClick xmlns:r="http://schemas.openxmlformats.org/officeDocument/2006/relationships" r:id="rId4"/>
        </xdr:cNvPr>
        <xdr:cNvSpPr/>
      </xdr:nvSpPr>
      <xdr:spPr>
        <a:xfrm>
          <a:off x="583406" y="2047875"/>
          <a:ext cx="1333500" cy="464344"/>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0</xdr:col>
      <xdr:colOff>511968</xdr:colOff>
      <xdr:row>14</xdr:row>
      <xdr:rowOff>11911</xdr:rowOff>
    </xdr:from>
    <xdr:to>
      <xdr:col>6</xdr:col>
      <xdr:colOff>416717</xdr:colOff>
      <xdr:row>25</xdr:row>
      <xdr:rowOff>95255</xdr:rowOff>
    </xdr:to>
    <xdr:sp macro="" textlink="">
      <xdr:nvSpPr>
        <xdr:cNvPr id="7" name="6 CuadroTexto"/>
        <xdr:cNvSpPr txBox="1"/>
      </xdr:nvSpPr>
      <xdr:spPr>
        <a:xfrm>
          <a:off x="511968" y="2536036"/>
          <a:ext cx="6893718" cy="1916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400" b="1" i="1">
              <a:solidFill>
                <a:schemeClr val="dk1"/>
              </a:solidFill>
              <a:latin typeface="+mn-lt"/>
              <a:ea typeface="+mn-ea"/>
              <a:cs typeface="+mn-cs"/>
            </a:rPr>
            <a:t>Emprendedor; esta hoja ha sido diseñada para que haga un control de las relación del Margen de Contribución total con respecto a los costos y gastos del plan de negocio , revise el último renglón del cuadro (UAII), este valor es la utilidad Antes de Impuestos, como supondrá debe ser positiva para que el plan de negocio sea viable para el emprendedor.                        </a:t>
          </a:r>
        </a:p>
        <a:p>
          <a:pPr marL="0" marR="0" indent="0" algn="ctr" defTabSz="914400" eaLnBrk="1" fontAlgn="auto" latinLnBrk="0" hangingPunct="1">
            <a:lnSpc>
              <a:spcPct val="100000"/>
            </a:lnSpc>
            <a:spcBef>
              <a:spcPts val="0"/>
            </a:spcBef>
            <a:spcAft>
              <a:spcPts val="0"/>
            </a:spcAft>
            <a:buClrTx/>
            <a:buSzTx/>
            <a:buFontTx/>
            <a:buNone/>
            <a:tabLst/>
            <a:defRPr/>
          </a:pPr>
          <a:r>
            <a:rPr lang="es-CO" sz="1400" b="1" i="1">
              <a:solidFill>
                <a:schemeClr val="dk1"/>
              </a:solidFill>
              <a:latin typeface="+mn-lt"/>
              <a:ea typeface="+mn-ea"/>
              <a:cs typeface="+mn-cs"/>
            </a:rPr>
            <a:t>Como medio de ayuda se ha incluido un gráfico que le permitirá visualmente revisar el comportamiento de los componentes ya mencionados, revise que las barras verdes del gráfico que representan la utilidad sean positivas.</a:t>
          </a:r>
        </a:p>
        <a:p>
          <a:endParaRPr lang="es-CO" sz="1100"/>
        </a:p>
      </xdr:txBody>
    </xdr:sp>
    <xdr:clientData/>
  </xdr:twoCellAnchor>
  <xdr:twoCellAnchor>
    <xdr:from>
      <xdr:col>4</xdr:col>
      <xdr:colOff>750094</xdr:colOff>
      <xdr:row>26</xdr:row>
      <xdr:rowOff>107156</xdr:rowOff>
    </xdr:from>
    <xdr:to>
      <xdr:col>4</xdr:col>
      <xdr:colOff>2428874</xdr:colOff>
      <xdr:row>31</xdr:row>
      <xdr:rowOff>23811</xdr:rowOff>
    </xdr:to>
    <xdr:sp macro="" textlink="">
      <xdr:nvSpPr>
        <xdr:cNvPr id="8" name="7 CuadroTexto">
          <a:hlinkClick xmlns:r="http://schemas.openxmlformats.org/officeDocument/2006/relationships" r:id="rId5"/>
        </xdr:cNvPr>
        <xdr:cNvSpPr txBox="1"/>
      </xdr:nvSpPr>
      <xdr:spPr>
        <a:xfrm>
          <a:off x="3107532" y="4631531"/>
          <a:ext cx="1678780" cy="750093"/>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695325</xdr:colOff>
      <xdr:row>1</xdr:row>
      <xdr:rowOff>66675</xdr:rowOff>
    </xdr:from>
    <xdr:ext cx="5368019" cy="435429"/>
    <xdr:sp macro="" textlink="">
      <xdr:nvSpPr>
        <xdr:cNvPr id="3" name="2 Rectángulo"/>
        <xdr:cNvSpPr/>
      </xdr:nvSpPr>
      <xdr:spPr>
        <a:xfrm>
          <a:off x="2219325" y="209550"/>
          <a:ext cx="5368019"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p>
        <a:p>
          <a:pPr algn="ct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CALCULO DEL PUNTO DE EQUILIBRIO: AÑO 1</a:t>
          </a:r>
          <a:endParaRPr lang="es-ES" sz="2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0</xdr:col>
      <xdr:colOff>209549</xdr:colOff>
      <xdr:row>1</xdr:row>
      <xdr:rowOff>114299</xdr:rowOff>
    </xdr:from>
    <xdr:to>
      <xdr:col>2</xdr:col>
      <xdr:colOff>104774</xdr:colOff>
      <xdr:row>7</xdr:row>
      <xdr:rowOff>128064</xdr:rowOff>
    </xdr:to>
    <xdr:pic>
      <xdr:nvPicPr>
        <xdr:cNvPr id="4" name="3 Imagen" descr="logo_ean_izquierda.jpg"/>
        <xdr:cNvPicPr>
          <a:picLocks noChangeAspect="1"/>
        </xdr:cNvPicPr>
      </xdr:nvPicPr>
      <xdr:blipFill>
        <a:blip xmlns:r="http://schemas.openxmlformats.org/officeDocument/2006/relationships" r:embed="rId1" cstate="print"/>
        <a:stretch>
          <a:fillRect/>
        </a:stretch>
      </xdr:blipFill>
      <xdr:spPr>
        <a:xfrm>
          <a:off x="971549" y="257174"/>
          <a:ext cx="1419225" cy="87101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8</xdr:col>
      <xdr:colOff>152400</xdr:colOff>
      <xdr:row>7</xdr:row>
      <xdr:rowOff>9525</xdr:rowOff>
    </xdr:from>
    <xdr:to>
      <xdr:col>14</xdr:col>
      <xdr:colOff>152400</xdr:colOff>
      <xdr:row>27</xdr:row>
      <xdr:rowOff>95250</xdr:rowOff>
    </xdr:to>
    <xdr:graphicFrame macro="">
      <xdr:nvGraphicFramePr>
        <xdr:cNvPr id="8431411"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418041</xdr:colOff>
      <xdr:row>30</xdr:row>
      <xdr:rowOff>51857</xdr:rowOff>
    </xdr:from>
    <xdr:to>
      <xdr:col>14</xdr:col>
      <xdr:colOff>105833</xdr:colOff>
      <xdr:row>33</xdr:row>
      <xdr:rowOff>116417</xdr:rowOff>
    </xdr:to>
    <xdr:sp macro="" textlink="">
      <xdr:nvSpPr>
        <xdr:cNvPr id="5" name="4 CuadroTexto">
          <a:hlinkClick xmlns:r="http://schemas.openxmlformats.org/officeDocument/2006/relationships" r:id="rId3"/>
        </xdr:cNvPr>
        <xdr:cNvSpPr txBox="1"/>
      </xdr:nvSpPr>
      <xdr:spPr>
        <a:xfrm>
          <a:off x="11054291" y="4782607"/>
          <a:ext cx="2735792" cy="614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700" b="1"/>
            <a:t>Desarrollado por: Esp. Mauricio</a:t>
          </a:r>
          <a:r>
            <a:rPr lang="es-CO" sz="700" b="1" baseline="0"/>
            <a:t> Reyes Giraldo.</a:t>
          </a:r>
        </a:p>
        <a:p>
          <a:r>
            <a:rPr lang="es-CO" sz="700" b="1" baseline="0"/>
            <a:t>Docente de Tiempo Completo Universidad EAN.</a:t>
          </a:r>
        </a:p>
        <a:p>
          <a:r>
            <a:rPr lang="es-CO" sz="700" b="1" baseline="0"/>
            <a:t>Coordinador Núcleo de Emprendimiento.  FED Universidad  -EAN.</a:t>
          </a:r>
        </a:p>
        <a:p>
          <a:r>
            <a:rPr lang="es-CO" sz="700" b="1" baseline="0"/>
            <a:t>contacto: dmreyes@ean.edu.co</a:t>
          </a:r>
        </a:p>
        <a:p>
          <a:r>
            <a:rPr lang="es-CO" sz="800" b="1" baseline="0"/>
            <a:t> </a:t>
          </a:r>
        </a:p>
        <a:p>
          <a:endParaRPr lang="es-CO" sz="500"/>
        </a:p>
      </xdr:txBody>
    </xdr:sp>
    <xdr:clientData/>
  </xdr:twoCellAnchor>
  <xdr:twoCellAnchor>
    <xdr:from>
      <xdr:col>6</xdr:col>
      <xdr:colOff>719667</xdr:colOff>
      <xdr:row>1</xdr:row>
      <xdr:rowOff>116416</xdr:rowOff>
    </xdr:from>
    <xdr:to>
      <xdr:col>7</xdr:col>
      <xdr:colOff>857250</xdr:colOff>
      <xdr:row>5</xdr:row>
      <xdr:rowOff>21167</xdr:rowOff>
    </xdr:to>
    <xdr:sp macro="" textlink="">
      <xdr:nvSpPr>
        <xdr:cNvPr id="6" name="5 Flecha izquierda">
          <a:hlinkClick xmlns:r="http://schemas.openxmlformats.org/officeDocument/2006/relationships" r:id="rId4"/>
        </xdr:cNvPr>
        <xdr:cNvSpPr/>
      </xdr:nvSpPr>
      <xdr:spPr>
        <a:xfrm>
          <a:off x="7069667" y="264583"/>
          <a:ext cx="1312333" cy="497417"/>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391583</xdr:colOff>
      <xdr:row>1</xdr:row>
      <xdr:rowOff>127000</xdr:rowOff>
    </xdr:from>
    <xdr:to>
      <xdr:col>9</xdr:col>
      <xdr:colOff>656166</xdr:colOff>
      <xdr:row>5</xdr:row>
      <xdr:rowOff>52917</xdr:rowOff>
    </xdr:to>
    <xdr:sp macro="" textlink="">
      <xdr:nvSpPr>
        <xdr:cNvPr id="7" name="6 Flecha derecha">
          <a:hlinkClick xmlns:r="http://schemas.openxmlformats.org/officeDocument/2006/relationships" r:id="rId5"/>
        </xdr:cNvPr>
        <xdr:cNvSpPr/>
      </xdr:nvSpPr>
      <xdr:spPr>
        <a:xfrm>
          <a:off x="8900583" y="275167"/>
          <a:ext cx="1301750" cy="518583"/>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9</xdr:col>
      <xdr:colOff>978958</xdr:colOff>
      <xdr:row>1</xdr:row>
      <xdr:rowOff>32808</xdr:rowOff>
    </xdr:from>
    <xdr:to>
      <xdr:col>11</xdr:col>
      <xdr:colOff>346075</xdr:colOff>
      <xdr:row>4</xdr:row>
      <xdr:rowOff>140758</xdr:rowOff>
    </xdr:to>
    <xdr:sp macro="" textlink="">
      <xdr:nvSpPr>
        <xdr:cNvPr id="8" name="7 CuadroTexto">
          <a:hlinkClick xmlns:r="http://schemas.openxmlformats.org/officeDocument/2006/relationships" r:id="rId6"/>
        </xdr:cNvPr>
        <xdr:cNvSpPr txBox="1"/>
      </xdr:nvSpPr>
      <xdr:spPr>
        <a:xfrm>
          <a:off x="10525125" y="180975"/>
          <a:ext cx="1219200" cy="5524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twoCellAnchor>
    <xdr:from>
      <xdr:col>10</xdr:col>
      <xdr:colOff>55033</xdr:colOff>
      <xdr:row>36</xdr:row>
      <xdr:rowOff>42333</xdr:rowOff>
    </xdr:from>
    <xdr:to>
      <xdr:col>11</xdr:col>
      <xdr:colOff>455083</xdr:colOff>
      <xdr:row>40</xdr:row>
      <xdr:rowOff>0</xdr:rowOff>
    </xdr:to>
    <xdr:sp macro="" textlink="">
      <xdr:nvSpPr>
        <xdr:cNvPr id="9" name="8 CuadroTexto">
          <a:hlinkClick xmlns:r="http://schemas.openxmlformats.org/officeDocument/2006/relationships" r:id="rId7"/>
        </xdr:cNvPr>
        <xdr:cNvSpPr txBox="1"/>
      </xdr:nvSpPr>
      <xdr:spPr>
        <a:xfrm>
          <a:off x="10691283" y="5778500"/>
          <a:ext cx="1162050" cy="57150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114300</xdr:colOff>
      <xdr:row>0</xdr:row>
      <xdr:rowOff>133350</xdr:rowOff>
    </xdr:from>
    <xdr:to>
      <xdr:col>0</xdr:col>
      <xdr:colOff>952500</xdr:colOff>
      <xdr:row>3</xdr:row>
      <xdr:rowOff>232006</xdr:rowOff>
    </xdr:to>
    <xdr:pic>
      <xdr:nvPicPr>
        <xdr:cNvPr id="2" name="1 Imagen" descr="logo_ean_izquierda.jpg"/>
        <xdr:cNvPicPr>
          <a:picLocks noChangeAspect="1"/>
        </xdr:cNvPicPr>
      </xdr:nvPicPr>
      <xdr:blipFill>
        <a:blip xmlns:r="http://schemas.openxmlformats.org/officeDocument/2006/relationships" r:embed="rId1" cstate="print"/>
        <a:stretch>
          <a:fillRect/>
        </a:stretch>
      </xdr:blipFill>
      <xdr:spPr>
        <a:xfrm>
          <a:off x="114300" y="133350"/>
          <a:ext cx="838200" cy="584431"/>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0</xdr:col>
      <xdr:colOff>847725</xdr:colOff>
      <xdr:row>0</xdr:row>
      <xdr:rowOff>47625</xdr:rowOff>
    </xdr:from>
    <xdr:ext cx="7381875" cy="435429"/>
    <xdr:sp macro="" textlink="">
      <xdr:nvSpPr>
        <xdr:cNvPr id="3" name="2 Rectángulo"/>
        <xdr:cNvSpPr/>
      </xdr:nvSpPr>
      <xdr:spPr>
        <a:xfrm>
          <a:off x="847725" y="47625"/>
          <a:ext cx="7381875"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24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p>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BALANCE GENERAL PRESUPUESTADO</a:t>
          </a:r>
        </a:p>
        <a:p>
          <a:pPr algn="ct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xdr:from>
      <xdr:col>5</xdr:col>
      <xdr:colOff>971550</xdr:colOff>
      <xdr:row>1</xdr:row>
      <xdr:rowOff>76200</xdr:rowOff>
    </xdr:from>
    <xdr:to>
      <xdr:col>6</xdr:col>
      <xdr:colOff>609600</xdr:colOff>
      <xdr:row>3</xdr:row>
      <xdr:rowOff>266700</xdr:rowOff>
    </xdr:to>
    <xdr:sp macro="" textlink="">
      <xdr:nvSpPr>
        <xdr:cNvPr id="4" name="3 Flecha izquierda">
          <a:hlinkClick xmlns:r="http://schemas.openxmlformats.org/officeDocument/2006/relationships" r:id="rId2"/>
        </xdr:cNvPr>
        <xdr:cNvSpPr/>
      </xdr:nvSpPr>
      <xdr:spPr>
        <a:xfrm>
          <a:off x="8439150" y="238125"/>
          <a:ext cx="942975" cy="51435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6</xdr:col>
      <xdr:colOff>885825</xdr:colOff>
      <xdr:row>1</xdr:row>
      <xdr:rowOff>85724</xdr:rowOff>
    </xdr:from>
    <xdr:to>
      <xdr:col>7</xdr:col>
      <xdr:colOff>504825</xdr:colOff>
      <xdr:row>3</xdr:row>
      <xdr:rowOff>247649</xdr:rowOff>
    </xdr:to>
    <xdr:sp macro="" textlink="">
      <xdr:nvSpPr>
        <xdr:cNvPr id="5" name="4 Flecha derecha">
          <a:hlinkClick xmlns:r="http://schemas.openxmlformats.org/officeDocument/2006/relationships" r:id="rId3"/>
        </xdr:cNvPr>
        <xdr:cNvSpPr/>
      </xdr:nvSpPr>
      <xdr:spPr>
        <a:xfrm>
          <a:off x="9658350" y="247649"/>
          <a:ext cx="1009650" cy="4857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664634</xdr:colOff>
      <xdr:row>74</xdr:row>
      <xdr:rowOff>64558</xdr:rowOff>
    </xdr:from>
    <xdr:to>
      <xdr:col>8</xdr:col>
      <xdr:colOff>669321</xdr:colOff>
      <xdr:row>77</xdr:row>
      <xdr:rowOff>55033</xdr:rowOff>
    </xdr:to>
    <xdr:sp macro="" textlink="">
      <xdr:nvSpPr>
        <xdr:cNvPr id="6" name="5 CuadroTexto">
          <a:hlinkClick xmlns:r="http://schemas.openxmlformats.org/officeDocument/2006/relationships" r:id="rId4"/>
        </xdr:cNvPr>
        <xdr:cNvSpPr txBox="1"/>
      </xdr:nvSpPr>
      <xdr:spPr>
        <a:xfrm>
          <a:off x="9438217" y="12976225"/>
          <a:ext cx="2333021" cy="46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800"/>
            </a:lnSpc>
          </a:pPr>
          <a:r>
            <a:rPr lang="es-CO" sz="800" b="1" baseline="0"/>
            <a:t> </a:t>
          </a:r>
        </a:p>
        <a:p>
          <a:pPr>
            <a:lnSpc>
              <a:spcPts val="500"/>
            </a:lnSpc>
          </a:pPr>
          <a:endParaRPr lang="es-CO" sz="500"/>
        </a:p>
      </xdr:txBody>
    </xdr:sp>
    <xdr:clientData/>
  </xdr:twoCellAnchor>
  <xdr:twoCellAnchor>
    <xdr:from>
      <xdr:col>7</xdr:col>
      <xdr:colOff>238125</xdr:colOff>
      <xdr:row>16</xdr:row>
      <xdr:rowOff>152401</xdr:rowOff>
    </xdr:from>
    <xdr:to>
      <xdr:col>8</xdr:col>
      <xdr:colOff>619125</xdr:colOff>
      <xdr:row>21</xdr:row>
      <xdr:rowOff>74085</xdr:rowOff>
    </xdr:to>
    <xdr:sp macro="" textlink="">
      <xdr:nvSpPr>
        <xdr:cNvPr id="7" name="6 CuadroTexto">
          <a:hlinkClick xmlns:r="http://schemas.openxmlformats.org/officeDocument/2006/relationships" r:id="rId5"/>
        </xdr:cNvPr>
        <xdr:cNvSpPr txBox="1"/>
      </xdr:nvSpPr>
      <xdr:spPr>
        <a:xfrm>
          <a:off x="10398125" y="3285068"/>
          <a:ext cx="1322917" cy="8953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twoCellAnchor>
    <xdr:from>
      <xdr:col>7</xdr:col>
      <xdr:colOff>381000</xdr:colOff>
      <xdr:row>66</xdr:row>
      <xdr:rowOff>10584</xdr:rowOff>
    </xdr:from>
    <xdr:to>
      <xdr:col>8</xdr:col>
      <xdr:colOff>582083</xdr:colOff>
      <xdr:row>70</xdr:row>
      <xdr:rowOff>84668</xdr:rowOff>
    </xdr:to>
    <xdr:sp macro="" textlink="">
      <xdr:nvSpPr>
        <xdr:cNvPr id="8" name="7 CuadroTexto">
          <a:hlinkClick xmlns:r="http://schemas.openxmlformats.org/officeDocument/2006/relationships" r:id="rId6"/>
        </xdr:cNvPr>
        <xdr:cNvSpPr txBox="1"/>
      </xdr:nvSpPr>
      <xdr:spPr>
        <a:xfrm>
          <a:off x="10541000" y="11599334"/>
          <a:ext cx="1143000" cy="709084"/>
        </a:xfrm>
        <a:prstGeom prst="rect">
          <a:avLst/>
        </a:prstGeom>
        <a:ln/>
      </xdr:spPr>
      <xdr:style>
        <a:lnRef idx="0">
          <a:schemeClr val="accent1"/>
        </a:lnRef>
        <a:fillRef idx="3">
          <a:schemeClr val="accent1"/>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219075</xdr:colOff>
      <xdr:row>0</xdr:row>
      <xdr:rowOff>57150</xdr:rowOff>
    </xdr:from>
    <xdr:ext cx="6905625" cy="435429"/>
    <xdr:sp macro="" textlink="">
      <xdr:nvSpPr>
        <xdr:cNvPr id="2" name="1 Rectángulo"/>
        <xdr:cNvSpPr/>
      </xdr:nvSpPr>
      <xdr:spPr>
        <a:xfrm>
          <a:off x="219075" y="57150"/>
          <a:ext cx="6905625"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lnSpc>
              <a:spcPts val="2700"/>
            </a:lnSpc>
          </a:pPr>
          <a:r>
            <a:rPr lang="es-ES" sz="24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  ESTADO DE RESULTADOS PROYECTADO</a:t>
          </a:r>
          <a:endParaRPr lang="es-ES" sz="32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6</xdr:col>
      <xdr:colOff>304800</xdr:colOff>
      <xdr:row>1</xdr:row>
      <xdr:rowOff>85725</xdr:rowOff>
    </xdr:from>
    <xdr:to>
      <xdr:col>7</xdr:col>
      <xdr:colOff>768876</xdr:colOff>
      <xdr:row>2</xdr:row>
      <xdr:rowOff>104775</xdr:rowOff>
    </xdr:to>
    <xdr:pic>
      <xdr:nvPicPr>
        <xdr:cNvPr id="3" name="2 Imagen" descr="logo_ean_izquierda.jpg"/>
        <xdr:cNvPicPr>
          <a:picLocks noChangeAspect="1"/>
        </xdr:cNvPicPr>
      </xdr:nvPicPr>
      <xdr:blipFill>
        <a:blip xmlns:r="http://schemas.openxmlformats.org/officeDocument/2006/relationships" r:embed="rId1" cstate="print"/>
        <a:stretch>
          <a:fillRect/>
        </a:stretch>
      </xdr:blipFill>
      <xdr:spPr>
        <a:xfrm>
          <a:off x="8639175" y="247650"/>
          <a:ext cx="1226076" cy="75247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6</xdr:col>
      <xdr:colOff>438151</xdr:colOff>
      <xdr:row>16</xdr:row>
      <xdr:rowOff>19049</xdr:rowOff>
    </xdr:from>
    <xdr:to>
      <xdr:col>9</xdr:col>
      <xdr:colOff>314325</xdr:colOff>
      <xdr:row>18</xdr:row>
      <xdr:rowOff>95249</xdr:rowOff>
    </xdr:to>
    <xdr:sp macro="" textlink="">
      <xdr:nvSpPr>
        <xdr:cNvPr id="4" name="3 CuadroTexto"/>
        <xdr:cNvSpPr txBox="1"/>
      </xdr:nvSpPr>
      <xdr:spPr>
        <a:xfrm>
          <a:off x="8353426" y="3133724"/>
          <a:ext cx="3038474"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1100"/>
            <a:t>CELDAS PARA SER MODIFICADAS</a:t>
          </a:r>
          <a:r>
            <a:rPr lang="es-CO" sz="1100" baseline="0"/>
            <a:t> O  AJUSTADAS</a:t>
          </a:r>
          <a:endParaRPr lang="es-CO" sz="1100"/>
        </a:p>
      </xdr:txBody>
    </xdr:sp>
    <xdr:clientData/>
  </xdr:twoCellAnchor>
  <xdr:twoCellAnchor>
    <xdr:from>
      <xdr:col>7</xdr:col>
      <xdr:colOff>600075</xdr:colOff>
      <xdr:row>30</xdr:row>
      <xdr:rowOff>47625</xdr:rowOff>
    </xdr:from>
    <xdr:to>
      <xdr:col>9</xdr:col>
      <xdr:colOff>540204</xdr:colOff>
      <xdr:row>33</xdr:row>
      <xdr:rowOff>9525</xdr:rowOff>
    </xdr:to>
    <xdr:sp macro="" textlink="">
      <xdr:nvSpPr>
        <xdr:cNvPr id="5" name="4 CuadroTexto">
          <a:hlinkClick xmlns:r="http://schemas.openxmlformats.org/officeDocument/2006/relationships" r:id="rId2"/>
        </xdr:cNvPr>
        <xdr:cNvSpPr txBox="1"/>
      </xdr:nvSpPr>
      <xdr:spPr>
        <a:xfrm>
          <a:off x="9277350" y="4295775"/>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pPr>
            <a:lnSpc>
              <a:spcPts val="600"/>
            </a:lnSpc>
          </a:pPr>
          <a:r>
            <a:rPr lang="es-CO" sz="6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6</xdr:col>
      <xdr:colOff>285750</xdr:colOff>
      <xdr:row>5</xdr:row>
      <xdr:rowOff>9525</xdr:rowOff>
    </xdr:from>
    <xdr:to>
      <xdr:col>7</xdr:col>
      <xdr:colOff>638175</xdr:colOff>
      <xdr:row>8</xdr:row>
      <xdr:rowOff>19050</xdr:rowOff>
    </xdr:to>
    <xdr:sp macro="" textlink="">
      <xdr:nvSpPr>
        <xdr:cNvPr id="6" name="5 Flecha izquierda">
          <a:hlinkClick xmlns:r="http://schemas.openxmlformats.org/officeDocument/2006/relationships" r:id="rId3"/>
        </xdr:cNvPr>
        <xdr:cNvSpPr/>
      </xdr:nvSpPr>
      <xdr:spPr>
        <a:xfrm>
          <a:off x="8201025" y="1438275"/>
          <a:ext cx="1114425" cy="4953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7</xdr:col>
      <xdr:colOff>1095375</xdr:colOff>
      <xdr:row>5</xdr:row>
      <xdr:rowOff>38099</xdr:rowOff>
    </xdr:from>
    <xdr:to>
      <xdr:col>8</xdr:col>
      <xdr:colOff>600075</xdr:colOff>
      <xdr:row>7</xdr:row>
      <xdr:rowOff>161924</xdr:rowOff>
    </xdr:to>
    <xdr:sp macro="" textlink="">
      <xdr:nvSpPr>
        <xdr:cNvPr id="7" name="6 Flecha derecha">
          <a:hlinkClick xmlns:r="http://schemas.openxmlformats.org/officeDocument/2006/relationships" r:id="rId4"/>
        </xdr:cNvPr>
        <xdr:cNvSpPr/>
      </xdr:nvSpPr>
      <xdr:spPr>
        <a:xfrm>
          <a:off x="9772650" y="1466849"/>
          <a:ext cx="113347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editAs="oneCell">
    <xdr:from>
      <xdr:col>6</xdr:col>
      <xdr:colOff>95250</xdr:colOff>
      <xdr:row>18</xdr:row>
      <xdr:rowOff>152400</xdr:rowOff>
    </xdr:from>
    <xdr:to>
      <xdr:col>7</xdr:col>
      <xdr:colOff>496553</xdr:colOff>
      <xdr:row>32</xdr:row>
      <xdr:rowOff>28575</xdr:rowOff>
    </xdr:to>
    <xdr:pic>
      <xdr:nvPicPr>
        <xdr:cNvPr id="3421612" name="Picture 428"/>
        <xdr:cNvPicPr>
          <a:picLocks noChangeAspect="1" noChangeArrowheads="1"/>
        </xdr:cNvPicPr>
      </xdr:nvPicPr>
      <xdr:blipFill>
        <a:blip xmlns:r="http://schemas.openxmlformats.org/officeDocument/2006/relationships" r:embed="rId5" cstate="print"/>
        <a:srcRect/>
        <a:stretch>
          <a:fillRect/>
        </a:stretch>
      </xdr:blipFill>
      <xdr:spPr bwMode="auto">
        <a:xfrm>
          <a:off x="8010525" y="3429000"/>
          <a:ext cx="1163303" cy="120015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7</xdr:col>
      <xdr:colOff>1476375</xdr:colOff>
      <xdr:row>1</xdr:row>
      <xdr:rowOff>200025</xdr:rowOff>
    </xdr:from>
    <xdr:to>
      <xdr:col>9</xdr:col>
      <xdr:colOff>190500</xdr:colOff>
      <xdr:row>2</xdr:row>
      <xdr:rowOff>161925</xdr:rowOff>
    </xdr:to>
    <xdr:sp macro="" textlink="">
      <xdr:nvSpPr>
        <xdr:cNvPr id="9" name="8 CuadroTexto">
          <a:hlinkClick xmlns:r="http://schemas.openxmlformats.org/officeDocument/2006/relationships" r:id="rId6"/>
        </xdr:cNvPr>
        <xdr:cNvSpPr txBox="1"/>
      </xdr:nvSpPr>
      <xdr:spPr>
        <a:xfrm>
          <a:off x="10572750" y="361950"/>
          <a:ext cx="1114425" cy="69532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85726</xdr:colOff>
      <xdr:row>0</xdr:row>
      <xdr:rowOff>0</xdr:rowOff>
    </xdr:from>
    <xdr:ext cx="9429750" cy="435429"/>
    <xdr:sp macro="" textlink="">
      <xdr:nvSpPr>
        <xdr:cNvPr id="2" name="1 Rectángulo"/>
        <xdr:cNvSpPr/>
      </xdr:nvSpPr>
      <xdr:spPr>
        <a:xfrm>
          <a:off x="85726" y="0"/>
          <a:ext cx="9429750"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 FLUJO DE CAJA PRESUPUESTADO</a:t>
          </a:r>
        </a:p>
        <a:p>
          <a:pPr algn="l"/>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6</xdr:col>
      <xdr:colOff>416593</xdr:colOff>
      <xdr:row>0</xdr:row>
      <xdr:rowOff>161924</xdr:rowOff>
    </xdr:from>
    <xdr:to>
      <xdr:col>8</xdr:col>
      <xdr:colOff>504824</xdr:colOff>
      <xdr:row>6</xdr:row>
      <xdr:rowOff>197105</xdr:rowOff>
    </xdr:to>
    <xdr:pic>
      <xdr:nvPicPr>
        <xdr:cNvPr id="3" name="2 Imagen" descr="logo_ean_izquierda.jpg"/>
        <xdr:cNvPicPr>
          <a:picLocks noChangeAspect="1"/>
        </xdr:cNvPicPr>
      </xdr:nvPicPr>
      <xdr:blipFill>
        <a:blip xmlns:r="http://schemas.openxmlformats.org/officeDocument/2006/relationships" r:embed="rId1" cstate="print"/>
        <a:stretch>
          <a:fillRect/>
        </a:stretch>
      </xdr:blipFill>
      <xdr:spPr>
        <a:xfrm>
          <a:off x="10370218" y="161924"/>
          <a:ext cx="1612231" cy="1123148"/>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5</xdr:col>
      <xdr:colOff>1212459</xdr:colOff>
      <xdr:row>44</xdr:row>
      <xdr:rowOff>122266</xdr:rowOff>
    </xdr:from>
    <xdr:to>
      <xdr:col>8</xdr:col>
      <xdr:colOff>705415</xdr:colOff>
      <xdr:row>47</xdr:row>
      <xdr:rowOff>117253</xdr:rowOff>
    </xdr:to>
    <xdr:sp macro="" textlink="">
      <xdr:nvSpPr>
        <xdr:cNvPr id="4" name="3 CuadroTexto">
          <a:hlinkClick xmlns:r="http://schemas.openxmlformats.org/officeDocument/2006/relationships" r:id="rId2"/>
        </xdr:cNvPr>
        <xdr:cNvSpPr txBox="1"/>
      </xdr:nvSpPr>
      <xdr:spPr>
        <a:xfrm>
          <a:off x="9848459" y="4069849"/>
          <a:ext cx="2339873" cy="4712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900"/>
            </a:lnSpc>
          </a:pPr>
          <a:r>
            <a:rPr lang="es-CO" sz="800" b="1" baseline="0"/>
            <a:t> </a:t>
          </a:r>
        </a:p>
        <a:p>
          <a:endParaRPr lang="es-CO" sz="500"/>
        </a:p>
      </xdr:txBody>
    </xdr:sp>
    <xdr:clientData/>
  </xdr:twoCellAnchor>
  <xdr:twoCellAnchor editAs="oneCell">
    <xdr:from>
      <xdr:col>6</xdr:col>
      <xdr:colOff>423889</xdr:colOff>
      <xdr:row>8</xdr:row>
      <xdr:rowOff>144601</xdr:rowOff>
    </xdr:from>
    <xdr:to>
      <xdr:col>8</xdr:col>
      <xdr:colOff>443441</xdr:colOff>
      <xdr:row>17</xdr:row>
      <xdr:rowOff>11251</xdr:rowOff>
    </xdr:to>
    <xdr:pic>
      <xdr:nvPicPr>
        <xdr:cNvPr id="4714726" name="Picture 230"/>
        <xdr:cNvPicPr>
          <a:picLocks noChangeAspect="1" noChangeArrowheads="1"/>
        </xdr:cNvPicPr>
      </xdr:nvPicPr>
      <xdr:blipFill>
        <a:blip xmlns:r="http://schemas.openxmlformats.org/officeDocument/2006/relationships" r:embed="rId3" cstate="print"/>
        <a:srcRect/>
        <a:stretch>
          <a:fillRect/>
        </a:stretch>
      </xdr:blipFill>
      <xdr:spPr bwMode="auto">
        <a:xfrm>
          <a:off x="10382806" y="1552184"/>
          <a:ext cx="1543552" cy="133667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2</xdr:col>
      <xdr:colOff>73693</xdr:colOff>
      <xdr:row>44</xdr:row>
      <xdr:rowOff>151899</xdr:rowOff>
    </xdr:from>
    <xdr:to>
      <xdr:col>2</xdr:col>
      <xdr:colOff>1054768</xdr:colOff>
      <xdr:row>47</xdr:row>
      <xdr:rowOff>89736</xdr:rowOff>
    </xdr:to>
    <xdr:sp macro="" textlink="">
      <xdr:nvSpPr>
        <xdr:cNvPr id="6" name="5 Flecha izquierda">
          <a:hlinkClick xmlns:r="http://schemas.openxmlformats.org/officeDocument/2006/relationships" r:id="rId4"/>
        </xdr:cNvPr>
        <xdr:cNvSpPr/>
      </xdr:nvSpPr>
      <xdr:spPr>
        <a:xfrm>
          <a:off x="4512343" y="4161924"/>
          <a:ext cx="981075" cy="423612"/>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3</xdr:col>
      <xdr:colOff>381000</xdr:colOff>
      <xdr:row>44</xdr:row>
      <xdr:rowOff>152401</xdr:rowOff>
    </xdr:from>
    <xdr:to>
      <xdr:col>3</xdr:col>
      <xdr:colOff>1409700</xdr:colOff>
      <xdr:row>47</xdr:row>
      <xdr:rowOff>99262</xdr:rowOff>
    </xdr:to>
    <xdr:sp macro="" textlink="">
      <xdr:nvSpPr>
        <xdr:cNvPr id="7" name="6 Flecha derecha">
          <a:hlinkClick xmlns:r="http://schemas.openxmlformats.org/officeDocument/2006/relationships" r:id="rId5"/>
        </xdr:cNvPr>
        <xdr:cNvSpPr/>
      </xdr:nvSpPr>
      <xdr:spPr>
        <a:xfrm>
          <a:off x="6105525" y="4162426"/>
          <a:ext cx="1028700" cy="432636"/>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550333</xdr:colOff>
      <xdr:row>20</xdr:row>
      <xdr:rowOff>21166</xdr:rowOff>
    </xdr:from>
    <xdr:to>
      <xdr:col>8</xdr:col>
      <xdr:colOff>370417</xdr:colOff>
      <xdr:row>24</xdr:row>
      <xdr:rowOff>52916</xdr:rowOff>
    </xdr:to>
    <xdr:sp macro="" textlink="">
      <xdr:nvSpPr>
        <xdr:cNvPr id="8" name="7 CuadroTexto">
          <a:hlinkClick xmlns:r="http://schemas.openxmlformats.org/officeDocument/2006/relationships" r:id="rId6"/>
        </xdr:cNvPr>
        <xdr:cNvSpPr txBox="1"/>
      </xdr:nvSpPr>
      <xdr:spPr>
        <a:xfrm>
          <a:off x="10509250" y="3407833"/>
          <a:ext cx="1344084" cy="6667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b="1">
              <a:latin typeface="Arial Black" pitchFamily="34" charset="0"/>
            </a:rPr>
            <a:t>MENÚ</a:t>
          </a:r>
          <a:r>
            <a:rPr lang="es-CO" sz="1100" b="1" baseline="0">
              <a:latin typeface="Arial Black" pitchFamily="34" charset="0"/>
            </a:rPr>
            <a:t> PRINCIPAL</a:t>
          </a:r>
          <a:endParaRPr lang="es-CO" sz="1100" b="1">
            <a:latin typeface="Arial Black"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57150</xdr:rowOff>
    </xdr:from>
    <xdr:ext cx="9429750" cy="435429"/>
    <xdr:sp macro="" textlink="">
      <xdr:nvSpPr>
        <xdr:cNvPr id="2" name="1 Rectángulo"/>
        <xdr:cNvSpPr/>
      </xdr:nvSpPr>
      <xdr:spPr>
        <a:xfrm>
          <a:off x="0" y="57150"/>
          <a:ext cx="9429750"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24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  ANÁLISIS FINANCIERO: VPN - TIR  e INDICADORES FINANCIEROS</a:t>
          </a:r>
          <a:endPar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a:p>
          <a:pPr algn="l"/>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9</xdr:col>
      <xdr:colOff>475192</xdr:colOff>
      <xdr:row>0</xdr:row>
      <xdr:rowOff>141634</xdr:rowOff>
    </xdr:from>
    <xdr:to>
      <xdr:col>11</xdr:col>
      <xdr:colOff>304800</xdr:colOff>
      <xdr:row>6</xdr:row>
      <xdr:rowOff>111198</xdr:rowOff>
    </xdr:to>
    <xdr:pic>
      <xdr:nvPicPr>
        <xdr:cNvPr id="3" name="2 Imagen" descr="logo_ean_izquierda.jpg"/>
        <xdr:cNvPicPr>
          <a:picLocks noChangeAspect="1"/>
        </xdr:cNvPicPr>
      </xdr:nvPicPr>
      <xdr:blipFill>
        <a:blip xmlns:r="http://schemas.openxmlformats.org/officeDocument/2006/relationships" r:embed="rId1" cstate="print"/>
        <a:stretch>
          <a:fillRect/>
        </a:stretch>
      </xdr:blipFill>
      <xdr:spPr>
        <a:xfrm>
          <a:off x="10963275" y="141634"/>
          <a:ext cx="1353608" cy="922064"/>
        </a:xfrm>
        <a:prstGeom prst="round2DiagRect">
          <a:avLst>
            <a:gd name="adj1" fmla="val 16667"/>
            <a:gd name="adj2" fmla="val 3078"/>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editAs="oneCell">
    <xdr:from>
      <xdr:col>7</xdr:col>
      <xdr:colOff>209550</xdr:colOff>
      <xdr:row>10</xdr:row>
      <xdr:rowOff>28574</xdr:rowOff>
    </xdr:from>
    <xdr:to>
      <xdr:col>12</xdr:col>
      <xdr:colOff>550334</xdr:colOff>
      <xdr:row>25</xdr:row>
      <xdr:rowOff>260524</xdr:rowOff>
    </xdr:to>
    <xdr:pic>
      <xdr:nvPicPr>
        <xdr:cNvPr id="5183509" name="Picture 21"/>
        <xdr:cNvPicPr>
          <a:picLocks noChangeAspect="1" noChangeArrowheads="1"/>
        </xdr:cNvPicPr>
      </xdr:nvPicPr>
      <xdr:blipFill>
        <a:blip xmlns:r="http://schemas.openxmlformats.org/officeDocument/2006/relationships" r:embed="rId2" cstate="print"/>
        <a:srcRect/>
        <a:stretch>
          <a:fillRect/>
        </a:stretch>
      </xdr:blipFill>
      <xdr:spPr bwMode="auto">
        <a:xfrm>
          <a:off x="8115300" y="1647824"/>
          <a:ext cx="4489450" cy="2870813"/>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xdr:from>
      <xdr:col>7</xdr:col>
      <xdr:colOff>609600</xdr:colOff>
      <xdr:row>8</xdr:row>
      <xdr:rowOff>66675</xdr:rowOff>
    </xdr:from>
    <xdr:to>
      <xdr:col>10</xdr:col>
      <xdr:colOff>228600</xdr:colOff>
      <xdr:row>9</xdr:row>
      <xdr:rowOff>133350</xdr:rowOff>
    </xdr:to>
    <xdr:sp macro="" textlink="">
      <xdr:nvSpPr>
        <xdr:cNvPr id="5" name="4 CuadroTexto"/>
        <xdr:cNvSpPr txBox="1"/>
      </xdr:nvSpPr>
      <xdr:spPr>
        <a:xfrm>
          <a:off x="8505825" y="1371600"/>
          <a:ext cx="223837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1100" b="1"/>
            <a:t>COMO</a:t>
          </a:r>
          <a:r>
            <a:rPr lang="es-CO" sz="1100" b="1" baseline="0"/>
            <a:t> SE REALIZA EL CALCULO:</a:t>
          </a:r>
          <a:endParaRPr lang="es-CO" sz="1100" b="1"/>
        </a:p>
      </xdr:txBody>
    </xdr:sp>
    <xdr:clientData/>
  </xdr:twoCellAnchor>
  <xdr:twoCellAnchor>
    <xdr:from>
      <xdr:col>0</xdr:col>
      <xdr:colOff>85725</xdr:colOff>
      <xdr:row>45</xdr:row>
      <xdr:rowOff>9525</xdr:rowOff>
    </xdr:from>
    <xdr:to>
      <xdr:col>4</xdr:col>
      <xdr:colOff>104775</xdr:colOff>
      <xdr:row>62</xdr:row>
      <xdr:rowOff>57150</xdr:rowOff>
    </xdr:to>
    <xdr:graphicFrame macro="">
      <xdr:nvGraphicFramePr>
        <xdr:cNvPr id="9022275"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180975</xdr:colOff>
      <xdr:row>45</xdr:row>
      <xdr:rowOff>9525</xdr:rowOff>
    </xdr:from>
    <xdr:to>
      <xdr:col>8</xdr:col>
      <xdr:colOff>295275</xdr:colOff>
      <xdr:row>62</xdr:row>
      <xdr:rowOff>57150</xdr:rowOff>
    </xdr:to>
    <xdr:graphicFrame macro="">
      <xdr:nvGraphicFramePr>
        <xdr:cNvPr id="9022276"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381000</xdr:colOff>
      <xdr:row>45</xdr:row>
      <xdr:rowOff>9525</xdr:rowOff>
    </xdr:from>
    <xdr:to>
      <xdr:col>14</xdr:col>
      <xdr:colOff>381000</xdr:colOff>
      <xdr:row>62</xdr:row>
      <xdr:rowOff>57150</xdr:rowOff>
    </xdr:to>
    <xdr:graphicFrame macro="">
      <xdr:nvGraphicFramePr>
        <xdr:cNvPr id="9022277"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62</xdr:row>
      <xdr:rowOff>152400</xdr:rowOff>
    </xdr:from>
    <xdr:to>
      <xdr:col>4</xdr:col>
      <xdr:colOff>171450</xdr:colOff>
      <xdr:row>80</xdr:row>
      <xdr:rowOff>28575</xdr:rowOff>
    </xdr:to>
    <xdr:graphicFrame macro="">
      <xdr:nvGraphicFramePr>
        <xdr:cNvPr id="9022278"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200025</xdr:colOff>
      <xdr:row>62</xdr:row>
      <xdr:rowOff>152400</xdr:rowOff>
    </xdr:from>
    <xdr:to>
      <xdr:col>8</xdr:col>
      <xdr:colOff>314325</xdr:colOff>
      <xdr:row>80</xdr:row>
      <xdr:rowOff>28575</xdr:rowOff>
    </xdr:to>
    <xdr:graphicFrame macro="">
      <xdr:nvGraphicFramePr>
        <xdr:cNvPr id="9022279"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390525</xdr:colOff>
      <xdr:row>62</xdr:row>
      <xdr:rowOff>133350</xdr:rowOff>
    </xdr:from>
    <xdr:to>
      <xdr:col>14</xdr:col>
      <xdr:colOff>390525</xdr:colOff>
      <xdr:row>80</xdr:row>
      <xdr:rowOff>19050</xdr:rowOff>
    </xdr:to>
    <xdr:graphicFrame macro="">
      <xdr:nvGraphicFramePr>
        <xdr:cNvPr id="9022280"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161924</xdr:colOff>
      <xdr:row>32</xdr:row>
      <xdr:rowOff>0</xdr:rowOff>
    </xdr:from>
    <xdr:to>
      <xdr:col>13</xdr:col>
      <xdr:colOff>302012</xdr:colOff>
      <xdr:row>35</xdr:row>
      <xdr:rowOff>23231</xdr:rowOff>
    </xdr:to>
    <xdr:sp macro="" textlink="">
      <xdr:nvSpPr>
        <xdr:cNvPr id="12" name="11 CuadroTexto">
          <a:hlinkClick xmlns:r="http://schemas.openxmlformats.org/officeDocument/2006/relationships" r:id="rId9"/>
        </xdr:cNvPr>
        <xdr:cNvSpPr txBox="1"/>
      </xdr:nvSpPr>
      <xdr:spPr>
        <a:xfrm>
          <a:off x="10894973" y="5645305"/>
          <a:ext cx="3206673" cy="5924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800"/>
            </a:lnSpc>
          </a:pPr>
          <a:r>
            <a:rPr lang="es-CO" sz="800" b="1"/>
            <a:t>Desarrollado por: Esp. Mauricio</a:t>
          </a:r>
          <a:r>
            <a:rPr lang="es-CO" sz="800" b="1" baseline="0"/>
            <a:t> Reyes Giraldo.</a:t>
          </a:r>
        </a:p>
        <a:p>
          <a:pPr>
            <a:lnSpc>
              <a:spcPts val="900"/>
            </a:lnSpc>
          </a:pPr>
          <a:r>
            <a:rPr lang="es-CO" sz="800" b="1" baseline="0"/>
            <a:t>Docente de Tiempo Completo Universidad EAN.</a:t>
          </a:r>
        </a:p>
        <a:p>
          <a:pPr>
            <a:lnSpc>
              <a:spcPts val="800"/>
            </a:lnSpc>
          </a:pPr>
          <a:r>
            <a:rPr lang="es-CO" sz="800" b="1" baseline="0"/>
            <a:t>Coordinador Núcleo de Emprendimiento.  FED Universidad  -EAN.</a:t>
          </a:r>
        </a:p>
        <a:p>
          <a:pPr>
            <a:lnSpc>
              <a:spcPts val="900"/>
            </a:lnSpc>
          </a:pPr>
          <a:r>
            <a:rPr lang="es-CO" sz="800" b="1" baseline="0"/>
            <a:t>contacto: dmreyes@ean.edu.co</a:t>
          </a:r>
        </a:p>
        <a:p>
          <a:pPr>
            <a:lnSpc>
              <a:spcPts val="800"/>
            </a:lnSpc>
          </a:pPr>
          <a:r>
            <a:rPr lang="es-CO" sz="800" b="1" baseline="0"/>
            <a:t> </a:t>
          </a:r>
        </a:p>
        <a:p>
          <a:pPr>
            <a:lnSpc>
              <a:spcPts val="500"/>
            </a:lnSpc>
          </a:pPr>
          <a:endParaRPr lang="es-CO" sz="500"/>
        </a:p>
      </xdr:txBody>
    </xdr:sp>
    <xdr:clientData/>
  </xdr:twoCellAnchor>
  <xdr:twoCellAnchor>
    <xdr:from>
      <xdr:col>7</xdr:col>
      <xdr:colOff>973667</xdr:colOff>
      <xdr:row>28</xdr:row>
      <xdr:rowOff>137584</xdr:rowOff>
    </xdr:from>
    <xdr:to>
      <xdr:col>9</xdr:col>
      <xdr:colOff>211666</xdr:colOff>
      <xdr:row>31</xdr:row>
      <xdr:rowOff>31750</xdr:rowOff>
    </xdr:to>
    <xdr:sp macro="" textlink="">
      <xdr:nvSpPr>
        <xdr:cNvPr id="13" name="12 Flecha izquierda">
          <a:hlinkClick xmlns:r="http://schemas.openxmlformats.org/officeDocument/2006/relationships" r:id="rId10"/>
        </xdr:cNvPr>
        <xdr:cNvSpPr/>
      </xdr:nvSpPr>
      <xdr:spPr>
        <a:xfrm>
          <a:off x="8879417" y="4751917"/>
          <a:ext cx="1100666" cy="433916"/>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7</xdr:col>
      <xdr:colOff>566208</xdr:colOff>
      <xdr:row>1</xdr:row>
      <xdr:rowOff>98425</xdr:rowOff>
    </xdr:from>
    <xdr:to>
      <xdr:col>9</xdr:col>
      <xdr:colOff>8467</xdr:colOff>
      <xdr:row>5</xdr:row>
      <xdr:rowOff>130175</xdr:rowOff>
    </xdr:to>
    <xdr:sp macro="" textlink="">
      <xdr:nvSpPr>
        <xdr:cNvPr id="14" name="13 CuadroTexto">
          <a:hlinkClick xmlns:r="http://schemas.openxmlformats.org/officeDocument/2006/relationships" r:id="rId11"/>
        </xdr:cNvPr>
        <xdr:cNvSpPr txBox="1"/>
      </xdr:nvSpPr>
      <xdr:spPr>
        <a:xfrm>
          <a:off x="9191625" y="257175"/>
          <a:ext cx="1304925" cy="6667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twoCellAnchor>
    <xdr:from>
      <xdr:col>11</xdr:col>
      <xdr:colOff>523875</xdr:colOff>
      <xdr:row>80</xdr:row>
      <xdr:rowOff>83343</xdr:rowOff>
    </xdr:from>
    <xdr:to>
      <xdr:col>14</xdr:col>
      <xdr:colOff>659606</xdr:colOff>
      <xdr:row>83</xdr:row>
      <xdr:rowOff>87048</xdr:rowOff>
    </xdr:to>
    <xdr:sp macro="" textlink="">
      <xdr:nvSpPr>
        <xdr:cNvPr id="15" name="14 CuadroTexto">
          <a:hlinkClick xmlns:r="http://schemas.openxmlformats.org/officeDocument/2006/relationships" r:id="rId9"/>
        </xdr:cNvPr>
        <xdr:cNvSpPr txBox="1"/>
      </xdr:nvSpPr>
      <xdr:spPr>
        <a:xfrm>
          <a:off x="12501563" y="12061031"/>
          <a:ext cx="2421731" cy="5037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8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518882</xdr:colOff>
      <xdr:row>0</xdr:row>
      <xdr:rowOff>97974</xdr:rowOff>
    </xdr:from>
    <xdr:to>
      <xdr:col>4</xdr:col>
      <xdr:colOff>571764</xdr:colOff>
      <xdr:row>3</xdr:row>
      <xdr:rowOff>114511</xdr:rowOff>
    </xdr:to>
    <xdr:pic>
      <xdr:nvPicPr>
        <xdr:cNvPr id="2" name="1 Imagen" descr="logo_ean_izquierda.jpg"/>
        <xdr:cNvPicPr>
          <a:picLocks noChangeAspect="1"/>
        </xdr:cNvPicPr>
      </xdr:nvPicPr>
      <xdr:blipFill>
        <a:blip xmlns:r="http://schemas.openxmlformats.org/officeDocument/2006/relationships" r:embed="rId1" cstate="print"/>
        <a:stretch>
          <a:fillRect/>
        </a:stretch>
      </xdr:blipFill>
      <xdr:spPr>
        <a:xfrm>
          <a:off x="5499096" y="97974"/>
          <a:ext cx="814882" cy="506394"/>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0</xdr:col>
      <xdr:colOff>140256</xdr:colOff>
      <xdr:row>0</xdr:row>
      <xdr:rowOff>96296</xdr:rowOff>
    </xdr:from>
    <xdr:ext cx="5368019" cy="435429"/>
    <xdr:sp macro="" textlink="">
      <xdr:nvSpPr>
        <xdr:cNvPr id="4" name="3 Rectángulo"/>
        <xdr:cNvSpPr/>
      </xdr:nvSpPr>
      <xdr:spPr>
        <a:xfrm>
          <a:off x="140256" y="96296"/>
          <a:ext cx="5368019"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16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BIENVENIDO</a:t>
          </a: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AL </a:t>
          </a:r>
          <a:r>
            <a:rPr lang="es-ES" sz="16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xdr:from>
      <xdr:col>3</xdr:col>
      <xdr:colOff>469447</xdr:colOff>
      <xdr:row>131</xdr:row>
      <xdr:rowOff>6803</xdr:rowOff>
    </xdr:from>
    <xdr:to>
      <xdr:col>4</xdr:col>
      <xdr:colOff>727980</xdr:colOff>
      <xdr:row>133</xdr:row>
      <xdr:rowOff>122464</xdr:rowOff>
    </xdr:to>
    <xdr:sp macro="" textlink="">
      <xdr:nvSpPr>
        <xdr:cNvPr id="5" name="4 CuadroTexto">
          <a:hlinkClick xmlns:r="http://schemas.openxmlformats.org/officeDocument/2006/relationships" r:id="rId2"/>
        </xdr:cNvPr>
        <xdr:cNvSpPr txBox="1"/>
      </xdr:nvSpPr>
      <xdr:spPr>
        <a:xfrm>
          <a:off x="5653768" y="22540232"/>
          <a:ext cx="1020533" cy="442232"/>
        </a:xfrm>
        <a:prstGeom prst="rect">
          <a:avLst/>
        </a:prstGeom>
        <a:ln/>
      </xdr:spPr>
      <xdr:style>
        <a:lnRef idx="0">
          <a:schemeClr val="accent6"/>
        </a:lnRef>
        <a:fillRef idx="3">
          <a:schemeClr val="accent6"/>
        </a:fillRef>
        <a:effectRef idx="3">
          <a:schemeClr val="accent6"/>
        </a:effectRef>
        <a:fontRef idx="minor">
          <a:schemeClr val="lt1"/>
        </a:fontRef>
      </xdr:style>
      <xdr:txBody>
        <a:bodyPr vertOverflow="clip" wrap="square" rtlCol="0" anchor="t"/>
        <a:lstStyle/>
        <a:p>
          <a:r>
            <a:rPr lang="es-CO" sz="700" b="1"/>
            <a:t>Ahora</a:t>
          </a:r>
          <a:r>
            <a:rPr lang="es-CO" sz="700" b="1" baseline="0"/>
            <a:t> puedes iniciar tu trabajo. Click  aquí para continuar:</a:t>
          </a:r>
          <a:endParaRPr lang="es-CO" sz="700" b="1"/>
        </a:p>
      </xdr:txBody>
    </xdr:sp>
    <xdr:clientData/>
  </xdr:twoCellAnchor>
  <xdr:twoCellAnchor>
    <xdr:from>
      <xdr:col>0</xdr:col>
      <xdr:colOff>61231</xdr:colOff>
      <xdr:row>131</xdr:row>
      <xdr:rowOff>0</xdr:rowOff>
    </xdr:from>
    <xdr:to>
      <xdr:col>2</xdr:col>
      <xdr:colOff>877660</xdr:colOff>
      <xdr:row>133</xdr:row>
      <xdr:rowOff>102053</xdr:rowOff>
    </xdr:to>
    <xdr:sp macro="" textlink="">
      <xdr:nvSpPr>
        <xdr:cNvPr id="6" name="5 CuadroTexto">
          <a:hlinkClick xmlns:r="http://schemas.openxmlformats.org/officeDocument/2006/relationships" r:id="rId3"/>
        </xdr:cNvPr>
        <xdr:cNvSpPr txBox="1"/>
      </xdr:nvSpPr>
      <xdr:spPr>
        <a:xfrm>
          <a:off x="61231" y="22485803"/>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pPr>
            <a:lnSpc>
              <a:spcPts val="600"/>
            </a:lnSpc>
          </a:pPr>
          <a:r>
            <a:rPr lang="es-CO" sz="600" b="1" baseline="0"/>
            <a:t>Coordinador Núcleo de Emprendimiento.  FED Universidad  -EAN.</a:t>
          </a:r>
        </a:p>
        <a:p>
          <a:pPr>
            <a:lnSpc>
              <a:spcPts val="600"/>
            </a:lnSpc>
          </a:pPr>
          <a:r>
            <a:rPr lang="es-CO" sz="6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3</xdr:col>
      <xdr:colOff>258536</xdr:colOff>
      <xdr:row>4</xdr:row>
      <xdr:rowOff>108857</xdr:rowOff>
    </xdr:from>
    <xdr:to>
      <xdr:col>4</xdr:col>
      <xdr:colOff>639536</xdr:colOff>
      <xdr:row>7</xdr:row>
      <xdr:rowOff>54429</xdr:rowOff>
    </xdr:to>
    <xdr:sp macro="" textlink="">
      <xdr:nvSpPr>
        <xdr:cNvPr id="8" name="7 Flecha derecha">
          <a:hlinkClick xmlns:r="http://schemas.openxmlformats.org/officeDocument/2006/relationships" r:id="rId4"/>
        </xdr:cNvPr>
        <xdr:cNvSpPr/>
      </xdr:nvSpPr>
      <xdr:spPr>
        <a:xfrm>
          <a:off x="5442857" y="762000"/>
          <a:ext cx="1143000" cy="435429"/>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0</xdr:col>
      <xdr:colOff>54429</xdr:colOff>
      <xdr:row>7</xdr:row>
      <xdr:rowOff>27214</xdr:rowOff>
    </xdr:from>
    <xdr:to>
      <xdr:col>0</xdr:col>
      <xdr:colOff>673554</xdr:colOff>
      <xdr:row>9</xdr:row>
      <xdr:rowOff>68036</xdr:rowOff>
    </xdr:to>
    <xdr:sp macro="" textlink="">
      <xdr:nvSpPr>
        <xdr:cNvPr id="9" name="8 Flecha izquierda">
          <a:hlinkClick xmlns:r="http://schemas.openxmlformats.org/officeDocument/2006/relationships" r:id="rId5"/>
        </xdr:cNvPr>
        <xdr:cNvSpPr/>
      </xdr:nvSpPr>
      <xdr:spPr>
        <a:xfrm>
          <a:off x="54429" y="1170214"/>
          <a:ext cx="619125" cy="367393"/>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600" b="1"/>
            <a:t>PORTADA</a:t>
          </a:r>
        </a:p>
      </xdr:txBody>
    </xdr:sp>
    <xdr:clientData/>
  </xdr:twoCellAnchor>
  <xdr:twoCellAnchor>
    <xdr:from>
      <xdr:col>0</xdr:col>
      <xdr:colOff>170089</xdr:colOff>
      <xdr:row>10</xdr:row>
      <xdr:rowOff>74837</xdr:rowOff>
    </xdr:from>
    <xdr:to>
      <xdr:col>4</xdr:col>
      <xdr:colOff>585108</xdr:colOff>
      <xdr:row>129</xdr:row>
      <xdr:rowOff>13607</xdr:rowOff>
    </xdr:to>
    <xdr:sp macro="" textlink="">
      <xdr:nvSpPr>
        <xdr:cNvPr id="10" name="9 CuadroTexto"/>
        <xdr:cNvSpPr txBox="1"/>
      </xdr:nvSpPr>
      <xdr:spPr>
        <a:xfrm>
          <a:off x="170089" y="1707694"/>
          <a:ext cx="6361340" cy="19369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just"/>
          <a:r>
            <a:rPr lang="es-CO" sz="800">
              <a:latin typeface="Arial" pitchFamily="34" charset="0"/>
              <a:cs typeface="Arial" pitchFamily="34" charset="0"/>
            </a:rPr>
            <a:t>1. El</a:t>
          </a:r>
          <a:r>
            <a:rPr lang="es-CO" sz="800" baseline="0">
              <a:latin typeface="Arial" pitchFamily="34" charset="0"/>
              <a:cs typeface="Arial" pitchFamily="34" charset="0"/>
            </a:rPr>
            <a:t> simulador se compone de un total de 12 hojas cada una con  un propósito específico,  en estas hojas solo algunos datos son modificables, las hojas se encuentran protegidas para garantizar la integridad de las fórmulas financieras y matemáticas que realizan las proyecciones del simulador. El simulador ha sido predefinido para un periodo de vida del plan de negocio de 5 años y para un total de 5 productos o servicios. Cada hoja de calculo tiene sus propias ayudas para su diligenciamiento, por ello es recomendable antes de iniciar el proceso de digitación de  los datos leer los comentarios incluidos dentro de las celdas, si es difícil su identificación, puede ir al menú de Excel: </a:t>
          </a:r>
          <a:r>
            <a:rPr lang="es-CO" sz="800" i="1" u="sng" baseline="0">
              <a:latin typeface="Arial" pitchFamily="34" charset="0"/>
              <a:cs typeface="Arial" pitchFamily="34" charset="0"/>
            </a:rPr>
            <a:t>Revisar</a:t>
          </a:r>
          <a:r>
            <a:rPr lang="es-CO" sz="800" baseline="0">
              <a:latin typeface="Arial" pitchFamily="34" charset="0"/>
              <a:cs typeface="Arial" pitchFamily="34" charset="0"/>
            </a:rPr>
            <a:t> y luego dar click en </a:t>
          </a:r>
          <a:r>
            <a:rPr lang="es-CO" sz="800" i="1" u="sng" baseline="0">
              <a:latin typeface="Arial" pitchFamily="34" charset="0"/>
              <a:cs typeface="Arial" pitchFamily="34" charset="0"/>
            </a:rPr>
            <a:t>Mostrar todos los comentario</a:t>
          </a:r>
          <a:r>
            <a:rPr lang="es-CO" sz="800" baseline="0">
              <a:latin typeface="Arial" pitchFamily="34" charset="0"/>
              <a:cs typeface="Arial" pitchFamily="34" charset="0"/>
            </a:rPr>
            <a:t>s, para ubicarlos de forma más sencilla, puede quitarlos de nuevo dando click en la misma función. </a:t>
          </a:r>
        </a:p>
        <a:p>
          <a:pPr algn="just"/>
          <a:endParaRPr lang="es-CO" sz="800" baseline="0">
            <a:latin typeface="Arial" pitchFamily="34" charset="0"/>
            <a:cs typeface="Arial" pitchFamily="34" charset="0"/>
          </a:endParaRPr>
        </a:p>
        <a:p>
          <a:pPr algn="just"/>
          <a:r>
            <a:rPr lang="es-CO" sz="800" baseline="0">
              <a:latin typeface="Arial" pitchFamily="34" charset="0"/>
              <a:cs typeface="Arial" pitchFamily="34" charset="0"/>
            </a:rPr>
            <a:t>2. La hoja de trabajo No 1: </a:t>
          </a:r>
          <a:r>
            <a:rPr lang="es-CO" sz="800" b="1" baseline="0">
              <a:latin typeface="Arial" pitchFamily="34" charset="0"/>
              <a:cs typeface="Arial" pitchFamily="34" charset="0"/>
            </a:rPr>
            <a:t>Bases de la simulación</a:t>
          </a:r>
          <a:r>
            <a:rPr lang="es-CO" sz="800" baseline="0">
              <a:latin typeface="Arial" pitchFamily="34" charset="0"/>
              <a:cs typeface="Arial" pitchFamily="34" charset="0"/>
            </a:rPr>
            <a:t>, está diseñada para que incluya en ella toda la información macroeconómica, como Inflación, IPP, DTF, etc. que se utilizará como base para el ajuste de los precios, de venta, costos y gastos del plan de negocio, etc., a su vez dentro de esta hoja de cálculo deberá definir los datos de la deuda con la que se financiará el plan de negocio, los datos de la carga prestacional que le permitirá calcular el valor de la nómina cuando hay contratación de planta o de nómina del personal que trabajará en la futura empresa. </a:t>
          </a: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es-CO" sz="800" baseline="0">
              <a:latin typeface="Arial" pitchFamily="34" charset="0"/>
              <a:cs typeface="Arial" pitchFamily="34" charset="0"/>
            </a:rPr>
            <a:t>3. Posterior al desarrollo de las bases de la simulación usted encontrará </a:t>
          </a:r>
          <a:r>
            <a:rPr lang="es-CO" sz="800" b="1" baseline="0">
              <a:latin typeface="Arial" pitchFamily="34" charset="0"/>
              <a:cs typeface="Arial" pitchFamily="34" charset="0"/>
            </a:rPr>
            <a:t>la hoja de proyección de ventas</a:t>
          </a:r>
          <a:r>
            <a:rPr lang="es-CO" sz="800" baseline="0">
              <a:latin typeface="Arial" pitchFamily="34" charset="0"/>
              <a:cs typeface="Arial" pitchFamily="34" charset="0"/>
            </a:rPr>
            <a:t>. Para poder diligenciar la información de esta hoja de cálculo usted debe tener en cuenta la información obtenida en su estudio de mercado, en este estudio usted deberá haber obtenido la proyección de ventas dentro de su mercado objetivo para cada uno de sus productos o servicios, por lo tanto solo deberá transcribir el valor de la misma dentro esta hoja. Debe tener en cuenta que el simulador por defecto trae predefinido el crecimiento en ventas de forma porcentual al pasar de un año a otro, de forma concreta: 1%, 2%, 3%, 4%,Para cada año de la simulación, </a:t>
          </a:r>
        </a:p>
        <a:p>
          <a:pPr algn="just"/>
          <a:endParaRPr lang="es-CO" sz="800" baseline="0">
            <a:latin typeface="Arial" pitchFamily="34" charset="0"/>
            <a:cs typeface="Arial" pitchFamily="34" charset="0"/>
          </a:endParaRPr>
        </a:p>
        <a:p>
          <a:pPr algn="just"/>
          <a:r>
            <a:rPr lang="es-CO" sz="800" baseline="0">
              <a:latin typeface="Arial" pitchFamily="34" charset="0"/>
              <a:cs typeface="Arial" pitchFamily="34" charset="0"/>
            </a:rPr>
            <a:t>usted deberá ajustar estos porcentajes de forma manual de acuerdo con el comportamiento específico de su producto o servicio en el mercado, recuerde que no necesariamente debe ser creciente, de hecho puede haber periodos en los cuales hay un decrecimiento en las ventas, en este caso podrá usar porcentajes negativos para representar una caída o baja en las ventas de una año con respecto al año inmediatamente anterior. Si se da el caso que el comportamiento de sus ventas durante el periodo de vida del plan de negocio no se puede describir de forma exacta por medio de ajustes porcentuales, usted podrá digitar la proyección de ventas de forma manual para cada uno de los años de la simulación. No está demás recordar que la justificación de la proyección de ventas deberá darse de forma concreta dentro de las conclusiones del estudio de mercado del plan de negocio.</a:t>
          </a:r>
        </a:p>
        <a:p>
          <a:pPr algn="just"/>
          <a:endParaRPr lang="es-CO" sz="800" baseline="0">
            <a:solidFill>
              <a:schemeClr val="dk1"/>
            </a:solidFill>
            <a:latin typeface="Arial" pitchFamily="34" charset="0"/>
            <a:ea typeface="+mn-ea"/>
            <a:cs typeface="Arial"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4. Una vez tenga digitada la información de la proyección de ventas proceda al diligenciamiento de la </a:t>
          </a:r>
          <a:r>
            <a:rPr lang="es-CO" sz="800" b="1" baseline="0">
              <a:solidFill>
                <a:schemeClr val="dk1"/>
              </a:solidFill>
              <a:latin typeface="Arial" pitchFamily="34" charset="0"/>
              <a:ea typeface="+mn-ea"/>
              <a:cs typeface="Arial" pitchFamily="34" charset="0"/>
            </a:rPr>
            <a:t>hoja costos de producción,</a:t>
          </a:r>
          <a:r>
            <a:rPr lang="es-ES_tradnl" sz="800" baseline="0">
              <a:solidFill>
                <a:schemeClr val="dk1"/>
              </a:solidFill>
              <a:latin typeface="Arial" pitchFamily="34" charset="0"/>
              <a:ea typeface="+mn-ea"/>
              <a:cs typeface="Arial" pitchFamily="34" charset="0"/>
            </a:rPr>
            <a:t>allí encontrará por defecto un espacio para la digitación de los costos de producción,ó de prestación del  servicio ó de comercialización de los 5 productos/servicios de su plan de negocio,  si su plan de negocio no maneja las 5 líneas de producto no se preocupe, solo digite la información de costos de  los productos o servicios que haya incluido en la proyección de ventas, el simulador asumirá que la información para los demás productos es cero o no existe, esto no afectará la integralidad de los cálculos del simulador.</a:t>
          </a:r>
        </a:p>
        <a:p>
          <a:pPr marL="0" marR="0" indent="0" algn="just" defTabSz="914400" eaLnBrk="1" fontAlgn="auto" latinLnBrk="0" hangingPunct="1">
            <a:lnSpc>
              <a:spcPct val="100000"/>
            </a:lnSpc>
            <a:spcBef>
              <a:spcPts val="0"/>
            </a:spcBef>
            <a:spcAft>
              <a:spcPts val="0"/>
            </a:spcAft>
            <a:buClrTx/>
            <a:buSzTx/>
            <a:buFontTx/>
            <a:buNone/>
            <a:tabLst/>
            <a:defRPr/>
          </a:pPr>
          <a:endParaRPr lang="es-ES_tradnl" sz="800" baseline="0">
            <a:solidFill>
              <a:schemeClr val="dk1"/>
            </a:solidFill>
            <a:latin typeface="Arial" pitchFamily="34" charset="0"/>
            <a:ea typeface="+mn-ea"/>
            <a:cs typeface="Arial"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Dentro de los costos de producción usted encontrará un espacio para los siguientes datos de cada producto/servicio: Materia prima,  Mano de Obra directa, y  Costos indirectos de fabricación, entienda cada uno de estos así:</a:t>
          </a:r>
        </a:p>
        <a:p>
          <a:pPr marL="0" marR="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457200" marR="0" lvl="1" indent="0" algn="just" defTabSz="914400" eaLnBrk="1" fontAlgn="auto" latinLnBrk="0" hangingPunct="1">
            <a:lnSpc>
              <a:spcPct val="100000"/>
            </a:lnSpc>
            <a:spcBef>
              <a:spcPts val="0"/>
            </a:spcBef>
            <a:spcAft>
              <a:spcPts val="0"/>
            </a:spcAft>
            <a:buClrTx/>
            <a:buSzTx/>
            <a:buFontTx/>
            <a:buNone/>
            <a:tabLst/>
            <a:defRPr/>
          </a:pPr>
          <a:r>
            <a:rPr lang="es-CO" sz="800" i="1" baseline="0">
              <a:solidFill>
                <a:schemeClr val="dk1"/>
              </a:solidFill>
              <a:latin typeface="Arial" pitchFamily="34" charset="0"/>
              <a:ea typeface="+mn-ea"/>
              <a:cs typeface="Arial" pitchFamily="34" charset="0"/>
            </a:rPr>
            <a:t>Materia prima</a:t>
          </a:r>
          <a:r>
            <a:rPr lang="es-CO" sz="800" baseline="0">
              <a:solidFill>
                <a:schemeClr val="dk1"/>
              </a:solidFill>
              <a:latin typeface="Arial" pitchFamily="34" charset="0"/>
              <a:ea typeface="+mn-ea"/>
              <a:cs typeface="Arial" pitchFamily="34" charset="0"/>
            </a:rPr>
            <a:t>: Costo de los materiales que conforma de forma directa el producto, varían directamente de acuerdo con el volumen producido o comercializado, es decir asuma que si la producción o la comercialización es cero, el costo que debe asumir por Materia prima también será cero. Otro concepto que le puede ayudar es: la materia prima se puede cuantificar  fácilmente en el producto terminado, por ejemplo en una camisa usted puede determinar fácilmente cuantos metros de tela se gastaron o el número de botones.</a:t>
          </a:r>
        </a:p>
        <a:p>
          <a:pPr marL="457200" marR="0" lvl="1"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457200" marR="0" lvl="1" indent="0" algn="just" defTabSz="914400" eaLnBrk="1" fontAlgn="auto" latinLnBrk="0" hangingPunct="1">
            <a:lnSpc>
              <a:spcPct val="100000"/>
            </a:lnSpc>
            <a:spcBef>
              <a:spcPts val="0"/>
            </a:spcBef>
            <a:spcAft>
              <a:spcPts val="0"/>
            </a:spcAft>
            <a:buClrTx/>
            <a:buSzTx/>
            <a:buFontTx/>
            <a:buNone/>
            <a:tabLst/>
            <a:defRPr/>
          </a:pPr>
          <a:r>
            <a:rPr lang="es-CO" sz="800" i="1" baseline="0">
              <a:solidFill>
                <a:schemeClr val="dk1"/>
              </a:solidFill>
              <a:latin typeface="Arial" pitchFamily="34" charset="0"/>
              <a:ea typeface="+mn-ea"/>
              <a:cs typeface="Arial" pitchFamily="34" charset="0"/>
            </a:rPr>
            <a:t>Mano de obra directa</a:t>
          </a:r>
          <a:r>
            <a:rPr lang="es-CO" sz="800" baseline="0">
              <a:solidFill>
                <a:schemeClr val="dk1"/>
              </a:solidFill>
              <a:latin typeface="Arial" pitchFamily="34" charset="0"/>
              <a:ea typeface="+mn-ea"/>
              <a:cs typeface="Arial" pitchFamily="34" charset="0"/>
            </a:rPr>
            <a:t>: La mano de obra directa sigue el mismo principio de la materia prima, es decir se puede identificar de forma concreta el número de horas finales de mano de obra asignadas a la producto o a la prestación del servicio, tenga en cuenta que debe ser variable en función de las unidades producidas, comercializadas o del servicio prestado.</a:t>
          </a:r>
        </a:p>
        <a:p>
          <a:pPr marL="457200" marR="0" lvl="1"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457200" marR="0" lvl="1" indent="0" algn="just" defTabSz="914400" eaLnBrk="1" fontAlgn="auto" latinLnBrk="0" hangingPunct="1">
            <a:lnSpc>
              <a:spcPct val="100000"/>
            </a:lnSpc>
            <a:spcBef>
              <a:spcPts val="0"/>
            </a:spcBef>
            <a:spcAft>
              <a:spcPts val="0"/>
            </a:spcAft>
            <a:buClrTx/>
            <a:buSzTx/>
            <a:buFontTx/>
            <a:buNone/>
            <a:tabLst/>
            <a:defRPr/>
          </a:pPr>
          <a:r>
            <a:rPr lang="es-CO" sz="800" i="1" baseline="0">
              <a:solidFill>
                <a:schemeClr val="dk1"/>
              </a:solidFill>
              <a:latin typeface="Arial" pitchFamily="34" charset="0"/>
              <a:ea typeface="+mn-ea"/>
              <a:cs typeface="Arial" pitchFamily="34" charset="0"/>
            </a:rPr>
            <a:t>Los Costos indirectos de Fabricación</a:t>
          </a:r>
          <a:r>
            <a:rPr lang="es-CO" sz="800" baseline="0">
              <a:solidFill>
                <a:schemeClr val="dk1"/>
              </a:solidFill>
              <a:latin typeface="Arial" pitchFamily="34" charset="0"/>
              <a:ea typeface="+mn-ea"/>
              <a:cs typeface="Arial" pitchFamily="34" charset="0"/>
            </a:rPr>
            <a:t>: son costos de mano de obra o de materiales que no pueden ser cuantificados de forma sencilla en el producto final o en el servicio prestado, un claro ejemplo de este tipo de costos son la mano de obra de un supervisor de planta, o los servicios de energía eléctrica, es claro que ambos son necesarios en el proceso productivo pero son muy difíciles de cuantificar en el producto final, sin embargo se debe seguir el mismo principio de los dos casos anteriores, deben variar en función de la producción, las unidades comercializadas o el servicio prestado. De lo contrario se consideran costos fijos del periodo.</a:t>
          </a: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5. En la hoja de trabajo </a:t>
          </a:r>
          <a:r>
            <a:rPr lang="es-CO" sz="800" b="1" baseline="0">
              <a:solidFill>
                <a:schemeClr val="dk1"/>
              </a:solidFill>
              <a:latin typeface="Arial" pitchFamily="34" charset="0"/>
              <a:ea typeface="+mn-ea"/>
              <a:cs typeface="Arial" pitchFamily="34" charset="0"/>
            </a:rPr>
            <a:t>CTOS VS ING OPER - INV INFRAEST</a:t>
          </a:r>
          <a:r>
            <a:rPr lang="es-CO" sz="800" baseline="0">
              <a:solidFill>
                <a:schemeClr val="dk1"/>
              </a:solidFill>
              <a:latin typeface="Arial" pitchFamily="34" charset="0"/>
              <a:ea typeface="+mn-ea"/>
              <a:cs typeface="Arial" pitchFamily="34" charset="0"/>
            </a:rPr>
            <a:t>, en la parte superior encontrará un resumen general de los ingresos y costos operacionales digitados en las hojas de cálculo de proyección de ventas y de costos de producción,  en estos cuadros usted deberá revisar que los ingresos sean superiores a sus costos tanto a nivel total como por cada línea de producto, si en algún caso se están obteniendo pérdidas el sistema resaltará en rojo dicho resultado par que usted vuelva atrás y verifique si hay errores de digitación  o sencillamente que la línea de producto o servicio analizada no es viable para el plan de negocio.</a:t>
          </a: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En la  parte inferior de esta misma hoja de cálculo encontrará el espacio para digitar los datos relacionados con la inversión en infraestructura  del plan de negocio, iniciando con los activos no depreciables: Terrenos, luego por la inversión en Edificios e Instalaciones, etc. tenga en cuenta que usted puede realizar inversiones en activos a lo largo de toda la vida del plan de negocio, también es importante tener en cuenta que los  periodos de depreciación de los activos son definidos en la hoja de Bases de la simulación, los cálculos de la depreciación y amortización son realizados por el simulador de forma automática y llevados al Balance y estado de Resultados proyectados según corresponda</a:t>
          </a: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6. Una vez haya verificado que sus costos de producción son inferiores a sus ingresos operacionales, es decir que hay suficiente margen de contribución, y ha digitado la información relacionada con la inversión en activos necesarios para el funcionamiento del plan de negocio, deberá proceder a diligenciar los datos de la hoja: GTOS ADTIVO Y VTAS - CTOS FIJOS, en esta hoja usted incluirá la información de las nóminas de los trabajadores de planta y de contratación por honorarios de las áreas de ventas, administrativa y de producción,  tenga en cuenta que todos estos datos debe corresponder a los sueldos del personal cuya asignación salarial no se  mueva en función de la producción, ventas o de la prestación del servicio, es decir es un costo fijo. En esta misma hoja deberá diligenciar la información relacionada con los gastos administrativos como arrendamientos, servicios públicos del área administrativa, servicios de telefonía, etc. Por último también ingresará los presupuestos de inversión en la estrategia de mercadeo del plan de negocio, esto último deberá estar sustentado en el estudio de mercados del plan de negocio.</a:t>
          </a: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7. El paso a seguir dentro del simulador es las NECESIDADES DE FINANCIACIÓN, dentro de esta hoja de trabajo usted solo deberá diligenciar la información relacionada con la financiación para poner en funcionamiento el plan de negocio, usted tiene dos opciones la financiación total con deuda, o la financiación compartida entre deuda y aporte de capital de los socios, el simulador le orienta exactamente donde debe diligenciar estos valores, no olvide revisar los comentarios de las celdas, también deberá definir las necesidades de capital de trabajo,  ya que ese dinero es el que usted necesitará para financiar la operación del negocio hasta que empiece a recibir los primeros ingresos producto de las ventas de su producto o servicio, el simulador le orienta en cómo puede obtener este valor.</a:t>
          </a: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endParaRPr lang="es-CO" sz="800" baseline="0">
            <a:solidFill>
              <a:schemeClr val="dk1"/>
            </a:solidFill>
            <a:latin typeface="Arial" pitchFamily="34" charset="0"/>
            <a:ea typeface="+mn-ea"/>
            <a:cs typeface="Arial" pitchFamily="34" charset="0"/>
          </a:endParaRPr>
        </a:p>
        <a:p>
          <a:pPr algn="just"/>
          <a:r>
            <a:rPr lang="es-CO" sz="800" baseline="0">
              <a:solidFill>
                <a:schemeClr val="dk1"/>
              </a:solidFill>
              <a:latin typeface="Arial" pitchFamily="34" charset="0"/>
              <a:ea typeface="+mn-ea"/>
              <a:cs typeface="Arial" pitchFamily="34" charset="0"/>
            </a:rPr>
            <a:t>8. </a:t>
          </a:r>
          <a:r>
            <a:rPr lang="es-ES_tradnl" sz="800" baseline="0">
              <a:solidFill>
                <a:schemeClr val="dk1"/>
              </a:solidFill>
              <a:latin typeface="Arial" pitchFamily="34" charset="0"/>
              <a:ea typeface="+mn-ea"/>
              <a:cs typeface="Arial" pitchFamily="34" charset="0"/>
            </a:rPr>
            <a:t>Las últimas 5 hojas de trabajo no requieren de la digitación de datos por parte del emprendedor, son el resultado de la proyección interna del simulador, su utilidad radica en la interpretación de la información allí consignada.</a:t>
          </a:r>
          <a:endParaRPr lang="es-CO" sz="800" baseline="0">
            <a:solidFill>
              <a:schemeClr val="dk1"/>
            </a:solidFill>
            <a:latin typeface="Arial" pitchFamily="34" charset="0"/>
            <a:ea typeface="+mn-ea"/>
            <a:cs typeface="Arial" pitchFamily="34" charset="0"/>
          </a:endParaRPr>
        </a:p>
        <a:p>
          <a:pPr algn="just"/>
          <a:r>
            <a:rPr lang="es-ES_tradnl" sz="800" baseline="0">
              <a:solidFill>
                <a:schemeClr val="dk1"/>
              </a:solidFill>
              <a:latin typeface="Arial" pitchFamily="34" charset="0"/>
              <a:ea typeface="+mn-ea"/>
              <a:cs typeface="Arial" pitchFamily="34" charset="0"/>
            </a:rPr>
            <a:t> </a:t>
          </a:r>
          <a:endParaRPr lang="es-CO" sz="800" baseline="0">
            <a:solidFill>
              <a:schemeClr val="dk1"/>
            </a:solidFill>
            <a:latin typeface="Arial" pitchFamily="34" charset="0"/>
            <a:ea typeface="+mn-ea"/>
            <a:cs typeface="Arial" pitchFamily="34" charset="0"/>
          </a:endParaRPr>
        </a:p>
        <a:p>
          <a:pPr algn="just">
            <a:lnSpc>
              <a:spcPts val="800"/>
            </a:lnSpc>
          </a:pPr>
          <a:r>
            <a:rPr lang="es-ES_tradnl" sz="800" baseline="0">
              <a:solidFill>
                <a:schemeClr val="dk1"/>
              </a:solidFill>
              <a:latin typeface="Arial" pitchFamily="34" charset="0"/>
              <a:ea typeface="+mn-ea"/>
              <a:cs typeface="Arial" pitchFamily="34" charset="0"/>
            </a:rPr>
            <a:t>EL cuadro de Costos y gastos fijos le permite revisar de manera previa la Utilidad antes de Impuestos e interéses (UAII) del Plan de negocio con esta información usted sabrá si su plan de negocio va por buen camino al igual que en las otras hojas de cálculo al percibirse resultado negativos, el simulador resaltará estas casillas en color rojo, además esta hoja cuenta con un ayuda gráfica que le permitirá interpretar de forma más fácil los resultados.</a:t>
          </a:r>
          <a:endParaRPr lang="es-CO" sz="800" baseline="0">
            <a:solidFill>
              <a:schemeClr val="dk1"/>
            </a:solidFill>
            <a:latin typeface="Arial" pitchFamily="34" charset="0"/>
            <a:ea typeface="+mn-ea"/>
            <a:cs typeface="Arial" pitchFamily="34" charset="0"/>
          </a:endParaRPr>
        </a:p>
        <a:p>
          <a:pPr algn="just"/>
          <a:r>
            <a:rPr lang="es-ES_tradnl" sz="800" baseline="0">
              <a:solidFill>
                <a:schemeClr val="dk1"/>
              </a:solidFill>
              <a:latin typeface="Arial" pitchFamily="34" charset="0"/>
              <a:ea typeface="+mn-ea"/>
              <a:cs typeface="Arial" pitchFamily="34" charset="0"/>
            </a:rPr>
            <a:t> </a:t>
          </a:r>
          <a:endParaRPr lang="es-CO" sz="800" baseline="0">
            <a:solidFill>
              <a:schemeClr val="dk1"/>
            </a:solidFill>
            <a:latin typeface="Arial" pitchFamily="34" charset="0"/>
            <a:ea typeface="+mn-ea"/>
            <a:cs typeface="Arial" pitchFamily="34" charset="0"/>
          </a:endParaRPr>
        </a:p>
        <a:p>
          <a:pPr algn="just"/>
          <a:r>
            <a:rPr lang="es-ES_tradnl" sz="800" baseline="0">
              <a:solidFill>
                <a:schemeClr val="dk1"/>
              </a:solidFill>
              <a:latin typeface="Arial" pitchFamily="34" charset="0"/>
              <a:ea typeface="+mn-ea"/>
              <a:cs typeface="Arial" pitchFamily="34" charset="0"/>
            </a:rPr>
            <a:t>La hoja de punto de equilibrio muestra las unidades que deben ser producidas de cada tipo de referencia de producto y servicio para no incurrir en perdidas, al igual que la hoja anterior posee una ayuda gráfica para facilitar su interpretación.</a:t>
          </a:r>
          <a:endParaRPr lang="es-CO" sz="800" baseline="0">
            <a:solidFill>
              <a:schemeClr val="dk1"/>
            </a:solidFill>
            <a:latin typeface="Arial" pitchFamily="34" charset="0"/>
            <a:ea typeface="+mn-ea"/>
            <a:cs typeface="Arial" pitchFamily="34" charset="0"/>
          </a:endParaRPr>
        </a:p>
        <a:p>
          <a:pPr algn="just">
            <a:lnSpc>
              <a:spcPts val="800"/>
            </a:lnSpc>
          </a:pPr>
          <a:r>
            <a:rPr lang="es-ES_tradnl" sz="800" baseline="0">
              <a:solidFill>
                <a:schemeClr val="dk1"/>
              </a:solidFill>
              <a:latin typeface="Arial" pitchFamily="34" charset="0"/>
              <a:ea typeface="+mn-ea"/>
              <a:cs typeface="Arial" pitchFamily="34" charset="0"/>
            </a:rPr>
            <a:t> </a:t>
          </a:r>
          <a:endParaRPr lang="es-CO" sz="800" baseline="0">
            <a:solidFill>
              <a:schemeClr val="dk1"/>
            </a:solidFill>
            <a:latin typeface="Arial" pitchFamily="34" charset="0"/>
            <a:ea typeface="+mn-ea"/>
            <a:cs typeface="Arial" pitchFamily="34" charset="0"/>
          </a:endParaRPr>
        </a:p>
        <a:p>
          <a:pPr algn="just">
            <a:lnSpc>
              <a:spcPts val="800"/>
            </a:lnSpc>
          </a:pPr>
          <a:r>
            <a:rPr lang="es-ES_tradnl" sz="800" baseline="0">
              <a:solidFill>
                <a:schemeClr val="dk1"/>
              </a:solidFill>
              <a:latin typeface="Arial" pitchFamily="34" charset="0"/>
              <a:ea typeface="+mn-ea"/>
              <a:cs typeface="Arial" pitchFamily="34" charset="0"/>
            </a:rPr>
            <a:t>Las hojas de Balance, Estado de Resultado y Flujo de Caja presentan los estados financieros proyectados del plan de negocio para los 5 años de vida del mismo.</a:t>
          </a:r>
          <a:endParaRPr lang="es-CO" sz="800" baseline="0">
            <a:solidFill>
              <a:schemeClr val="dk1"/>
            </a:solidFill>
            <a:latin typeface="Arial" pitchFamily="34" charset="0"/>
            <a:ea typeface="+mn-ea"/>
            <a:cs typeface="Arial" pitchFamily="34" charset="0"/>
          </a:endParaRPr>
        </a:p>
        <a:p>
          <a:pPr algn="just"/>
          <a:r>
            <a:rPr lang="es-ES_tradnl" sz="800" baseline="0">
              <a:solidFill>
                <a:schemeClr val="dk1"/>
              </a:solidFill>
              <a:latin typeface="Arial" pitchFamily="34" charset="0"/>
              <a:ea typeface="+mn-ea"/>
              <a:cs typeface="Arial" pitchFamily="34" charset="0"/>
            </a:rPr>
            <a:t> </a:t>
          </a:r>
          <a:endParaRPr lang="es-CO" sz="800" baseline="0">
            <a:solidFill>
              <a:schemeClr val="dk1"/>
            </a:solidFill>
            <a:latin typeface="Arial" pitchFamily="34" charset="0"/>
            <a:ea typeface="+mn-ea"/>
            <a:cs typeface="Arial" pitchFamily="34" charset="0"/>
          </a:endParaRPr>
        </a:p>
        <a:p>
          <a:pPr algn="just"/>
          <a:r>
            <a:rPr lang="es-ES_tradnl" sz="800" baseline="0">
              <a:solidFill>
                <a:schemeClr val="dk1"/>
              </a:solidFill>
              <a:latin typeface="Arial" pitchFamily="34" charset="0"/>
              <a:ea typeface="+mn-ea"/>
              <a:cs typeface="Arial" pitchFamily="34" charset="0"/>
            </a:rPr>
            <a:t>Por último la hoja de Análisis de Flujo de caja y VPN presenta el  análisis final de la viabilidad financiera del plan de negocio, la forma de interpretación de los resultados está incluida dentro de los comentarios de las celdas, también se cuenta con ayudas gráficas para mejorar su comprensión al respecto.</a:t>
          </a:r>
        </a:p>
        <a:p>
          <a:pPr algn="just">
            <a:lnSpc>
              <a:spcPts val="800"/>
            </a:lnSpc>
          </a:pPr>
          <a:endParaRPr lang="es-ES_tradnl" sz="800" baseline="0">
            <a:solidFill>
              <a:schemeClr val="dk1"/>
            </a:solidFill>
            <a:latin typeface="Arial" pitchFamily="34" charset="0"/>
            <a:ea typeface="+mn-ea"/>
            <a:cs typeface="Arial" pitchFamily="34" charset="0"/>
          </a:endParaRPr>
        </a:p>
        <a:p>
          <a:pPr marL="0" marR="0" indent="0" algn="just" defTabSz="914400" eaLnBrk="1" fontAlgn="auto" latinLnBrk="0" hangingPunct="1">
            <a:lnSpc>
              <a:spcPts val="800"/>
            </a:lnSpc>
            <a:spcBef>
              <a:spcPts val="0"/>
            </a:spcBef>
            <a:spcAft>
              <a:spcPts val="0"/>
            </a:spcAft>
            <a:buClrTx/>
            <a:buSzTx/>
            <a:buFontTx/>
            <a:buNone/>
            <a:tabLst/>
            <a:defRPr/>
          </a:pPr>
          <a:r>
            <a:rPr lang="es-ES_tradnl" sz="800" baseline="0">
              <a:solidFill>
                <a:schemeClr val="dk1"/>
              </a:solidFill>
              <a:latin typeface="Arial" pitchFamily="34" charset="0"/>
              <a:ea typeface="+mn-ea"/>
              <a:cs typeface="Arial" pitchFamily="34" charset="0"/>
            </a:rPr>
            <a:t>9. Como recomendación final, es aconsejable mantener copias de seguridad de su avance en el diligenciamiento de este simulador, puede enviarlas a su correo electrónico o guardarlas en una memora USB de modo que si su equipo se ve afectado por un virus informático o simplemente falla, usted no pierda la información que ha construido hasta el momento, es también muy útil mantener una copia de seguridad del simulador vacía (sin ningún dato) por si desea realizar el proceso de evaluación de otro plan de negocio y no desea verse confundido con los datos del que ya digitó.</a:t>
          </a:r>
        </a:p>
        <a:p>
          <a:pPr marL="0" marR="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algn="just"/>
          <a:endParaRPr lang="es-CO" sz="800" baseline="0">
            <a:solidFill>
              <a:schemeClr val="dk1"/>
            </a:solidFill>
            <a:latin typeface="Arial" pitchFamily="34" charset="0"/>
            <a:ea typeface="+mn-ea"/>
            <a:cs typeface="Arial" pitchFamily="34" charset="0"/>
          </a:endParaRPr>
        </a:p>
        <a:p>
          <a:pPr algn="just">
            <a:lnSpc>
              <a:spcPts val="1100"/>
            </a:lnSpc>
          </a:pPr>
          <a:endParaRPr lang="es-CO" sz="1050">
            <a:latin typeface="Arial" pitchFamily="34" charset="0"/>
            <a:cs typeface="Arial" pitchFamily="34" charset="0"/>
          </a:endParaRPr>
        </a:p>
        <a:p>
          <a:pPr algn="just">
            <a:lnSpc>
              <a:spcPts val="1000"/>
            </a:lnSpc>
          </a:pPr>
          <a:endParaRPr lang="es-CO" sz="1050">
            <a:latin typeface="Arial" pitchFamily="34" charset="0"/>
            <a:cs typeface="Arial" pitchFamily="34" charset="0"/>
          </a:endParaRPr>
        </a:p>
      </xdr:txBody>
    </xdr:sp>
    <xdr:clientData/>
  </xdr:twoCellAnchor>
  <xdr:twoCellAnchor editAs="oneCell">
    <xdr:from>
      <xdr:col>2</xdr:col>
      <xdr:colOff>276225</xdr:colOff>
      <xdr:row>19</xdr:row>
      <xdr:rowOff>142875</xdr:rowOff>
    </xdr:from>
    <xdr:to>
      <xdr:col>3</xdr:col>
      <xdr:colOff>247650</xdr:colOff>
      <xdr:row>28</xdr:row>
      <xdr:rowOff>114300</xdr:rowOff>
    </xdr:to>
    <xdr:pic>
      <xdr:nvPicPr>
        <xdr:cNvPr id="8934354" name="Picture 1395"/>
        <xdr:cNvPicPr>
          <a:picLocks noChangeAspect="1" noChangeArrowheads="1"/>
        </xdr:cNvPicPr>
      </xdr:nvPicPr>
      <xdr:blipFill>
        <a:blip xmlns:r="http://schemas.openxmlformats.org/officeDocument/2006/relationships" r:embed="rId6" cstate="print"/>
        <a:srcRect/>
        <a:stretch>
          <a:fillRect/>
        </a:stretch>
      </xdr:blipFill>
      <xdr:spPr bwMode="auto">
        <a:xfrm>
          <a:off x="1800225" y="3219450"/>
          <a:ext cx="3629025" cy="1428750"/>
        </a:xfrm>
        <a:prstGeom prst="rect">
          <a:avLst/>
        </a:prstGeom>
        <a:noFill/>
        <a:ln w="9525">
          <a:noFill/>
          <a:miter lim="800000"/>
          <a:headEnd/>
          <a:tailEnd/>
        </a:ln>
      </xdr:spPr>
    </xdr:pic>
    <xdr:clientData/>
  </xdr:twoCellAnchor>
  <xdr:twoCellAnchor editAs="oneCell">
    <xdr:from>
      <xdr:col>1</xdr:col>
      <xdr:colOff>238125</xdr:colOff>
      <xdr:row>32</xdr:row>
      <xdr:rowOff>133350</xdr:rowOff>
    </xdr:from>
    <xdr:to>
      <xdr:col>3</xdr:col>
      <xdr:colOff>38100</xdr:colOff>
      <xdr:row>33</xdr:row>
      <xdr:rowOff>123825</xdr:rowOff>
    </xdr:to>
    <xdr:pic>
      <xdr:nvPicPr>
        <xdr:cNvPr id="8934355" name="Picture 1413"/>
        <xdr:cNvPicPr>
          <a:picLocks noChangeAspect="1" noChangeArrowheads="1"/>
        </xdr:cNvPicPr>
      </xdr:nvPicPr>
      <xdr:blipFill>
        <a:blip xmlns:r="http://schemas.openxmlformats.org/officeDocument/2006/relationships" r:embed="rId7" cstate="print"/>
        <a:srcRect/>
        <a:stretch>
          <a:fillRect/>
        </a:stretch>
      </xdr:blipFill>
      <xdr:spPr bwMode="auto">
        <a:xfrm>
          <a:off x="1000125" y="5314950"/>
          <a:ext cx="4219575" cy="152400"/>
        </a:xfrm>
        <a:prstGeom prst="rect">
          <a:avLst/>
        </a:prstGeom>
        <a:noFill/>
        <a:ln w="9525">
          <a:noFill/>
          <a:miter lim="800000"/>
          <a:headEnd/>
          <a:tailEnd/>
        </a:ln>
      </xdr:spPr>
    </xdr:pic>
    <xdr:clientData/>
  </xdr:twoCellAnchor>
  <xdr:twoCellAnchor editAs="oneCell">
    <xdr:from>
      <xdr:col>2</xdr:col>
      <xdr:colOff>314325</xdr:colOff>
      <xdr:row>62</xdr:row>
      <xdr:rowOff>114300</xdr:rowOff>
    </xdr:from>
    <xdr:to>
      <xdr:col>4</xdr:col>
      <xdr:colOff>9525</xdr:colOff>
      <xdr:row>70</xdr:row>
      <xdr:rowOff>142875</xdr:rowOff>
    </xdr:to>
    <xdr:pic>
      <xdr:nvPicPr>
        <xdr:cNvPr id="8934356" name="Picture 1577"/>
        <xdr:cNvPicPr>
          <a:picLocks noChangeAspect="1" noChangeArrowheads="1"/>
        </xdr:cNvPicPr>
      </xdr:nvPicPr>
      <xdr:blipFill>
        <a:blip xmlns:r="http://schemas.openxmlformats.org/officeDocument/2006/relationships" r:embed="rId8" cstate="print"/>
        <a:srcRect/>
        <a:stretch>
          <a:fillRect/>
        </a:stretch>
      </xdr:blipFill>
      <xdr:spPr bwMode="auto">
        <a:xfrm>
          <a:off x="1838325" y="10153650"/>
          <a:ext cx="4114800" cy="1323975"/>
        </a:xfrm>
        <a:prstGeom prst="rect">
          <a:avLst/>
        </a:prstGeom>
        <a:noFill/>
        <a:ln w="9525">
          <a:noFill/>
          <a:miter lim="800000"/>
          <a:headEnd/>
          <a:tailEnd/>
        </a:ln>
      </xdr:spPr>
    </xdr:pic>
    <xdr:clientData/>
  </xdr:twoCellAnchor>
  <xdr:twoCellAnchor editAs="oneCell">
    <xdr:from>
      <xdr:col>2</xdr:col>
      <xdr:colOff>1314450</xdr:colOff>
      <xdr:row>74</xdr:row>
      <xdr:rowOff>152400</xdr:rowOff>
    </xdr:from>
    <xdr:to>
      <xdr:col>4</xdr:col>
      <xdr:colOff>361950</xdr:colOff>
      <xdr:row>83</xdr:row>
      <xdr:rowOff>114300</xdr:rowOff>
    </xdr:to>
    <xdr:pic>
      <xdr:nvPicPr>
        <xdr:cNvPr id="8934357" name="Picture 1599"/>
        <xdr:cNvPicPr>
          <a:picLocks noChangeAspect="1" noChangeArrowheads="1"/>
        </xdr:cNvPicPr>
      </xdr:nvPicPr>
      <xdr:blipFill>
        <a:blip xmlns:r="http://schemas.openxmlformats.org/officeDocument/2006/relationships" r:embed="rId9" cstate="print"/>
        <a:srcRect/>
        <a:stretch>
          <a:fillRect/>
        </a:stretch>
      </xdr:blipFill>
      <xdr:spPr bwMode="auto">
        <a:xfrm>
          <a:off x="2838450" y="12134850"/>
          <a:ext cx="3467100" cy="1419225"/>
        </a:xfrm>
        <a:prstGeom prst="rect">
          <a:avLst/>
        </a:prstGeom>
        <a:noFill/>
        <a:ln w="9525">
          <a:noFill/>
          <a:miter lim="800000"/>
          <a:headEnd/>
          <a:tailEnd/>
        </a:ln>
      </xdr:spPr>
    </xdr:pic>
    <xdr:clientData/>
  </xdr:twoCellAnchor>
  <xdr:twoCellAnchor editAs="oneCell">
    <xdr:from>
      <xdr:col>0</xdr:col>
      <xdr:colOff>228600</xdr:colOff>
      <xdr:row>90</xdr:row>
      <xdr:rowOff>142875</xdr:rowOff>
    </xdr:from>
    <xdr:to>
      <xdr:col>2</xdr:col>
      <xdr:colOff>2428875</xdr:colOff>
      <xdr:row>98</xdr:row>
      <xdr:rowOff>95250</xdr:rowOff>
    </xdr:to>
    <xdr:pic>
      <xdr:nvPicPr>
        <xdr:cNvPr id="8934358" name="Picture 1634"/>
        <xdr:cNvPicPr>
          <a:picLocks noChangeAspect="1" noChangeArrowheads="1"/>
        </xdr:cNvPicPr>
      </xdr:nvPicPr>
      <xdr:blipFill>
        <a:blip xmlns:r="http://schemas.openxmlformats.org/officeDocument/2006/relationships" r:embed="rId10" cstate="print"/>
        <a:srcRect/>
        <a:stretch>
          <a:fillRect/>
        </a:stretch>
      </xdr:blipFill>
      <xdr:spPr bwMode="auto">
        <a:xfrm>
          <a:off x="228600" y="14716125"/>
          <a:ext cx="3724275" cy="1247775"/>
        </a:xfrm>
        <a:prstGeom prst="rect">
          <a:avLst/>
        </a:prstGeom>
        <a:noFill/>
        <a:ln w="9525">
          <a:noFill/>
          <a:miter lim="800000"/>
          <a:headEnd/>
          <a:tailEnd/>
        </a:ln>
      </xdr:spPr>
    </xdr:pic>
    <xdr:clientData/>
  </xdr:twoCellAnchor>
  <xdr:twoCellAnchor editAs="oneCell">
    <xdr:from>
      <xdr:col>2</xdr:col>
      <xdr:colOff>2543175</xdr:colOff>
      <xdr:row>91</xdr:row>
      <xdr:rowOff>142875</xdr:rowOff>
    </xdr:from>
    <xdr:to>
      <xdr:col>4</xdr:col>
      <xdr:colOff>533400</xdr:colOff>
      <xdr:row>98</xdr:row>
      <xdr:rowOff>85725</xdr:rowOff>
    </xdr:to>
    <xdr:pic>
      <xdr:nvPicPr>
        <xdr:cNvPr id="8934359" name="Picture 1636"/>
        <xdr:cNvPicPr>
          <a:picLocks noChangeAspect="1" noChangeArrowheads="1"/>
        </xdr:cNvPicPr>
      </xdr:nvPicPr>
      <xdr:blipFill>
        <a:blip xmlns:r="http://schemas.openxmlformats.org/officeDocument/2006/relationships" r:embed="rId11" cstate="print"/>
        <a:srcRect/>
        <a:stretch>
          <a:fillRect/>
        </a:stretch>
      </xdr:blipFill>
      <xdr:spPr bwMode="auto">
        <a:xfrm>
          <a:off x="4067175" y="14878050"/>
          <a:ext cx="2409825" cy="1076325"/>
        </a:xfrm>
        <a:prstGeom prst="rect">
          <a:avLst/>
        </a:prstGeom>
        <a:noFill/>
        <a:ln w="9525">
          <a:noFill/>
          <a:miter lim="800000"/>
          <a:headEnd/>
          <a:tailEnd/>
        </a:ln>
      </xdr:spPr>
    </xdr:pic>
    <xdr:clientData/>
  </xdr:twoCellAnchor>
  <xdr:twoCellAnchor editAs="oneCell">
    <xdr:from>
      <xdr:col>1</xdr:col>
      <xdr:colOff>209550</xdr:colOff>
      <xdr:row>103</xdr:row>
      <xdr:rowOff>123825</xdr:rowOff>
    </xdr:from>
    <xdr:to>
      <xdr:col>2</xdr:col>
      <xdr:colOff>3429000</xdr:colOff>
      <xdr:row>113</xdr:row>
      <xdr:rowOff>9525</xdr:rowOff>
    </xdr:to>
    <xdr:pic>
      <xdr:nvPicPr>
        <xdr:cNvPr id="8934360" name="Picture 1703"/>
        <xdr:cNvPicPr>
          <a:picLocks noChangeAspect="1" noChangeArrowheads="1"/>
        </xdr:cNvPicPr>
      </xdr:nvPicPr>
      <xdr:blipFill>
        <a:blip xmlns:r="http://schemas.openxmlformats.org/officeDocument/2006/relationships" r:embed="rId12" cstate="print"/>
        <a:srcRect/>
        <a:stretch>
          <a:fillRect/>
        </a:stretch>
      </xdr:blipFill>
      <xdr:spPr bwMode="auto">
        <a:xfrm>
          <a:off x="971550" y="16802100"/>
          <a:ext cx="3981450" cy="1504950"/>
        </a:xfrm>
        <a:prstGeom prst="rect">
          <a:avLst/>
        </a:prstGeom>
        <a:noFill/>
        <a:ln w="9525">
          <a:noFill/>
          <a:miter lim="800000"/>
          <a:headEnd/>
          <a:tailEnd/>
        </a:ln>
      </xdr:spPr>
    </xdr:pic>
    <xdr:clientData/>
  </xdr:twoCellAnchor>
  <xdr:oneCellAnchor>
    <xdr:from>
      <xdr:col>1</xdr:col>
      <xdr:colOff>109516</xdr:colOff>
      <xdr:row>123</xdr:row>
      <xdr:rowOff>149679</xdr:rowOff>
    </xdr:from>
    <xdr:ext cx="5049780" cy="360589"/>
    <xdr:sp macro="" textlink="">
      <xdr:nvSpPr>
        <xdr:cNvPr id="17" name="16 Rectángulo"/>
        <xdr:cNvSpPr/>
      </xdr:nvSpPr>
      <xdr:spPr>
        <a:xfrm>
          <a:off x="871516" y="20233822"/>
          <a:ext cx="5049780" cy="360589"/>
        </a:xfrm>
        <a:prstGeom prst="rect">
          <a:avLst/>
        </a:prstGeom>
        <a:noFill/>
      </xdr:spPr>
      <xdr:txBody>
        <a:bodyPr wrap="square" lIns="91440" tIns="45720" rIns="91440" bIns="45720">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8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 </a:t>
          </a:r>
          <a:r>
            <a:rPr lang="es-ES" sz="2000" b="1">
              <a:effectLst>
                <a:outerShdw blurRad="50800" dist="38100" algn="tr" rotWithShape="0">
                  <a:prstClr val="black">
                    <a:alpha val="40000"/>
                  </a:prstClr>
                </a:outerShdw>
              </a:effectLst>
              <a:latin typeface="+mn-lt"/>
              <a:ea typeface="+mn-ea"/>
              <a:cs typeface="+mn-cs"/>
            </a:rPr>
            <a:t>Finalmente: </a:t>
          </a:r>
          <a:r>
            <a:rPr lang="es-ES" sz="2000" b="1" baseline="0">
              <a:effectLst>
                <a:outerShdw blurRad="50800" dist="38100" algn="tr" rotWithShape="0">
                  <a:prstClr val="black">
                    <a:alpha val="40000"/>
                  </a:prstClr>
                </a:outerShdw>
              </a:effectLst>
              <a:latin typeface="+mn-lt"/>
              <a:ea typeface="+mn-ea"/>
              <a:cs typeface="+mn-cs"/>
            </a:rPr>
            <a:t> Éxito en este emprendimiento</a:t>
          </a:r>
          <a:endParaRPr lang="es-ES" sz="2000" b="1">
            <a:effectLst>
              <a:outerShdw blurRad="50800" dist="38100" algn="tr" rotWithShape="0">
                <a:prstClr val="black">
                  <a:alpha val="40000"/>
                </a:prstClr>
              </a:outerShdw>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511176</xdr:colOff>
      <xdr:row>6</xdr:row>
      <xdr:rowOff>92076</xdr:rowOff>
    </xdr:from>
    <xdr:to>
      <xdr:col>4</xdr:col>
      <xdr:colOff>606426</xdr:colOff>
      <xdr:row>11</xdr:row>
      <xdr:rowOff>44451</xdr:rowOff>
    </xdr:to>
    <xdr:sp macro="" textlink="">
      <xdr:nvSpPr>
        <xdr:cNvPr id="2" name="1 CuadroTexto">
          <a:hlinkClick xmlns:r="http://schemas.openxmlformats.org/officeDocument/2006/relationships" r:id="rId1"/>
        </xdr:cNvPr>
        <xdr:cNvSpPr txBox="1"/>
      </xdr:nvSpPr>
      <xdr:spPr>
        <a:xfrm>
          <a:off x="511176" y="885826"/>
          <a:ext cx="1619250" cy="746125"/>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algn="ctr"/>
          <a:r>
            <a:rPr lang="es-CO" sz="900" b="1">
              <a:latin typeface="Arial Black" pitchFamily="34" charset="0"/>
            </a:rPr>
            <a:t>BASES Y SUPUESTOS</a:t>
          </a:r>
          <a:r>
            <a:rPr lang="es-CO" sz="900" b="1" baseline="0">
              <a:latin typeface="Arial Black" pitchFamily="34" charset="0"/>
            </a:rPr>
            <a:t> </a:t>
          </a:r>
          <a:r>
            <a:rPr lang="es-CO" sz="900" b="1">
              <a:latin typeface="Arial Black" pitchFamily="34" charset="0"/>
            </a:rPr>
            <a:t> DE LA SIMULACIÓN FINANCIERA</a:t>
          </a:r>
        </a:p>
      </xdr:txBody>
    </xdr:sp>
    <xdr:clientData/>
  </xdr:twoCellAnchor>
  <xdr:twoCellAnchor>
    <xdr:from>
      <xdr:col>2</xdr:col>
      <xdr:colOff>403221</xdr:colOff>
      <xdr:row>1</xdr:row>
      <xdr:rowOff>141817</xdr:rowOff>
    </xdr:from>
    <xdr:to>
      <xdr:col>9</xdr:col>
      <xdr:colOff>679446</xdr:colOff>
      <xdr:row>5</xdr:row>
      <xdr:rowOff>157692</xdr:rowOff>
    </xdr:to>
    <xdr:sp macro="" textlink="">
      <xdr:nvSpPr>
        <xdr:cNvPr id="3" name="2 CuadroTexto"/>
        <xdr:cNvSpPr txBox="1"/>
      </xdr:nvSpPr>
      <xdr:spPr>
        <a:xfrm>
          <a:off x="403221" y="141817"/>
          <a:ext cx="5610225" cy="6508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wrap="square" rtlCol="0" anchor="t"/>
        <a:lstStyle/>
        <a:p>
          <a:r>
            <a:rPr lang="es-CO" sz="2800"/>
            <a:t>MENÚ</a:t>
          </a:r>
          <a:r>
            <a:rPr lang="es-CO" sz="2800" baseline="0"/>
            <a:t> DEL SIMULADOR FINANCIERO</a:t>
          </a:r>
          <a:endParaRPr lang="es-CO" sz="2800"/>
        </a:p>
      </xdr:txBody>
    </xdr:sp>
    <xdr:clientData/>
  </xdr:twoCellAnchor>
  <xdr:twoCellAnchor editAs="oneCell">
    <xdr:from>
      <xdr:col>11</xdr:col>
      <xdr:colOff>493182</xdr:colOff>
      <xdr:row>1</xdr:row>
      <xdr:rowOff>132292</xdr:rowOff>
    </xdr:from>
    <xdr:to>
      <xdr:col>13</xdr:col>
      <xdr:colOff>338665</xdr:colOff>
      <xdr:row>7</xdr:row>
      <xdr:rowOff>10811</xdr:rowOff>
    </xdr:to>
    <xdr:pic>
      <xdr:nvPicPr>
        <xdr:cNvPr id="4" name="3 Imagen" descr="logo_ean_izquierda.jpg"/>
        <xdr:cNvPicPr>
          <a:picLocks noChangeAspect="1"/>
        </xdr:cNvPicPr>
      </xdr:nvPicPr>
      <xdr:blipFill>
        <a:blip xmlns:r="http://schemas.openxmlformats.org/officeDocument/2006/relationships" r:embed="rId2" cstate="print"/>
        <a:stretch>
          <a:fillRect/>
        </a:stretch>
      </xdr:blipFill>
      <xdr:spPr>
        <a:xfrm>
          <a:off x="8875182" y="291042"/>
          <a:ext cx="1369483" cy="831019"/>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5</xdr:col>
      <xdr:colOff>130176</xdr:colOff>
      <xdr:row>6</xdr:row>
      <xdr:rowOff>92076</xdr:rowOff>
    </xdr:from>
    <xdr:to>
      <xdr:col>7</xdr:col>
      <xdr:colOff>234951</xdr:colOff>
      <xdr:row>11</xdr:row>
      <xdr:rowOff>6351</xdr:rowOff>
    </xdr:to>
    <xdr:sp macro="" textlink="">
      <xdr:nvSpPr>
        <xdr:cNvPr id="5" name="4 CuadroTexto">
          <a:hlinkClick xmlns:r="http://schemas.openxmlformats.org/officeDocument/2006/relationships" r:id="rId3"/>
        </xdr:cNvPr>
        <xdr:cNvSpPr txBox="1"/>
      </xdr:nvSpPr>
      <xdr:spPr>
        <a:xfrm>
          <a:off x="2416176" y="885826"/>
          <a:ext cx="1628775" cy="708025"/>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PROYECCIÓN DE VENTAS DEL PLAN DE NEGOCIO</a:t>
          </a:r>
        </a:p>
      </xdr:txBody>
    </xdr:sp>
    <xdr:clientData/>
  </xdr:twoCellAnchor>
  <xdr:twoCellAnchor>
    <xdr:from>
      <xdr:col>7</xdr:col>
      <xdr:colOff>512233</xdr:colOff>
      <xdr:row>6</xdr:row>
      <xdr:rowOff>82551</xdr:rowOff>
    </xdr:from>
    <xdr:to>
      <xdr:col>9</xdr:col>
      <xdr:colOff>636058</xdr:colOff>
      <xdr:row>10</xdr:row>
      <xdr:rowOff>155576</xdr:rowOff>
    </xdr:to>
    <xdr:sp macro="" textlink="">
      <xdr:nvSpPr>
        <xdr:cNvPr id="6" name="5 CuadroTexto">
          <a:hlinkClick xmlns:r="http://schemas.openxmlformats.org/officeDocument/2006/relationships" r:id="rId4"/>
        </xdr:cNvPr>
        <xdr:cNvSpPr txBox="1"/>
      </xdr:nvSpPr>
      <xdr:spPr>
        <a:xfrm>
          <a:off x="4322233" y="876301"/>
          <a:ext cx="1647825" cy="708025"/>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lnSpc>
              <a:spcPts val="900"/>
            </a:lnSpc>
          </a:pPr>
          <a:r>
            <a:rPr lang="es-CO" sz="800" b="1">
              <a:solidFill>
                <a:schemeClr val="lt1"/>
              </a:solidFill>
              <a:latin typeface="Arial Black" pitchFamily="34" charset="0"/>
              <a:ea typeface="+mn-ea"/>
              <a:cs typeface="+mn-cs"/>
            </a:rPr>
            <a:t>COSTOS DE PRODUCCIÓN O DE LA PRESTACIÓN DEL SERVICIO. (Variables)</a:t>
          </a:r>
        </a:p>
      </xdr:txBody>
    </xdr:sp>
    <xdr:clientData/>
  </xdr:twoCellAnchor>
  <xdr:twoCellAnchor>
    <xdr:from>
      <xdr:col>2</xdr:col>
      <xdr:colOff>510118</xdr:colOff>
      <xdr:row>11</xdr:row>
      <xdr:rowOff>127002</xdr:rowOff>
    </xdr:from>
    <xdr:to>
      <xdr:col>4</xdr:col>
      <xdr:colOff>614893</xdr:colOff>
      <xdr:row>18</xdr:row>
      <xdr:rowOff>73026</xdr:rowOff>
    </xdr:to>
    <xdr:sp macro="" textlink="">
      <xdr:nvSpPr>
        <xdr:cNvPr id="7" name="6 CuadroTexto">
          <a:hlinkClick xmlns:r="http://schemas.openxmlformats.org/officeDocument/2006/relationships" r:id="rId5"/>
        </xdr:cNvPr>
        <xdr:cNvSpPr txBox="1"/>
      </xdr:nvSpPr>
      <xdr:spPr>
        <a:xfrm>
          <a:off x="510118" y="1714502"/>
          <a:ext cx="1628775" cy="105727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800" b="1">
              <a:solidFill>
                <a:schemeClr val="lt1"/>
              </a:solidFill>
              <a:latin typeface="Arial Black" pitchFamily="34" charset="0"/>
              <a:ea typeface="+mn-ea"/>
              <a:cs typeface="+mn-cs"/>
            </a:rPr>
            <a:t>CUADRO</a:t>
          </a:r>
          <a:r>
            <a:rPr lang="es-CO" sz="800" b="1" baseline="0">
              <a:solidFill>
                <a:schemeClr val="lt1"/>
              </a:solidFill>
              <a:latin typeface="Arial Black" pitchFamily="34" charset="0"/>
              <a:ea typeface="+mn-ea"/>
              <a:cs typeface="+mn-cs"/>
            </a:rPr>
            <a:t> DE CONTROL DE COSTOS VARIABLES OPERACIONALE  Vs INGRESOS -  </a:t>
          </a:r>
          <a:r>
            <a:rPr lang="es-CO" sz="1000" b="1" baseline="0">
              <a:solidFill>
                <a:schemeClr val="lt1"/>
              </a:solidFill>
              <a:latin typeface="Arial Black" pitchFamily="34" charset="0"/>
              <a:ea typeface="+mn-ea"/>
              <a:cs typeface="+mn-cs"/>
            </a:rPr>
            <a:t>INVERSIONES EN INFRAESTRUCTURA</a:t>
          </a:r>
          <a:r>
            <a:rPr lang="es-CO" sz="900" b="1" baseline="0">
              <a:solidFill>
                <a:schemeClr val="lt1"/>
              </a:solidFill>
              <a:latin typeface="+mn-lt"/>
              <a:ea typeface="+mn-ea"/>
              <a:cs typeface="+mn-cs"/>
            </a:rPr>
            <a:t>. </a:t>
          </a:r>
          <a:endParaRPr lang="es-CO" sz="800" b="1">
            <a:solidFill>
              <a:schemeClr val="lt1"/>
            </a:solidFill>
            <a:latin typeface="+mn-lt"/>
            <a:ea typeface="+mn-ea"/>
            <a:cs typeface="+mn-cs"/>
          </a:endParaRPr>
        </a:p>
      </xdr:txBody>
    </xdr:sp>
    <xdr:clientData/>
  </xdr:twoCellAnchor>
  <xdr:twoCellAnchor>
    <xdr:from>
      <xdr:col>5</xdr:col>
      <xdr:colOff>130176</xdr:colOff>
      <xdr:row>11</xdr:row>
      <xdr:rowOff>120651</xdr:rowOff>
    </xdr:from>
    <xdr:to>
      <xdr:col>7</xdr:col>
      <xdr:colOff>234951</xdr:colOff>
      <xdr:row>18</xdr:row>
      <xdr:rowOff>63500</xdr:rowOff>
    </xdr:to>
    <xdr:sp macro="" textlink="">
      <xdr:nvSpPr>
        <xdr:cNvPr id="8" name="7 CuadroTexto">
          <a:hlinkClick xmlns:r="http://schemas.openxmlformats.org/officeDocument/2006/relationships" r:id="rId6"/>
        </xdr:cNvPr>
        <xdr:cNvSpPr txBox="1"/>
      </xdr:nvSpPr>
      <xdr:spPr>
        <a:xfrm>
          <a:off x="2416176" y="1708151"/>
          <a:ext cx="1628775" cy="1054099"/>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NÓMINAS</a:t>
          </a:r>
          <a:r>
            <a:rPr lang="es-CO" sz="900" b="1" baseline="0">
              <a:solidFill>
                <a:schemeClr val="lt1"/>
              </a:solidFill>
              <a:latin typeface="Arial Black" pitchFamily="34" charset="0"/>
              <a:ea typeface="+mn-ea"/>
              <a:cs typeface="+mn-cs"/>
            </a:rPr>
            <a:t>, </a:t>
          </a:r>
          <a:r>
            <a:rPr lang="es-CO" sz="800" b="1" baseline="0">
              <a:solidFill>
                <a:schemeClr val="lt1"/>
              </a:solidFill>
              <a:latin typeface="Arial Black" pitchFamily="34" charset="0"/>
              <a:ea typeface="+mn-ea"/>
              <a:cs typeface="+mn-cs"/>
            </a:rPr>
            <a:t>HONORARIOS Y COSTOS FIJOS DEL PLAN DE NEGOCIO A NIVEL ADMINISTRATIVO, PRODUCCIÓN Y VENTAS.</a:t>
          </a:r>
          <a:endParaRPr lang="es-CO" sz="800" b="1">
            <a:solidFill>
              <a:schemeClr val="lt1"/>
            </a:solidFill>
            <a:latin typeface="+mn-lt"/>
            <a:ea typeface="+mn-ea"/>
            <a:cs typeface="+mn-cs"/>
          </a:endParaRPr>
        </a:p>
      </xdr:txBody>
    </xdr:sp>
    <xdr:clientData/>
  </xdr:twoCellAnchor>
  <xdr:twoCellAnchor>
    <xdr:from>
      <xdr:col>7</xdr:col>
      <xdr:colOff>520701</xdr:colOff>
      <xdr:row>11</xdr:row>
      <xdr:rowOff>111126</xdr:rowOff>
    </xdr:from>
    <xdr:to>
      <xdr:col>9</xdr:col>
      <xdr:colOff>625476</xdr:colOff>
      <xdr:row>18</xdr:row>
      <xdr:rowOff>53975</xdr:rowOff>
    </xdr:to>
    <xdr:sp macro="" textlink="">
      <xdr:nvSpPr>
        <xdr:cNvPr id="9" name="8 CuadroTexto">
          <a:hlinkClick xmlns:r="http://schemas.openxmlformats.org/officeDocument/2006/relationships" r:id="rId7"/>
        </xdr:cNvPr>
        <xdr:cNvSpPr txBox="1"/>
      </xdr:nvSpPr>
      <xdr:spPr>
        <a:xfrm>
          <a:off x="4330701" y="1698626"/>
          <a:ext cx="1628775" cy="1054099"/>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800" b="1">
              <a:solidFill>
                <a:schemeClr val="lt1"/>
              </a:solidFill>
              <a:latin typeface="Arial Black" pitchFamily="34" charset="0"/>
              <a:ea typeface="+mn-ea"/>
              <a:cs typeface="+mn-cs"/>
            </a:rPr>
            <a:t>CÁLCULO</a:t>
          </a:r>
          <a:r>
            <a:rPr lang="es-CO" sz="800" b="1" baseline="0">
              <a:solidFill>
                <a:schemeClr val="lt1"/>
              </a:solidFill>
              <a:latin typeface="Arial Black" pitchFamily="34" charset="0"/>
              <a:ea typeface="+mn-ea"/>
              <a:cs typeface="+mn-cs"/>
            </a:rPr>
            <a:t> DEL MONTO DE LA INVERSIÓN DEL PLAN DE NEGOCIO Y SIMULACIÓN DEL </a:t>
          </a:r>
          <a:r>
            <a:rPr lang="es-CO" sz="1000" b="1" baseline="0">
              <a:solidFill>
                <a:schemeClr val="lt1"/>
              </a:solidFill>
              <a:latin typeface="Arial Black" pitchFamily="34" charset="0"/>
              <a:ea typeface="+mn-ea"/>
              <a:cs typeface="+mn-cs"/>
            </a:rPr>
            <a:t>CRÉDITO DE FINANCIACIÓN</a:t>
          </a:r>
          <a:endParaRPr lang="es-CO" sz="1000" b="1">
            <a:solidFill>
              <a:schemeClr val="lt1"/>
            </a:solidFill>
            <a:latin typeface="+mn-lt"/>
            <a:ea typeface="+mn-ea"/>
            <a:cs typeface="+mn-cs"/>
          </a:endParaRPr>
        </a:p>
      </xdr:txBody>
    </xdr:sp>
    <xdr:clientData/>
  </xdr:twoCellAnchor>
  <xdr:twoCellAnchor>
    <xdr:from>
      <xdr:col>2</xdr:col>
      <xdr:colOff>501651</xdr:colOff>
      <xdr:row>18</xdr:row>
      <xdr:rowOff>155576</xdr:rowOff>
    </xdr:from>
    <xdr:to>
      <xdr:col>4</xdr:col>
      <xdr:colOff>606426</xdr:colOff>
      <xdr:row>25</xdr:row>
      <xdr:rowOff>101600</xdr:rowOff>
    </xdr:to>
    <xdr:sp macro="" textlink="">
      <xdr:nvSpPr>
        <xdr:cNvPr id="10" name="9 CuadroTexto">
          <a:hlinkClick xmlns:r="http://schemas.openxmlformats.org/officeDocument/2006/relationships" r:id="rId8"/>
        </xdr:cNvPr>
        <xdr:cNvSpPr txBox="1"/>
      </xdr:nvSpPr>
      <xdr:spPr>
        <a:xfrm>
          <a:off x="501651" y="2854326"/>
          <a:ext cx="1628775" cy="105727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CUADRO</a:t>
          </a:r>
          <a:r>
            <a:rPr lang="es-CO" sz="900" b="1" baseline="0">
              <a:solidFill>
                <a:schemeClr val="lt1"/>
              </a:solidFill>
              <a:latin typeface="Arial Black" pitchFamily="34" charset="0"/>
              <a:ea typeface="+mn-ea"/>
              <a:cs typeface="+mn-cs"/>
            </a:rPr>
            <a:t> DE CONTROL: MARGEN DE CONTRIBUCIÓN TOTAL Vs  COSTOS Y GASTOS FIJOS DEL PLAN DE NEGOCIO.</a:t>
          </a:r>
          <a:endParaRPr lang="es-CO" sz="900" b="1">
            <a:solidFill>
              <a:schemeClr val="lt1"/>
            </a:solidFill>
            <a:latin typeface="+mn-lt"/>
            <a:ea typeface="+mn-ea"/>
            <a:cs typeface="+mn-cs"/>
          </a:endParaRPr>
        </a:p>
      </xdr:txBody>
    </xdr:sp>
    <xdr:clientData/>
  </xdr:twoCellAnchor>
  <xdr:twoCellAnchor>
    <xdr:from>
      <xdr:col>5</xdr:col>
      <xdr:colOff>139701</xdr:colOff>
      <xdr:row>18</xdr:row>
      <xdr:rowOff>136526</xdr:rowOff>
    </xdr:from>
    <xdr:to>
      <xdr:col>7</xdr:col>
      <xdr:colOff>244476</xdr:colOff>
      <xdr:row>25</xdr:row>
      <xdr:rowOff>82550</xdr:rowOff>
    </xdr:to>
    <xdr:sp macro="" textlink="">
      <xdr:nvSpPr>
        <xdr:cNvPr id="11" name="10 CuadroTexto">
          <a:hlinkClick xmlns:r="http://schemas.openxmlformats.org/officeDocument/2006/relationships" r:id="rId9"/>
        </xdr:cNvPr>
        <xdr:cNvSpPr txBox="1"/>
      </xdr:nvSpPr>
      <xdr:spPr>
        <a:xfrm>
          <a:off x="2425701" y="2835276"/>
          <a:ext cx="1628775" cy="105727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PUNTO DE EQULIBRIO DEL PLAN DE  NEGOCIO</a:t>
          </a:r>
          <a:r>
            <a:rPr lang="es-CO" sz="800" b="1">
              <a:solidFill>
                <a:schemeClr val="lt1"/>
              </a:solidFill>
              <a:latin typeface="Arial Black" pitchFamily="34" charset="0"/>
              <a:ea typeface="+mn-ea"/>
              <a:cs typeface="+mn-cs"/>
            </a:rPr>
            <a:t>.</a:t>
          </a:r>
          <a:endParaRPr lang="es-CO" sz="800" b="1">
            <a:solidFill>
              <a:schemeClr val="lt1"/>
            </a:solidFill>
            <a:latin typeface="+mn-lt"/>
            <a:ea typeface="+mn-ea"/>
            <a:cs typeface="+mn-cs"/>
          </a:endParaRPr>
        </a:p>
      </xdr:txBody>
    </xdr:sp>
    <xdr:clientData/>
  </xdr:twoCellAnchor>
  <xdr:twoCellAnchor>
    <xdr:from>
      <xdr:col>7</xdr:col>
      <xdr:colOff>511176</xdr:colOff>
      <xdr:row>18</xdr:row>
      <xdr:rowOff>127001</xdr:rowOff>
    </xdr:from>
    <xdr:to>
      <xdr:col>9</xdr:col>
      <xdr:colOff>615951</xdr:colOff>
      <xdr:row>25</xdr:row>
      <xdr:rowOff>73025</xdr:rowOff>
    </xdr:to>
    <xdr:sp macro="" textlink="">
      <xdr:nvSpPr>
        <xdr:cNvPr id="12" name="11 CuadroTexto">
          <a:hlinkClick xmlns:r="http://schemas.openxmlformats.org/officeDocument/2006/relationships" r:id="rId10"/>
        </xdr:cNvPr>
        <xdr:cNvSpPr txBox="1"/>
      </xdr:nvSpPr>
      <xdr:spPr>
        <a:xfrm>
          <a:off x="4321176" y="2825751"/>
          <a:ext cx="1628775" cy="105727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BALANCE GENERAL PRESUPUESTADO DEL PLAN DE  NEGOCIO</a:t>
          </a:r>
          <a:r>
            <a:rPr lang="es-CO" sz="800" b="1">
              <a:solidFill>
                <a:schemeClr val="lt1"/>
              </a:solidFill>
              <a:latin typeface="Arial Black" pitchFamily="34" charset="0"/>
              <a:ea typeface="+mn-ea"/>
              <a:cs typeface="+mn-cs"/>
            </a:rPr>
            <a:t>.</a:t>
          </a:r>
          <a:endParaRPr lang="es-CO" sz="800" b="1">
            <a:solidFill>
              <a:schemeClr val="lt1"/>
            </a:solidFill>
            <a:latin typeface="+mn-lt"/>
            <a:ea typeface="+mn-ea"/>
            <a:cs typeface="+mn-cs"/>
          </a:endParaRPr>
        </a:p>
      </xdr:txBody>
    </xdr:sp>
    <xdr:clientData/>
  </xdr:twoCellAnchor>
  <xdr:twoCellAnchor>
    <xdr:from>
      <xdr:col>2</xdr:col>
      <xdr:colOff>492126</xdr:colOff>
      <xdr:row>26</xdr:row>
      <xdr:rowOff>15877</xdr:rowOff>
    </xdr:from>
    <xdr:to>
      <xdr:col>4</xdr:col>
      <xdr:colOff>596901</xdr:colOff>
      <xdr:row>31</xdr:row>
      <xdr:rowOff>31751</xdr:rowOff>
    </xdr:to>
    <xdr:sp macro="" textlink="">
      <xdr:nvSpPr>
        <xdr:cNvPr id="13" name="12 CuadroTexto">
          <a:hlinkClick xmlns:r="http://schemas.openxmlformats.org/officeDocument/2006/relationships" r:id="rId11"/>
        </xdr:cNvPr>
        <xdr:cNvSpPr txBox="1"/>
      </xdr:nvSpPr>
      <xdr:spPr>
        <a:xfrm>
          <a:off x="492126" y="3984627"/>
          <a:ext cx="1628775" cy="80962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ESTADO</a:t>
          </a:r>
          <a:r>
            <a:rPr lang="es-CO" sz="900" b="1" baseline="0">
              <a:solidFill>
                <a:schemeClr val="lt1"/>
              </a:solidFill>
              <a:latin typeface="Arial Black" pitchFamily="34" charset="0"/>
              <a:ea typeface="+mn-ea"/>
              <a:cs typeface="+mn-cs"/>
            </a:rPr>
            <a:t> DE RESULTADOS </a:t>
          </a:r>
          <a:r>
            <a:rPr lang="es-CO" sz="900" b="1">
              <a:solidFill>
                <a:schemeClr val="lt1"/>
              </a:solidFill>
              <a:latin typeface="Arial Black" pitchFamily="34" charset="0"/>
              <a:ea typeface="+mn-ea"/>
              <a:cs typeface="+mn-cs"/>
            </a:rPr>
            <a:t>PRESUPUESTADO DEL PLAN DE  NEGOCIO.</a:t>
          </a:r>
          <a:endParaRPr lang="es-CO" sz="900" b="1">
            <a:solidFill>
              <a:schemeClr val="lt1"/>
            </a:solidFill>
            <a:latin typeface="+mn-lt"/>
            <a:ea typeface="+mn-ea"/>
            <a:cs typeface="+mn-cs"/>
          </a:endParaRPr>
        </a:p>
      </xdr:txBody>
    </xdr:sp>
    <xdr:clientData/>
  </xdr:twoCellAnchor>
  <xdr:twoCellAnchor>
    <xdr:from>
      <xdr:col>5</xdr:col>
      <xdr:colOff>130176</xdr:colOff>
      <xdr:row>25</xdr:row>
      <xdr:rowOff>155575</xdr:rowOff>
    </xdr:from>
    <xdr:to>
      <xdr:col>7</xdr:col>
      <xdr:colOff>234951</xdr:colOff>
      <xdr:row>31</xdr:row>
      <xdr:rowOff>42332</xdr:rowOff>
    </xdr:to>
    <xdr:sp macro="" textlink="">
      <xdr:nvSpPr>
        <xdr:cNvPr id="17" name="16 CuadroTexto">
          <a:hlinkClick xmlns:r="http://schemas.openxmlformats.org/officeDocument/2006/relationships" r:id="rId12"/>
        </xdr:cNvPr>
        <xdr:cNvSpPr txBox="1"/>
      </xdr:nvSpPr>
      <xdr:spPr>
        <a:xfrm>
          <a:off x="2416176" y="3965575"/>
          <a:ext cx="1628775" cy="839257"/>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FLUJO</a:t>
          </a:r>
          <a:r>
            <a:rPr lang="es-CO" sz="900" b="1" baseline="0">
              <a:solidFill>
                <a:schemeClr val="lt1"/>
              </a:solidFill>
              <a:latin typeface="Arial Black" pitchFamily="34" charset="0"/>
              <a:ea typeface="+mn-ea"/>
              <a:cs typeface="+mn-cs"/>
            </a:rPr>
            <a:t> DE CAJA </a:t>
          </a:r>
          <a:r>
            <a:rPr lang="es-CO" sz="900" b="1">
              <a:solidFill>
                <a:schemeClr val="lt1"/>
              </a:solidFill>
              <a:latin typeface="Arial Black" pitchFamily="34" charset="0"/>
              <a:ea typeface="+mn-ea"/>
              <a:cs typeface="+mn-cs"/>
            </a:rPr>
            <a:t>PRESUPUESTADO DEL PLAN DE  NEGOCIO.</a:t>
          </a:r>
          <a:endParaRPr lang="es-CO" sz="900" b="1">
            <a:solidFill>
              <a:schemeClr val="lt1"/>
            </a:solidFill>
            <a:latin typeface="+mn-lt"/>
            <a:ea typeface="+mn-ea"/>
            <a:cs typeface="+mn-cs"/>
          </a:endParaRPr>
        </a:p>
      </xdr:txBody>
    </xdr:sp>
    <xdr:clientData/>
  </xdr:twoCellAnchor>
  <xdr:twoCellAnchor>
    <xdr:from>
      <xdr:col>7</xdr:col>
      <xdr:colOff>492126</xdr:colOff>
      <xdr:row>25</xdr:row>
      <xdr:rowOff>146050</xdr:rowOff>
    </xdr:from>
    <xdr:to>
      <xdr:col>9</xdr:col>
      <xdr:colOff>596901</xdr:colOff>
      <xdr:row>31</xdr:row>
      <xdr:rowOff>31749</xdr:rowOff>
    </xdr:to>
    <xdr:sp macro="" textlink="">
      <xdr:nvSpPr>
        <xdr:cNvPr id="18" name="17 CuadroTexto">
          <a:hlinkClick xmlns:r="http://schemas.openxmlformats.org/officeDocument/2006/relationships" r:id="rId13"/>
        </xdr:cNvPr>
        <xdr:cNvSpPr txBox="1"/>
      </xdr:nvSpPr>
      <xdr:spPr>
        <a:xfrm>
          <a:off x="4302126" y="3956050"/>
          <a:ext cx="1628775" cy="838199"/>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ANÁLISIS DEL VPN Y </a:t>
          </a:r>
          <a:r>
            <a:rPr lang="es-CO" sz="900" b="1" baseline="0">
              <a:solidFill>
                <a:schemeClr val="lt1"/>
              </a:solidFill>
              <a:latin typeface="Arial Black" pitchFamily="34" charset="0"/>
              <a:ea typeface="+mn-ea"/>
              <a:cs typeface="+mn-cs"/>
            </a:rPr>
            <a:t> TIR, INDICADORES DE ANÁLISIS FINANCIERO </a:t>
          </a:r>
          <a:r>
            <a:rPr lang="es-CO" sz="800" b="1">
              <a:solidFill>
                <a:schemeClr val="lt1"/>
              </a:solidFill>
              <a:latin typeface="Arial Black" pitchFamily="34" charset="0"/>
              <a:ea typeface="+mn-ea"/>
              <a:cs typeface="+mn-cs"/>
            </a:rPr>
            <a:t>DEL PLAN DE  NEGOCIO</a:t>
          </a:r>
          <a:r>
            <a:rPr lang="es-CO" sz="700" b="1">
              <a:solidFill>
                <a:schemeClr val="lt1"/>
              </a:solidFill>
              <a:latin typeface="Arial Black" pitchFamily="34" charset="0"/>
              <a:ea typeface="+mn-ea"/>
              <a:cs typeface="+mn-cs"/>
            </a:rPr>
            <a:t>.</a:t>
          </a:r>
          <a:endParaRPr lang="es-CO" sz="800" b="1">
            <a:solidFill>
              <a:schemeClr val="lt1"/>
            </a:solidFill>
            <a:latin typeface="+mn-lt"/>
            <a:ea typeface="+mn-ea"/>
            <a:cs typeface="+mn-cs"/>
          </a:endParaRPr>
        </a:p>
      </xdr:txBody>
    </xdr:sp>
    <xdr:clientData/>
  </xdr:twoCellAnchor>
  <xdr:twoCellAnchor>
    <xdr:from>
      <xdr:col>10</xdr:col>
      <xdr:colOff>1</xdr:colOff>
      <xdr:row>8</xdr:row>
      <xdr:rowOff>74083</xdr:rowOff>
    </xdr:from>
    <xdr:to>
      <xdr:col>13</xdr:col>
      <xdr:colOff>656167</xdr:colOff>
      <xdr:row>26</xdr:row>
      <xdr:rowOff>10583</xdr:rowOff>
    </xdr:to>
    <xdr:sp macro="" textlink="">
      <xdr:nvSpPr>
        <xdr:cNvPr id="20" name="19 CuadroTexto"/>
        <xdr:cNvSpPr txBox="1"/>
      </xdr:nvSpPr>
      <xdr:spPr>
        <a:xfrm>
          <a:off x="7620001" y="1185333"/>
          <a:ext cx="2942166" cy="27940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wrap="square" rtlCol="0" anchor="ctr"/>
        <a:lstStyle/>
        <a:p>
          <a:pPr algn="ctr"/>
          <a:r>
            <a:rPr lang="es-CO">
              <a:latin typeface="Arial Black" pitchFamily="34" charset="0"/>
            </a:rPr>
            <a:t>“El futuro pertenece a quienes creen en la belleza de sus sueños” (Eleanor Roosvelt)</a:t>
          </a:r>
        </a:p>
        <a:p>
          <a:pPr algn="ctr"/>
          <a:endParaRPr lang="es-CO">
            <a:latin typeface="Arial Black" pitchFamily="34" charset="0"/>
          </a:endParaRPr>
        </a:p>
        <a:p>
          <a:pPr algn="ctr"/>
          <a:r>
            <a:rPr lang="es-CO">
              <a:latin typeface="Arial Black" pitchFamily="34" charset="0"/>
            </a:rPr>
            <a:t>“No hay secretos para el éxito. Este se alcanza preparándose, trabajando arduamente y aprendiendo del fracaso”. (Colin Powell.)</a:t>
          </a:r>
        </a:p>
        <a:p>
          <a:pPr algn="ctr"/>
          <a:endParaRPr lang="es-CO">
            <a:latin typeface="Arial Black" pitchFamily="34" charset="0"/>
          </a:endParaRPr>
        </a:p>
        <a:p>
          <a:pPr algn="ctr"/>
          <a:r>
            <a:rPr lang="es-CO">
              <a:latin typeface="Arial Black" pitchFamily="34" charset="0"/>
            </a:rPr>
            <a:t>“Un emprendedor ve oportunidades allá donde otros solo ven problemas”. (Michael Gerber</a:t>
          </a:r>
          <a:r>
            <a:rPr lang="es-CO" i="1">
              <a:latin typeface="Arial Black" pitchFamily="34" charset="0"/>
            </a:rPr>
            <a:t>.</a:t>
          </a:r>
          <a:r>
            <a:rPr lang="es-CO" i="0">
              <a:latin typeface="Arial Black" pitchFamily="34" charset="0"/>
            </a:rPr>
            <a:t>)</a:t>
          </a:r>
          <a:endParaRPr lang="es-CO" sz="1100" i="0">
            <a:latin typeface="Arial Black" pitchFamily="34" charset="0"/>
          </a:endParaRPr>
        </a:p>
      </xdr:txBody>
    </xdr:sp>
    <xdr:clientData/>
  </xdr:twoCellAnchor>
  <xdr:twoCellAnchor>
    <xdr:from>
      <xdr:col>10</xdr:col>
      <xdr:colOff>740832</xdr:colOff>
      <xdr:row>26</xdr:row>
      <xdr:rowOff>105833</xdr:rowOff>
    </xdr:from>
    <xdr:to>
      <xdr:col>12</xdr:col>
      <xdr:colOff>761999</xdr:colOff>
      <xdr:row>31</xdr:row>
      <xdr:rowOff>0</xdr:rowOff>
    </xdr:to>
    <xdr:sp macro="" textlink="">
      <xdr:nvSpPr>
        <xdr:cNvPr id="21" name="20 CuadroTexto">
          <a:hlinkClick xmlns:r="http://schemas.openxmlformats.org/officeDocument/2006/relationships" r:id="rId14"/>
        </xdr:cNvPr>
        <xdr:cNvSpPr txBox="1"/>
      </xdr:nvSpPr>
      <xdr:spPr>
        <a:xfrm>
          <a:off x="6836832" y="4074583"/>
          <a:ext cx="1545167" cy="687917"/>
        </a:xfrm>
        <a:prstGeom prst="rect">
          <a:avLst/>
        </a:prstGeom>
        <a:ln/>
      </xdr:spPr>
      <xdr:style>
        <a:lnRef idx="0">
          <a:schemeClr val="accent5"/>
        </a:lnRef>
        <a:fillRef idx="1003">
          <a:schemeClr val="dk2"/>
        </a:fillRef>
        <a:effectRef idx="3">
          <a:schemeClr val="accent5"/>
        </a:effectRef>
        <a:fontRef idx="minor">
          <a:schemeClr val="lt1"/>
        </a:fontRef>
      </xdr:style>
      <xdr:txBody>
        <a:bodyPr vertOverflow="clip" wrap="square" rtlCol="0" anchor="ctr"/>
        <a:lstStyle/>
        <a:p>
          <a:pPr algn="ctr"/>
          <a:r>
            <a:rPr lang="es-CO" sz="1050">
              <a:latin typeface="Arial Black" pitchFamily="34" charset="0"/>
            </a:rPr>
            <a:t>VOLVER</a:t>
          </a:r>
          <a:r>
            <a:rPr lang="es-CO" sz="1050" baseline="0">
              <a:latin typeface="Arial Black" pitchFamily="34" charset="0"/>
            </a:rPr>
            <a:t> A LAS INSTRUCCIONES GENERALES</a:t>
          </a:r>
          <a:endParaRPr lang="es-CO" sz="1050">
            <a:latin typeface="Arial Black"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307655</xdr:colOff>
      <xdr:row>0</xdr:row>
      <xdr:rowOff>123824</xdr:rowOff>
    </xdr:from>
    <xdr:to>
      <xdr:col>9</xdr:col>
      <xdr:colOff>633907</xdr:colOff>
      <xdr:row>4</xdr:row>
      <xdr:rowOff>152399</xdr:rowOff>
    </xdr:to>
    <xdr:pic>
      <xdr:nvPicPr>
        <xdr:cNvPr id="2" name="1 Imagen" descr="logo_ean_izquierda.jpg"/>
        <xdr:cNvPicPr>
          <a:picLocks noChangeAspect="1"/>
        </xdr:cNvPicPr>
      </xdr:nvPicPr>
      <xdr:blipFill>
        <a:blip xmlns:r="http://schemas.openxmlformats.org/officeDocument/2006/relationships" r:embed="rId1" cstate="print"/>
        <a:stretch>
          <a:fillRect/>
        </a:stretch>
      </xdr:blipFill>
      <xdr:spPr>
        <a:xfrm>
          <a:off x="9346880" y="123824"/>
          <a:ext cx="1088252" cy="67627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0</xdr:col>
      <xdr:colOff>438151</xdr:colOff>
      <xdr:row>0</xdr:row>
      <xdr:rowOff>114300</xdr:rowOff>
    </xdr:from>
    <xdr:ext cx="9324974" cy="409575"/>
    <xdr:sp macro="" textlink="">
      <xdr:nvSpPr>
        <xdr:cNvPr id="5" name="4 Rectángulo"/>
        <xdr:cNvSpPr/>
      </xdr:nvSpPr>
      <xdr:spPr>
        <a:xfrm>
          <a:off x="438151" y="114300"/>
          <a:ext cx="9324974" cy="409575"/>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SIMULADOR</a:t>
          </a: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0</xdr:col>
      <xdr:colOff>276225</xdr:colOff>
      <xdr:row>0</xdr:row>
      <xdr:rowOff>114300</xdr:rowOff>
    </xdr:from>
    <xdr:to>
      <xdr:col>0</xdr:col>
      <xdr:colOff>1428750</xdr:colOff>
      <xdr:row>7</xdr:row>
      <xdr:rowOff>85725</xdr:rowOff>
    </xdr:to>
    <xdr:pic>
      <xdr:nvPicPr>
        <xdr:cNvPr id="8014757" name="5 Imagen" descr="investigacion de mercados.jpg"/>
        <xdr:cNvPicPr>
          <a:picLocks noChangeAspect="1"/>
        </xdr:cNvPicPr>
      </xdr:nvPicPr>
      <xdr:blipFill>
        <a:blip xmlns:r="http://schemas.openxmlformats.org/officeDocument/2006/relationships" r:embed="rId2" cstate="print"/>
        <a:srcRect/>
        <a:stretch>
          <a:fillRect/>
        </a:stretch>
      </xdr:blipFill>
      <xdr:spPr bwMode="auto">
        <a:xfrm>
          <a:off x="276225" y="114300"/>
          <a:ext cx="1152525" cy="1104900"/>
        </a:xfrm>
        <a:prstGeom prst="rect">
          <a:avLst/>
        </a:prstGeom>
        <a:noFill/>
        <a:ln w="9525">
          <a:noFill/>
          <a:miter lim="800000"/>
          <a:headEnd/>
          <a:tailEnd/>
        </a:ln>
      </xdr:spPr>
    </xdr:pic>
    <xdr:clientData/>
  </xdr:twoCellAnchor>
  <xdr:twoCellAnchor>
    <xdr:from>
      <xdr:col>7</xdr:col>
      <xdr:colOff>169334</xdr:colOff>
      <xdr:row>10</xdr:row>
      <xdr:rowOff>42333</xdr:rowOff>
    </xdr:from>
    <xdr:to>
      <xdr:col>9</xdr:col>
      <xdr:colOff>571501</xdr:colOff>
      <xdr:row>17</xdr:row>
      <xdr:rowOff>74083</xdr:rowOff>
    </xdr:to>
    <xdr:sp macro="" textlink="">
      <xdr:nvSpPr>
        <xdr:cNvPr id="8" name="7 Flecha derecha">
          <a:hlinkClick xmlns:r="http://schemas.openxmlformats.org/officeDocument/2006/relationships" r:id="rId3"/>
        </xdr:cNvPr>
        <xdr:cNvSpPr/>
      </xdr:nvSpPr>
      <xdr:spPr>
        <a:xfrm>
          <a:off x="8805334" y="1735666"/>
          <a:ext cx="1926167" cy="1238250"/>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Si</a:t>
          </a:r>
          <a:r>
            <a:rPr lang="es-CO" sz="1100" baseline="0"/>
            <a:t> tienes definidos todas tus variables. Click para Continuar</a:t>
          </a:r>
          <a:endParaRPr lang="es-CO" sz="1100"/>
        </a:p>
      </xdr:txBody>
    </xdr:sp>
    <xdr:clientData/>
  </xdr:twoCellAnchor>
  <xdr:twoCellAnchor>
    <xdr:from>
      <xdr:col>6</xdr:col>
      <xdr:colOff>419100</xdr:colOff>
      <xdr:row>39</xdr:row>
      <xdr:rowOff>114300</xdr:rowOff>
    </xdr:from>
    <xdr:to>
      <xdr:col>9</xdr:col>
      <xdr:colOff>678391</xdr:colOff>
      <xdr:row>44</xdr:row>
      <xdr:rowOff>28575</xdr:rowOff>
    </xdr:to>
    <xdr:sp macro="" textlink="">
      <xdr:nvSpPr>
        <xdr:cNvPr id="9" name="8 CuadroTexto">
          <a:hlinkClick xmlns:r="http://schemas.openxmlformats.org/officeDocument/2006/relationships" r:id="rId4"/>
        </xdr:cNvPr>
        <xdr:cNvSpPr txBox="1"/>
      </xdr:nvSpPr>
      <xdr:spPr>
        <a:xfrm>
          <a:off x="8010525" y="7324725"/>
          <a:ext cx="2831041"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Esp.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6</xdr:col>
      <xdr:colOff>984251</xdr:colOff>
      <xdr:row>24</xdr:row>
      <xdr:rowOff>21165</xdr:rowOff>
    </xdr:from>
    <xdr:to>
      <xdr:col>9</xdr:col>
      <xdr:colOff>381000</xdr:colOff>
      <xdr:row>28</xdr:row>
      <xdr:rowOff>137582</xdr:rowOff>
    </xdr:to>
    <xdr:sp macro="" textlink="">
      <xdr:nvSpPr>
        <xdr:cNvPr id="10" name="9 Flecha izquierda">
          <a:hlinkClick xmlns:r="http://schemas.openxmlformats.org/officeDocument/2006/relationships" r:id="rId5"/>
        </xdr:cNvPr>
        <xdr:cNvSpPr/>
      </xdr:nvSpPr>
      <xdr:spPr>
        <a:xfrm>
          <a:off x="8572501" y="4233332"/>
          <a:ext cx="1968499" cy="910167"/>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VOLVER</a:t>
          </a:r>
          <a:r>
            <a:rPr lang="es-CO" sz="1100" baseline="0"/>
            <a:t> A LAS  INSTRUCCIONES</a:t>
          </a:r>
          <a:endParaRPr lang="es-CO" sz="1100"/>
        </a:p>
      </xdr:txBody>
    </xdr:sp>
    <xdr:clientData/>
  </xdr:twoCellAnchor>
  <xdr:twoCellAnchor>
    <xdr:from>
      <xdr:col>8</xdr:col>
      <xdr:colOff>158751</xdr:colOff>
      <xdr:row>19</xdr:row>
      <xdr:rowOff>42334</xdr:rowOff>
    </xdr:from>
    <xdr:to>
      <xdr:col>9</xdr:col>
      <xdr:colOff>518583</xdr:colOff>
      <xdr:row>22</xdr:row>
      <xdr:rowOff>0</xdr:rowOff>
    </xdr:to>
    <xdr:sp macro="" textlink="">
      <xdr:nvSpPr>
        <xdr:cNvPr id="11" name="10 CuadroTexto">
          <a:hlinkClick xmlns:r="http://schemas.openxmlformats.org/officeDocument/2006/relationships" r:id="rId6"/>
        </xdr:cNvPr>
        <xdr:cNvSpPr txBox="1"/>
      </xdr:nvSpPr>
      <xdr:spPr>
        <a:xfrm>
          <a:off x="9556751" y="3302001"/>
          <a:ext cx="1121832" cy="518582"/>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244474</xdr:colOff>
      <xdr:row>0</xdr:row>
      <xdr:rowOff>172507</xdr:rowOff>
    </xdr:from>
    <xdr:to>
      <xdr:col>10</xdr:col>
      <xdr:colOff>591606</xdr:colOff>
      <xdr:row>6</xdr:row>
      <xdr:rowOff>56037</xdr:rowOff>
    </xdr:to>
    <xdr:pic>
      <xdr:nvPicPr>
        <xdr:cNvPr id="2" name="1 Imagen" descr="logo_ean_izquierda.jpg"/>
        <xdr:cNvPicPr>
          <a:picLocks noChangeAspect="1"/>
        </xdr:cNvPicPr>
      </xdr:nvPicPr>
      <xdr:blipFill>
        <a:blip xmlns:r="http://schemas.openxmlformats.org/officeDocument/2006/relationships" r:embed="rId1" cstate="print"/>
        <a:stretch>
          <a:fillRect/>
        </a:stretch>
      </xdr:blipFill>
      <xdr:spPr>
        <a:xfrm>
          <a:off x="10467974" y="172507"/>
          <a:ext cx="1934632" cy="1195863"/>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editAs="oneCell">
    <xdr:from>
      <xdr:col>6</xdr:col>
      <xdr:colOff>558309</xdr:colOff>
      <xdr:row>0</xdr:row>
      <xdr:rowOff>261409</xdr:rowOff>
    </xdr:from>
    <xdr:to>
      <xdr:col>8</xdr:col>
      <xdr:colOff>19049</xdr:colOff>
      <xdr:row>6</xdr:row>
      <xdr:rowOff>59267</xdr:rowOff>
    </xdr:to>
    <xdr:pic>
      <xdr:nvPicPr>
        <xdr:cNvPr id="14336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9046142" y="261409"/>
          <a:ext cx="1196407" cy="1110191"/>
        </a:xfrm>
        <a:prstGeom prst="roundRect">
          <a:avLst>
            <a:gd name="adj" fmla="val 4167"/>
          </a:avLst>
        </a:prstGeom>
        <a:solidFill>
          <a:srgbClr val="FFFFFF"/>
        </a:solidFill>
        <a:ln w="76200" cap="sq">
          <a:solidFill>
            <a:srgbClr val="292929"/>
          </a:solidFill>
          <a:miter lim="800000"/>
        </a:ln>
        <a:effectLst>
          <a:reflection blurRad="12700" stA="28000" endPos="28000" dist="5000" dir="5400000" sy="-100000" algn="bl" rotWithShape="0"/>
        </a:effectLst>
        <a:scene3d>
          <a:camera prst="orthographicFront"/>
          <a:lightRig rig="threePt" dir="t">
            <a:rot lat="0" lon="0" rev="2700000"/>
          </a:lightRig>
        </a:scene3d>
        <a:sp3d>
          <a:bevelT h="38100"/>
          <a:contourClr>
            <a:srgbClr val="C0C0C0"/>
          </a:contourClr>
        </a:sp3d>
      </xdr:spPr>
    </xdr:pic>
    <xdr:clientData/>
  </xdr:twoCellAnchor>
  <xdr:twoCellAnchor>
    <xdr:from>
      <xdr:col>6</xdr:col>
      <xdr:colOff>295275</xdr:colOff>
      <xdr:row>10</xdr:row>
      <xdr:rowOff>57150</xdr:rowOff>
    </xdr:from>
    <xdr:to>
      <xdr:col>12</xdr:col>
      <xdr:colOff>266700</xdr:colOff>
      <xdr:row>18</xdr:row>
      <xdr:rowOff>47625</xdr:rowOff>
    </xdr:to>
    <xdr:graphicFrame macro="">
      <xdr:nvGraphicFramePr>
        <xdr:cNvPr id="973832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304800</xdr:colOff>
      <xdr:row>20</xdr:row>
      <xdr:rowOff>38100</xdr:rowOff>
    </xdr:from>
    <xdr:to>
      <xdr:col>12</xdr:col>
      <xdr:colOff>285750</xdr:colOff>
      <xdr:row>28</xdr:row>
      <xdr:rowOff>133350</xdr:rowOff>
    </xdr:to>
    <xdr:graphicFrame macro="">
      <xdr:nvGraphicFramePr>
        <xdr:cNvPr id="9738323"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276225</xdr:colOff>
      <xdr:row>30</xdr:row>
      <xdr:rowOff>114300</xdr:rowOff>
    </xdr:from>
    <xdr:to>
      <xdr:col>12</xdr:col>
      <xdr:colOff>257175</xdr:colOff>
      <xdr:row>39</xdr:row>
      <xdr:rowOff>19050</xdr:rowOff>
    </xdr:to>
    <xdr:graphicFrame macro="">
      <xdr:nvGraphicFramePr>
        <xdr:cNvPr id="9738324"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285750</xdr:colOff>
      <xdr:row>41</xdr:row>
      <xdr:rowOff>19050</xdr:rowOff>
    </xdr:from>
    <xdr:to>
      <xdr:col>12</xdr:col>
      <xdr:colOff>266700</xdr:colOff>
      <xdr:row>49</xdr:row>
      <xdr:rowOff>104775</xdr:rowOff>
    </xdr:to>
    <xdr:graphicFrame macro="">
      <xdr:nvGraphicFramePr>
        <xdr:cNvPr id="9738325"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304800</xdr:colOff>
      <xdr:row>50</xdr:row>
      <xdr:rowOff>152400</xdr:rowOff>
    </xdr:from>
    <xdr:to>
      <xdr:col>12</xdr:col>
      <xdr:colOff>285750</xdr:colOff>
      <xdr:row>58</xdr:row>
      <xdr:rowOff>247650</xdr:rowOff>
    </xdr:to>
    <xdr:graphicFrame macro="">
      <xdr:nvGraphicFramePr>
        <xdr:cNvPr id="9738326"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433916</xdr:colOff>
      <xdr:row>7</xdr:row>
      <xdr:rowOff>42333</xdr:rowOff>
    </xdr:from>
    <xdr:to>
      <xdr:col>11</xdr:col>
      <xdr:colOff>105832</xdr:colOff>
      <xdr:row>9</xdr:row>
      <xdr:rowOff>116416</xdr:rowOff>
    </xdr:to>
    <xdr:sp macro="" textlink="">
      <xdr:nvSpPr>
        <xdr:cNvPr id="10" name="9 Flecha derecha">
          <a:hlinkClick xmlns:r="http://schemas.openxmlformats.org/officeDocument/2006/relationships" r:id="rId8"/>
        </xdr:cNvPr>
        <xdr:cNvSpPr/>
      </xdr:nvSpPr>
      <xdr:spPr>
        <a:xfrm>
          <a:off x="11493499" y="1524000"/>
          <a:ext cx="1397000" cy="465666"/>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7</xdr:col>
      <xdr:colOff>190499</xdr:colOff>
      <xdr:row>7</xdr:row>
      <xdr:rowOff>31749</xdr:rowOff>
    </xdr:from>
    <xdr:to>
      <xdr:col>8</xdr:col>
      <xdr:colOff>539749</xdr:colOff>
      <xdr:row>9</xdr:row>
      <xdr:rowOff>127000</xdr:rowOff>
    </xdr:to>
    <xdr:sp macro="" textlink="">
      <xdr:nvSpPr>
        <xdr:cNvPr id="12" name="11 Flecha izquierda">
          <a:hlinkClick xmlns:r="http://schemas.openxmlformats.org/officeDocument/2006/relationships" r:id="rId9"/>
        </xdr:cNvPr>
        <xdr:cNvSpPr/>
      </xdr:nvSpPr>
      <xdr:spPr>
        <a:xfrm>
          <a:off x="9440332" y="1513416"/>
          <a:ext cx="1322917" cy="486834"/>
        </a:xfrm>
        <a:prstGeom prst="leftArrow">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10</xdr:col>
      <xdr:colOff>533398</xdr:colOff>
      <xdr:row>83</xdr:row>
      <xdr:rowOff>46567</xdr:rowOff>
    </xdr:from>
    <xdr:to>
      <xdr:col>12</xdr:col>
      <xdr:colOff>247648</xdr:colOff>
      <xdr:row>84</xdr:row>
      <xdr:rowOff>374651</xdr:rowOff>
    </xdr:to>
    <xdr:sp macro="" textlink="">
      <xdr:nvSpPr>
        <xdr:cNvPr id="13" name="12 Flecha izquierda">
          <a:hlinkClick xmlns:r="http://schemas.openxmlformats.org/officeDocument/2006/relationships" r:id="rId10"/>
        </xdr:cNvPr>
        <xdr:cNvSpPr/>
      </xdr:nvSpPr>
      <xdr:spPr>
        <a:xfrm>
          <a:off x="12344398" y="15455900"/>
          <a:ext cx="1322917" cy="486834"/>
        </a:xfrm>
        <a:prstGeom prst="leftArrow">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14</xdr:col>
      <xdr:colOff>603251</xdr:colOff>
      <xdr:row>83</xdr:row>
      <xdr:rowOff>74082</xdr:rowOff>
    </xdr:from>
    <xdr:to>
      <xdr:col>16</xdr:col>
      <xdr:colOff>603251</xdr:colOff>
      <xdr:row>84</xdr:row>
      <xdr:rowOff>380998</xdr:rowOff>
    </xdr:to>
    <xdr:sp macro="" textlink="">
      <xdr:nvSpPr>
        <xdr:cNvPr id="14" name="13 Flecha derecha">
          <a:hlinkClick xmlns:r="http://schemas.openxmlformats.org/officeDocument/2006/relationships" r:id="rId11"/>
        </xdr:cNvPr>
        <xdr:cNvSpPr/>
      </xdr:nvSpPr>
      <xdr:spPr>
        <a:xfrm>
          <a:off x="15758584" y="15483415"/>
          <a:ext cx="1397000" cy="465666"/>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13</xdr:col>
      <xdr:colOff>402167</xdr:colOff>
      <xdr:row>0</xdr:row>
      <xdr:rowOff>127001</xdr:rowOff>
    </xdr:from>
    <xdr:to>
      <xdr:col>16</xdr:col>
      <xdr:colOff>952500</xdr:colOff>
      <xdr:row>2</xdr:row>
      <xdr:rowOff>95250</xdr:rowOff>
    </xdr:to>
    <xdr:sp macro="" textlink="">
      <xdr:nvSpPr>
        <xdr:cNvPr id="15" name="14 CuadroTexto"/>
        <xdr:cNvSpPr txBox="1"/>
      </xdr:nvSpPr>
      <xdr:spPr>
        <a:xfrm>
          <a:off x="14583834" y="127001"/>
          <a:ext cx="2920999"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800" b="1"/>
            <a:t>Desarrollado por: Esp. Mauricio</a:t>
          </a:r>
          <a:r>
            <a:rPr lang="es-CO" sz="800" b="1" baseline="0"/>
            <a:t> Reyes Giraldo.</a:t>
          </a:r>
        </a:p>
        <a:p>
          <a:r>
            <a:rPr lang="es-CO" sz="800" b="1" baseline="0"/>
            <a:t>Docente de Tiempo Completo Universidad EAN.</a:t>
          </a:r>
        </a:p>
        <a:p>
          <a:r>
            <a:rPr lang="es-CO" sz="800" b="1" baseline="0"/>
            <a:t>Coordinador Núcleo de Emprendimiento  FED Univeridad  -EAN.</a:t>
          </a:r>
        </a:p>
        <a:p>
          <a:endParaRPr lang="es-CO" sz="500"/>
        </a:p>
      </xdr:txBody>
    </xdr:sp>
    <xdr:clientData/>
  </xdr:twoCellAnchor>
  <xdr:twoCellAnchor>
    <xdr:from>
      <xdr:col>13</xdr:col>
      <xdr:colOff>412750</xdr:colOff>
      <xdr:row>84</xdr:row>
      <xdr:rowOff>391584</xdr:rowOff>
    </xdr:from>
    <xdr:to>
      <xdr:col>16</xdr:col>
      <xdr:colOff>873125</xdr:colOff>
      <xdr:row>86</xdr:row>
      <xdr:rowOff>131234</xdr:rowOff>
    </xdr:to>
    <xdr:sp macro="" textlink="">
      <xdr:nvSpPr>
        <xdr:cNvPr id="17" name="16 CuadroTexto">
          <a:hlinkClick xmlns:r="http://schemas.openxmlformats.org/officeDocument/2006/relationships" r:id="rId12"/>
        </xdr:cNvPr>
        <xdr:cNvSpPr txBox="1"/>
      </xdr:nvSpPr>
      <xdr:spPr>
        <a:xfrm>
          <a:off x="14594417" y="15959667"/>
          <a:ext cx="2831041"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Esp.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FED Universidad  -EAN.</a:t>
          </a:r>
        </a:p>
        <a:p>
          <a:pPr>
            <a:lnSpc>
              <a:spcPts val="900"/>
            </a:lnSpc>
          </a:pPr>
          <a:r>
            <a:rPr lang="es-CO" sz="800" b="1" baseline="0"/>
            <a:t>contacto: dmreyes@ean.edu.co</a:t>
          </a:r>
        </a:p>
        <a:p>
          <a:pPr>
            <a:lnSpc>
              <a:spcPts val="800"/>
            </a:lnSpc>
          </a:pPr>
          <a:r>
            <a:rPr lang="es-CO" sz="800" b="1" baseline="0"/>
            <a:t> </a:t>
          </a:r>
        </a:p>
        <a:p>
          <a:pPr>
            <a:lnSpc>
              <a:spcPts val="500"/>
            </a:lnSpc>
          </a:pPr>
          <a:endParaRPr lang="es-CO" sz="500"/>
        </a:p>
      </xdr:txBody>
    </xdr:sp>
    <xdr:clientData/>
  </xdr:twoCellAnchor>
  <xdr:twoCellAnchor>
    <xdr:from>
      <xdr:col>10</xdr:col>
      <xdr:colOff>857251</xdr:colOff>
      <xdr:row>1</xdr:row>
      <xdr:rowOff>148166</xdr:rowOff>
    </xdr:from>
    <xdr:to>
      <xdr:col>13</xdr:col>
      <xdr:colOff>613834</xdr:colOff>
      <xdr:row>7</xdr:row>
      <xdr:rowOff>10583</xdr:rowOff>
    </xdr:to>
    <xdr:sp macro="" textlink="">
      <xdr:nvSpPr>
        <xdr:cNvPr id="18" name="17 Flecha derecha">
          <a:hlinkClick xmlns:r="http://schemas.openxmlformats.org/officeDocument/2006/relationships" r:id="rId13"/>
        </xdr:cNvPr>
        <xdr:cNvSpPr/>
      </xdr:nvSpPr>
      <xdr:spPr>
        <a:xfrm>
          <a:off x="12668251" y="613833"/>
          <a:ext cx="2127250" cy="878417"/>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VOLVER</a:t>
          </a:r>
          <a:r>
            <a:rPr lang="es-CO" sz="1100" baseline="0"/>
            <a:t> A COSTO VS INGRESOS OPERACIONALES</a:t>
          </a:r>
          <a:endParaRPr lang="es-CO" sz="1100"/>
        </a:p>
      </xdr:txBody>
    </xdr:sp>
    <xdr:clientData/>
  </xdr:twoCellAnchor>
  <xdr:twoCellAnchor>
    <xdr:from>
      <xdr:col>10</xdr:col>
      <xdr:colOff>877359</xdr:colOff>
      <xdr:row>0</xdr:row>
      <xdr:rowOff>159809</xdr:rowOff>
    </xdr:from>
    <xdr:to>
      <xdr:col>12</xdr:col>
      <xdr:colOff>335492</xdr:colOff>
      <xdr:row>2</xdr:row>
      <xdr:rowOff>67733</xdr:rowOff>
    </xdr:to>
    <xdr:sp macro="" textlink="">
      <xdr:nvSpPr>
        <xdr:cNvPr id="16" name="15 CuadroTexto">
          <a:hlinkClick xmlns:r="http://schemas.openxmlformats.org/officeDocument/2006/relationships" r:id="rId14"/>
        </xdr:cNvPr>
        <xdr:cNvSpPr txBox="1"/>
      </xdr:nvSpPr>
      <xdr:spPr>
        <a:xfrm>
          <a:off x="12688359" y="159809"/>
          <a:ext cx="1066800" cy="542924"/>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a:solidFill>
                <a:schemeClr val="bg1"/>
              </a:solidFill>
              <a:latin typeface="Arial Black" pitchFamily="34" charset="0"/>
            </a:rPr>
            <a:t>MENÚ</a:t>
          </a:r>
          <a:r>
            <a:rPr lang="es-CO" sz="1100" baseline="0">
              <a:solidFill>
                <a:schemeClr val="bg1"/>
              </a:solidFill>
              <a:latin typeface="Arial Black" pitchFamily="34" charset="0"/>
            </a:rPr>
            <a:t> PRINCIPAL</a:t>
          </a:r>
          <a:endParaRPr lang="es-CO" sz="1100">
            <a:solidFill>
              <a:schemeClr val="bg1"/>
            </a:solidFill>
            <a:latin typeface="Arial Black" pitchFamily="34" charset="0"/>
          </a:endParaRPr>
        </a:p>
      </xdr:txBody>
    </xdr:sp>
    <xdr:clientData/>
  </xdr:twoCellAnchor>
  <xdr:twoCellAnchor>
    <xdr:from>
      <xdr:col>10</xdr:col>
      <xdr:colOff>381000</xdr:colOff>
      <xdr:row>84</xdr:row>
      <xdr:rowOff>508000</xdr:rowOff>
    </xdr:from>
    <xdr:to>
      <xdr:col>11</xdr:col>
      <xdr:colOff>582083</xdr:colOff>
      <xdr:row>86</xdr:row>
      <xdr:rowOff>84667</xdr:rowOff>
    </xdr:to>
    <xdr:sp macro="" textlink="">
      <xdr:nvSpPr>
        <xdr:cNvPr id="19" name="18 CuadroTexto">
          <a:hlinkClick xmlns:r="http://schemas.openxmlformats.org/officeDocument/2006/relationships" r:id="rId15"/>
        </xdr:cNvPr>
        <xdr:cNvSpPr txBox="1"/>
      </xdr:nvSpPr>
      <xdr:spPr>
        <a:xfrm>
          <a:off x="12192000" y="16076083"/>
          <a:ext cx="1174750" cy="560917"/>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solidFill>
                <a:schemeClr val="bg1"/>
              </a:solidFill>
              <a:latin typeface="Arial Black" pitchFamily="34" charset="0"/>
            </a:rPr>
            <a:t>MENÚ PRINCIPAL</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1400173</xdr:colOff>
      <xdr:row>0</xdr:row>
      <xdr:rowOff>157166</xdr:rowOff>
    </xdr:from>
    <xdr:to>
      <xdr:col>12</xdr:col>
      <xdr:colOff>329971</xdr:colOff>
      <xdr:row>4</xdr:row>
      <xdr:rowOff>194316</xdr:rowOff>
    </xdr:to>
    <xdr:pic>
      <xdr:nvPicPr>
        <xdr:cNvPr id="3" name="2 Imagen" descr="logo_ean_izquierda.jpg"/>
        <xdr:cNvPicPr>
          <a:picLocks noChangeAspect="1"/>
        </xdr:cNvPicPr>
      </xdr:nvPicPr>
      <xdr:blipFill>
        <a:blip xmlns:r="http://schemas.openxmlformats.org/officeDocument/2006/relationships" r:embed="rId1" cstate="print"/>
        <a:stretch>
          <a:fillRect/>
        </a:stretch>
      </xdr:blipFill>
      <xdr:spPr>
        <a:xfrm>
          <a:off x="14854236" y="157166"/>
          <a:ext cx="1453923" cy="894400"/>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6</xdr:col>
      <xdr:colOff>1076326</xdr:colOff>
      <xdr:row>0</xdr:row>
      <xdr:rowOff>33339</xdr:rowOff>
    </xdr:from>
    <xdr:ext cx="4983955" cy="1264442"/>
    <xdr:sp macro="" textlink="">
      <xdr:nvSpPr>
        <xdr:cNvPr id="5" name="4 Rectángulo"/>
        <xdr:cNvSpPr/>
      </xdr:nvSpPr>
      <xdr:spPr>
        <a:xfrm>
          <a:off x="10041732" y="33339"/>
          <a:ext cx="4983955" cy="1264442"/>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24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p>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Módulo de Costos de Producción.</a:t>
          </a:r>
          <a:endParaRPr lang="es-ES" sz="32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xdr:from>
      <xdr:col>7</xdr:col>
      <xdr:colOff>654844</xdr:colOff>
      <xdr:row>6</xdr:row>
      <xdr:rowOff>130968</xdr:rowOff>
    </xdr:from>
    <xdr:to>
      <xdr:col>8</xdr:col>
      <xdr:colOff>797718</xdr:colOff>
      <xdr:row>9</xdr:row>
      <xdr:rowOff>23812</xdr:rowOff>
    </xdr:to>
    <xdr:sp macro="" textlink="">
      <xdr:nvSpPr>
        <xdr:cNvPr id="6" name="5 Flecha izquierda">
          <a:hlinkClick xmlns:r="http://schemas.openxmlformats.org/officeDocument/2006/relationships" r:id="rId2"/>
        </xdr:cNvPr>
        <xdr:cNvSpPr/>
      </xdr:nvSpPr>
      <xdr:spPr>
        <a:xfrm>
          <a:off x="10751344" y="1393031"/>
          <a:ext cx="1262062" cy="511969"/>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928686</xdr:colOff>
      <xdr:row>6</xdr:row>
      <xdr:rowOff>95250</xdr:rowOff>
    </xdr:from>
    <xdr:to>
      <xdr:col>9</xdr:col>
      <xdr:colOff>1012031</xdr:colOff>
      <xdr:row>9</xdr:row>
      <xdr:rowOff>47624</xdr:rowOff>
    </xdr:to>
    <xdr:sp macro="" textlink="">
      <xdr:nvSpPr>
        <xdr:cNvPr id="7" name="6 Flecha derecha">
          <a:hlinkClick xmlns:r="http://schemas.openxmlformats.org/officeDocument/2006/relationships" r:id="rId3"/>
        </xdr:cNvPr>
        <xdr:cNvSpPr/>
      </xdr:nvSpPr>
      <xdr:spPr>
        <a:xfrm>
          <a:off x="12144374" y="1357313"/>
          <a:ext cx="1262063" cy="571499"/>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17</xdr:col>
      <xdr:colOff>1357312</xdr:colOff>
      <xdr:row>1</xdr:row>
      <xdr:rowOff>23812</xdr:rowOff>
    </xdr:from>
    <xdr:to>
      <xdr:col>20</xdr:col>
      <xdr:colOff>190500</xdr:colOff>
      <xdr:row>4</xdr:row>
      <xdr:rowOff>59531</xdr:rowOff>
    </xdr:to>
    <xdr:sp macro="" textlink="">
      <xdr:nvSpPr>
        <xdr:cNvPr id="8" name="7 CuadroTexto">
          <a:hlinkClick xmlns:r="http://schemas.openxmlformats.org/officeDocument/2006/relationships" r:id="rId4"/>
        </xdr:cNvPr>
        <xdr:cNvSpPr txBox="1"/>
      </xdr:nvSpPr>
      <xdr:spPr>
        <a:xfrm>
          <a:off x="23633906" y="238125"/>
          <a:ext cx="3143250" cy="6786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900" b="1"/>
            <a:t>Desarrollado por: Esp. Mauricio</a:t>
          </a:r>
          <a:r>
            <a:rPr lang="es-CO" sz="900" b="1" baseline="0"/>
            <a:t> Reyes Giraldo.</a:t>
          </a:r>
        </a:p>
        <a:p>
          <a:pPr>
            <a:lnSpc>
              <a:spcPts val="900"/>
            </a:lnSpc>
          </a:pPr>
          <a:r>
            <a:rPr lang="es-CO" sz="900" b="1" baseline="0"/>
            <a:t>Docente de Tiempo Completo Universidad EAN.</a:t>
          </a:r>
        </a:p>
        <a:p>
          <a:pPr>
            <a:lnSpc>
              <a:spcPts val="900"/>
            </a:lnSpc>
          </a:pPr>
          <a:r>
            <a:rPr lang="es-CO" sz="900" b="1" baseline="0"/>
            <a:t>Coordinador Núcleo de Emprendimiento.  FED Universidad  -EAN.</a:t>
          </a:r>
        </a:p>
        <a:p>
          <a:pPr>
            <a:lnSpc>
              <a:spcPts val="1000"/>
            </a:lnSpc>
          </a:pPr>
          <a:r>
            <a:rPr lang="es-CO" sz="900" b="1" baseline="0"/>
            <a:t>contacto: dmreyes@ean.edu.co</a:t>
          </a:r>
        </a:p>
        <a:p>
          <a:pPr>
            <a:lnSpc>
              <a:spcPts val="1100"/>
            </a:lnSpc>
          </a:pPr>
          <a:r>
            <a:rPr lang="es-CO" sz="1050" b="1" baseline="0"/>
            <a:t> </a:t>
          </a:r>
        </a:p>
        <a:p>
          <a:pPr>
            <a:lnSpc>
              <a:spcPts val="500"/>
            </a:lnSpc>
          </a:pPr>
          <a:endParaRPr lang="es-CO" sz="500"/>
        </a:p>
      </xdr:txBody>
    </xdr:sp>
    <xdr:clientData/>
  </xdr:twoCellAnchor>
  <xdr:twoCellAnchor>
    <xdr:from>
      <xdr:col>10</xdr:col>
      <xdr:colOff>178593</xdr:colOff>
      <xdr:row>6</xdr:row>
      <xdr:rowOff>83343</xdr:rowOff>
    </xdr:from>
    <xdr:to>
      <xdr:col>11</xdr:col>
      <xdr:colOff>130969</xdr:colOff>
      <xdr:row>9</xdr:row>
      <xdr:rowOff>83343</xdr:rowOff>
    </xdr:to>
    <xdr:sp macro="" textlink="">
      <xdr:nvSpPr>
        <xdr:cNvPr id="9" name="8 CuadroTexto">
          <a:hlinkClick xmlns:r="http://schemas.openxmlformats.org/officeDocument/2006/relationships" r:id="rId5"/>
        </xdr:cNvPr>
        <xdr:cNvSpPr txBox="1"/>
      </xdr:nvSpPr>
      <xdr:spPr>
        <a:xfrm>
          <a:off x="13632656" y="1345406"/>
          <a:ext cx="1369219" cy="61912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solidFill>
                <a:schemeClr val="bg1"/>
              </a:solidFill>
              <a:latin typeface="Arial Black" pitchFamily="34" charset="0"/>
            </a:rPr>
            <a:t>MENÚ PRINCIPAL</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120650</xdr:colOff>
      <xdr:row>1</xdr:row>
      <xdr:rowOff>47619</xdr:rowOff>
    </xdr:from>
    <xdr:to>
      <xdr:col>0</xdr:col>
      <xdr:colOff>2166238</xdr:colOff>
      <xdr:row>13</xdr:row>
      <xdr:rowOff>161925</xdr:rowOff>
    </xdr:to>
    <xdr:pic>
      <xdr:nvPicPr>
        <xdr:cNvPr id="2" name="1 Imagen" descr="logo_ean_izquierda.jpg"/>
        <xdr:cNvPicPr>
          <a:picLocks noChangeAspect="1"/>
        </xdr:cNvPicPr>
      </xdr:nvPicPr>
      <xdr:blipFill>
        <a:blip xmlns:r="http://schemas.openxmlformats.org/officeDocument/2006/relationships" r:embed="rId1" cstate="print"/>
        <a:stretch>
          <a:fillRect/>
        </a:stretch>
      </xdr:blipFill>
      <xdr:spPr>
        <a:xfrm>
          <a:off x="120650" y="219069"/>
          <a:ext cx="2045588" cy="1276356"/>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0</xdr:col>
      <xdr:colOff>3312</xdr:colOff>
      <xdr:row>35</xdr:row>
      <xdr:rowOff>107430</xdr:rowOff>
    </xdr:from>
    <xdr:ext cx="5556481" cy="646096"/>
    <xdr:sp macro="" textlink="">
      <xdr:nvSpPr>
        <xdr:cNvPr id="3" name="2 Rectángulo"/>
        <xdr:cNvSpPr/>
      </xdr:nvSpPr>
      <xdr:spPr>
        <a:xfrm>
          <a:off x="-53838" y="5028680"/>
          <a:ext cx="5670655" cy="655885"/>
        </a:xfrm>
        <a:prstGeom prst="rect">
          <a:avLst/>
        </a:prstGeom>
        <a:solidFill>
          <a:srgbClr val="FF0000"/>
        </a:solidFill>
      </xdr:spPr>
      <xdr:txBody>
        <a:bodyPr wrap="none" lIns="91440" tIns="45720" rIns="91440" bIns="45720">
          <a:spAutoFit/>
        </a:bodyPr>
        <a:lstStyle/>
        <a:p>
          <a:pPr algn="ctr"/>
          <a:r>
            <a:rPr lang="es-ES" sz="36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Inversión</a:t>
          </a:r>
          <a:r>
            <a:rPr lang="es-ES" sz="36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en Infraestructura:</a:t>
          </a:r>
          <a:endParaRPr lang="es-ES" sz="4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xdr:from>
      <xdr:col>7</xdr:col>
      <xdr:colOff>228600</xdr:colOff>
      <xdr:row>26</xdr:row>
      <xdr:rowOff>28576</xdr:rowOff>
    </xdr:from>
    <xdr:to>
      <xdr:col>8</xdr:col>
      <xdr:colOff>781050</xdr:colOff>
      <xdr:row>29</xdr:row>
      <xdr:rowOff>28576</xdr:rowOff>
    </xdr:to>
    <xdr:sp macro="" textlink="">
      <xdr:nvSpPr>
        <xdr:cNvPr id="6" name="5 Flecha derecha">
          <a:hlinkClick xmlns:r="http://schemas.openxmlformats.org/officeDocument/2006/relationships" r:id="rId2"/>
        </xdr:cNvPr>
        <xdr:cNvSpPr/>
      </xdr:nvSpPr>
      <xdr:spPr>
        <a:xfrm>
          <a:off x="11715750" y="3533776"/>
          <a:ext cx="1619250" cy="495300"/>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7</xdr:col>
      <xdr:colOff>161925</xdr:colOff>
      <xdr:row>18</xdr:row>
      <xdr:rowOff>142874</xdr:rowOff>
    </xdr:from>
    <xdr:to>
      <xdr:col>9</xdr:col>
      <xdr:colOff>57150</xdr:colOff>
      <xdr:row>24</xdr:row>
      <xdr:rowOff>152399</xdr:rowOff>
    </xdr:to>
    <xdr:sp macro="" textlink="">
      <xdr:nvSpPr>
        <xdr:cNvPr id="7" name="6 Flecha izquierda">
          <a:hlinkClick xmlns:r="http://schemas.openxmlformats.org/officeDocument/2006/relationships" r:id="rId3"/>
        </xdr:cNvPr>
        <xdr:cNvSpPr/>
      </xdr:nvSpPr>
      <xdr:spPr>
        <a:xfrm>
          <a:off x="11649075" y="2324099"/>
          <a:ext cx="2028825" cy="1000125"/>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VOLVER A INTRUCCIONES GENERALES</a:t>
          </a:r>
        </a:p>
      </xdr:txBody>
    </xdr:sp>
    <xdr:clientData/>
  </xdr:twoCellAnchor>
  <xdr:twoCellAnchor>
    <xdr:from>
      <xdr:col>7</xdr:col>
      <xdr:colOff>228600</xdr:colOff>
      <xdr:row>29</xdr:row>
      <xdr:rowOff>47625</xdr:rowOff>
    </xdr:from>
    <xdr:to>
      <xdr:col>8</xdr:col>
      <xdr:colOff>723900</xdr:colOff>
      <xdr:row>32</xdr:row>
      <xdr:rowOff>28575</xdr:rowOff>
    </xdr:to>
    <xdr:sp macro="" textlink="">
      <xdr:nvSpPr>
        <xdr:cNvPr id="8" name="7 Flecha izquierda">
          <a:hlinkClick xmlns:r="http://schemas.openxmlformats.org/officeDocument/2006/relationships" r:id="rId4"/>
        </xdr:cNvPr>
        <xdr:cNvSpPr/>
      </xdr:nvSpPr>
      <xdr:spPr>
        <a:xfrm>
          <a:off x="11715750" y="4048125"/>
          <a:ext cx="1562100" cy="47625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7</xdr:col>
      <xdr:colOff>497416</xdr:colOff>
      <xdr:row>10</xdr:row>
      <xdr:rowOff>42333</xdr:rowOff>
    </xdr:from>
    <xdr:to>
      <xdr:col>8</xdr:col>
      <xdr:colOff>899584</xdr:colOff>
      <xdr:row>14</xdr:row>
      <xdr:rowOff>148166</xdr:rowOff>
    </xdr:to>
    <xdr:sp macro="" textlink="">
      <xdr:nvSpPr>
        <xdr:cNvPr id="9" name="8 CuadroTexto">
          <a:hlinkClick xmlns:r="http://schemas.openxmlformats.org/officeDocument/2006/relationships" r:id="rId5"/>
        </xdr:cNvPr>
        <xdr:cNvSpPr txBox="1"/>
      </xdr:nvSpPr>
      <xdr:spPr>
        <a:xfrm>
          <a:off x="12012083" y="1026583"/>
          <a:ext cx="1471084" cy="6032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117274</xdr:colOff>
      <xdr:row>0</xdr:row>
      <xdr:rowOff>82551</xdr:rowOff>
    </xdr:from>
    <xdr:to>
      <xdr:col>1</xdr:col>
      <xdr:colOff>740833</xdr:colOff>
      <xdr:row>4</xdr:row>
      <xdr:rowOff>31750</xdr:rowOff>
    </xdr:to>
    <xdr:pic>
      <xdr:nvPicPr>
        <xdr:cNvPr id="2" name="1 Imagen" descr="logo_ean_izquierda.jpg"/>
        <xdr:cNvPicPr>
          <a:picLocks noChangeAspect="1"/>
        </xdr:cNvPicPr>
      </xdr:nvPicPr>
      <xdr:blipFill>
        <a:blip xmlns:r="http://schemas.openxmlformats.org/officeDocument/2006/relationships" r:embed="rId1" cstate="print"/>
        <a:stretch>
          <a:fillRect/>
        </a:stretch>
      </xdr:blipFill>
      <xdr:spPr>
        <a:xfrm>
          <a:off x="117274" y="82551"/>
          <a:ext cx="972809" cy="584199"/>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1</xdr:col>
      <xdr:colOff>836084</xdr:colOff>
      <xdr:row>0</xdr:row>
      <xdr:rowOff>0</xdr:rowOff>
    </xdr:from>
    <xdr:ext cx="7545916" cy="920750"/>
    <xdr:sp macro="" textlink="">
      <xdr:nvSpPr>
        <xdr:cNvPr id="3" name="2 Rectángulo"/>
        <xdr:cNvSpPr/>
      </xdr:nvSpPr>
      <xdr:spPr>
        <a:xfrm>
          <a:off x="1185334" y="0"/>
          <a:ext cx="7545916" cy="920750"/>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Módulo de Cálculo de Gastos Administrativos y Ventas.</a:t>
          </a:r>
        </a:p>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Cuantificación de los COSTOS FIJO</a:t>
          </a:r>
          <a:r>
            <a:rPr lang="es-ES" sz="18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a:t>
          </a:r>
          <a:r>
            <a:rPr lang="es-ES" sz="1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a:t>
          </a:r>
        </a:p>
        <a:p>
          <a:pPr algn="ct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oneCellAnchor>
    <xdr:from>
      <xdr:col>0</xdr:col>
      <xdr:colOff>-3281</xdr:colOff>
      <xdr:row>7</xdr:row>
      <xdr:rowOff>147646</xdr:rowOff>
    </xdr:from>
    <xdr:ext cx="3672065" cy="439359"/>
    <xdr:sp macro="" textlink="">
      <xdr:nvSpPr>
        <xdr:cNvPr id="4" name="3 Rectángulo"/>
        <xdr:cNvSpPr/>
      </xdr:nvSpPr>
      <xdr:spPr>
        <a:xfrm>
          <a:off x="-50906" y="1290646"/>
          <a:ext cx="3767443" cy="468013"/>
        </a:xfrm>
        <a:prstGeom prst="rect">
          <a:avLst/>
        </a:prstGeom>
        <a:solidFill>
          <a:srgbClr val="FFC000"/>
        </a:solidFill>
      </xdr:spPr>
      <xdr:txBody>
        <a:bodyPr wrap="none" lIns="91440" tIns="45720" rIns="91440" bIns="45720">
          <a:spAutoFit/>
        </a:bodyPr>
        <a:lstStyle/>
        <a:p>
          <a:pPr algn="ctr"/>
          <a:r>
            <a:rPr lang="es-ES" sz="2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NÓMINA ADMINISTRATIVA:</a:t>
          </a:r>
          <a:endParaRPr lang="es-E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editAs="oneCell">
    <xdr:from>
      <xdr:col>3</xdr:col>
      <xdr:colOff>495300</xdr:colOff>
      <xdr:row>47</xdr:row>
      <xdr:rowOff>34925</xdr:rowOff>
    </xdr:from>
    <xdr:to>
      <xdr:col>4</xdr:col>
      <xdr:colOff>743910</xdr:colOff>
      <xdr:row>52</xdr:row>
      <xdr:rowOff>153564</xdr:rowOff>
    </xdr:to>
    <xdr:pic>
      <xdr:nvPicPr>
        <xdr:cNvPr id="1782868" name="Picture 84"/>
        <xdr:cNvPicPr>
          <a:picLocks noChangeAspect="1" noChangeArrowheads="1"/>
        </xdr:cNvPicPr>
      </xdr:nvPicPr>
      <xdr:blipFill>
        <a:blip xmlns:r="http://schemas.openxmlformats.org/officeDocument/2006/relationships" r:embed="rId2" cstate="print"/>
        <a:srcRect/>
        <a:stretch>
          <a:fillRect/>
        </a:stretch>
      </xdr:blipFill>
      <xdr:spPr bwMode="auto">
        <a:xfrm>
          <a:off x="4358217" y="7633758"/>
          <a:ext cx="1444526" cy="944139"/>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oneCellAnchor>
    <xdr:from>
      <xdr:col>0</xdr:col>
      <xdr:colOff>113565</xdr:colOff>
      <xdr:row>48</xdr:row>
      <xdr:rowOff>101081</xdr:rowOff>
    </xdr:from>
    <xdr:ext cx="3627644" cy="524394"/>
    <xdr:sp macro="" textlink="">
      <xdr:nvSpPr>
        <xdr:cNvPr id="9" name="8 Rectángulo"/>
        <xdr:cNvSpPr/>
      </xdr:nvSpPr>
      <xdr:spPr>
        <a:xfrm>
          <a:off x="113565" y="7858664"/>
          <a:ext cx="3627644" cy="524394"/>
        </a:xfrm>
        <a:prstGeom prst="rect">
          <a:avLst/>
        </a:prstGeom>
        <a:solidFill>
          <a:srgbClr val="FF0000"/>
        </a:solidFill>
      </xdr:spPr>
      <xdr:txBody>
        <a:bodyPr wrap="square" lIns="91440" tIns="45720" rIns="91440" bIns="45720">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es-ES" sz="2400" b="1">
              <a:effectLst>
                <a:outerShdw blurRad="50800" dist="38100" algn="tr" rotWithShape="0">
                  <a:prstClr val="black">
                    <a:alpha val="40000"/>
                  </a:prstClr>
                </a:outerShdw>
              </a:effectLst>
              <a:latin typeface="+mn-lt"/>
              <a:ea typeface="+mn-ea"/>
              <a:cs typeface="+mn-cs"/>
            </a:rPr>
            <a:t>NÓMINA</a:t>
          </a:r>
          <a:r>
            <a:rPr lang="es-ES" sz="2400" b="1" baseline="0">
              <a:effectLst>
                <a:outerShdw blurRad="50800" dist="38100" algn="tr" rotWithShape="0">
                  <a:prstClr val="black">
                    <a:alpha val="40000"/>
                  </a:prstClr>
                </a:outerShdw>
              </a:effectLst>
              <a:latin typeface="+mn-lt"/>
              <a:ea typeface="+mn-ea"/>
              <a:cs typeface="+mn-cs"/>
            </a:rPr>
            <a:t> ÁREA DE VENTAS</a:t>
          </a:r>
          <a:endParaRPr lang="es-ES" sz="5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oneCellAnchor>
    <xdr:from>
      <xdr:col>1</xdr:col>
      <xdr:colOff>306917</xdr:colOff>
      <xdr:row>88</xdr:row>
      <xdr:rowOff>115899</xdr:rowOff>
    </xdr:from>
    <xdr:ext cx="5619317" cy="530658"/>
    <xdr:sp macro="" textlink="">
      <xdr:nvSpPr>
        <xdr:cNvPr id="10" name="9 Rectángulo"/>
        <xdr:cNvSpPr/>
      </xdr:nvSpPr>
      <xdr:spPr>
        <a:xfrm>
          <a:off x="656167" y="14382232"/>
          <a:ext cx="5619317" cy="530658"/>
        </a:xfrm>
        <a:prstGeom prst="rect">
          <a:avLst/>
        </a:prstGeom>
        <a:solidFill>
          <a:srgbClr val="FFFF00"/>
        </a:solidFill>
      </xdr:spPr>
      <xdr:txBody>
        <a:bodyPr wrap="square" lIns="91440" tIns="45720" rIns="91440" bIns="45720">
          <a:noAutofit/>
        </a:bodyPr>
        <a:lstStyle/>
        <a:p>
          <a:pPr algn="ctr"/>
          <a:r>
            <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NÓMINA</a:t>
          </a:r>
          <a:r>
            <a:rPr lang="es-ES" sz="28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DEL ÁREA DE PRODUCCIÓN</a:t>
          </a:r>
          <a:endPar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oneCellAnchor>
    <xdr:from>
      <xdr:col>0</xdr:col>
      <xdr:colOff>47625</xdr:colOff>
      <xdr:row>127</xdr:row>
      <xdr:rowOff>121708</xdr:rowOff>
    </xdr:from>
    <xdr:ext cx="5619317" cy="530658"/>
    <xdr:sp macro="" textlink="">
      <xdr:nvSpPr>
        <xdr:cNvPr id="11" name="10 Rectángulo"/>
        <xdr:cNvSpPr/>
      </xdr:nvSpPr>
      <xdr:spPr>
        <a:xfrm>
          <a:off x="47625" y="20706291"/>
          <a:ext cx="5619317" cy="530658"/>
        </a:xfrm>
        <a:prstGeom prst="rect">
          <a:avLst/>
        </a:prstGeom>
        <a:solidFill>
          <a:srgbClr val="0070C0"/>
        </a:solidFill>
      </xdr:spPr>
      <xdr:txBody>
        <a:bodyPr wrap="square" lIns="91440" tIns="45720" rIns="91440" bIns="45720">
          <a:noAutofit/>
        </a:bodyPr>
        <a:lstStyle/>
        <a:p>
          <a:pPr algn="ctr"/>
          <a:r>
            <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COSTOS</a:t>
          </a:r>
          <a:r>
            <a:rPr lang="es-ES" sz="28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Y GASTOS FIJOS:</a:t>
          </a:r>
          <a:endPar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editAs="oneCell">
    <xdr:from>
      <xdr:col>4</xdr:col>
      <xdr:colOff>277285</xdr:colOff>
      <xdr:row>132</xdr:row>
      <xdr:rowOff>128055</xdr:rowOff>
    </xdr:from>
    <xdr:to>
      <xdr:col>5</xdr:col>
      <xdr:colOff>342979</xdr:colOff>
      <xdr:row>139</xdr:row>
      <xdr:rowOff>28892</xdr:rowOff>
    </xdr:to>
    <xdr:pic>
      <xdr:nvPicPr>
        <xdr:cNvPr id="1783166" name="Picture 382"/>
        <xdr:cNvPicPr>
          <a:picLocks noChangeAspect="1" noChangeArrowheads="1"/>
        </xdr:cNvPicPr>
      </xdr:nvPicPr>
      <xdr:blipFill>
        <a:blip xmlns:r="http://schemas.openxmlformats.org/officeDocument/2006/relationships" r:embed="rId3" cstate="print"/>
        <a:srcRect/>
        <a:stretch>
          <a:fillRect/>
        </a:stretch>
      </xdr:blipFill>
      <xdr:spPr bwMode="auto">
        <a:xfrm>
          <a:off x="5336118" y="21506388"/>
          <a:ext cx="1261611" cy="1012087"/>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5</xdr:col>
      <xdr:colOff>351366</xdr:colOff>
      <xdr:row>87</xdr:row>
      <xdr:rowOff>130175</xdr:rowOff>
    </xdr:from>
    <xdr:to>
      <xdr:col>6</xdr:col>
      <xdr:colOff>480512</xdr:colOff>
      <xdr:row>93</xdr:row>
      <xdr:rowOff>42335</xdr:rowOff>
    </xdr:to>
    <xdr:pic>
      <xdr:nvPicPr>
        <xdr:cNvPr id="1783185" name="Picture 401"/>
        <xdr:cNvPicPr>
          <a:picLocks noChangeAspect="1" noChangeArrowheads="1"/>
        </xdr:cNvPicPr>
      </xdr:nvPicPr>
      <xdr:blipFill>
        <a:blip xmlns:r="http://schemas.openxmlformats.org/officeDocument/2006/relationships" r:embed="rId4" cstate="print"/>
        <a:srcRect/>
        <a:stretch>
          <a:fillRect/>
        </a:stretch>
      </xdr:blipFill>
      <xdr:spPr bwMode="auto">
        <a:xfrm>
          <a:off x="6606116" y="14237758"/>
          <a:ext cx="1325063" cy="864660"/>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3</xdr:col>
      <xdr:colOff>1007523</xdr:colOff>
      <xdr:row>5</xdr:row>
      <xdr:rowOff>98761</xdr:rowOff>
    </xdr:from>
    <xdr:to>
      <xdr:col>4</xdr:col>
      <xdr:colOff>975784</xdr:colOff>
      <xdr:row>11</xdr:row>
      <xdr:rowOff>80436</xdr:rowOff>
    </xdr:to>
    <xdr:pic>
      <xdr:nvPicPr>
        <xdr:cNvPr id="1783196" name="Picture 412"/>
        <xdr:cNvPicPr>
          <a:picLocks noChangeAspect="1" noChangeArrowheads="1"/>
        </xdr:cNvPicPr>
      </xdr:nvPicPr>
      <xdr:blipFill>
        <a:blip xmlns:r="http://schemas.openxmlformats.org/officeDocument/2006/relationships" r:embed="rId5" cstate="print"/>
        <a:srcRect/>
        <a:stretch>
          <a:fillRect/>
        </a:stretch>
      </xdr:blipFill>
      <xdr:spPr bwMode="auto">
        <a:xfrm>
          <a:off x="4870440" y="892511"/>
          <a:ext cx="1164177" cy="944758"/>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oneCellAnchor>
    <xdr:from>
      <xdr:col>6</xdr:col>
      <xdr:colOff>1440393</xdr:colOff>
      <xdr:row>128</xdr:row>
      <xdr:rowOff>37041</xdr:rowOff>
    </xdr:from>
    <xdr:ext cx="7037915" cy="530658"/>
    <xdr:sp macro="" textlink="">
      <xdr:nvSpPr>
        <xdr:cNvPr id="14" name="13 Rectángulo"/>
        <xdr:cNvSpPr/>
      </xdr:nvSpPr>
      <xdr:spPr>
        <a:xfrm>
          <a:off x="8891060" y="20780374"/>
          <a:ext cx="7037915" cy="530658"/>
        </a:xfrm>
        <a:prstGeom prst="rect">
          <a:avLst/>
        </a:prstGeom>
        <a:solidFill>
          <a:srgbClr val="C00000"/>
        </a:solidFill>
      </xdr:spPr>
      <xdr:txBody>
        <a:bodyPr wrap="square" lIns="91440" tIns="45720" rIns="91440" bIns="45720">
          <a:noAutofit/>
        </a:bodyPr>
        <a:lstStyle/>
        <a:p>
          <a:pPr algn="ctr"/>
          <a:r>
            <a:rPr lang="es-ES" sz="28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PRESUPUESTO DE LA MEZCLA DE MERCADEO:</a:t>
          </a:r>
          <a:endPar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xdr:from>
      <xdr:col>5</xdr:col>
      <xdr:colOff>485775</xdr:colOff>
      <xdr:row>6</xdr:row>
      <xdr:rowOff>152400</xdr:rowOff>
    </xdr:from>
    <xdr:to>
      <xdr:col>6</xdr:col>
      <xdr:colOff>342900</xdr:colOff>
      <xdr:row>9</xdr:row>
      <xdr:rowOff>123825</xdr:rowOff>
    </xdr:to>
    <xdr:sp macro="" textlink="">
      <xdr:nvSpPr>
        <xdr:cNvPr id="13" name="12 Flecha izquierda">
          <a:hlinkClick xmlns:r="http://schemas.openxmlformats.org/officeDocument/2006/relationships" r:id="rId6"/>
        </xdr:cNvPr>
        <xdr:cNvSpPr/>
      </xdr:nvSpPr>
      <xdr:spPr>
        <a:xfrm>
          <a:off x="6734175" y="1133475"/>
          <a:ext cx="1047750" cy="4572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6</xdr:col>
      <xdr:colOff>933450</xdr:colOff>
      <xdr:row>7</xdr:row>
      <xdr:rowOff>9525</xdr:rowOff>
    </xdr:from>
    <xdr:to>
      <xdr:col>7</xdr:col>
      <xdr:colOff>619125</xdr:colOff>
      <xdr:row>9</xdr:row>
      <xdr:rowOff>133350</xdr:rowOff>
    </xdr:to>
    <xdr:sp macro="" textlink="">
      <xdr:nvSpPr>
        <xdr:cNvPr id="15" name="14 Flecha derecha">
          <a:hlinkClick xmlns:r="http://schemas.openxmlformats.org/officeDocument/2006/relationships" r:id="rId7"/>
        </xdr:cNvPr>
        <xdr:cNvSpPr/>
      </xdr:nvSpPr>
      <xdr:spPr>
        <a:xfrm>
          <a:off x="8372475" y="1152525"/>
          <a:ext cx="115252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0</xdr:colOff>
      <xdr:row>41</xdr:row>
      <xdr:rowOff>0</xdr:rowOff>
    </xdr:from>
    <xdr:to>
      <xdr:col>6</xdr:col>
      <xdr:colOff>1047750</xdr:colOff>
      <xdr:row>43</xdr:row>
      <xdr:rowOff>133350</xdr:rowOff>
    </xdr:to>
    <xdr:sp macro="" textlink="">
      <xdr:nvSpPr>
        <xdr:cNvPr id="16" name="15 Flecha izquierda">
          <a:hlinkClick xmlns:r="http://schemas.openxmlformats.org/officeDocument/2006/relationships" r:id="rId8"/>
        </xdr:cNvPr>
        <xdr:cNvSpPr/>
      </xdr:nvSpPr>
      <xdr:spPr>
        <a:xfrm>
          <a:off x="7439025" y="6772275"/>
          <a:ext cx="1047750" cy="4572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28575</xdr:colOff>
      <xdr:row>41</xdr:row>
      <xdr:rowOff>47625</xdr:rowOff>
    </xdr:from>
    <xdr:to>
      <xdr:col>9</xdr:col>
      <xdr:colOff>104775</xdr:colOff>
      <xdr:row>44</xdr:row>
      <xdr:rowOff>9525</xdr:rowOff>
    </xdr:to>
    <xdr:sp macro="" textlink="">
      <xdr:nvSpPr>
        <xdr:cNvPr id="17" name="16 Flecha derecha">
          <a:hlinkClick xmlns:r="http://schemas.openxmlformats.org/officeDocument/2006/relationships" r:id="rId9"/>
        </xdr:cNvPr>
        <xdr:cNvSpPr/>
      </xdr:nvSpPr>
      <xdr:spPr>
        <a:xfrm>
          <a:off x="9772650" y="6819900"/>
          <a:ext cx="115252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704850</xdr:colOff>
      <xdr:row>80</xdr:row>
      <xdr:rowOff>123825</xdr:rowOff>
    </xdr:from>
    <xdr:to>
      <xdr:col>7</xdr:col>
      <xdr:colOff>285750</xdr:colOff>
      <xdr:row>83</xdr:row>
      <xdr:rowOff>95250</xdr:rowOff>
    </xdr:to>
    <xdr:sp macro="" textlink="">
      <xdr:nvSpPr>
        <xdr:cNvPr id="18" name="17 Flecha izquierda">
          <a:hlinkClick xmlns:r="http://schemas.openxmlformats.org/officeDocument/2006/relationships" r:id="rId10"/>
        </xdr:cNvPr>
        <xdr:cNvSpPr/>
      </xdr:nvSpPr>
      <xdr:spPr>
        <a:xfrm>
          <a:off x="8143875" y="13363575"/>
          <a:ext cx="1047750" cy="4572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695325</xdr:colOff>
      <xdr:row>80</xdr:row>
      <xdr:rowOff>152400</xdr:rowOff>
    </xdr:from>
    <xdr:to>
      <xdr:col>9</xdr:col>
      <xdr:colOff>771525</xdr:colOff>
      <xdr:row>83</xdr:row>
      <xdr:rowOff>114300</xdr:rowOff>
    </xdr:to>
    <xdr:sp macro="" textlink="">
      <xdr:nvSpPr>
        <xdr:cNvPr id="19" name="18 Flecha derecha">
          <a:hlinkClick xmlns:r="http://schemas.openxmlformats.org/officeDocument/2006/relationships" r:id="rId11"/>
        </xdr:cNvPr>
        <xdr:cNvSpPr/>
      </xdr:nvSpPr>
      <xdr:spPr>
        <a:xfrm>
          <a:off x="10439400" y="13392150"/>
          <a:ext cx="115252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447675</xdr:colOff>
      <xdr:row>119</xdr:row>
      <xdr:rowOff>76200</xdr:rowOff>
    </xdr:from>
    <xdr:to>
      <xdr:col>7</xdr:col>
      <xdr:colOff>28575</xdr:colOff>
      <xdr:row>122</xdr:row>
      <xdr:rowOff>47625</xdr:rowOff>
    </xdr:to>
    <xdr:sp macro="" textlink="">
      <xdr:nvSpPr>
        <xdr:cNvPr id="20" name="19 Flecha izquierda">
          <a:hlinkClick xmlns:r="http://schemas.openxmlformats.org/officeDocument/2006/relationships" r:id="rId12"/>
        </xdr:cNvPr>
        <xdr:cNvSpPr/>
      </xdr:nvSpPr>
      <xdr:spPr>
        <a:xfrm>
          <a:off x="7886700" y="19754850"/>
          <a:ext cx="1047750" cy="4572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342900</xdr:colOff>
      <xdr:row>119</xdr:row>
      <xdr:rowOff>114300</xdr:rowOff>
    </xdr:from>
    <xdr:to>
      <xdr:col>9</xdr:col>
      <xdr:colOff>419100</xdr:colOff>
      <xdr:row>122</xdr:row>
      <xdr:rowOff>76200</xdr:rowOff>
    </xdr:to>
    <xdr:sp macro="" textlink="">
      <xdr:nvSpPr>
        <xdr:cNvPr id="21" name="20 Flecha derecha">
          <a:hlinkClick xmlns:r="http://schemas.openxmlformats.org/officeDocument/2006/relationships" r:id="rId13"/>
        </xdr:cNvPr>
        <xdr:cNvSpPr/>
      </xdr:nvSpPr>
      <xdr:spPr>
        <a:xfrm>
          <a:off x="10086975" y="19792950"/>
          <a:ext cx="115252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7</xdr:col>
      <xdr:colOff>333375</xdr:colOff>
      <xdr:row>0</xdr:row>
      <xdr:rowOff>133350</xdr:rowOff>
    </xdr:from>
    <xdr:to>
      <xdr:col>9</xdr:col>
      <xdr:colOff>759279</xdr:colOff>
      <xdr:row>3</xdr:row>
      <xdr:rowOff>123825</xdr:rowOff>
    </xdr:to>
    <xdr:sp macro="" textlink="">
      <xdr:nvSpPr>
        <xdr:cNvPr id="22" name="21 CuadroTexto">
          <a:hlinkClick xmlns:r="http://schemas.openxmlformats.org/officeDocument/2006/relationships" r:id="rId14"/>
        </xdr:cNvPr>
        <xdr:cNvSpPr txBox="1"/>
      </xdr:nvSpPr>
      <xdr:spPr>
        <a:xfrm>
          <a:off x="9239250" y="133350"/>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pPr>
            <a:lnSpc>
              <a:spcPts val="600"/>
            </a:lnSpc>
          </a:pPr>
          <a:r>
            <a:rPr lang="es-CO" sz="6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200026</xdr:colOff>
      <xdr:row>5</xdr:row>
      <xdr:rowOff>161925</xdr:rowOff>
    </xdr:from>
    <xdr:to>
      <xdr:col>9</xdr:col>
      <xdr:colOff>209551</xdr:colOff>
      <xdr:row>9</xdr:row>
      <xdr:rowOff>0</xdr:rowOff>
    </xdr:to>
    <xdr:sp macro="" textlink="">
      <xdr:nvSpPr>
        <xdr:cNvPr id="23" name="22 CuadroTexto">
          <a:hlinkClick xmlns:r="http://schemas.openxmlformats.org/officeDocument/2006/relationships" r:id="rId15"/>
        </xdr:cNvPr>
        <xdr:cNvSpPr txBox="1"/>
      </xdr:nvSpPr>
      <xdr:spPr>
        <a:xfrm>
          <a:off x="9944101" y="971550"/>
          <a:ext cx="1085850" cy="49530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twoCellAnchor>
    <xdr:from>
      <xdr:col>6</xdr:col>
      <xdr:colOff>962025</xdr:colOff>
      <xdr:row>34</xdr:row>
      <xdr:rowOff>38100</xdr:rowOff>
    </xdr:from>
    <xdr:to>
      <xdr:col>7</xdr:col>
      <xdr:colOff>533400</xdr:colOff>
      <xdr:row>37</xdr:row>
      <xdr:rowOff>57150</xdr:rowOff>
    </xdr:to>
    <xdr:sp macro="" textlink="">
      <xdr:nvSpPr>
        <xdr:cNvPr id="24" name="23 CuadroTexto">
          <a:hlinkClick xmlns:r="http://schemas.openxmlformats.org/officeDocument/2006/relationships" r:id="rId16"/>
        </xdr:cNvPr>
        <xdr:cNvSpPr txBox="1"/>
      </xdr:nvSpPr>
      <xdr:spPr>
        <a:xfrm>
          <a:off x="8401050" y="5676900"/>
          <a:ext cx="1038225" cy="50482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twoCellAnchor>
    <xdr:from>
      <xdr:col>7</xdr:col>
      <xdr:colOff>400049</xdr:colOff>
      <xdr:row>76</xdr:row>
      <xdr:rowOff>28575</xdr:rowOff>
    </xdr:from>
    <xdr:to>
      <xdr:col>8</xdr:col>
      <xdr:colOff>695324</xdr:colOff>
      <xdr:row>79</xdr:row>
      <xdr:rowOff>28575</xdr:rowOff>
    </xdr:to>
    <xdr:sp macro="" textlink="">
      <xdr:nvSpPr>
        <xdr:cNvPr id="26" name="25 CuadroTexto">
          <a:hlinkClick xmlns:r="http://schemas.openxmlformats.org/officeDocument/2006/relationships" r:id="rId17"/>
        </xdr:cNvPr>
        <xdr:cNvSpPr txBox="1"/>
      </xdr:nvSpPr>
      <xdr:spPr>
        <a:xfrm>
          <a:off x="9305924" y="12620625"/>
          <a:ext cx="1133475" cy="48577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twoCellAnchor>
    <xdr:from>
      <xdr:col>7</xdr:col>
      <xdr:colOff>66675</xdr:colOff>
      <xdr:row>114</xdr:row>
      <xdr:rowOff>47626</xdr:rowOff>
    </xdr:from>
    <xdr:to>
      <xdr:col>8</xdr:col>
      <xdr:colOff>333375</xdr:colOff>
      <xdr:row>117</xdr:row>
      <xdr:rowOff>57151</xdr:rowOff>
    </xdr:to>
    <xdr:sp macro="" textlink="">
      <xdr:nvSpPr>
        <xdr:cNvPr id="27" name="26 CuadroTexto">
          <a:hlinkClick xmlns:r="http://schemas.openxmlformats.org/officeDocument/2006/relationships" r:id="rId18"/>
        </xdr:cNvPr>
        <xdr:cNvSpPr txBox="1"/>
      </xdr:nvSpPr>
      <xdr:spPr>
        <a:xfrm>
          <a:off x="8972550" y="18916651"/>
          <a:ext cx="1104900" cy="49530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179916</xdr:colOff>
      <xdr:row>0</xdr:row>
      <xdr:rowOff>84667</xdr:rowOff>
    </xdr:from>
    <xdr:to>
      <xdr:col>1</xdr:col>
      <xdr:colOff>602975</xdr:colOff>
      <xdr:row>5</xdr:row>
      <xdr:rowOff>7637</xdr:rowOff>
    </xdr:to>
    <xdr:pic>
      <xdr:nvPicPr>
        <xdr:cNvPr id="2" name="1 Imagen" descr="logo_ean_izquierda.jpg"/>
        <xdr:cNvPicPr>
          <a:picLocks noChangeAspect="1"/>
        </xdr:cNvPicPr>
      </xdr:nvPicPr>
      <xdr:blipFill>
        <a:blip xmlns:r="http://schemas.openxmlformats.org/officeDocument/2006/relationships" r:embed="rId1" cstate="print"/>
        <a:stretch>
          <a:fillRect/>
        </a:stretch>
      </xdr:blipFill>
      <xdr:spPr>
        <a:xfrm>
          <a:off x="179916" y="84667"/>
          <a:ext cx="1185059" cy="727303"/>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1</xdr:col>
      <xdr:colOff>994834</xdr:colOff>
      <xdr:row>0</xdr:row>
      <xdr:rowOff>21166</xdr:rowOff>
    </xdr:from>
    <xdr:ext cx="5368019" cy="435429"/>
    <xdr:sp macro="" textlink="">
      <xdr:nvSpPr>
        <xdr:cNvPr id="3" name="2 Rectángulo"/>
        <xdr:cNvSpPr/>
      </xdr:nvSpPr>
      <xdr:spPr>
        <a:xfrm>
          <a:off x="1756834" y="21166"/>
          <a:ext cx="5368019"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16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p>
        <a:p>
          <a:pPr algn="ct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CALCULO DEL CAPITAL REQUERIDO PARA PONER EN FUNCIONAMIENTO LA FUTURA EMPRESA.</a:t>
          </a:r>
        </a:p>
        <a:p>
          <a:pPr algn="ct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xdr:from>
      <xdr:col>4</xdr:col>
      <xdr:colOff>723900</xdr:colOff>
      <xdr:row>10</xdr:row>
      <xdr:rowOff>0</xdr:rowOff>
    </xdr:from>
    <xdr:to>
      <xdr:col>5</xdr:col>
      <xdr:colOff>971550</xdr:colOff>
      <xdr:row>13</xdr:row>
      <xdr:rowOff>85725</xdr:rowOff>
    </xdr:to>
    <xdr:sp macro="" textlink="">
      <xdr:nvSpPr>
        <xdr:cNvPr id="4" name="3 Flecha izquierda">
          <a:hlinkClick xmlns:r="http://schemas.openxmlformats.org/officeDocument/2006/relationships" r:id="rId2"/>
        </xdr:cNvPr>
        <xdr:cNvSpPr/>
      </xdr:nvSpPr>
      <xdr:spPr>
        <a:xfrm>
          <a:off x="7010400" y="1647825"/>
          <a:ext cx="1428750" cy="59055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4</xdr:col>
      <xdr:colOff>857250</xdr:colOff>
      <xdr:row>13</xdr:row>
      <xdr:rowOff>19050</xdr:rowOff>
    </xdr:from>
    <xdr:to>
      <xdr:col>5</xdr:col>
      <xdr:colOff>1104900</xdr:colOff>
      <xdr:row>16</xdr:row>
      <xdr:rowOff>142875</xdr:rowOff>
    </xdr:to>
    <xdr:sp macro="" textlink="">
      <xdr:nvSpPr>
        <xdr:cNvPr id="5" name="4 Flecha derecha">
          <a:hlinkClick xmlns:r="http://schemas.openxmlformats.org/officeDocument/2006/relationships" r:id="rId3"/>
        </xdr:cNvPr>
        <xdr:cNvSpPr/>
      </xdr:nvSpPr>
      <xdr:spPr>
        <a:xfrm>
          <a:off x="7143750" y="2171700"/>
          <a:ext cx="1428750" cy="628650"/>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4</xdr:col>
      <xdr:colOff>790575</xdr:colOff>
      <xdr:row>32</xdr:row>
      <xdr:rowOff>114300</xdr:rowOff>
    </xdr:from>
    <xdr:to>
      <xdr:col>6</xdr:col>
      <xdr:colOff>702129</xdr:colOff>
      <xdr:row>35</xdr:row>
      <xdr:rowOff>104775</xdr:rowOff>
    </xdr:to>
    <xdr:sp macro="" textlink="">
      <xdr:nvSpPr>
        <xdr:cNvPr id="6" name="5 CuadroTexto">
          <a:hlinkClick xmlns:r="http://schemas.openxmlformats.org/officeDocument/2006/relationships" r:id="rId4"/>
        </xdr:cNvPr>
        <xdr:cNvSpPr txBox="1"/>
      </xdr:nvSpPr>
      <xdr:spPr>
        <a:xfrm>
          <a:off x="7077075" y="5400675"/>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800"/>
            </a:lnSpc>
          </a:pPr>
          <a:r>
            <a:rPr lang="es-CO" sz="800" b="1" baseline="0"/>
            <a:t> </a:t>
          </a:r>
        </a:p>
        <a:p>
          <a:pPr>
            <a:lnSpc>
              <a:spcPts val="500"/>
            </a:lnSpc>
          </a:pPr>
          <a:endParaRPr lang="es-CO" sz="500"/>
        </a:p>
      </xdr:txBody>
    </xdr:sp>
    <xdr:clientData/>
  </xdr:twoCellAnchor>
  <xdr:twoCellAnchor>
    <xdr:from>
      <xdr:col>4</xdr:col>
      <xdr:colOff>361949</xdr:colOff>
      <xdr:row>18</xdr:row>
      <xdr:rowOff>152400</xdr:rowOff>
    </xdr:from>
    <xdr:to>
      <xdr:col>6</xdr:col>
      <xdr:colOff>381000</xdr:colOff>
      <xdr:row>24</xdr:row>
      <xdr:rowOff>76200</xdr:rowOff>
    </xdr:to>
    <xdr:sp macro="" textlink="">
      <xdr:nvSpPr>
        <xdr:cNvPr id="7" name="6 Flecha izquierda">
          <a:hlinkClick xmlns:r="http://schemas.openxmlformats.org/officeDocument/2006/relationships" r:id="rId5"/>
        </xdr:cNvPr>
        <xdr:cNvSpPr/>
      </xdr:nvSpPr>
      <xdr:spPr>
        <a:xfrm>
          <a:off x="6648449" y="3143250"/>
          <a:ext cx="2447926" cy="923925"/>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050"/>
            <a:t>Ir</a:t>
          </a:r>
          <a:r>
            <a:rPr lang="es-CO" sz="1050" baseline="0"/>
            <a:t> a Cuadro de Costos, Gastos  e Infraestructura</a:t>
          </a:r>
          <a:endParaRPr lang="es-CO" sz="1050"/>
        </a:p>
      </xdr:txBody>
    </xdr:sp>
    <xdr:clientData/>
  </xdr:twoCellAnchor>
  <xdr:twoCellAnchor>
    <xdr:from>
      <xdr:col>6</xdr:col>
      <xdr:colOff>409576</xdr:colOff>
      <xdr:row>4</xdr:row>
      <xdr:rowOff>19050</xdr:rowOff>
    </xdr:from>
    <xdr:to>
      <xdr:col>8</xdr:col>
      <xdr:colOff>238126</xdr:colOff>
      <xdr:row>7</xdr:row>
      <xdr:rowOff>66675</xdr:rowOff>
    </xdr:to>
    <xdr:sp macro="" textlink="">
      <xdr:nvSpPr>
        <xdr:cNvPr id="8" name="7 CuadroTexto">
          <a:hlinkClick xmlns:r="http://schemas.openxmlformats.org/officeDocument/2006/relationships" r:id="rId6"/>
        </xdr:cNvPr>
        <xdr:cNvSpPr txBox="1"/>
      </xdr:nvSpPr>
      <xdr:spPr>
        <a:xfrm>
          <a:off x="9124951" y="666750"/>
          <a:ext cx="1352550" cy="54292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GUEVARA/AppData/Local/Microsoft/Windows/Temporary%20Internet%20Files/Content.IE5/OHSPWHMJ/FORMATO%20FINANCIERO%20COMPLETO%20LION%20CODER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ses"/>
      <sheetName val="Ventas"/>
      <sheetName val="MO"/>
      <sheetName val="OtrosIns"/>
      <sheetName val="MPD"/>
      <sheetName val="PtoMOD"/>
      <sheetName val="Infraestructura"/>
      <sheetName val="Organización"/>
      <sheetName val="Deuda"/>
      <sheetName val="GMarcha"/>
      <sheetName val="Mezcla"/>
      <sheetName val="CostosGastos"/>
      <sheetName val="PE-Producto"/>
      <sheetName val="GrafPE"/>
      <sheetName val="GraPEglobal"/>
      <sheetName val="PE-Global"/>
      <sheetName val="CapitalT"/>
      <sheetName val="Proyecciones"/>
      <sheetName val="Balance"/>
      <sheetName val="P&amp;G"/>
      <sheetName val="Flujo de caja"/>
      <sheetName val="Salidas"/>
      <sheetName val="AnalisisInd"/>
      <sheetName val="TIR"/>
      <sheetName val="PlanO"/>
      <sheetName val="Hoja3"/>
      <sheetName val="Hoja1"/>
      <sheetName val="Flujo de efectivo neto"/>
      <sheetName val="Analisis de sensibilidad"/>
      <sheetName val="Hoja2"/>
    </sheetNames>
    <sheetDataSet>
      <sheetData sheetId="0">
        <row r="11">
          <cell r="G11">
            <v>6.0000000000000001E-3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8">
          <cell r="F48">
            <v>0</v>
          </cell>
          <cell r="G48">
            <v>0</v>
          </cell>
          <cell r="H48">
            <v>0</v>
          </cell>
          <cell r="I48">
            <v>0</v>
          </cell>
          <cell r="J48">
            <v>0</v>
          </cell>
        </row>
        <row r="97">
          <cell r="F97">
            <v>0</v>
          </cell>
          <cell r="G97">
            <v>0</v>
          </cell>
          <cell r="H97">
            <v>0</v>
          </cell>
          <cell r="I97">
            <v>0</v>
          </cell>
          <cell r="J97">
            <v>0</v>
          </cell>
        </row>
        <row r="100">
          <cell r="F100">
            <v>0</v>
          </cell>
          <cell r="G100">
            <v>0</v>
          </cell>
          <cell r="H100">
            <v>0</v>
          </cell>
          <cell r="I100">
            <v>0</v>
          </cell>
          <cell r="J100">
            <v>0</v>
          </cell>
        </row>
        <row r="102">
          <cell r="F102">
            <v>0</v>
          </cell>
          <cell r="G102">
            <v>0</v>
          </cell>
          <cell r="H102">
            <v>0</v>
          </cell>
          <cell r="I102">
            <v>0</v>
          </cell>
          <cell r="J102">
            <v>0</v>
          </cell>
        </row>
        <row r="107">
          <cell r="F107">
            <v>0</v>
          </cell>
          <cell r="G107">
            <v>0</v>
          </cell>
          <cell r="H107">
            <v>0</v>
          </cell>
          <cell r="I107">
            <v>0</v>
          </cell>
          <cell r="J107">
            <v>0</v>
          </cell>
        </row>
        <row r="109">
          <cell r="F109">
            <v>0</v>
          </cell>
          <cell r="G109">
            <v>0</v>
          </cell>
          <cell r="H109">
            <v>0</v>
          </cell>
          <cell r="I109">
            <v>0</v>
          </cell>
          <cell r="J109">
            <v>0</v>
          </cell>
        </row>
        <row r="114">
          <cell r="F114">
            <v>0</v>
          </cell>
          <cell r="G114">
            <v>0</v>
          </cell>
          <cell r="H114">
            <v>0</v>
          </cell>
          <cell r="I114">
            <v>0</v>
          </cell>
          <cell r="J114">
            <v>0</v>
          </cell>
        </row>
        <row r="116">
          <cell r="F116">
            <v>0</v>
          </cell>
          <cell r="G116">
            <v>0</v>
          </cell>
          <cell r="H116">
            <v>0</v>
          </cell>
          <cell r="I116">
            <v>0</v>
          </cell>
          <cell r="J116">
            <v>0</v>
          </cell>
        </row>
        <row r="121">
          <cell r="F121">
            <v>0</v>
          </cell>
          <cell r="G121">
            <v>0</v>
          </cell>
          <cell r="H121">
            <v>0</v>
          </cell>
          <cell r="I121">
            <v>0</v>
          </cell>
          <cell r="J121">
            <v>0</v>
          </cell>
        </row>
        <row r="123">
          <cell r="F123">
            <v>0</v>
          </cell>
          <cell r="G123">
            <v>0</v>
          </cell>
          <cell r="H123">
            <v>0</v>
          </cell>
          <cell r="I123">
            <v>0</v>
          </cell>
          <cell r="J123">
            <v>0</v>
          </cell>
        </row>
        <row r="128">
          <cell r="F128">
            <v>0</v>
          </cell>
          <cell r="G128">
            <v>0</v>
          </cell>
          <cell r="H128">
            <v>0</v>
          </cell>
          <cell r="I128">
            <v>0</v>
          </cell>
          <cell r="J128">
            <v>0</v>
          </cell>
        </row>
        <row r="130">
          <cell r="F130">
            <v>0</v>
          </cell>
          <cell r="G130">
            <v>0</v>
          </cell>
          <cell r="H130">
            <v>0</v>
          </cell>
          <cell r="I130">
            <v>0</v>
          </cell>
          <cell r="J130">
            <v>0</v>
          </cell>
        </row>
        <row r="135">
          <cell r="F135">
            <v>0</v>
          </cell>
          <cell r="G135">
            <v>0</v>
          </cell>
          <cell r="H135">
            <v>0</v>
          </cell>
          <cell r="I135">
            <v>0</v>
          </cell>
          <cell r="J135">
            <v>0</v>
          </cell>
        </row>
        <row r="137">
          <cell r="F137">
            <v>0</v>
          </cell>
          <cell r="G137">
            <v>0</v>
          </cell>
          <cell r="H137">
            <v>0</v>
          </cell>
          <cell r="I137">
            <v>0</v>
          </cell>
          <cell r="J137">
            <v>0</v>
          </cell>
        </row>
        <row r="142">
          <cell r="F142">
            <v>0</v>
          </cell>
          <cell r="G142">
            <v>0</v>
          </cell>
          <cell r="H142">
            <v>0</v>
          </cell>
          <cell r="I142">
            <v>0</v>
          </cell>
          <cell r="J142">
            <v>0</v>
          </cell>
        </row>
        <row r="144">
          <cell r="F144">
            <v>0</v>
          </cell>
          <cell r="G144">
            <v>0</v>
          </cell>
          <cell r="H144">
            <v>0</v>
          </cell>
          <cell r="I144">
            <v>0</v>
          </cell>
          <cell r="J144">
            <v>0</v>
          </cell>
        </row>
        <row r="169">
          <cell r="F169">
            <v>0</v>
          </cell>
        </row>
        <row r="182">
          <cell r="F182">
            <v>0</v>
          </cell>
          <cell r="G182">
            <v>0</v>
          </cell>
          <cell r="H182">
            <v>0</v>
          </cell>
          <cell r="I182">
            <v>0</v>
          </cell>
          <cell r="J182">
            <v>0</v>
          </cell>
        </row>
      </sheetData>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sheetPr codeName="Hoja4"/>
  <dimension ref="A1:L38"/>
  <sheetViews>
    <sheetView showGridLines="0" view="pageBreakPreview" zoomScale="140" zoomScaleNormal="100" zoomScaleSheetLayoutView="140" workbookViewId="0"/>
  </sheetViews>
  <sheetFormatPr baseColWidth="10" defaultRowHeight="12.75"/>
  <sheetData>
    <row r="1" spans="1:12">
      <c r="A1" s="642"/>
      <c r="B1" s="642"/>
      <c r="C1" s="642"/>
      <c r="D1" s="642"/>
      <c r="E1" s="642"/>
      <c r="F1" s="642"/>
      <c r="G1" s="642"/>
      <c r="H1" s="642"/>
      <c r="I1" s="642"/>
    </row>
    <row r="2" spans="1:12">
      <c r="A2" s="642"/>
      <c r="B2" s="642"/>
      <c r="C2" s="642"/>
      <c r="D2" s="642"/>
      <c r="E2" s="642"/>
      <c r="F2" s="642"/>
      <c r="G2" s="642"/>
      <c r="H2" s="642"/>
      <c r="I2" s="642"/>
    </row>
    <row r="3" spans="1:12">
      <c r="A3" s="642"/>
      <c r="B3" s="642"/>
      <c r="C3" s="642"/>
      <c r="D3" s="642"/>
      <c r="E3" s="642"/>
      <c r="F3" s="642"/>
      <c r="G3" s="642"/>
      <c r="H3" s="642"/>
      <c r="I3" s="642"/>
    </row>
    <row r="4" spans="1:12">
      <c r="A4" s="642"/>
      <c r="B4" s="642"/>
      <c r="C4" s="642"/>
      <c r="D4" s="642"/>
      <c r="E4" s="642"/>
      <c r="F4" s="642"/>
      <c r="G4" s="642"/>
      <c r="H4" s="642"/>
      <c r="I4" s="642"/>
    </row>
    <row r="5" spans="1:12">
      <c r="A5" s="642"/>
      <c r="B5" s="642"/>
      <c r="C5" s="642"/>
      <c r="D5" s="642"/>
      <c r="E5" s="642"/>
      <c r="F5" s="642"/>
      <c r="G5" s="642"/>
      <c r="H5" s="642"/>
      <c r="I5" s="642"/>
    </row>
    <row r="6" spans="1:12">
      <c r="A6" s="642"/>
      <c r="B6" s="642"/>
      <c r="C6" s="642"/>
      <c r="D6" s="642"/>
      <c r="E6" s="642"/>
      <c r="F6" s="642"/>
      <c r="G6" s="642"/>
      <c r="H6" s="642"/>
      <c r="I6" s="642"/>
    </row>
    <row r="7" spans="1:12" ht="12.75" customHeight="1">
      <c r="A7" s="642"/>
      <c r="B7" s="642"/>
      <c r="C7" s="643"/>
      <c r="D7" s="643"/>
      <c r="E7" s="643"/>
      <c r="F7" s="643"/>
      <c r="G7" s="643"/>
      <c r="H7" s="643"/>
      <c r="I7" s="643"/>
      <c r="J7" s="1"/>
      <c r="K7" s="1"/>
      <c r="L7" s="1"/>
    </row>
    <row r="8" spans="1:12" ht="12.75" customHeight="1">
      <c r="A8" s="642"/>
      <c r="B8" s="642"/>
      <c r="C8" s="643"/>
      <c r="D8" s="643"/>
      <c r="E8" s="643"/>
      <c r="F8" s="643"/>
      <c r="G8" s="643"/>
      <c r="H8" s="643"/>
      <c r="I8" s="643"/>
      <c r="J8" s="1"/>
      <c r="K8" s="1"/>
      <c r="L8" s="1"/>
    </row>
    <row r="9" spans="1:12" ht="12.75" customHeight="1">
      <c r="A9" s="642"/>
      <c r="B9" s="642"/>
      <c r="C9" s="643"/>
      <c r="D9" s="643"/>
      <c r="E9" s="643"/>
      <c r="F9" s="643"/>
      <c r="G9" s="643"/>
      <c r="H9" s="643"/>
      <c r="I9" s="643"/>
      <c r="J9" s="1"/>
      <c r="K9" s="1"/>
      <c r="L9" s="1"/>
    </row>
    <row r="10" spans="1:12" ht="12.75" customHeight="1">
      <c r="A10" s="642"/>
      <c r="B10" s="642"/>
      <c r="C10" s="643"/>
      <c r="D10" s="643"/>
      <c r="E10" s="643"/>
      <c r="F10" s="643"/>
      <c r="G10" s="643"/>
      <c r="H10" s="643"/>
      <c r="I10" s="643"/>
      <c r="J10" s="1"/>
      <c r="K10" s="1"/>
      <c r="L10" s="1"/>
    </row>
    <row r="11" spans="1:12" ht="12.75" customHeight="1">
      <c r="A11" s="642"/>
      <c r="B11" s="642"/>
      <c r="C11" s="643"/>
      <c r="D11" s="643"/>
      <c r="E11" s="643"/>
      <c r="F11" s="643"/>
      <c r="G11" s="643"/>
      <c r="H11" s="643"/>
      <c r="I11" s="643"/>
      <c r="J11" s="1"/>
      <c r="K11" s="1"/>
      <c r="L11" s="1"/>
    </row>
    <row r="12" spans="1:12" ht="12.75" customHeight="1">
      <c r="A12" s="642"/>
      <c r="B12" s="642"/>
      <c r="C12" s="643"/>
      <c r="D12" s="643"/>
      <c r="E12" s="643"/>
      <c r="F12" s="643"/>
      <c r="G12" s="643"/>
      <c r="H12" s="643"/>
      <c r="I12" s="643"/>
      <c r="J12" s="1"/>
      <c r="K12" s="1"/>
      <c r="L12" s="1"/>
    </row>
    <row r="13" spans="1:12">
      <c r="A13" s="642"/>
      <c r="B13" s="642"/>
      <c r="C13" s="642"/>
      <c r="D13" s="642"/>
      <c r="E13" s="642"/>
      <c r="F13" s="642"/>
      <c r="G13" s="642"/>
      <c r="H13" s="642"/>
      <c r="I13" s="642"/>
    </row>
    <row r="14" spans="1:12">
      <c r="A14" s="642"/>
      <c r="B14" s="642"/>
      <c r="C14" s="642"/>
      <c r="D14" s="642"/>
      <c r="E14" s="642"/>
      <c r="F14" s="642"/>
      <c r="G14" s="642"/>
      <c r="H14" s="642"/>
      <c r="I14" s="642"/>
    </row>
    <row r="15" spans="1:12">
      <c r="A15" s="642"/>
      <c r="B15" s="642"/>
      <c r="C15" s="642"/>
      <c r="D15" s="642"/>
      <c r="E15" s="642"/>
      <c r="F15" s="642"/>
      <c r="G15" s="642"/>
      <c r="H15" s="642"/>
      <c r="I15" s="642"/>
    </row>
    <row r="16" spans="1:12" ht="12.75" customHeight="1">
      <c r="A16" s="642"/>
      <c r="B16" s="642"/>
      <c r="C16" s="642"/>
      <c r="D16" s="642"/>
      <c r="E16" s="644"/>
      <c r="F16" s="644"/>
      <c r="G16" s="644"/>
      <c r="H16" s="644"/>
      <c r="I16" s="642"/>
    </row>
    <row r="17" spans="1:9" ht="12.75" customHeight="1">
      <c r="A17" s="642"/>
      <c r="B17" s="642"/>
      <c r="C17" s="642"/>
      <c r="D17" s="642"/>
      <c r="E17" s="644"/>
      <c r="F17" s="644"/>
      <c r="G17" s="644"/>
      <c r="H17" s="644"/>
      <c r="I17" s="642"/>
    </row>
    <row r="18" spans="1:9" ht="12.75" customHeight="1">
      <c r="A18" s="642"/>
      <c r="B18" s="642"/>
      <c r="C18" s="642"/>
      <c r="D18" s="642"/>
      <c r="E18" s="644"/>
      <c r="F18" s="644"/>
      <c r="G18" s="644"/>
      <c r="H18" s="644"/>
      <c r="I18" s="642"/>
    </row>
    <row r="19" spans="1:9" ht="12.75" customHeight="1">
      <c r="A19" s="642"/>
      <c r="B19" s="642"/>
      <c r="C19" s="642"/>
      <c r="D19" s="642"/>
      <c r="E19" s="644"/>
      <c r="F19" s="644"/>
      <c r="G19" s="644"/>
      <c r="H19" s="644"/>
      <c r="I19" s="642"/>
    </row>
    <row r="20" spans="1:9" ht="12.75" customHeight="1">
      <c r="A20" s="642"/>
      <c r="B20" s="642"/>
      <c r="C20" s="642"/>
      <c r="D20" s="642"/>
      <c r="E20" s="644"/>
      <c r="F20" s="644"/>
      <c r="G20" s="644"/>
      <c r="H20" s="644"/>
      <c r="I20" s="642"/>
    </row>
    <row r="21" spans="1:9" ht="12.75" customHeight="1">
      <c r="A21" s="642"/>
      <c r="B21" s="642"/>
      <c r="C21" s="642"/>
      <c r="D21" s="642"/>
      <c r="E21" s="644"/>
      <c r="F21" s="644"/>
      <c r="G21" s="644"/>
      <c r="H21" s="644"/>
      <c r="I21" s="642"/>
    </row>
    <row r="22" spans="1:9" ht="12.75" customHeight="1">
      <c r="A22" s="3"/>
      <c r="B22" s="3"/>
      <c r="C22" s="3"/>
      <c r="D22" s="3"/>
      <c r="E22" s="4"/>
      <c r="F22" s="4"/>
      <c r="G22" s="4"/>
      <c r="H22" s="2"/>
    </row>
    <row r="23" spans="1:9" ht="12.75" customHeight="1">
      <c r="A23" s="3"/>
      <c r="B23" s="3"/>
      <c r="C23" s="3"/>
      <c r="D23" s="3"/>
      <c r="E23" s="4"/>
      <c r="F23" s="4"/>
      <c r="G23" s="4"/>
      <c r="H23" s="2"/>
    </row>
    <row r="24" spans="1:9" ht="12.75" customHeight="1">
      <c r="A24" s="3"/>
      <c r="B24" s="3"/>
      <c r="C24" s="3"/>
      <c r="D24" s="3"/>
      <c r="E24" s="4"/>
      <c r="F24" s="4"/>
      <c r="G24" s="4"/>
      <c r="H24" s="2"/>
    </row>
    <row r="25" spans="1:9">
      <c r="A25" s="3"/>
      <c r="B25" s="3"/>
      <c r="C25" s="3"/>
      <c r="D25" s="3"/>
      <c r="E25" s="3"/>
      <c r="F25" s="3"/>
      <c r="G25" s="3"/>
    </row>
    <row r="26" spans="1:9">
      <c r="A26" s="3"/>
      <c r="B26" s="3"/>
      <c r="C26" s="3"/>
      <c r="D26" s="3"/>
      <c r="E26" s="3"/>
      <c r="F26" s="3"/>
      <c r="G26" s="3"/>
    </row>
    <row r="27" spans="1:9">
      <c r="A27" s="3"/>
      <c r="B27" s="3"/>
      <c r="C27" s="3"/>
      <c r="D27" s="3"/>
      <c r="E27" s="3"/>
      <c r="F27" s="3"/>
      <c r="G27" s="3"/>
    </row>
    <row r="28" spans="1:9">
      <c r="A28" s="3"/>
      <c r="B28" s="3"/>
      <c r="C28" s="3"/>
      <c r="D28" s="3"/>
      <c r="E28" s="3"/>
      <c r="F28" s="3"/>
      <c r="G28" s="3"/>
    </row>
    <row r="29" spans="1:9">
      <c r="A29" s="3"/>
      <c r="B29" s="3"/>
      <c r="C29" s="3"/>
      <c r="D29" s="3"/>
      <c r="E29" s="3"/>
      <c r="F29" s="3"/>
      <c r="G29" s="3"/>
    </row>
    <row r="30" spans="1:9">
      <c r="A30" s="3"/>
      <c r="B30" s="3"/>
      <c r="C30" s="3"/>
      <c r="D30" s="3"/>
      <c r="E30" s="3"/>
      <c r="F30" s="3"/>
      <c r="G30" s="3"/>
    </row>
    <row r="31" spans="1:9">
      <c r="A31" s="3"/>
      <c r="B31" s="3"/>
      <c r="C31" s="3"/>
      <c r="D31" s="3"/>
      <c r="E31" s="3"/>
      <c r="F31" s="3"/>
      <c r="G31" s="3"/>
    </row>
    <row r="32" spans="1:9">
      <c r="A32" s="3"/>
      <c r="B32" s="3"/>
      <c r="C32" s="3"/>
      <c r="D32" s="3"/>
      <c r="E32" s="3"/>
      <c r="F32" s="3"/>
      <c r="G32" s="3"/>
    </row>
    <row r="33" spans="1:7">
      <c r="A33" s="3"/>
      <c r="B33" s="3"/>
      <c r="C33" s="3"/>
      <c r="D33" s="3"/>
      <c r="E33" s="3"/>
      <c r="F33" s="3"/>
      <c r="G33" s="3"/>
    </row>
    <row r="34" spans="1:7">
      <c r="A34" s="3"/>
      <c r="B34" s="3"/>
      <c r="C34" s="3"/>
      <c r="D34" s="3"/>
      <c r="E34" s="3"/>
      <c r="F34" s="3"/>
      <c r="G34" s="3"/>
    </row>
    <row r="35" spans="1:7">
      <c r="A35" s="3"/>
      <c r="B35" s="3"/>
      <c r="C35" s="3"/>
      <c r="D35" s="3"/>
      <c r="E35" s="3"/>
      <c r="F35" s="3"/>
      <c r="G35" s="3"/>
    </row>
    <row r="36" spans="1:7">
      <c r="A36" s="3"/>
      <c r="B36" s="3"/>
      <c r="C36" s="3"/>
      <c r="D36" s="3"/>
      <c r="E36" s="3"/>
      <c r="F36" s="3"/>
      <c r="G36" s="3"/>
    </row>
    <row r="37" spans="1:7">
      <c r="A37" s="3"/>
      <c r="B37" s="3"/>
      <c r="C37" s="3"/>
      <c r="D37" s="3"/>
      <c r="E37" s="3"/>
      <c r="F37" s="3"/>
      <c r="G37" s="3"/>
    </row>
    <row r="38" spans="1:7">
      <c r="A38" s="3"/>
      <c r="B38" s="3"/>
      <c r="C38" s="3"/>
      <c r="D38" s="3"/>
      <c r="E38" s="3"/>
      <c r="F38" s="3"/>
      <c r="G38" s="3"/>
    </row>
  </sheetData>
  <sheetProtection password="909C" sheet="1" objects="1" scenarios="1"/>
  <phoneticPr fontId="0" type="noConversion"/>
  <pageMargins left="0.7" right="0.7" top="0.75" bottom="0.75" header="0.3" footer="0.3"/>
  <pageSetup paperSize="9" scale="85" orientation="portrait" horizontalDpi="300" r:id="rId1"/>
  <drawing r:id="rId2"/>
</worksheet>
</file>

<file path=xl/worksheets/sheet10.xml><?xml version="1.0" encoding="utf-8"?>
<worksheet xmlns="http://schemas.openxmlformats.org/spreadsheetml/2006/main" xmlns:r="http://schemas.openxmlformats.org/officeDocument/2006/relationships">
  <sheetPr codeName="Hoja12"/>
  <dimension ref="A1:X213"/>
  <sheetViews>
    <sheetView showGridLines="0" view="pageBreakPreview" zoomScale="80" zoomScaleNormal="100" zoomScaleSheetLayoutView="80" workbookViewId="0"/>
  </sheetViews>
  <sheetFormatPr baseColWidth="10" defaultRowHeight="12.75"/>
  <cols>
    <col min="4" max="4" width="1.140625" customWidth="1"/>
    <col min="5" max="5" width="44.85546875" customWidth="1"/>
    <col min="6" max="6" width="24.7109375" bestFit="1" customWidth="1"/>
    <col min="7" max="7" width="24.42578125" bestFit="1" customWidth="1"/>
    <col min="8" max="8" width="24.85546875" bestFit="1" customWidth="1"/>
    <col min="9" max="9" width="24.42578125" bestFit="1" customWidth="1"/>
    <col min="10" max="10" width="23.7109375" customWidth="1"/>
    <col min="17" max="17" width="5.140625" customWidth="1"/>
  </cols>
  <sheetData>
    <row r="1" spans="1:11" ht="27.75" customHeight="1">
      <c r="A1" s="3"/>
      <c r="B1" s="3"/>
      <c r="C1" s="3"/>
      <c r="D1" s="3"/>
      <c r="E1" s="802" t="s">
        <v>262</v>
      </c>
      <c r="F1" s="803"/>
      <c r="G1" s="803"/>
      <c r="H1" s="803"/>
      <c r="I1" s="803"/>
      <c r="J1" s="804"/>
      <c r="K1" s="3"/>
    </row>
    <row r="2" spans="1:11">
      <c r="A2" s="3"/>
      <c r="B2" s="3"/>
      <c r="C2" s="3"/>
      <c r="D2" s="3"/>
      <c r="E2" s="341" t="s">
        <v>142</v>
      </c>
      <c r="F2" s="247">
        <f>'CTOS VS ING OPER - INV INFRAEST'!C19</f>
        <v>2012</v>
      </c>
      <c r="G2" s="247">
        <f>'CTOS VS ING OPER - INV INFRAEST'!D19</f>
        <v>2013</v>
      </c>
      <c r="H2" s="247">
        <f>'CTOS VS ING OPER - INV INFRAEST'!E19</f>
        <v>2014</v>
      </c>
      <c r="I2" s="247">
        <f>'CTOS VS ING OPER - INV INFRAEST'!F19</f>
        <v>2015</v>
      </c>
      <c r="J2" s="342">
        <f>'CTOS VS ING OPER - INV INFRAEST'!G19</f>
        <v>2016</v>
      </c>
      <c r="K2" s="3"/>
    </row>
    <row r="3" spans="1:11" ht="13.5">
      <c r="A3" s="3"/>
      <c r="B3" s="3"/>
      <c r="C3" s="3"/>
      <c r="D3" s="3"/>
      <c r="E3" s="343" t="str">
        <f>'CTOS VS ING OPER - INV INFRAEST'!B16</f>
        <v>MARGEN DE CONTRIB TOTAL</v>
      </c>
      <c r="F3" s="248">
        <f>'CTOS VS ING OPER - INV INFRAEST'!C16</f>
        <v>475440000</v>
      </c>
      <c r="G3" s="248">
        <f>'CTOS VS ING OPER - INV INFRAEST'!D16</f>
        <v>493165270.1281175</v>
      </c>
      <c r="H3" s="248">
        <f>'CTOS VS ING OPER - INV INFRAEST'!E16</f>
        <v>522314259.13092303</v>
      </c>
      <c r="I3" s="248">
        <f>'CTOS VS ING OPER - INV INFRAEST'!F16</f>
        <v>557711924.76606941</v>
      </c>
      <c r="J3" s="344">
        <f>'CTOS VS ING OPER - INV INFRAEST'!G16</f>
        <v>600391264.08629823</v>
      </c>
      <c r="K3" s="3"/>
    </row>
    <row r="4" spans="1:11">
      <c r="A4" s="3"/>
      <c r="B4" s="3"/>
      <c r="C4" s="3"/>
      <c r="D4" s="3"/>
      <c r="E4" s="345" t="s">
        <v>143</v>
      </c>
      <c r="F4" s="349">
        <f>'GTOS ADTIVO Y VTAS - CTOS FIJOS'!O27+'GTOS ADTIVO Y VTAS - CTOS FIJOS'!D45</f>
        <v>43897207.68</v>
      </c>
      <c r="G4" s="349">
        <f>F4*(1+'1'!$C$14)</f>
        <v>45885751.187903993</v>
      </c>
      <c r="H4" s="349">
        <f>G4*(1+'1'!$D$14)</f>
        <v>47647764.033519506</v>
      </c>
      <c r="I4" s="349">
        <f>H4*(1+'1'!$E$14)</f>
        <v>49401201.749953024</v>
      </c>
      <c r="J4" s="350">
        <f>I4*(1+'1'!$F$14)</f>
        <v>51145064.171726361</v>
      </c>
      <c r="K4" s="3"/>
    </row>
    <row r="5" spans="1:11">
      <c r="A5" s="3"/>
      <c r="B5" s="3"/>
      <c r="C5" s="3"/>
      <c r="D5" s="3"/>
      <c r="E5" s="345" t="s">
        <v>144</v>
      </c>
      <c r="F5" s="349">
        <f>'GTOS ADTIVO Y VTAS - CTOS FIJOS'!D87+'GTOS ADTIVO Y VTAS - CTOS FIJOS'!N70</f>
        <v>33420960</v>
      </c>
      <c r="G5" s="349">
        <f>F5*(1+'1'!$C$14)</f>
        <v>34934929.487999998</v>
      </c>
      <c r="H5" s="349">
        <f>G5*(1+'1'!$D$14)</f>
        <v>36276430.780339196</v>
      </c>
      <c r="I5" s="349">
        <f>H5*(1+'1'!$E$14)</f>
        <v>37611403.433055677</v>
      </c>
      <c r="J5" s="350">
        <f>I5*(1+'1'!$F$14)</f>
        <v>38939085.974242538</v>
      </c>
      <c r="K5" s="3"/>
    </row>
    <row r="6" spans="1:11">
      <c r="A6" s="3"/>
      <c r="B6" s="3"/>
      <c r="C6" s="3"/>
      <c r="D6" s="3"/>
      <c r="E6" s="346" t="s">
        <v>174</v>
      </c>
      <c r="F6" s="349">
        <f>'GTOS ADTIVO Y VTAS - CTOS FIJOS'!C127+'GTOS ADTIVO Y VTAS - CTOS FIJOS'!N109</f>
        <v>43476480</v>
      </c>
      <c r="G6" s="349">
        <f>F6*(1+'1'!$C$14)</f>
        <v>45445964.543999992</v>
      </c>
      <c r="H6" s="349">
        <f>G6*(1+'1'!$D$14)</f>
        <v>47191089.582489595</v>
      </c>
      <c r="I6" s="349">
        <f>H6*(1+'1'!$E$14)</f>
        <v>48927721.679125212</v>
      </c>
      <c r="J6" s="350">
        <f>I6*(1+'1'!$F$14)</f>
        <v>50654870.254398324</v>
      </c>
      <c r="K6" s="3"/>
    </row>
    <row r="7" spans="1:11">
      <c r="A7" s="3"/>
      <c r="B7" s="3"/>
      <c r="C7" s="3"/>
      <c r="D7" s="3"/>
      <c r="E7" s="346" t="s">
        <v>145</v>
      </c>
      <c r="F7" s="349">
        <f>'GTOS ADTIVO Y VTAS - CTOS FIJOS'!J141</f>
        <v>54508500</v>
      </c>
      <c r="G7" s="349">
        <f>'GTOS ADTIVO Y VTAS - CTOS FIJOS'!K141</f>
        <v>55308500</v>
      </c>
      <c r="H7" s="349">
        <f>'GTOS ADTIVO Y VTAS - CTOS FIJOS'!L141</f>
        <v>56108500</v>
      </c>
      <c r="I7" s="349">
        <f>'GTOS ADTIVO Y VTAS - CTOS FIJOS'!M141</f>
        <v>56900500</v>
      </c>
      <c r="J7" s="350">
        <f>'GTOS ADTIVO Y VTAS - CTOS FIJOS'!N141</f>
        <v>57700500</v>
      </c>
      <c r="K7" s="3"/>
    </row>
    <row r="8" spans="1:11">
      <c r="A8" s="3"/>
      <c r="B8" s="3"/>
      <c r="C8" s="3"/>
      <c r="D8" s="3"/>
      <c r="E8" s="352" t="s">
        <v>146</v>
      </c>
      <c r="F8" s="349">
        <f>'GTOS ADTIVO Y VTAS - CTOS FIJOS'!D162</f>
        <v>26460000</v>
      </c>
      <c r="G8" s="349">
        <f>F8*(1+'1'!$C$14)</f>
        <v>27658637.999999996</v>
      </c>
      <c r="H8" s="349">
        <f>G8*(1+'1'!$D$14)</f>
        <v>28720729.699199997</v>
      </c>
      <c r="I8" s="349">
        <f>H8*(1+'1'!$E$14)</f>
        <v>29777652.552130554</v>
      </c>
      <c r="J8" s="349">
        <f>I8*(1+'1'!$F$14)</f>
        <v>30828803.68722076</v>
      </c>
      <c r="K8" s="3"/>
    </row>
    <row r="9" spans="1:11">
      <c r="A9" s="3"/>
      <c r="B9" s="3"/>
      <c r="C9" s="3"/>
      <c r="D9" s="3"/>
      <c r="E9" s="352" t="s">
        <v>278</v>
      </c>
      <c r="F9" s="349">
        <f>'NECESIDADES DE FINANCIACIÓN'!C28*-1</f>
        <v>18659435.513317429</v>
      </c>
      <c r="G9" s="349">
        <f>'NECESIDADES DE FINANCIACIÓN'!C29*-1</f>
        <v>16521548.410653943</v>
      </c>
      <c r="H9" s="349">
        <f>'NECESIDADES DE FINANCIACIÓN'!C30*-1</f>
        <v>14383661.307990458</v>
      </c>
      <c r="I9" s="349">
        <f>'NECESIDADES DE FINANCIACIÓN'!C31*-1</f>
        <v>12245774.205326971</v>
      </c>
      <c r="J9" s="349">
        <f>'NECESIDADES DE FINANCIACIÓN'!C32*-1</f>
        <v>10107887.102663485</v>
      </c>
      <c r="K9" s="3"/>
    </row>
    <row r="10" spans="1:11">
      <c r="A10" s="3"/>
      <c r="B10" s="3"/>
      <c r="C10" s="3"/>
      <c r="D10" s="3"/>
      <c r="E10" s="352" t="s">
        <v>279</v>
      </c>
      <c r="F10" s="349">
        <f>'ESTADO DE RESULTADOS'!B7</f>
        <v>1848333</v>
      </c>
      <c r="G10" s="349">
        <f>'ESTADO DE RESULTADOS'!C7</f>
        <v>2043333</v>
      </c>
      <c r="H10" s="349">
        <f>'ESTADO DE RESULTADOS'!D7</f>
        <v>2223333</v>
      </c>
      <c r="I10" s="349">
        <f>'ESTADO DE RESULTADOS'!E7</f>
        <v>1090000</v>
      </c>
      <c r="J10" s="349">
        <f>'ESTADO DE RESULTADOS'!F7</f>
        <v>1090000</v>
      </c>
      <c r="K10" s="3"/>
    </row>
    <row r="11" spans="1:11">
      <c r="A11" s="3"/>
      <c r="B11" s="3"/>
      <c r="C11" s="3"/>
      <c r="D11" s="3"/>
      <c r="E11" s="352" t="s">
        <v>280</v>
      </c>
      <c r="F11" s="349">
        <f>'ESTADO DE RESULTADOS'!B8</f>
        <v>3640000</v>
      </c>
      <c r="G11" s="349">
        <f>'ESTADO DE RESULTADOS'!C8</f>
        <v>3640000</v>
      </c>
      <c r="H11" s="349">
        <f>'ESTADO DE RESULTADOS'!D8</f>
        <v>3640000</v>
      </c>
      <c r="I11" s="349">
        <f>'ESTADO DE RESULTADOS'!E8</f>
        <v>3640000</v>
      </c>
      <c r="J11" s="349">
        <f>'ESTADO DE RESULTADOS'!F8</f>
        <v>3640000</v>
      </c>
      <c r="K11" s="3"/>
    </row>
    <row r="12" spans="1:11" ht="13.5" thickBot="1">
      <c r="A12" s="3"/>
      <c r="B12" s="3"/>
      <c r="C12" s="3"/>
      <c r="D12" s="3"/>
      <c r="E12" s="347" t="s">
        <v>191</v>
      </c>
      <c r="F12" s="257">
        <f>SUM(F4:F11)</f>
        <v>225910916.19331744</v>
      </c>
      <c r="G12" s="257">
        <f>SUM(G4:G11)</f>
        <v>231438664.63055792</v>
      </c>
      <c r="H12" s="257">
        <f>SUM(H4:H11)</f>
        <v>236191508.40353876</v>
      </c>
      <c r="I12" s="257">
        <f>SUM(I4:I11)</f>
        <v>239594253.61959144</v>
      </c>
      <c r="J12" s="257">
        <f>SUM(J4:J11)</f>
        <v>244106211.19025147</v>
      </c>
      <c r="K12" s="3"/>
    </row>
    <row r="13" spans="1:11" ht="13.5" thickBot="1">
      <c r="A13" s="3"/>
      <c r="B13" s="3"/>
      <c r="C13" s="3"/>
      <c r="D13" s="3"/>
      <c r="E13" s="255" t="s">
        <v>190</v>
      </c>
      <c r="F13" s="256">
        <f>F3-F12</f>
        <v>249529083.80668256</v>
      </c>
      <c r="G13" s="256">
        <f>G3-G12</f>
        <v>261726605.49755958</v>
      </c>
      <c r="H13" s="256">
        <f>H3-H12</f>
        <v>286122750.72738427</v>
      </c>
      <c r="I13" s="256">
        <f>I3-I12</f>
        <v>318117671.14647794</v>
      </c>
      <c r="J13" s="348">
        <f>J3-J12</f>
        <v>356285052.89604676</v>
      </c>
      <c r="K13" s="3"/>
    </row>
    <row r="14" spans="1:11">
      <c r="A14" s="3"/>
      <c r="B14" s="3"/>
      <c r="C14" s="3"/>
      <c r="D14" s="3"/>
      <c r="E14" s="439"/>
      <c r="F14" s="440"/>
      <c r="G14" s="440"/>
      <c r="H14" s="440"/>
      <c r="I14" s="440"/>
      <c r="J14" s="440"/>
      <c r="K14" s="3"/>
    </row>
    <row r="15" spans="1:11">
      <c r="A15" s="3"/>
      <c r="B15" s="3"/>
      <c r="C15" s="3"/>
      <c r="D15" s="3"/>
      <c r="E15" s="439"/>
      <c r="F15" s="440"/>
      <c r="G15" s="440"/>
      <c r="H15" s="440"/>
      <c r="I15" s="440"/>
      <c r="J15" s="440"/>
      <c r="K15" s="3"/>
    </row>
    <row r="16" spans="1:11" ht="12.75" customHeight="1">
      <c r="A16" s="3"/>
      <c r="B16" s="3"/>
      <c r="C16" s="3"/>
      <c r="D16" s="3"/>
      <c r="E16" s="3"/>
      <c r="F16" s="3"/>
      <c r="G16" s="440"/>
      <c r="H16" s="440"/>
      <c r="I16" s="440"/>
      <c r="J16" s="440"/>
      <c r="K16" s="3"/>
    </row>
    <row r="17" spans="1:11" ht="12.75" customHeight="1">
      <c r="A17" s="3"/>
      <c r="B17" s="3"/>
      <c r="C17" s="3"/>
      <c r="D17" s="3"/>
      <c r="E17" s="3"/>
      <c r="F17" s="3"/>
      <c r="G17" s="440"/>
      <c r="H17" s="440"/>
      <c r="I17" s="440"/>
      <c r="J17" s="440"/>
      <c r="K17" s="3"/>
    </row>
    <row r="18" spans="1:11" ht="12.75" customHeight="1">
      <c r="A18" s="3"/>
      <c r="B18" s="3"/>
      <c r="C18" s="3"/>
      <c r="D18" s="3"/>
      <c r="E18" s="3"/>
      <c r="F18" s="3"/>
      <c r="G18" s="440"/>
      <c r="H18" s="440"/>
      <c r="I18" s="440"/>
      <c r="J18" s="440"/>
      <c r="K18" s="3"/>
    </row>
    <row r="19" spans="1:11" ht="12.75" customHeight="1">
      <c r="A19" s="3"/>
      <c r="B19" s="3"/>
      <c r="C19" s="3"/>
      <c r="D19" s="3"/>
      <c r="E19" s="3"/>
      <c r="F19" s="3"/>
      <c r="G19" s="3"/>
      <c r="H19" s="3"/>
      <c r="I19" s="3"/>
      <c r="J19" s="3"/>
      <c r="K19" s="3"/>
    </row>
    <row r="20" spans="1:11" ht="12.75" customHeight="1">
      <c r="A20" s="3"/>
      <c r="B20" s="3"/>
      <c r="C20" s="3"/>
      <c r="D20" s="3"/>
      <c r="E20" s="3"/>
      <c r="F20" s="3"/>
      <c r="G20" s="3"/>
      <c r="H20" s="3"/>
      <c r="I20" s="3"/>
      <c r="J20" s="3"/>
      <c r="K20" s="3"/>
    </row>
    <row r="21" spans="1:11" ht="12.75" customHeight="1">
      <c r="A21" s="3"/>
      <c r="B21" s="3"/>
      <c r="C21" s="3"/>
      <c r="D21" s="3"/>
      <c r="E21" s="3"/>
      <c r="F21" s="3"/>
      <c r="G21" s="3"/>
      <c r="H21" s="3"/>
      <c r="I21" s="3"/>
      <c r="J21" s="3"/>
      <c r="K21" s="3"/>
    </row>
    <row r="22" spans="1:11" ht="12.75" customHeight="1">
      <c r="A22" s="3"/>
      <c r="B22" s="3"/>
      <c r="C22" s="3"/>
      <c r="D22" s="3"/>
      <c r="E22" s="3"/>
      <c r="F22" s="3"/>
      <c r="G22" s="3"/>
      <c r="H22" s="3"/>
      <c r="I22" s="3"/>
      <c r="J22" s="3"/>
      <c r="K22" s="3"/>
    </row>
    <row r="23" spans="1:11" ht="12.75" customHeight="1">
      <c r="A23" s="3"/>
      <c r="B23" s="3"/>
      <c r="C23" s="3"/>
      <c r="D23" s="3"/>
      <c r="E23" s="3"/>
      <c r="F23" s="3"/>
      <c r="G23" s="3"/>
      <c r="H23" s="3"/>
      <c r="I23" s="3"/>
      <c r="J23" s="3"/>
      <c r="K23" s="3"/>
    </row>
    <row r="24" spans="1:11" ht="12.75" customHeight="1">
      <c r="A24" s="3"/>
      <c r="B24" s="3"/>
      <c r="C24" s="3"/>
      <c r="D24" s="3"/>
      <c r="E24" s="3"/>
      <c r="F24" s="3"/>
      <c r="G24" s="3"/>
      <c r="H24" s="3"/>
      <c r="I24" s="3"/>
      <c r="J24" s="3"/>
      <c r="K24" s="3"/>
    </row>
    <row r="25" spans="1:11" ht="12.75" customHeight="1">
      <c r="A25" s="3"/>
      <c r="B25" s="3"/>
      <c r="C25" s="3"/>
      <c r="D25" s="3"/>
      <c r="E25" s="3"/>
      <c r="F25" s="3"/>
      <c r="G25" s="3"/>
      <c r="H25" s="3"/>
      <c r="I25" s="3"/>
      <c r="J25" s="3"/>
      <c r="K25" s="3"/>
    </row>
    <row r="26" spans="1:11" ht="12.75" customHeight="1">
      <c r="A26" s="3"/>
      <c r="B26" s="3"/>
      <c r="C26" s="3"/>
      <c r="D26" s="3"/>
      <c r="E26" s="3"/>
      <c r="F26" s="3"/>
      <c r="G26" s="3"/>
      <c r="H26" s="3"/>
      <c r="I26" s="3"/>
      <c r="J26" s="3"/>
      <c r="K26" s="3"/>
    </row>
    <row r="27" spans="1:11" ht="12.75" customHeight="1">
      <c r="A27" s="3"/>
      <c r="B27" s="3"/>
      <c r="C27" s="3"/>
      <c r="D27" s="3"/>
      <c r="E27" s="3"/>
      <c r="F27" s="3"/>
      <c r="G27" s="3"/>
      <c r="H27" s="3"/>
      <c r="I27" s="3"/>
      <c r="J27" s="3"/>
      <c r="K27" s="3"/>
    </row>
    <row r="28" spans="1:11" ht="12.75" customHeight="1">
      <c r="A28" s="3"/>
      <c r="B28" s="3"/>
      <c r="C28" s="3"/>
      <c r="D28" s="3"/>
      <c r="E28" s="3"/>
      <c r="F28" s="3"/>
      <c r="G28" s="3"/>
      <c r="H28" s="3"/>
      <c r="I28" s="3"/>
      <c r="J28" s="3"/>
      <c r="K28" s="3"/>
    </row>
    <row r="29" spans="1:11" ht="12.75" customHeight="1">
      <c r="A29" s="3"/>
      <c r="B29" s="3"/>
      <c r="C29" s="3"/>
      <c r="D29" s="3"/>
      <c r="E29" s="3"/>
      <c r="F29" s="3"/>
      <c r="G29" s="3"/>
      <c r="H29" s="3"/>
      <c r="I29" s="3"/>
      <c r="J29" s="3"/>
      <c r="K29" s="3"/>
    </row>
    <row r="30" spans="1:11" ht="12.75" customHeight="1">
      <c r="A30" s="3"/>
      <c r="B30" s="3"/>
      <c r="C30" s="3"/>
      <c r="D30" s="3"/>
      <c r="E30" s="3"/>
      <c r="F30" s="3"/>
      <c r="G30" s="3"/>
      <c r="H30" s="3"/>
      <c r="I30" s="3"/>
      <c r="J30" s="3"/>
      <c r="K30" s="3"/>
    </row>
    <row r="31" spans="1:11" ht="13.5" customHeight="1">
      <c r="A31" s="3"/>
      <c r="B31" s="3"/>
      <c r="C31" s="3"/>
      <c r="D31" s="3"/>
      <c r="E31" s="3"/>
      <c r="F31" s="3"/>
      <c r="G31" s="3"/>
      <c r="H31" s="3"/>
      <c r="I31" s="3"/>
      <c r="J31" s="3"/>
      <c r="K31" s="3"/>
    </row>
    <row r="32" spans="1:11">
      <c r="A32" s="3"/>
      <c r="B32" s="3"/>
      <c r="C32" s="3"/>
      <c r="D32" s="3"/>
      <c r="E32" s="3"/>
      <c r="F32" s="3"/>
      <c r="G32" s="3"/>
      <c r="H32" s="3"/>
      <c r="I32" s="3"/>
      <c r="J32" s="3"/>
      <c r="K32" s="3"/>
    </row>
    <row r="33" spans="1:24">
      <c r="A33" s="3"/>
      <c r="B33" s="3"/>
      <c r="C33" s="3"/>
      <c r="D33" s="3"/>
      <c r="E33" s="3"/>
      <c r="F33" s="3"/>
      <c r="G33" s="3"/>
      <c r="H33" s="3"/>
      <c r="I33" s="3"/>
      <c r="J33" s="3"/>
      <c r="K33" s="3"/>
    </row>
    <row r="44" spans="1:24">
      <c r="E44" s="801"/>
      <c r="F44" s="801"/>
      <c r="G44" s="801"/>
      <c r="H44" s="801"/>
      <c r="I44" s="801"/>
      <c r="J44" s="801"/>
      <c r="K44" s="801"/>
      <c r="L44" s="801"/>
      <c r="M44" s="801"/>
      <c r="N44" s="801"/>
      <c r="O44" s="801"/>
      <c r="P44" s="801"/>
      <c r="Q44" s="801"/>
      <c r="R44" s="801"/>
      <c r="S44" s="801"/>
      <c r="T44" s="801"/>
      <c r="U44" s="801"/>
      <c r="V44" s="801"/>
      <c r="W44" s="801"/>
      <c r="X44" s="801"/>
    </row>
    <row r="213" spans="5:13">
      <c r="E213" s="801"/>
      <c r="F213" s="801"/>
      <c r="G213" s="801"/>
      <c r="H213" s="801"/>
      <c r="I213" s="801"/>
      <c r="J213" s="801"/>
      <c r="K213" s="801"/>
      <c r="L213" s="801"/>
      <c r="M213" s="801"/>
    </row>
  </sheetData>
  <sheetProtection password="909C" sheet="1" selectLockedCells="1"/>
  <mergeCells count="3">
    <mergeCell ref="E213:M213"/>
    <mergeCell ref="E44:X44"/>
    <mergeCell ref="E1:J1"/>
  </mergeCells>
  <phoneticPr fontId="0" type="noConversion"/>
  <conditionalFormatting sqref="F3:J3 G13:J18 F13:F15">
    <cfRule type="cellIs" dxfId="13" priority="2" stopIfTrue="1" operator="lessThan">
      <formula>0</formula>
    </cfRule>
  </conditionalFormatting>
  <pageMargins left="0.7" right="0.7" top="0.75" bottom="0.75" header="0.3" footer="0.3"/>
  <pageSetup paperSize="9" scale="40" orientation="portrait" horizontalDpi="300" r:id="rId1"/>
  <drawing r:id="rId2"/>
  <legacyDrawing r:id="rId3"/>
</worksheet>
</file>

<file path=xl/worksheets/sheet11.xml><?xml version="1.0" encoding="utf-8"?>
<worksheet xmlns="http://schemas.openxmlformats.org/spreadsheetml/2006/main" xmlns:r="http://schemas.openxmlformats.org/officeDocument/2006/relationships">
  <sheetPr codeName="Hoja2"/>
  <dimension ref="A11:I40"/>
  <sheetViews>
    <sheetView view="pageBreakPreview" topLeftCell="A4" zoomScale="90" zoomScaleNormal="90" zoomScaleSheetLayoutView="90" workbookViewId="0"/>
  </sheetViews>
  <sheetFormatPr baseColWidth="10" defaultRowHeight="11.25"/>
  <cols>
    <col min="1" max="2" width="11.42578125" style="443"/>
    <col min="3" max="3" width="17.140625" style="443" customWidth="1"/>
    <col min="4" max="4" width="18" style="443" customWidth="1"/>
    <col min="5" max="5" width="17.85546875" style="443" customWidth="1"/>
    <col min="6" max="6" width="19.28515625" style="443" customWidth="1"/>
    <col min="7" max="7" width="17.5703125" style="443" customWidth="1"/>
    <col min="8" max="8" width="14.7109375" style="443" customWidth="1"/>
    <col min="9" max="9" width="15.5703125" style="443" customWidth="1"/>
    <col min="10" max="10" width="16.28515625" style="443" bestFit="1" customWidth="1"/>
    <col min="11" max="16384" width="11.42578125" style="443"/>
  </cols>
  <sheetData>
    <row r="11" spans="1:8" ht="12" thickBot="1"/>
    <row r="12" spans="1:8" ht="33.75">
      <c r="A12" s="815" t="s">
        <v>192</v>
      </c>
      <c r="B12" s="816"/>
      <c r="C12" s="817"/>
      <c r="D12" s="444" t="s">
        <v>356</v>
      </c>
      <c r="E12" s="445" t="s">
        <v>193</v>
      </c>
      <c r="F12" s="445" t="s">
        <v>194</v>
      </c>
      <c r="G12" s="446" t="s">
        <v>131</v>
      </c>
      <c r="H12" s="447" t="s">
        <v>195</v>
      </c>
    </row>
    <row r="13" spans="1:8">
      <c r="A13" s="818" t="str">
        <f>'COSTOS DE PRODUCCION'!B5</f>
        <v>TRAMITES</v>
      </c>
      <c r="B13" s="814"/>
      <c r="C13" s="814"/>
      <c r="D13" s="441">
        <f>'CTOS VS ING OPER - INV INFRAEST'!C5</f>
        <v>241920000</v>
      </c>
      <c r="E13" s="448">
        <f>'PROYECCIÓN DE VENTAS'!B16</f>
        <v>14000</v>
      </c>
      <c r="F13" s="448">
        <f>'COSTOS DE PRODUCCION'!D228</f>
        <v>486.11111111111109</v>
      </c>
      <c r="G13" s="448">
        <f>E13-F13</f>
        <v>13513.888888888889</v>
      </c>
      <c r="H13" s="449">
        <f>IF($D$18=0,0,D13/$D$18)</f>
        <v>0.5</v>
      </c>
    </row>
    <row r="14" spans="1:8">
      <c r="A14" s="818" t="str">
        <f>'COSTOS DE PRODUCCION'!B6</f>
        <v>DILIGENCIAS</v>
      </c>
      <c r="B14" s="814"/>
      <c r="C14" s="814"/>
      <c r="D14" s="441">
        <f>'CTOS VS ING OPER - INV INFRAEST'!C7</f>
        <v>241920000</v>
      </c>
      <c r="E14" s="448">
        <f>'PROYECCIÓN DE VENTAS'!B27</f>
        <v>14000</v>
      </c>
      <c r="F14" s="448">
        <f>'COSTOS DE PRODUCCION'!D232</f>
        <v>0</v>
      </c>
      <c r="G14" s="448">
        <f>E14-F14</f>
        <v>14000</v>
      </c>
      <c r="H14" s="449">
        <f>IF($D$18=0,0,D14/$D$18)</f>
        <v>0.5</v>
      </c>
    </row>
    <row r="15" spans="1:8">
      <c r="A15" s="818" t="str">
        <f>'COSTOS DE PRODUCCION'!B7</f>
        <v>Nombre del producto 3</v>
      </c>
      <c r="B15" s="814"/>
      <c r="C15" s="814"/>
      <c r="D15" s="441">
        <f>'CTOS VS ING OPER - INV INFRAEST'!C9</f>
        <v>0</v>
      </c>
      <c r="E15" s="448">
        <f>'PROYECCIÓN DE VENTAS'!B37</f>
        <v>0</v>
      </c>
      <c r="F15" s="448">
        <f>'COSTOS DE PRODUCCION'!D236</f>
        <v>0</v>
      </c>
      <c r="G15" s="448">
        <f>E15-F15</f>
        <v>0</v>
      </c>
      <c r="H15" s="449">
        <f>IF($D$18=0,0,D15/$D$18)</f>
        <v>0</v>
      </c>
    </row>
    <row r="16" spans="1:8">
      <c r="A16" s="818" t="str">
        <f>'COSTOS DE PRODUCCION'!B8</f>
        <v>Nombre del producto 4</v>
      </c>
      <c r="B16" s="814"/>
      <c r="C16" s="814"/>
      <c r="D16" s="441">
        <f>'CTOS VS ING OPER - INV INFRAEST'!C11</f>
        <v>0</v>
      </c>
      <c r="E16" s="448">
        <f>'PROYECCIÓN DE VENTAS'!B47</f>
        <v>0</v>
      </c>
      <c r="F16" s="448">
        <f>'COSTOS DE PRODUCCION'!D240</f>
        <v>0</v>
      </c>
      <c r="G16" s="448">
        <f>E16-F16</f>
        <v>0</v>
      </c>
      <c r="H16" s="449">
        <f>IF($D$18=0,0,D16/$D$18)</f>
        <v>0</v>
      </c>
    </row>
    <row r="17" spans="1:8" ht="12" thickBot="1">
      <c r="A17" s="819" t="str">
        <f>'COSTOS DE PRODUCCION'!B9</f>
        <v>Nombre del producto 5</v>
      </c>
      <c r="B17" s="820"/>
      <c r="C17" s="820"/>
      <c r="D17" s="442">
        <f>'CTOS VS ING OPER - INV INFRAEST'!C13</f>
        <v>0</v>
      </c>
      <c r="E17" s="450">
        <f>'PROYECCIÓN DE VENTAS'!B57</f>
        <v>0</v>
      </c>
      <c r="F17" s="451">
        <f>'COSTOS DE PRODUCCION'!D244</f>
        <v>0</v>
      </c>
      <c r="G17" s="451">
        <f>E17-F17</f>
        <v>0</v>
      </c>
      <c r="H17" s="449">
        <f>IF($D$18=0,0,D17/$D$18)</f>
        <v>0</v>
      </c>
    </row>
    <row r="18" spans="1:8" ht="12" thickBot="1">
      <c r="A18" s="821" t="s">
        <v>196</v>
      </c>
      <c r="B18" s="822"/>
      <c r="C18" s="823"/>
      <c r="D18" s="452">
        <f>SUM(D13:D17)</f>
        <v>483840000</v>
      </c>
    </row>
    <row r="20" spans="1:8">
      <c r="A20" s="453" t="s">
        <v>197</v>
      </c>
    </row>
    <row r="21" spans="1:8">
      <c r="A21" s="813" t="str">
        <f>A12</f>
        <v>NOMBRE DEL PRODUCTO</v>
      </c>
      <c r="B21" s="813"/>
      <c r="C21" s="454" t="str">
        <f>A13</f>
        <v>TRAMITES</v>
      </c>
      <c r="D21" s="454" t="str">
        <f>A14</f>
        <v>DILIGENCIAS</v>
      </c>
      <c r="E21" s="454" t="str">
        <f>A15</f>
        <v>Nombre del producto 3</v>
      </c>
      <c r="F21" s="454" t="str">
        <f>A16</f>
        <v>Nombre del producto 4</v>
      </c>
      <c r="G21" s="455" t="str">
        <f>A17</f>
        <v>Nombre del producto 5</v>
      </c>
      <c r="H21" s="805" t="s">
        <v>201</v>
      </c>
    </row>
    <row r="22" spans="1:8">
      <c r="A22" s="814" t="s">
        <v>198</v>
      </c>
      <c r="B22" s="814"/>
      <c r="C22" s="456">
        <f>G13</f>
        <v>13513.888888888889</v>
      </c>
      <c r="D22" s="456">
        <f>G14</f>
        <v>14000</v>
      </c>
      <c r="E22" s="456">
        <f>G15</f>
        <v>0</v>
      </c>
      <c r="F22" s="456">
        <f>G16</f>
        <v>0</v>
      </c>
      <c r="G22" s="456">
        <f>G17</f>
        <v>0</v>
      </c>
      <c r="H22" s="805"/>
    </row>
    <row r="23" spans="1:8">
      <c r="A23" s="814" t="s">
        <v>199</v>
      </c>
      <c r="B23" s="814"/>
      <c r="C23" s="457">
        <f>H13</f>
        <v>0.5</v>
      </c>
      <c r="D23" s="457">
        <f>H14</f>
        <v>0.5</v>
      </c>
      <c r="E23" s="457">
        <f>H15</f>
        <v>0</v>
      </c>
      <c r="F23" s="457">
        <f>H16</f>
        <v>0</v>
      </c>
      <c r="G23" s="457">
        <f>H17</f>
        <v>0</v>
      </c>
      <c r="H23" s="805"/>
    </row>
    <row r="24" spans="1:8" ht="12.75">
      <c r="A24" s="814" t="s">
        <v>200</v>
      </c>
      <c r="B24" s="814"/>
      <c r="C24" s="458">
        <f>C22*C23</f>
        <v>6756.9444444444443</v>
      </c>
      <c r="D24" s="458">
        <f>D22*D23</f>
        <v>7000</v>
      </c>
      <c r="E24" s="458">
        <f>E22*E23</f>
        <v>0</v>
      </c>
      <c r="F24" s="458">
        <f>F22*F23</f>
        <v>0</v>
      </c>
      <c r="G24" s="458">
        <f>G22*G23</f>
        <v>0</v>
      </c>
      <c r="H24" s="645">
        <f>SUM(C24:G24)</f>
        <v>13756.944444444445</v>
      </c>
    </row>
    <row r="27" spans="1:8">
      <c r="A27" s="806" t="s">
        <v>189</v>
      </c>
      <c r="B27" s="806"/>
      <c r="C27" s="806"/>
      <c r="D27" s="459">
        <f>'CUADRO DE COSTOS Y GASTOS FIJOS'!F12</f>
        <v>225910916.19331744</v>
      </c>
    </row>
    <row r="29" spans="1:8">
      <c r="A29" s="806" t="s">
        <v>202</v>
      </c>
      <c r="B29" s="806"/>
      <c r="C29" s="806"/>
      <c r="D29" s="460">
        <f>IF(H24=0,0,D27/H24)</f>
        <v>16421.591081190163</v>
      </c>
    </row>
    <row r="33" spans="1:9" ht="20.25" customHeight="1">
      <c r="A33" s="807" t="s">
        <v>27</v>
      </c>
      <c r="B33" s="808"/>
      <c r="C33" s="808"/>
      <c r="D33" s="812" t="s">
        <v>204</v>
      </c>
      <c r="F33" s="461" t="s">
        <v>28</v>
      </c>
      <c r="G33" s="809" t="s">
        <v>26</v>
      </c>
      <c r="H33" s="810"/>
      <c r="I33" s="811"/>
    </row>
    <row r="34" spans="1:9" ht="12.75" customHeight="1">
      <c r="A34" s="807"/>
      <c r="B34" s="808"/>
      <c r="C34" s="808"/>
      <c r="D34" s="812"/>
      <c r="F34" s="462" t="s">
        <v>29</v>
      </c>
      <c r="G34" s="463">
        <v>0</v>
      </c>
      <c r="H34" s="463">
        <f>C40</f>
        <v>16421.591081190163</v>
      </c>
      <c r="I34" s="463">
        <f>H34*2</f>
        <v>32843.182162380326</v>
      </c>
    </row>
    <row r="35" spans="1:9">
      <c r="A35" s="814" t="str">
        <f>A13</f>
        <v>TRAMITES</v>
      </c>
      <c r="B35" s="814"/>
      <c r="C35" s="464">
        <f>$D$29*H13</f>
        <v>8210.7955405950815</v>
      </c>
      <c r="D35" s="465">
        <f>$I$34*H13</f>
        <v>16421.591081190163</v>
      </c>
      <c r="F35" s="462" t="s">
        <v>30</v>
      </c>
      <c r="G35" s="466">
        <v>0</v>
      </c>
      <c r="H35" s="466">
        <f>SUMPRODUCT(C35:C39,E13:E17)</f>
        <v>229902275.13666227</v>
      </c>
      <c r="I35" s="466">
        <f>SUMPRODUCT(D35:D39,E13:E17)</f>
        <v>459804550.27332455</v>
      </c>
    </row>
    <row r="36" spans="1:9">
      <c r="A36" s="814" t="str">
        <f>A14</f>
        <v>DILIGENCIAS</v>
      </c>
      <c r="B36" s="814"/>
      <c r="C36" s="464">
        <f>$D$29*H14</f>
        <v>8210.7955405950815</v>
      </c>
      <c r="D36" s="465">
        <f>$I$34*H14</f>
        <v>16421.591081190163</v>
      </c>
      <c r="F36" s="462" t="s">
        <v>31</v>
      </c>
      <c r="G36" s="466">
        <f>D27</f>
        <v>225910916.19331744</v>
      </c>
      <c r="H36" s="466">
        <f>G36</f>
        <v>225910916.19331744</v>
      </c>
      <c r="I36" s="466">
        <f>H36</f>
        <v>225910916.19331744</v>
      </c>
    </row>
    <row r="37" spans="1:9">
      <c r="A37" s="814" t="str">
        <f>A15</f>
        <v>Nombre del producto 3</v>
      </c>
      <c r="B37" s="814"/>
      <c r="C37" s="464">
        <f>$D$29*H15</f>
        <v>0</v>
      </c>
      <c r="D37" s="465">
        <f>$I$34*H15</f>
        <v>0</v>
      </c>
      <c r="F37" s="462" t="s">
        <v>32</v>
      </c>
      <c r="G37" s="466">
        <f>0</f>
        <v>0</v>
      </c>
      <c r="H37" s="467">
        <f>SUMPRODUCT(F13:F17,C35:C39)</f>
        <v>3991358.943344831</v>
      </c>
      <c r="I37" s="466">
        <f>SUMPRODUCT(F13:F17,D35:D39)</f>
        <v>7982717.886689662</v>
      </c>
    </row>
    <row r="38" spans="1:9">
      <c r="A38" s="814" t="str">
        <f>A16</f>
        <v>Nombre del producto 4</v>
      </c>
      <c r="B38" s="814"/>
      <c r="C38" s="464">
        <f>$D$29*H16</f>
        <v>0</v>
      </c>
      <c r="D38" s="465">
        <f>$I$34*H16</f>
        <v>0</v>
      </c>
      <c r="F38" s="462" t="s">
        <v>33</v>
      </c>
      <c r="G38" s="466">
        <f>G36+G37</f>
        <v>225910916.19331744</v>
      </c>
      <c r="H38" s="466">
        <f>H36+H37</f>
        <v>229902275.13666227</v>
      </c>
      <c r="I38" s="466">
        <f>I36+I37</f>
        <v>233893634.08000711</v>
      </c>
    </row>
    <row r="39" spans="1:9">
      <c r="A39" s="814" t="str">
        <f>A17</f>
        <v>Nombre del producto 5</v>
      </c>
      <c r="B39" s="814"/>
      <c r="C39" s="464">
        <f>$D$29*H17</f>
        <v>0</v>
      </c>
      <c r="D39" s="465">
        <f>$I$34*H17</f>
        <v>0</v>
      </c>
      <c r="F39" s="462" t="s">
        <v>34</v>
      </c>
      <c r="G39" s="466">
        <f>G35-G38</f>
        <v>-225910916.19331744</v>
      </c>
      <c r="H39" s="466">
        <f>H35-H38</f>
        <v>0</v>
      </c>
      <c r="I39" s="466">
        <f>I35-I38</f>
        <v>225910916.19331744</v>
      </c>
    </row>
    <row r="40" spans="1:9" ht="13.5" customHeight="1">
      <c r="A40" s="814" t="s">
        <v>203</v>
      </c>
      <c r="B40" s="814"/>
      <c r="C40" s="468">
        <f>SUM(C35:C39)</f>
        <v>16421.591081190163</v>
      </c>
      <c r="D40" s="469">
        <f>SUM(D35:D39)</f>
        <v>32843.182162380326</v>
      </c>
    </row>
  </sheetData>
  <sheetProtection password="909C" sheet="1" formatCells="0" formatColumns="0" formatRows="0"/>
  <mergeCells count="23">
    <mergeCell ref="A40:B40"/>
    <mergeCell ref="A16:C16"/>
    <mergeCell ref="A35:B35"/>
    <mergeCell ref="A36:B36"/>
    <mergeCell ref="A37:B37"/>
    <mergeCell ref="A17:C17"/>
    <mergeCell ref="A18:C18"/>
    <mergeCell ref="A12:C12"/>
    <mergeCell ref="A13:C13"/>
    <mergeCell ref="A14:C14"/>
    <mergeCell ref="A15:C15"/>
    <mergeCell ref="A38:B38"/>
    <mergeCell ref="A39:B39"/>
    <mergeCell ref="H21:H23"/>
    <mergeCell ref="A29:C29"/>
    <mergeCell ref="A33:C34"/>
    <mergeCell ref="G33:I33"/>
    <mergeCell ref="D33:D34"/>
    <mergeCell ref="A27:C27"/>
    <mergeCell ref="A21:B21"/>
    <mergeCell ref="A23:B23"/>
    <mergeCell ref="A24:B24"/>
    <mergeCell ref="A22:B22"/>
  </mergeCells>
  <phoneticPr fontId="0" type="noConversion"/>
  <pageMargins left="0.75" right="0.75" top="1" bottom="1" header="0" footer="0"/>
  <pageSetup paperSize="9" scale="35" orientation="portrait"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sheetPr codeName="Hoja3"/>
  <dimension ref="A1:H74"/>
  <sheetViews>
    <sheetView view="pageBreakPreview" topLeftCell="A41" zoomScale="90" zoomScaleNormal="100" zoomScaleSheetLayoutView="90" workbookViewId="0">
      <selection activeCell="A17" sqref="A17:G72"/>
    </sheetView>
  </sheetViews>
  <sheetFormatPr baseColWidth="10" defaultRowHeight="12.75"/>
  <cols>
    <col min="1" max="1" width="38.42578125" style="3" bestFit="1" customWidth="1"/>
    <col min="2" max="2" width="17.28515625" style="3" customWidth="1"/>
    <col min="3" max="3" width="18.5703125" style="3" customWidth="1"/>
    <col min="4" max="4" width="19" style="3" customWidth="1"/>
    <col min="5" max="5" width="18.7109375" style="3" customWidth="1"/>
    <col min="6" max="6" width="19.5703125" style="3" customWidth="1"/>
    <col min="7" max="7" width="20.85546875" style="3" customWidth="1"/>
    <col min="8" max="8" width="14.140625" style="3" customWidth="1"/>
    <col min="9" max="16384" width="11.42578125" style="3"/>
  </cols>
  <sheetData>
    <row r="1" spans="1:8">
      <c r="A1" s="408"/>
    </row>
    <row r="2" spans="1:8">
      <c r="A2" s="408"/>
    </row>
    <row r="3" spans="1:8">
      <c r="A3" s="408"/>
    </row>
    <row r="4" spans="1:8" ht="48.75" customHeight="1" thickBot="1">
      <c r="A4" s="408"/>
    </row>
    <row r="5" spans="1:8" ht="19.5" customHeight="1" thickBot="1">
      <c r="A5" s="824" t="s">
        <v>424</v>
      </c>
      <c r="B5" s="825"/>
      <c r="C5" s="585">
        <f>B18</f>
        <v>2011</v>
      </c>
      <c r="D5" s="585">
        <f>C5+1</f>
        <v>2012</v>
      </c>
      <c r="E5" s="585">
        <f>D5+1</f>
        <v>2013</v>
      </c>
      <c r="F5" s="585">
        <f>E5+1</f>
        <v>2014</v>
      </c>
      <c r="G5" s="585">
        <f>F5+1</f>
        <v>2015</v>
      </c>
      <c r="H5" s="586">
        <f>G5+1</f>
        <v>2016</v>
      </c>
    </row>
    <row r="6" spans="1:8">
      <c r="A6" s="598" t="s">
        <v>409</v>
      </c>
      <c r="B6" s="592" t="s">
        <v>410</v>
      </c>
      <c r="C6" s="587"/>
      <c r="D6" s="616">
        <v>0</v>
      </c>
      <c r="E6" s="616">
        <v>0</v>
      </c>
      <c r="F6" s="616">
        <v>0</v>
      </c>
      <c r="G6" s="616">
        <v>0</v>
      </c>
      <c r="H6" s="617">
        <v>0</v>
      </c>
    </row>
    <row r="7" spans="1:8">
      <c r="A7" s="599" t="s">
        <v>411</v>
      </c>
      <c r="B7" s="593" t="s">
        <v>412</v>
      </c>
      <c r="C7" s="615">
        <f>'NECESIDADES DE FINANCIACIÓN'!D14+'NECESIDADES DE FINANCIACIÓN'!D17</f>
        <v>0</v>
      </c>
      <c r="D7" s="584">
        <f>('COSTOS DE PRODUCCION'!P219*'BALANCE GENERAL'!D6)/360</f>
        <v>0</v>
      </c>
      <c r="E7" s="584">
        <f>('COSTOS DE PRODUCCION'!Q219*'BALANCE GENERAL'!E6)/360</f>
        <v>0</v>
      </c>
      <c r="F7" s="584">
        <f>('COSTOS DE PRODUCCION'!R219*'BALANCE GENERAL'!F6)/360</f>
        <v>0</v>
      </c>
      <c r="G7" s="584">
        <f>('COSTOS DE PRODUCCION'!S219*'BALANCE GENERAL'!G6)/360</f>
        <v>0</v>
      </c>
      <c r="H7" s="590">
        <f>('COSTOS DE PRODUCCION'!T219*'BALANCE GENERAL'!H6)/360</f>
        <v>0</v>
      </c>
    </row>
    <row r="8" spans="1:8" ht="13.5" thickBot="1">
      <c r="A8" s="600" t="s">
        <v>417</v>
      </c>
      <c r="B8" s="593" t="s">
        <v>412</v>
      </c>
      <c r="C8" s="588"/>
      <c r="D8" s="589">
        <f>C7-D7</f>
        <v>0</v>
      </c>
      <c r="E8" s="589">
        <f>D7-E7</f>
        <v>0</v>
      </c>
      <c r="F8" s="589">
        <f>E7-F7</f>
        <v>0</v>
      </c>
      <c r="G8" s="589">
        <f>F7-G7</f>
        <v>0</v>
      </c>
      <c r="H8" s="589">
        <f>G7-H7</f>
        <v>0</v>
      </c>
    </row>
    <row r="9" spans="1:8">
      <c r="A9" s="595" t="s">
        <v>413</v>
      </c>
      <c r="B9" s="592" t="s">
        <v>414</v>
      </c>
      <c r="C9" s="587"/>
      <c r="D9" s="616">
        <v>0</v>
      </c>
      <c r="E9" s="616">
        <v>0</v>
      </c>
      <c r="F9" s="616">
        <v>0</v>
      </c>
      <c r="G9" s="616">
        <v>0</v>
      </c>
      <c r="H9" s="617">
        <v>0</v>
      </c>
    </row>
    <row r="10" spans="1:8">
      <c r="A10" s="596" t="s">
        <v>415</v>
      </c>
      <c r="B10" s="593" t="s">
        <v>412</v>
      </c>
      <c r="C10" s="618">
        <v>0</v>
      </c>
      <c r="D10" s="584">
        <f>'ESTADO DE RESULTADOS'!B4*D9/360</f>
        <v>0</v>
      </c>
      <c r="E10" s="584">
        <f>'ESTADO DE RESULTADOS'!C4*E9/360</f>
        <v>0</v>
      </c>
      <c r="F10" s="584">
        <f>'ESTADO DE RESULTADOS'!D4*F9/360</f>
        <v>0</v>
      </c>
      <c r="G10" s="584">
        <f>'ESTADO DE RESULTADOS'!E4*G9/360</f>
        <v>0</v>
      </c>
      <c r="H10" s="590">
        <f>'ESTADO DE RESULTADOS'!F4*H9/360</f>
        <v>0</v>
      </c>
    </row>
    <row r="11" spans="1:8" ht="13.5" thickBot="1">
      <c r="A11" s="597" t="s">
        <v>416</v>
      </c>
      <c r="B11" s="594" t="s">
        <v>412</v>
      </c>
      <c r="C11" s="591"/>
      <c r="D11" s="589">
        <f>C10-D10</f>
        <v>0</v>
      </c>
      <c r="E11" s="589">
        <f>D10-E10</f>
        <v>0</v>
      </c>
      <c r="F11" s="589">
        <f>E10-F10</f>
        <v>0</v>
      </c>
      <c r="G11" s="589">
        <f>F10-G10</f>
        <v>0</v>
      </c>
      <c r="H11" s="589">
        <f>G10-H10</f>
        <v>0</v>
      </c>
    </row>
    <row r="12" spans="1:8">
      <c r="A12" s="612" t="s">
        <v>422</v>
      </c>
      <c r="B12" s="592" t="s">
        <v>414</v>
      </c>
      <c r="C12" s="587"/>
      <c r="D12" s="616">
        <v>0</v>
      </c>
      <c r="E12" s="616">
        <v>0</v>
      </c>
      <c r="F12" s="616">
        <v>0</v>
      </c>
      <c r="G12" s="616">
        <v>0</v>
      </c>
      <c r="H12" s="617">
        <v>0</v>
      </c>
    </row>
    <row r="13" spans="1:8">
      <c r="A13" s="613" t="s">
        <v>422</v>
      </c>
      <c r="B13" s="593" t="s">
        <v>412</v>
      </c>
      <c r="C13" s="618">
        <v>0</v>
      </c>
      <c r="D13" s="611">
        <f>('COSTOS DE PRODUCCION'!P219+'COSTOS DE PRODUCCION'!P220)*D12/360</f>
        <v>0</v>
      </c>
      <c r="E13" s="611">
        <f>('COSTOS DE PRODUCCION'!Q219+'COSTOS DE PRODUCCION'!Q220)*E12/360</f>
        <v>0</v>
      </c>
      <c r="F13" s="611">
        <f>('COSTOS DE PRODUCCION'!R219+'COSTOS DE PRODUCCION'!R220)*F12/360</f>
        <v>0</v>
      </c>
      <c r="G13" s="611">
        <f>('COSTOS DE PRODUCCION'!S219+'COSTOS DE PRODUCCION'!S220)*G12/360</f>
        <v>0</v>
      </c>
      <c r="H13" s="611">
        <f>('COSTOS DE PRODUCCION'!T219+'COSTOS DE PRODUCCION'!T220)*H12/360</f>
        <v>0</v>
      </c>
    </row>
    <row r="14" spans="1:8" ht="13.5" thickBot="1">
      <c r="A14" s="614" t="s">
        <v>423</v>
      </c>
      <c r="B14" s="594" t="s">
        <v>412</v>
      </c>
      <c r="C14" s="591"/>
      <c r="D14" s="589">
        <f>C13-D13</f>
        <v>0</v>
      </c>
      <c r="E14" s="589">
        <f>D13-E13</f>
        <v>0</v>
      </c>
      <c r="F14" s="589">
        <f>E13-F13</f>
        <v>0</v>
      </c>
      <c r="G14" s="589">
        <f>F13-G13</f>
        <v>0</v>
      </c>
      <c r="H14" s="589">
        <f>G13-H13</f>
        <v>0</v>
      </c>
    </row>
    <row r="15" spans="1:8">
      <c r="A15" s="408"/>
    </row>
    <row r="16" spans="1:8" ht="13.5" thickBot="1">
      <c r="A16" s="408"/>
    </row>
    <row r="17" spans="1:7" ht="16.5" thickBot="1">
      <c r="A17" s="412" t="s">
        <v>282</v>
      </c>
      <c r="B17" s="826" t="s">
        <v>142</v>
      </c>
      <c r="C17" s="827"/>
      <c r="D17" s="827"/>
      <c r="E17" s="827"/>
      <c r="F17" s="827"/>
      <c r="G17" s="828"/>
    </row>
    <row r="18" spans="1:7" ht="16.5" thickBot="1">
      <c r="A18" s="423"/>
      <c r="B18" s="424">
        <f>'PROYECCIÓN DE VENTAS'!B11-1</f>
        <v>2011</v>
      </c>
      <c r="C18" s="424">
        <f>B18+1</f>
        <v>2012</v>
      </c>
      <c r="D18" s="424">
        <f>C18+1</f>
        <v>2013</v>
      </c>
      <c r="E18" s="424">
        <f>D18+1</f>
        <v>2014</v>
      </c>
      <c r="F18" s="424">
        <f>E18+1</f>
        <v>2015</v>
      </c>
      <c r="G18" s="425">
        <f>F18+1</f>
        <v>2016</v>
      </c>
    </row>
    <row r="19" spans="1:7" ht="18">
      <c r="A19" s="829" t="s">
        <v>354</v>
      </c>
      <c r="B19" s="830"/>
      <c r="C19" s="830"/>
      <c r="D19" s="830"/>
      <c r="E19" s="830"/>
      <c r="F19" s="830"/>
      <c r="G19" s="831"/>
    </row>
    <row r="20" spans="1:7">
      <c r="A20" s="421" t="s">
        <v>283</v>
      </c>
      <c r="B20" s="426">
        <f t="shared" ref="B20:G20" si="0">B72-B21-B22-B28-B31-B34-B37-B40-B43-B46-B49-B24-B25-B54</f>
        <v>22400000</v>
      </c>
      <c r="C20" s="426">
        <f t="shared" si="0"/>
        <v>202937865.85501188</v>
      </c>
      <c r="D20" s="426">
        <f t="shared" si="0"/>
        <v>275001845.43092906</v>
      </c>
      <c r="E20" s="426">
        <f t="shared" si="0"/>
        <v>293601058.48923433</v>
      </c>
      <c r="F20" s="426">
        <f t="shared" si="0"/>
        <v>318560767.41741014</v>
      </c>
      <c r="G20" s="426">
        <f t="shared" si="0"/>
        <v>352445162.59193969</v>
      </c>
    </row>
    <row r="21" spans="1:7">
      <c r="A21" s="421" t="str">
        <f>A7</f>
        <v>Invent. Materia Prima</v>
      </c>
      <c r="B21" s="427">
        <f t="shared" ref="B21:G21" si="1">C7</f>
        <v>0</v>
      </c>
      <c r="C21" s="427">
        <f t="shared" si="1"/>
        <v>0</v>
      </c>
      <c r="D21" s="427">
        <f t="shared" si="1"/>
        <v>0</v>
      </c>
      <c r="E21" s="427">
        <f t="shared" si="1"/>
        <v>0</v>
      </c>
      <c r="F21" s="427">
        <f t="shared" si="1"/>
        <v>0</v>
      </c>
      <c r="G21" s="427">
        <f t="shared" si="1"/>
        <v>0</v>
      </c>
    </row>
    <row r="22" spans="1:7">
      <c r="A22" s="421" t="s">
        <v>418</v>
      </c>
      <c r="B22" s="429">
        <f t="shared" ref="B22:G22" si="2">C10</f>
        <v>0</v>
      </c>
      <c r="C22" s="429">
        <f t="shared" si="2"/>
        <v>0</v>
      </c>
      <c r="D22" s="429">
        <f t="shared" si="2"/>
        <v>0</v>
      </c>
      <c r="E22" s="429">
        <f t="shared" si="2"/>
        <v>0</v>
      </c>
      <c r="F22" s="429">
        <f t="shared" si="2"/>
        <v>0</v>
      </c>
      <c r="G22" s="429">
        <f t="shared" si="2"/>
        <v>0</v>
      </c>
    </row>
    <row r="23" spans="1:7">
      <c r="A23" s="413" t="s">
        <v>419</v>
      </c>
      <c r="B23" s="601">
        <f t="shared" ref="B23:G23" si="3">B20+B21+B22</f>
        <v>22400000</v>
      </c>
      <c r="C23" s="601">
        <f t="shared" si="3"/>
        <v>202937865.85501188</v>
      </c>
      <c r="D23" s="601">
        <f t="shared" si="3"/>
        <v>275001845.43092906</v>
      </c>
      <c r="E23" s="601">
        <f t="shared" si="3"/>
        <v>293601058.48923433</v>
      </c>
      <c r="F23" s="601">
        <f t="shared" si="3"/>
        <v>318560767.41741014</v>
      </c>
      <c r="G23" s="601">
        <f t="shared" si="3"/>
        <v>352445162.59193969</v>
      </c>
    </row>
    <row r="24" spans="1:7">
      <c r="A24" s="420" t="s">
        <v>284</v>
      </c>
      <c r="B24" s="427">
        <f>'CTOS VS ING OPER - INV INFRAEST'!B367</f>
        <v>18200000</v>
      </c>
      <c r="C24" s="427">
        <f>'CTOS VS ING OPER - INV INFRAEST'!C367</f>
        <v>18200000</v>
      </c>
      <c r="D24" s="427">
        <f>'CTOS VS ING OPER - INV INFRAEST'!D367</f>
        <v>18200000</v>
      </c>
      <c r="E24" s="427">
        <f>'CTOS VS ING OPER - INV INFRAEST'!E367</f>
        <v>18200000</v>
      </c>
      <c r="F24" s="427">
        <f>'CTOS VS ING OPER - INV INFRAEST'!F367</f>
        <v>18200000</v>
      </c>
      <c r="G24" s="428">
        <f>'CTOS VS ING OPER - INV INFRAEST'!G367</f>
        <v>18200000</v>
      </c>
    </row>
    <row r="25" spans="1:7">
      <c r="A25" s="420" t="s">
        <v>285</v>
      </c>
      <c r="B25" s="427"/>
      <c r="C25" s="427">
        <f>'CTOS VS ING OPER - INV INFRAEST'!C369</f>
        <v>-3640000</v>
      </c>
      <c r="D25" s="427">
        <f>'CTOS VS ING OPER - INV INFRAEST'!D369</f>
        <v>-7280000</v>
      </c>
      <c r="E25" s="427">
        <f>'CTOS VS ING OPER - INV INFRAEST'!E369</f>
        <v>-10920000</v>
      </c>
      <c r="F25" s="427">
        <f>'CTOS VS ING OPER - INV INFRAEST'!F369</f>
        <v>-14560000</v>
      </c>
      <c r="G25" s="428">
        <f>'CTOS VS ING OPER - INV INFRAEST'!G369</f>
        <v>-18200000</v>
      </c>
    </row>
    <row r="26" spans="1:7">
      <c r="A26" s="413" t="s">
        <v>420</v>
      </c>
      <c r="B26" s="436">
        <f t="shared" ref="B26:G26" si="4">B24+B25</f>
        <v>18200000</v>
      </c>
      <c r="C26" s="436">
        <f t="shared" si="4"/>
        <v>14560000</v>
      </c>
      <c r="D26" s="436">
        <f t="shared" si="4"/>
        <v>10920000</v>
      </c>
      <c r="E26" s="436">
        <f t="shared" si="4"/>
        <v>7280000</v>
      </c>
      <c r="F26" s="436">
        <f t="shared" si="4"/>
        <v>3640000</v>
      </c>
      <c r="G26" s="436">
        <f t="shared" si="4"/>
        <v>0</v>
      </c>
    </row>
    <row r="27" spans="1:7" ht="18">
      <c r="A27" s="829" t="s">
        <v>355</v>
      </c>
      <c r="B27" s="830"/>
      <c r="C27" s="830"/>
      <c r="D27" s="830"/>
      <c r="E27" s="830"/>
      <c r="F27" s="830"/>
      <c r="G27" s="831"/>
    </row>
    <row r="28" spans="1:7">
      <c r="A28" s="410" t="s">
        <v>286</v>
      </c>
      <c r="B28" s="432">
        <f>'CTOS VS ING OPER - INV INFRAEST'!B383</f>
        <v>0</v>
      </c>
      <c r="C28" s="432">
        <f>'CTOS VS ING OPER - INV INFRAEST'!C383</f>
        <v>0</v>
      </c>
      <c r="D28" s="432">
        <f>'CTOS VS ING OPER - INV INFRAEST'!D383</f>
        <v>0</v>
      </c>
      <c r="E28" s="432">
        <f>'CTOS VS ING OPER - INV INFRAEST'!E383</f>
        <v>0</v>
      </c>
      <c r="F28" s="432">
        <f>'CTOS VS ING OPER - INV INFRAEST'!F383</f>
        <v>0</v>
      </c>
      <c r="G28" s="432">
        <f>'CTOS VS ING OPER - INV INFRAEST'!G383</f>
        <v>0</v>
      </c>
    </row>
    <row r="29" spans="1:7">
      <c r="A29" s="411" t="s">
        <v>287</v>
      </c>
      <c r="B29" s="433">
        <f>'CTOS VS ING OPER - INV INFRAEST'!B327</f>
        <v>1500000</v>
      </c>
      <c r="C29" s="433">
        <f>'CTOS VS ING OPER - INV INFRAEST'!C327</f>
        <v>1500000</v>
      </c>
      <c r="D29" s="433">
        <f>'CTOS VS ING OPER - INV INFRAEST'!D327</f>
        <v>1500000</v>
      </c>
      <c r="E29" s="433">
        <f>'CTOS VS ING OPER - INV INFRAEST'!E327</f>
        <v>1500000</v>
      </c>
      <c r="F29" s="433">
        <f>'CTOS VS ING OPER - INV INFRAEST'!F327</f>
        <v>1500000</v>
      </c>
      <c r="G29" s="434">
        <f>'CTOS VS ING OPER - INV INFRAEST'!G327</f>
        <v>1500000</v>
      </c>
    </row>
    <row r="30" spans="1:7">
      <c r="A30" s="411" t="s">
        <v>288</v>
      </c>
      <c r="B30" s="433"/>
      <c r="C30" s="433">
        <f>'CTOS VS ING OPER - INV INFRAEST'!C328</f>
        <v>-75000</v>
      </c>
      <c r="D30" s="433">
        <f>'CTOS VS ING OPER - INV INFRAEST'!D328</f>
        <v>-150000</v>
      </c>
      <c r="E30" s="433">
        <f>'CTOS VS ING OPER - INV INFRAEST'!E328</f>
        <v>-225000</v>
      </c>
      <c r="F30" s="433">
        <f>'CTOS VS ING OPER - INV INFRAEST'!F328</f>
        <v>-300000</v>
      </c>
      <c r="G30" s="434">
        <f>'CTOS VS ING OPER - INV INFRAEST'!G328</f>
        <v>-375000</v>
      </c>
    </row>
    <row r="31" spans="1:7">
      <c r="A31" s="411" t="s">
        <v>289</v>
      </c>
      <c r="B31" s="433">
        <f t="shared" ref="B31:G31" si="5">B29+B30</f>
        <v>1500000</v>
      </c>
      <c r="C31" s="433">
        <f t="shared" si="5"/>
        <v>1425000</v>
      </c>
      <c r="D31" s="433">
        <f t="shared" si="5"/>
        <v>1350000</v>
      </c>
      <c r="E31" s="433">
        <f t="shared" si="5"/>
        <v>1275000</v>
      </c>
      <c r="F31" s="433">
        <f t="shared" si="5"/>
        <v>1200000</v>
      </c>
      <c r="G31" s="434">
        <f t="shared" si="5"/>
        <v>1125000</v>
      </c>
    </row>
    <row r="32" spans="1:7">
      <c r="A32" s="410" t="s">
        <v>290</v>
      </c>
      <c r="B32" s="432">
        <f>'CTOS VS ING OPER - INV INFRAEST'!B333</f>
        <v>2300000</v>
      </c>
      <c r="C32" s="432">
        <f>'CTOS VS ING OPER - INV INFRAEST'!C333</f>
        <v>4250000</v>
      </c>
      <c r="D32" s="432">
        <f>'CTOS VS ING OPER - INV INFRAEST'!D333</f>
        <v>6050000</v>
      </c>
      <c r="E32" s="432">
        <f>'CTOS VS ING OPER - INV INFRAEST'!E333</f>
        <v>6050000</v>
      </c>
      <c r="F32" s="432">
        <f>'CTOS VS ING OPER - INV INFRAEST'!F333</f>
        <v>6050000</v>
      </c>
      <c r="G32" s="435">
        <f>'CTOS VS ING OPER - INV INFRAEST'!G333</f>
        <v>6050000</v>
      </c>
    </row>
    <row r="33" spans="1:7">
      <c r="A33" s="410" t="s">
        <v>291</v>
      </c>
      <c r="B33" s="432"/>
      <c r="C33" s="432">
        <f>'CTOS VS ING OPER - INV INFRAEST'!C334</f>
        <v>-230000</v>
      </c>
      <c r="D33" s="432">
        <f>'CTOS VS ING OPER - INV INFRAEST'!D334</f>
        <v>-265000</v>
      </c>
      <c r="E33" s="432">
        <f>'CTOS VS ING OPER - INV INFRAEST'!E334</f>
        <v>-120000</v>
      </c>
      <c r="F33" s="432">
        <f>'CTOS VS ING OPER - INV INFRAEST'!F334</f>
        <v>-1865000</v>
      </c>
      <c r="G33" s="435">
        <f>'CTOS VS ING OPER - INV INFRAEST'!G334</f>
        <v>-2470000</v>
      </c>
    </row>
    <row r="34" spans="1:7">
      <c r="A34" s="410" t="s">
        <v>292</v>
      </c>
      <c r="B34" s="432">
        <f t="shared" ref="B34:G34" si="6">B32+B33</f>
        <v>2300000</v>
      </c>
      <c r="C34" s="432">
        <f t="shared" si="6"/>
        <v>4020000</v>
      </c>
      <c r="D34" s="432">
        <f t="shared" si="6"/>
        <v>5785000</v>
      </c>
      <c r="E34" s="432">
        <f t="shared" si="6"/>
        <v>5930000</v>
      </c>
      <c r="F34" s="432">
        <f t="shared" si="6"/>
        <v>4185000</v>
      </c>
      <c r="G34" s="435">
        <f t="shared" si="6"/>
        <v>3580000</v>
      </c>
    </row>
    <row r="35" spans="1:7">
      <c r="A35" s="411" t="s">
        <v>293</v>
      </c>
      <c r="B35" s="433">
        <f>'CTOS VS ING OPER - INV INFRAEST'!B339</f>
        <v>2050000</v>
      </c>
      <c r="C35" s="433">
        <f>'CTOS VS ING OPER - INV INFRAEST'!C339</f>
        <v>2050000</v>
      </c>
      <c r="D35" s="433">
        <f>'CTOS VS ING OPER - INV INFRAEST'!D339</f>
        <v>2050000</v>
      </c>
      <c r="E35" s="433">
        <f>'CTOS VS ING OPER - INV INFRAEST'!E339</f>
        <v>2050000</v>
      </c>
      <c r="F35" s="433">
        <f>'CTOS VS ING OPER - INV INFRAEST'!F339</f>
        <v>2050000</v>
      </c>
      <c r="G35" s="434">
        <f>'CTOS VS ING OPER - INV INFRAEST'!G339</f>
        <v>2050000</v>
      </c>
    </row>
    <row r="36" spans="1:7">
      <c r="A36" s="411" t="s">
        <v>291</v>
      </c>
      <c r="B36" s="433"/>
      <c r="C36" s="433">
        <f>'CTOS VS ING OPER - INV INFRAEST'!C340</f>
        <v>-410000</v>
      </c>
      <c r="D36" s="433">
        <f>'CTOS VS ING OPER - INV INFRAEST'!D340</f>
        <v>-820000</v>
      </c>
      <c r="E36" s="433">
        <f>'CTOS VS ING OPER - INV INFRAEST'!E340</f>
        <v>-1230000</v>
      </c>
      <c r="F36" s="433">
        <f>'CTOS VS ING OPER - INV INFRAEST'!F340</f>
        <v>-1640000</v>
      </c>
      <c r="G36" s="434">
        <f>'CTOS VS ING OPER - INV INFRAEST'!G340</f>
        <v>-2050000</v>
      </c>
    </row>
    <row r="37" spans="1:7">
      <c r="A37" s="411" t="s">
        <v>294</v>
      </c>
      <c r="B37" s="433">
        <f t="shared" ref="B37:G37" si="7">B35+B36</f>
        <v>2050000</v>
      </c>
      <c r="C37" s="433">
        <f t="shared" si="7"/>
        <v>1640000</v>
      </c>
      <c r="D37" s="433">
        <f t="shared" si="7"/>
        <v>1230000</v>
      </c>
      <c r="E37" s="433">
        <f t="shared" si="7"/>
        <v>820000</v>
      </c>
      <c r="F37" s="433">
        <f t="shared" si="7"/>
        <v>410000</v>
      </c>
      <c r="G37" s="434">
        <f t="shared" si="7"/>
        <v>0</v>
      </c>
    </row>
    <row r="38" spans="1:7">
      <c r="A38" s="410" t="s">
        <v>295</v>
      </c>
      <c r="B38" s="432">
        <f>'CTOS VS ING OPER - INV INFRAEST'!B345</f>
        <v>0</v>
      </c>
      <c r="C38" s="432">
        <f>'CTOS VS ING OPER - INV INFRAEST'!C345</f>
        <v>0</v>
      </c>
      <c r="D38" s="432">
        <f>'CTOS VS ING OPER - INV INFRAEST'!D345</f>
        <v>0</v>
      </c>
      <c r="E38" s="432">
        <f>'CTOS VS ING OPER - INV INFRAEST'!E345</f>
        <v>0</v>
      </c>
      <c r="F38" s="432">
        <f>'CTOS VS ING OPER - INV INFRAEST'!F345</f>
        <v>0</v>
      </c>
      <c r="G38" s="435">
        <f>'CTOS VS ING OPER - INV INFRAEST'!G345</f>
        <v>0</v>
      </c>
    </row>
    <row r="39" spans="1:7">
      <c r="A39" s="410" t="s">
        <v>291</v>
      </c>
      <c r="B39" s="432"/>
      <c r="C39" s="432">
        <f>'CTOS VS ING OPER - INV INFRAEST'!C346</f>
        <v>0</v>
      </c>
      <c r="D39" s="432">
        <f>'CTOS VS ING OPER - INV INFRAEST'!D346</f>
        <v>0</v>
      </c>
      <c r="E39" s="432">
        <f>'CTOS VS ING OPER - INV INFRAEST'!E346</f>
        <v>0</v>
      </c>
      <c r="F39" s="432">
        <f>'CTOS VS ING OPER - INV INFRAEST'!F346</f>
        <v>0</v>
      </c>
      <c r="G39" s="435">
        <f>'CTOS VS ING OPER - INV INFRAEST'!G346</f>
        <v>0</v>
      </c>
    </row>
    <row r="40" spans="1:7">
      <c r="A40" s="410" t="s">
        <v>296</v>
      </c>
      <c r="B40" s="432">
        <f t="shared" ref="B40:G40" si="8">B38+B39</f>
        <v>0</v>
      </c>
      <c r="C40" s="432">
        <f t="shared" si="8"/>
        <v>0</v>
      </c>
      <c r="D40" s="432">
        <f t="shared" si="8"/>
        <v>0</v>
      </c>
      <c r="E40" s="432">
        <f t="shared" si="8"/>
        <v>0</v>
      </c>
      <c r="F40" s="432">
        <f t="shared" si="8"/>
        <v>0</v>
      </c>
      <c r="G40" s="435">
        <f t="shared" si="8"/>
        <v>0</v>
      </c>
    </row>
    <row r="41" spans="1:7">
      <c r="A41" s="411" t="s">
        <v>297</v>
      </c>
      <c r="B41" s="433">
        <f>'CTOS VS ING OPER - INV INFRAEST'!B350</f>
        <v>3400000</v>
      </c>
      <c r="C41" s="433">
        <f>'CTOS VS ING OPER - INV INFRAEST'!C350</f>
        <v>3400000</v>
      </c>
      <c r="D41" s="433">
        <f>'CTOS VS ING OPER - INV INFRAEST'!D350</f>
        <v>3400000</v>
      </c>
      <c r="E41" s="433">
        <f>'CTOS VS ING OPER - INV INFRAEST'!E350</f>
        <v>3400000</v>
      </c>
      <c r="F41" s="433">
        <f>'CTOS VS ING OPER - INV INFRAEST'!F350</f>
        <v>3400000</v>
      </c>
      <c r="G41" s="434">
        <f>'CTOS VS ING OPER - INV INFRAEST'!G350</f>
        <v>3400000</v>
      </c>
    </row>
    <row r="42" spans="1:7">
      <c r="A42" s="411" t="s">
        <v>291</v>
      </c>
      <c r="B42" s="433"/>
      <c r="C42" s="433">
        <f>'CTOS VS ING OPER - INV INFRAEST'!C351</f>
        <v>-1133333</v>
      </c>
      <c r="D42" s="433">
        <f>'CTOS VS ING OPER - INV INFRAEST'!D351</f>
        <v>-2266666</v>
      </c>
      <c r="E42" s="433">
        <f>'CTOS VS ING OPER - INV INFRAEST'!E351</f>
        <v>-3399999</v>
      </c>
      <c r="F42" s="433">
        <f>'CTOS VS ING OPER - INV INFRAEST'!F351</f>
        <v>0</v>
      </c>
      <c r="G42" s="434">
        <f>'CTOS VS ING OPER - INV INFRAEST'!G351</f>
        <v>0</v>
      </c>
    </row>
    <row r="43" spans="1:7">
      <c r="A43" s="411" t="s">
        <v>298</v>
      </c>
      <c r="B43" s="433">
        <f t="shared" ref="B43:G43" si="9">B41+B42</f>
        <v>3400000</v>
      </c>
      <c r="C43" s="433">
        <f t="shared" si="9"/>
        <v>2266667</v>
      </c>
      <c r="D43" s="433">
        <f t="shared" si="9"/>
        <v>1133334</v>
      </c>
      <c r="E43" s="433">
        <f t="shared" si="9"/>
        <v>1</v>
      </c>
      <c r="F43" s="433">
        <f t="shared" si="9"/>
        <v>3400000</v>
      </c>
      <c r="G43" s="434">
        <f t="shared" si="9"/>
        <v>3400000</v>
      </c>
    </row>
    <row r="44" spans="1:7">
      <c r="A44" s="410" t="s">
        <v>299</v>
      </c>
      <c r="B44" s="432">
        <f>'CTOS VS ING OPER - INV INFRAEST'!B355</f>
        <v>0</v>
      </c>
      <c r="C44" s="432">
        <f>'CTOS VS ING OPER - INV INFRAEST'!C355</f>
        <v>0</v>
      </c>
      <c r="D44" s="432">
        <f>'CTOS VS ING OPER - INV INFRAEST'!D355</f>
        <v>0</v>
      </c>
      <c r="E44" s="432">
        <f>'CTOS VS ING OPER - INV INFRAEST'!E355</f>
        <v>0</v>
      </c>
      <c r="F44" s="432">
        <f>'CTOS VS ING OPER - INV INFRAEST'!F355</f>
        <v>0</v>
      </c>
      <c r="G44" s="435">
        <f>'CTOS VS ING OPER - INV INFRAEST'!G355</f>
        <v>0</v>
      </c>
    </row>
    <row r="45" spans="1:7">
      <c r="A45" s="410" t="s">
        <v>300</v>
      </c>
      <c r="B45" s="432"/>
      <c r="C45" s="432">
        <f>'CTOS VS ING OPER - INV INFRAEST'!C356</f>
        <v>0</v>
      </c>
      <c r="D45" s="432">
        <f>'CTOS VS ING OPER - INV INFRAEST'!E356</f>
        <v>0</v>
      </c>
      <c r="E45" s="432">
        <f>'CTOS VS ING OPER - INV INFRAEST'!F356</f>
        <v>0</v>
      </c>
      <c r="F45" s="432">
        <f>'CTOS VS ING OPER - INV INFRAEST'!G356</f>
        <v>0</v>
      </c>
      <c r="G45" s="435">
        <f>'CTOS VS ING OPER - INV INFRAEST'!H356</f>
        <v>0</v>
      </c>
    </row>
    <row r="46" spans="1:7">
      <c r="A46" s="410" t="s">
        <v>299</v>
      </c>
      <c r="B46" s="432">
        <f t="shared" ref="B46:G46" si="10">B44+B45</f>
        <v>0</v>
      </c>
      <c r="C46" s="432">
        <f t="shared" si="10"/>
        <v>0</v>
      </c>
      <c r="D46" s="432">
        <f t="shared" si="10"/>
        <v>0</v>
      </c>
      <c r="E46" s="432">
        <f t="shared" si="10"/>
        <v>0</v>
      </c>
      <c r="F46" s="432">
        <f t="shared" si="10"/>
        <v>0</v>
      </c>
      <c r="G46" s="435">
        <f t="shared" si="10"/>
        <v>0</v>
      </c>
    </row>
    <row r="47" spans="1:7">
      <c r="A47" s="411" t="s">
        <v>301</v>
      </c>
      <c r="B47" s="433">
        <f>'CTOS VS ING OPER - INV INFRAEST'!B361</f>
        <v>0</v>
      </c>
      <c r="C47" s="433">
        <f>'CTOS VS ING OPER - INV INFRAEST'!C361</f>
        <v>0</v>
      </c>
      <c r="D47" s="433">
        <f>'CTOS VS ING OPER - INV INFRAEST'!D361</f>
        <v>0</v>
      </c>
      <c r="E47" s="433">
        <f>'CTOS VS ING OPER - INV INFRAEST'!E361</f>
        <v>0</v>
      </c>
      <c r="F47" s="433">
        <f>'CTOS VS ING OPER - INV INFRAEST'!F361</f>
        <v>0</v>
      </c>
      <c r="G47" s="434">
        <f>'CTOS VS ING OPER - INV INFRAEST'!G361</f>
        <v>0</v>
      </c>
    </row>
    <row r="48" spans="1:7">
      <c r="A48" s="411" t="s">
        <v>300</v>
      </c>
      <c r="B48" s="433"/>
      <c r="C48" s="433">
        <f>'CTOS VS ING OPER - INV INFRAEST'!C362</f>
        <v>0</v>
      </c>
      <c r="D48" s="433">
        <f>'CTOS VS ING OPER - INV INFRAEST'!D362</f>
        <v>0</v>
      </c>
      <c r="E48" s="433">
        <f>'CTOS VS ING OPER - INV INFRAEST'!E362</f>
        <v>0</v>
      </c>
      <c r="F48" s="433">
        <f>'CTOS VS ING OPER - INV INFRAEST'!F362</f>
        <v>0</v>
      </c>
      <c r="G48" s="434">
        <f>'CTOS VS ING OPER - INV INFRAEST'!G362</f>
        <v>0</v>
      </c>
    </row>
    <row r="49" spans="1:7">
      <c r="A49" s="411" t="s">
        <v>301</v>
      </c>
      <c r="B49" s="433">
        <f t="shared" ref="B49:G49" si="11">B47+B48</f>
        <v>0</v>
      </c>
      <c r="C49" s="433">
        <f t="shared" si="11"/>
        <v>0</v>
      </c>
      <c r="D49" s="433">
        <f t="shared" si="11"/>
        <v>0</v>
      </c>
      <c r="E49" s="433">
        <f t="shared" si="11"/>
        <v>0</v>
      </c>
      <c r="F49" s="433">
        <f t="shared" si="11"/>
        <v>0</v>
      </c>
      <c r="G49" s="434">
        <f t="shared" si="11"/>
        <v>0</v>
      </c>
    </row>
    <row r="50" spans="1:7">
      <c r="A50" s="610" t="s">
        <v>302</v>
      </c>
      <c r="B50" s="436">
        <f>B28+B31+B34+B37+B40+B43+B46+B49</f>
        <v>9250000</v>
      </c>
      <c r="C50" s="436">
        <f>C28+C31+C34+C37+C40+C43+C46+C49</f>
        <v>9351667</v>
      </c>
      <c r="D50" s="436">
        <f>D28+D31+D34+D37+D40+D43+D46+D47</f>
        <v>9498334</v>
      </c>
      <c r="E50" s="436">
        <f>E28+E31+E34+E37+E40+E43+E46+E49</f>
        <v>8025001</v>
      </c>
      <c r="F50" s="436">
        <f>F28+F31+F34+F37+F40+F43+F46+F49</f>
        <v>9195000</v>
      </c>
      <c r="G50" s="437">
        <f>G28+G31+G34+G37+G40+G43+G46+G49</f>
        <v>8105000</v>
      </c>
    </row>
    <row r="51" spans="1:7" ht="18">
      <c r="A51" s="829" t="s">
        <v>401</v>
      </c>
      <c r="B51" s="830"/>
      <c r="C51" s="830"/>
      <c r="D51" s="830"/>
      <c r="E51" s="830"/>
      <c r="F51" s="830"/>
      <c r="G51" s="831"/>
    </row>
    <row r="52" spans="1:7">
      <c r="A52" s="581" t="str">
        <f>'CTOS VS ING OPER - INV INFRAEST'!A371</f>
        <v>ACTIVOS DIFERIDOS</v>
      </c>
      <c r="B52" s="582">
        <f>'CTOS VS ING OPER - INV INFRAEST'!B372</f>
        <v>0</v>
      </c>
      <c r="C52" s="582">
        <f>'CTOS VS ING OPER - INV INFRAEST'!C372</f>
        <v>0</v>
      </c>
      <c r="D52" s="582">
        <f>'CTOS VS ING OPER - INV INFRAEST'!D372</f>
        <v>0</v>
      </c>
      <c r="E52" s="582">
        <f>'CTOS VS ING OPER - INV INFRAEST'!E372</f>
        <v>0</v>
      </c>
      <c r="F52" s="582">
        <f>'CTOS VS ING OPER - INV INFRAEST'!F372</f>
        <v>0</v>
      </c>
      <c r="G52" s="582">
        <f>'CTOS VS ING OPER - INV INFRAEST'!G372</f>
        <v>0</v>
      </c>
    </row>
    <row r="53" spans="1:7">
      <c r="A53" s="581" t="str">
        <f>'CTOS VS ING OPER - INV INFRAEST'!A374</f>
        <v>AMORTIZACIÓN DE DIFERIDOS</v>
      </c>
      <c r="B53" s="582">
        <f>'CTOS VS ING OPER - INV INFRAEST'!B374</f>
        <v>0</v>
      </c>
      <c r="C53" s="582">
        <f>'CTOS VS ING OPER - INV INFRAEST'!C374</f>
        <v>0</v>
      </c>
      <c r="D53" s="582">
        <f>'CTOS VS ING OPER - INV INFRAEST'!D374</f>
        <v>0</v>
      </c>
      <c r="E53" s="582">
        <f>'CTOS VS ING OPER - INV INFRAEST'!E374</f>
        <v>0</v>
      </c>
      <c r="F53" s="582">
        <f>'CTOS VS ING OPER - INV INFRAEST'!F374</f>
        <v>0</v>
      </c>
      <c r="G53" s="582">
        <f>'CTOS VS ING OPER - INV INFRAEST'!G374</f>
        <v>0</v>
      </c>
    </row>
    <row r="54" spans="1:7">
      <c r="A54" s="581" t="str">
        <f>A52</f>
        <v>ACTIVOS DIFERIDOS</v>
      </c>
      <c r="B54" s="582">
        <f t="shared" ref="B54:G54" si="12">B52+B53</f>
        <v>0</v>
      </c>
      <c r="C54" s="582">
        <f t="shared" si="12"/>
        <v>0</v>
      </c>
      <c r="D54" s="582">
        <f t="shared" si="12"/>
        <v>0</v>
      </c>
      <c r="E54" s="582">
        <f t="shared" si="12"/>
        <v>0</v>
      </c>
      <c r="F54" s="582">
        <f t="shared" si="12"/>
        <v>0</v>
      </c>
      <c r="G54" s="582">
        <f t="shared" si="12"/>
        <v>0</v>
      </c>
    </row>
    <row r="55" spans="1:7" ht="15.75">
      <c r="A55" s="602" t="s">
        <v>303</v>
      </c>
      <c r="B55" s="603">
        <f t="shared" ref="B55:G55" si="13">B23+B26+B50+B54</f>
        <v>49850000</v>
      </c>
      <c r="C55" s="603">
        <f t="shared" si="13"/>
        <v>226849532.85501188</v>
      </c>
      <c r="D55" s="603">
        <f t="shared" si="13"/>
        <v>295420179.43092906</v>
      </c>
      <c r="E55" s="603">
        <f t="shared" si="13"/>
        <v>308906059.48923433</v>
      </c>
      <c r="F55" s="603">
        <f t="shared" si="13"/>
        <v>331395767.41741014</v>
      </c>
      <c r="G55" s="603">
        <f t="shared" si="13"/>
        <v>360550162.59193969</v>
      </c>
    </row>
    <row r="58" spans="1:7" ht="18">
      <c r="A58" s="829" t="s">
        <v>307</v>
      </c>
      <c r="B58" s="830"/>
      <c r="C58" s="830"/>
      <c r="D58" s="830"/>
      <c r="E58" s="830"/>
      <c r="F58" s="830"/>
      <c r="G58" s="831"/>
    </row>
    <row r="59" spans="1:7">
      <c r="A59" s="422" t="s">
        <v>304</v>
      </c>
      <c r="B59" s="427">
        <f t="shared" ref="B59:G59" si="14">C13</f>
        <v>0</v>
      </c>
      <c r="C59" s="427">
        <f t="shared" si="14"/>
        <v>0</v>
      </c>
      <c r="D59" s="427">
        <f t="shared" si="14"/>
        <v>0</v>
      </c>
      <c r="E59" s="427">
        <f t="shared" si="14"/>
        <v>0</v>
      </c>
      <c r="F59" s="427">
        <f t="shared" si="14"/>
        <v>0</v>
      </c>
      <c r="G59" s="427">
        <f t="shared" si="14"/>
        <v>0</v>
      </c>
    </row>
    <row r="60" spans="1:7">
      <c r="A60" s="422" t="s">
        <v>305</v>
      </c>
      <c r="B60" s="427">
        <v>0</v>
      </c>
      <c r="C60" s="429">
        <f>'ESTADO DE RESULTADOS'!B29</f>
        <v>86319115.332338884</v>
      </c>
      <c r="D60" s="429">
        <f>'ESTADO DE RESULTADOS'!C29</f>
        <v>90531606.638129845</v>
      </c>
      <c r="E60" s="429">
        <f>'ESTADO DE RESULTADOS'!D29</f>
        <v>99006791.338725299</v>
      </c>
      <c r="F60" s="429">
        <f>'ESTADO DE RESULTADOS'!E29</f>
        <v>110127879.28949001</v>
      </c>
      <c r="G60" s="430">
        <f>'ESTADO DE RESULTADOS'!F29</f>
        <v>123393399.93557465</v>
      </c>
    </row>
    <row r="61" spans="1:7">
      <c r="A61" s="413" t="s">
        <v>421</v>
      </c>
      <c r="B61" s="601">
        <f t="shared" ref="B61:G61" si="15">SUM(B59:B60)</f>
        <v>0</v>
      </c>
      <c r="C61" s="601">
        <f t="shared" si="15"/>
        <v>86319115.332338884</v>
      </c>
      <c r="D61" s="601">
        <f t="shared" si="15"/>
        <v>90531606.638129845</v>
      </c>
      <c r="E61" s="601">
        <f t="shared" si="15"/>
        <v>99006791.338725299</v>
      </c>
      <c r="F61" s="601">
        <f t="shared" si="15"/>
        <v>110127879.28949001</v>
      </c>
      <c r="G61" s="601">
        <f t="shared" si="15"/>
        <v>123393399.93557465</v>
      </c>
    </row>
    <row r="62" spans="1:7">
      <c r="A62" s="422" t="s">
        <v>306</v>
      </c>
      <c r="B62" s="429">
        <f>'NECESIDADES DE FINANCIACIÓN'!D21</f>
        <v>39850000</v>
      </c>
      <c r="C62" s="427">
        <f>'NECESIDADES DE FINANCIACIÓN'!F28*-1</f>
        <v>31880000</v>
      </c>
      <c r="D62" s="427">
        <f>'NECESIDADES DE FINANCIACIÓN'!F29*-1</f>
        <v>23910000</v>
      </c>
      <c r="E62" s="427">
        <f>'NECESIDADES DE FINANCIACIÓN'!F30*-1</f>
        <v>15940000</v>
      </c>
      <c r="F62" s="427">
        <f>'NECESIDADES DE FINANCIACIÓN'!F31*-1</f>
        <v>7970000</v>
      </c>
      <c r="G62" s="431">
        <f>'NECESIDADES DE FINANCIACIÓN'!F32</f>
        <v>0</v>
      </c>
    </row>
    <row r="63" spans="1:7">
      <c r="A63" s="413" t="s">
        <v>307</v>
      </c>
      <c r="B63" s="436">
        <f t="shared" ref="B63:G63" si="16">B61+B62</f>
        <v>39850000</v>
      </c>
      <c r="C63" s="436">
        <f t="shared" si="16"/>
        <v>118199115.33233888</v>
      </c>
      <c r="D63" s="436">
        <f t="shared" si="16"/>
        <v>114441606.63812985</v>
      </c>
      <c r="E63" s="436">
        <f t="shared" si="16"/>
        <v>114946791.3387253</v>
      </c>
      <c r="F63" s="436">
        <f t="shared" si="16"/>
        <v>118097879.28949001</v>
      </c>
      <c r="G63" s="436">
        <f t="shared" si="16"/>
        <v>123393399.93557465</v>
      </c>
    </row>
    <row r="64" spans="1:7" ht="18">
      <c r="A64" s="829" t="s">
        <v>353</v>
      </c>
      <c r="B64" s="830"/>
      <c r="C64" s="830"/>
      <c r="D64" s="830"/>
      <c r="E64" s="830"/>
      <c r="F64" s="830"/>
      <c r="G64" s="831"/>
    </row>
    <row r="65" spans="1:7">
      <c r="A65" s="422" t="s">
        <v>308</v>
      </c>
      <c r="B65" s="427">
        <f>'NECESIDADES DE FINANCIACIÓN'!D20</f>
        <v>10000000</v>
      </c>
      <c r="C65" s="427">
        <f>B65+'FLUJO DE CAJA'!B39</f>
        <v>10000000</v>
      </c>
      <c r="D65" s="427">
        <f>C65+'FLUJO DE CAJA'!C39</f>
        <v>10000000</v>
      </c>
      <c r="E65" s="427">
        <f>D65+'FLUJO DE CAJA'!D39</f>
        <v>10000000</v>
      </c>
      <c r="F65" s="427">
        <f>E65+'FLUJO DE CAJA'!E39</f>
        <v>10000000</v>
      </c>
      <c r="G65" s="427">
        <f>F65+'FLUJO DE CAJA'!F39</f>
        <v>10000000</v>
      </c>
    </row>
    <row r="66" spans="1:7">
      <c r="A66" s="422" t="s">
        <v>309</v>
      </c>
      <c r="B66" s="427">
        <v>0</v>
      </c>
      <c r="C66" s="429">
        <f>'ESTADO DE RESULTADOS'!B30</f>
        <v>8631911.5332338884</v>
      </c>
      <c r="D66" s="429">
        <f>'ESTADO DE RESULTADOS'!C30</f>
        <v>9053160.6638129856</v>
      </c>
      <c r="E66" s="429">
        <f>'ESTADO DE RESULTADOS'!D30</f>
        <v>9900679.1338725295</v>
      </c>
      <c r="F66" s="429">
        <f>'ESTADO DE RESULTADOS'!E30</f>
        <v>11012787.928949002</v>
      </c>
      <c r="G66" s="430">
        <f>'ESTADO DE RESULTADOS'!F30</f>
        <v>12339339.993557466</v>
      </c>
    </row>
    <row r="67" spans="1:7">
      <c r="A67" s="422" t="s">
        <v>310</v>
      </c>
      <c r="B67" s="427">
        <v>0</v>
      </c>
      <c r="C67" s="429">
        <f>'ESTADO DE RESULTADOS'!B36</f>
        <v>0</v>
      </c>
      <c r="D67" s="429">
        <f>'ESTADO DE RESULTADOS'!C36</f>
        <v>67513879.492079347</v>
      </c>
      <c r="E67" s="429">
        <f>'ESTADO DE RESULTADOS'!D36</f>
        <v>70808649.477680147</v>
      </c>
      <c r="F67" s="429">
        <f>'ESTADO DE RESULTADOS'!E36</f>
        <v>77437454.654217273</v>
      </c>
      <c r="G67" s="430">
        <f>'ESTADO DE RESULTADOS'!F36</f>
        <v>86135734.158565417</v>
      </c>
    </row>
    <row r="68" spans="1:7">
      <c r="A68" s="422" t="s">
        <v>311</v>
      </c>
      <c r="B68" s="427">
        <v>0</v>
      </c>
      <c r="C68" s="429">
        <f>'ESTADO DE RESULTADOS'!B32</f>
        <v>90018505.98943913</v>
      </c>
      <c r="D68" s="429">
        <f>'ESTADO DE RESULTADOS'!C32</f>
        <v>94411532.636906862</v>
      </c>
      <c r="E68" s="429">
        <f>'ESTADO DE RESULTADOS'!D32</f>
        <v>103249939.53895637</v>
      </c>
      <c r="F68" s="429">
        <f>'ESTADO DE RESULTADOS'!E32</f>
        <v>114847645.54475389</v>
      </c>
      <c r="G68" s="430">
        <f>'ESTADO DE RESULTADOS'!F32</f>
        <v>128681688.50424217</v>
      </c>
    </row>
    <row r="69" spans="1:7">
      <c r="A69" s="421" t="s">
        <v>312</v>
      </c>
      <c r="B69" s="427">
        <v>0</v>
      </c>
      <c r="C69" s="429"/>
      <c r="D69" s="429"/>
      <c r="E69" s="429"/>
      <c r="F69" s="429"/>
      <c r="G69" s="430"/>
    </row>
    <row r="70" spans="1:7">
      <c r="A70" s="413" t="s">
        <v>313</v>
      </c>
      <c r="B70" s="436">
        <f t="shared" ref="B70:G70" si="17">B65+B66+B67+B68+B69</f>
        <v>10000000</v>
      </c>
      <c r="C70" s="436">
        <f t="shared" si="17"/>
        <v>108650417.52267301</v>
      </c>
      <c r="D70" s="436">
        <f t="shared" si="17"/>
        <v>180978572.7927992</v>
      </c>
      <c r="E70" s="436">
        <f t="shared" si="17"/>
        <v>193959268.15050906</v>
      </c>
      <c r="F70" s="436">
        <f t="shared" si="17"/>
        <v>213297888.12792015</v>
      </c>
      <c r="G70" s="437">
        <f t="shared" si="17"/>
        <v>237156762.65636504</v>
      </c>
    </row>
    <row r="71" spans="1:7">
      <c r="A71" s="607"/>
      <c r="B71" s="608"/>
      <c r="C71" s="608"/>
      <c r="D71" s="608"/>
      <c r="E71" s="608"/>
      <c r="F71" s="608"/>
      <c r="G71" s="609"/>
    </row>
    <row r="72" spans="1:7" ht="16.5" thickBot="1">
      <c r="A72" s="604" t="s">
        <v>314</v>
      </c>
      <c r="B72" s="605">
        <f t="shared" ref="B72:G72" si="18">B63+B70</f>
        <v>49850000</v>
      </c>
      <c r="C72" s="605">
        <f>C63+C70</f>
        <v>226849532.85501188</v>
      </c>
      <c r="D72" s="605">
        <f t="shared" si="18"/>
        <v>295420179.43092906</v>
      </c>
      <c r="E72" s="605">
        <f t="shared" si="18"/>
        <v>308906059.48923433</v>
      </c>
      <c r="F72" s="605">
        <f t="shared" si="18"/>
        <v>331395767.41741014</v>
      </c>
      <c r="G72" s="606">
        <f t="shared" si="18"/>
        <v>360550162.59193969</v>
      </c>
    </row>
    <row r="73" spans="1:7">
      <c r="A73" s="408"/>
      <c r="B73" s="409"/>
      <c r="C73" s="409"/>
      <c r="D73" s="409"/>
      <c r="E73" s="409"/>
      <c r="F73" s="409"/>
      <c r="G73" s="409"/>
    </row>
    <row r="74" spans="1:7">
      <c r="A74" s="414" t="s">
        <v>315</v>
      </c>
      <c r="B74" s="415">
        <f t="shared" ref="B74:G74" si="19">B72-B55</f>
        <v>0</v>
      </c>
      <c r="C74" s="415">
        <f t="shared" si="19"/>
        <v>0</v>
      </c>
      <c r="D74" s="415">
        <f t="shared" si="19"/>
        <v>0</v>
      </c>
      <c r="E74" s="415">
        <f t="shared" si="19"/>
        <v>0</v>
      </c>
      <c r="F74" s="415">
        <f t="shared" si="19"/>
        <v>0</v>
      </c>
      <c r="G74" s="415">
        <f t="shared" si="19"/>
        <v>0</v>
      </c>
    </row>
  </sheetData>
  <sheetProtection password="909C" sheet="1" formatColumns="0" formatRows="0"/>
  <mergeCells count="7">
    <mergeCell ref="A5:B5"/>
    <mergeCell ref="B17:G17"/>
    <mergeCell ref="A64:G64"/>
    <mergeCell ref="A58:G58"/>
    <mergeCell ref="A19:G19"/>
    <mergeCell ref="A27:G27"/>
    <mergeCell ref="A51:G51"/>
  </mergeCells>
  <phoneticPr fontId="0" type="noConversion"/>
  <conditionalFormatting sqref="B74:G74">
    <cfRule type="cellIs" dxfId="12" priority="2" stopIfTrue="1" operator="notEqual">
      <formula>0</formula>
    </cfRule>
  </conditionalFormatting>
  <conditionalFormatting sqref="B20:G20">
    <cfRule type="cellIs" dxfId="11" priority="1" stopIfTrue="1" operator="lessThan">
      <formula>0</formula>
    </cfRule>
  </conditionalFormatting>
  <dataValidations xWindow="1164" yWindow="416" count="6">
    <dataValidation allowBlank="1" showInputMessage="1" showErrorMessage="1" promptTitle="Inventario Materia Prima" prompt="Valor inicial del Inventario de Materia Prima Primer Año." sqref="C7:C8"/>
    <dataValidation allowBlank="1" showInputMessage="1" showErrorMessage="1" promptTitle="Rotación de Cartera" prompt="Valor de los días de Cartera( en relación al valor total de Ventas del año)" sqref="E9:H9"/>
    <dataValidation allowBlank="1" showInputMessage="1" showErrorMessage="1" promptTitle="Cuentas por Cobrar" prompt="Valor inicial de las Cuentas por Cobrar Comerciales" sqref="C10"/>
    <dataValidation allowBlank="1" showInputMessage="1" showErrorMessage="1" promptTitle="Rotación de Cartera" prompt="Días Promedio de Recuperacion de Cartera (En relación al valor total de Ventas del año)" sqref="D9"/>
    <dataValidation allowBlank="1" showInputMessage="1" showErrorMessage="1" promptTitle="Días de Cuentas por Pagar" prompt="Días de Cuentas por Pagar a Proveedores (respecto del total de Mano de Obra y Materia Prima)_x000a_" sqref="D12:H12"/>
    <dataValidation allowBlank="1" showInputMessage="1" showErrorMessage="1" promptTitle="Cuentas por Pagar Proveedores" prompt="Valor inicial de Cuentas por Pagar a Proveedores" sqref="C13"/>
  </dataValidations>
  <pageMargins left="0.75" right="0.75" top="1" bottom="1" header="0" footer="0"/>
  <pageSetup paperSize="9" scale="49" orientation="portrait" horizont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sheetPr codeName="Hoja13"/>
  <dimension ref="A2:I38"/>
  <sheetViews>
    <sheetView view="pageBreakPreview" zoomScaleNormal="100" zoomScaleSheetLayoutView="100" workbookViewId="0">
      <selection activeCell="B19" sqref="B19"/>
    </sheetView>
  </sheetViews>
  <sheetFormatPr baseColWidth="10" defaultRowHeight="12.75"/>
  <cols>
    <col min="1" max="1" width="33.28515625" style="3" bestFit="1" customWidth="1"/>
    <col min="2" max="2" width="19" style="3" bestFit="1" customWidth="1"/>
    <col min="3" max="3" width="18.140625" style="3" customWidth="1"/>
    <col min="4" max="4" width="16.5703125" style="3" customWidth="1"/>
    <col min="5" max="6" width="19" style="3" bestFit="1" customWidth="1"/>
    <col min="7" max="7" width="11.42578125" style="3"/>
    <col min="8" max="8" width="24.42578125" style="3" bestFit="1" customWidth="1"/>
    <col min="9" max="9" width="11.5703125" style="3" bestFit="1" customWidth="1"/>
    <col min="10" max="10" width="8.85546875" style="3" customWidth="1"/>
    <col min="11" max="16384" width="11.42578125" style="3"/>
  </cols>
  <sheetData>
    <row r="2" spans="1:9" ht="57.75" customHeight="1" thickBot="1"/>
    <row r="3" spans="1:9" ht="16.5" thickBot="1">
      <c r="A3" s="475" t="s">
        <v>319</v>
      </c>
      <c r="B3" s="476">
        <f>'BALANCE GENERAL'!C18</f>
        <v>2012</v>
      </c>
      <c r="C3" s="476">
        <f>'BALANCE GENERAL'!D18</f>
        <v>2013</v>
      </c>
      <c r="D3" s="476">
        <f>'BALANCE GENERAL'!E18</f>
        <v>2014</v>
      </c>
      <c r="E3" s="476">
        <f>'BALANCE GENERAL'!F18</f>
        <v>2015</v>
      </c>
      <c r="F3" s="477">
        <f>'BALANCE GENERAL'!G18</f>
        <v>2016</v>
      </c>
    </row>
    <row r="4" spans="1:9">
      <c r="A4" s="490" t="s">
        <v>320</v>
      </c>
      <c r="B4" s="491">
        <f>'CTOS VS ING OPER - INV INFRAEST'!C14</f>
        <v>483840000</v>
      </c>
      <c r="C4" s="491">
        <f>'CTOS VS ING OPER - INV INFRAEST'!D14</f>
        <v>510812040.95999992</v>
      </c>
      <c r="D4" s="491">
        <f>'CTOS VS ING OPER - INV INFRAEST'!E14</f>
        <v>541034007.55200005</v>
      </c>
      <c r="E4" s="491">
        <f>'CTOS VS ING OPER - INV INFRAEST'!F14</f>
        <v>577764577.03679991</v>
      </c>
      <c r="F4" s="491">
        <f>'CTOS VS ING OPER - INV INFRAEST'!G14</f>
        <v>622080275.25795829</v>
      </c>
    </row>
    <row r="5" spans="1:9">
      <c r="A5" s="492" t="s">
        <v>321</v>
      </c>
      <c r="B5" s="493">
        <f>B4*$I$13</f>
        <v>0</v>
      </c>
      <c r="C5" s="493">
        <f>C4*$I$13</f>
        <v>0</v>
      </c>
      <c r="D5" s="493">
        <f>D4*$I$13</f>
        <v>0</v>
      </c>
      <c r="E5" s="493">
        <f>E4*$I$13</f>
        <v>0</v>
      </c>
      <c r="F5" s="493">
        <f>F4*$I$13</f>
        <v>0</v>
      </c>
    </row>
    <row r="6" spans="1:9">
      <c r="A6" s="494" t="s">
        <v>322</v>
      </c>
      <c r="B6" s="493">
        <f>'COSTOS DE PRODUCCION'!P222</f>
        <v>8400000</v>
      </c>
      <c r="C6" s="493">
        <f>'COSTOS DE PRODUCCION'!Q222</f>
        <v>17646770.831882399</v>
      </c>
      <c r="D6" s="493">
        <f>'COSTOS DE PRODUCCION'!R222</f>
        <v>18719748.421077024</v>
      </c>
      <c r="E6" s="493">
        <f>'COSTOS DE PRODUCCION'!S222</f>
        <v>20052652.270730536</v>
      </c>
      <c r="F6" s="493">
        <f>'COSTOS DE PRODUCCION'!T222</f>
        <v>21689011.171660088</v>
      </c>
    </row>
    <row r="7" spans="1:9">
      <c r="A7" s="494" t="s">
        <v>59</v>
      </c>
      <c r="B7" s="493">
        <f>'CTOS VS ING OPER - INV INFRAEST'!C378</f>
        <v>1848333</v>
      </c>
      <c r="C7" s="493">
        <f>'CTOS VS ING OPER - INV INFRAEST'!D378</f>
        <v>2043333</v>
      </c>
      <c r="D7" s="493">
        <f>'CTOS VS ING OPER - INV INFRAEST'!E378</f>
        <v>2223333</v>
      </c>
      <c r="E7" s="493">
        <f>'CTOS VS ING OPER - INV INFRAEST'!F378</f>
        <v>1090000</v>
      </c>
      <c r="F7" s="493">
        <f>'CTOS VS ING OPER - INV INFRAEST'!G378</f>
        <v>1090000</v>
      </c>
    </row>
    <row r="8" spans="1:9">
      <c r="A8" s="494" t="s">
        <v>69</v>
      </c>
      <c r="B8" s="493">
        <f>'CTOS VS ING OPER - INV INFRAEST'!C379</f>
        <v>3640000</v>
      </c>
      <c r="C8" s="493">
        <f>'CTOS VS ING OPER - INV INFRAEST'!D379</f>
        <v>3640000</v>
      </c>
      <c r="D8" s="493">
        <f>'CTOS VS ING OPER - INV INFRAEST'!E379</f>
        <v>3640000</v>
      </c>
      <c r="E8" s="493">
        <f>'CTOS VS ING OPER - INV INFRAEST'!F379</f>
        <v>3640000</v>
      </c>
      <c r="F8" s="493">
        <f>'CTOS VS ING OPER - INV INFRAEST'!G379</f>
        <v>3640000</v>
      </c>
    </row>
    <row r="9" spans="1:9" ht="13.5" thickBot="1">
      <c r="A9" s="494" t="s">
        <v>323</v>
      </c>
      <c r="B9" s="493">
        <f>[1]Proyecciones!F48</f>
        <v>0</v>
      </c>
      <c r="C9" s="493">
        <f>[1]Proyecciones!G48</f>
        <v>0</v>
      </c>
      <c r="D9" s="493">
        <f>[1]Proyecciones!H48</f>
        <v>0</v>
      </c>
      <c r="E9" s="493">
        <f>[1]Proyecciones!I48</f>
        <v>0</v>
      </c>
      <c r="F9" s="493">
        <f>[1]Proyecciones!J48</f>
        <v>0</v>
      </c>
    </row>
    <row r="10" spans="1:9" ht="13.5" thickBot="1">
      <c r="A10" s="481" t="s">
        <v>324</v>
      </c>
      <c r="B10" s="482">
        <f>B4-B5-B6-B7-B8-B9</f>
        <v>469951667</v>
      </c>
      <c r="C10" s="482">
        <f>C4-C5-C6-C7-C8-C9</f>
        <v>487481937.1281175</v>
      </c>
      <c r="D10" s="482">
        <f>D4-D5-D6-D7-D8-D9</f>
        <v>516450926.13092303</v>
      </c>
      <c r="E10" s="482">
        <f>E4-E5-E6-E7-E8-E9</f>
        <v>552981924.76606941</v>
      </c>
      <c r="F10" s="482">
        <f>F4-F5-F6-F7-F8-F9</f>
        <v>595661264.08629823</v>
      </c>
      <c r="H10" s="484" t="s">
        <v>348</v>
      </c>
      <c r="I10" s="486">
        <v>0.35</v>
      </c>
    </row>
    <row r="11" spans="1:9" ht="13.5" thickBot="1">
      <c r="A11" s="494" t="s">
        <v>325</v>
      </c>
      <c r="B11" s="493">
        <f>'CUADRO DE COSTOS Y GASTOS FIJOS'!F5+'CUADRO DE COSTOS Y GASTOS FIJOS'!F7</f>
        <v>87929460</v>
      </c>
      <c r="C11" s="493">
        <f>'CUADRO DE COSTOS Y GASTOS FIJOS'!G5+'CUADRO DE COSTOS Y GASTOS FIJOS'!G7</f>
        <v>90243429.488000005</v>
      </c>
      <c r="D11" s="493">
        <f>'CUADRO DE COSTOS Y GASTOS FIJOS'!H5+'CUADRO DE COSTOS Y GASTOS FIJOS'!H7</f>
        <v>92384930.780339196</v>
      </c>
      <c r="E11" s="493">
        <f>'CUADRO DE COSTOS Y GASTOS FIJOS'!I5+'CUADRO DE COSTOS Y GASTOS FIJOS'!I7</f>
        <v>94511903.433055669</v>
      </c>
      <c r="F11" s="493">
        <f>'CUADRO DE COSTOS Y GASTOS FIJOS'!J5+'CUADRO DE COSTOS Y GASTOS FIJOS'!J7</f>
        <v>96639585.974242538</v>
      </c>
      <c r="H11" s="484" t="s">
        <v>349</v>
      </c>
      <c r="I11" s="486">
        <v>0.1</v>
      </c>
    </row>
    <row r="12" spans="1:9" ht="13.5" thickBot="1">
      <c r="A12" s="494" t="s">
        <v>326</v>
      </c>
      <c r="B12" s="493">
        <f>'CUADRO DE COSTOS Y GASTOS FIJOS'!F4+'CUADRO DE COSTOS Y GASTOS FIJOS'!F8</f>
        <v>70357207.680000007</v>
      </c>
      <c r="C12" s="493">
        <f>'CUADRO DE COSTOS Y GASTOS FIJOS'!G4+'CUADRO DE COSTOS Y GASTOS FIJOS'!G8</f>
        <v>73544389.187903985</v>
      </c>
      <c r="D12" s="493">
        <f>'CUADRO DE COSTOS Y GASTOS FIJOS'!H4+'CUADRO DE COSTOS Y GASTOS FIJOS'!H8</f>
        <v>76368493.732719511</v>
      </c>
      <c r="E12" s="493">
        <f>'CUADRO DE COSTOS Y GASTOS FIJOS'!I4+'CUADRO DE COSTOS Y GASTOS FIJOS'!I8</f>
        <v>79178854.302083582</v>
      </c>
      <c r="F12" s="493">
        <f>'CUADRO DE COSTOS Y GASTOS FIJOS'!J4+'CUADRO DE COSTOS Y GASTOS FIJOS'!J8</f>
        <v>81973867.858947128</v>
      </c>
      <c r="H12" s="485" t="s">
        <v>352</v>
      </c>
      <c r="I12" s="487">
        <v>0.25</v>
      </c>
    </row>
    <row r="13" spans="1:9" ht="13.5" thickBot="1">
      <c r="A13" s="494" t="s">
        <v>343</v>
      </c>
      <c r="B13" s="493">
        <f>'CUADRO DE COSTOS Y GASTOS FIJOS'!F6</f>
        <v>43476480</v>
      </c>
      <c r="C13" s="493">
        <f>'CUADRO DE COSTOS Y GASTOS FIJOS'!G6</f>
        <v>45445964.543999992</v>
      </c>
      <c r="D13" s="493">
        <f>'CUADRO DE COSTOS Y GASTOS FIJOS'!H6</f>
        <v>47191089.582489595</v>
      </c>
      <c r="E13" s="493">
        <f>'CUADRO DE COSTOS Y GASTOS FIJOS'!I6</f>
        <v>48927721.679125212</v>
      </c>
      <c r="F13" s="493">
        <f>'CUADRO DE COSTOS Y GASTOS FIJOS'!J6</f>
        <v>50654870.254398324</v>
      </c>
      <c r="H13" s="485" t="s">
        <v>372</v>
      </c>
      <c r="I13" s="487">
        <v>0</v>
      </c>
    </row>
    <row r="14" spans="1:9" ht="13.5" thickBot="1">
      <c r="A14" s="494" t="s">
        <v>327</v>
      </c>
      <c r="B14" s="493">
        <f>B4*'1'!$G$19</f>
        <v>2903040</v>
      </c>
      <c r="C14" s="493">
        <f>C4*'1'!$G$19</f>
        <v>3064872.2457599994</v>
      </c>
      <c r="D14" s="493">
        <f>D4*'1'!$G$19</f>
        <v>3246204.0453120004</v>
      </c>
      <c r="E14" s="493">
        <f>E4*'1'!$G$19</f>
        <v>3466587.4622207996</v>
      </c>
      <c r="F14" s="493">
        <f>F4*'1'!$G$19</f>
        <v>3732481.65154775</v>
      </c>
      <c r="H14" s="485" t="s">
        <v>373</v>
      </c>
      <c r="I14" s="487">
        <v>0</v>
      </c>
    </row>
    <row r="15" spans="1:9" ht="13.5" thickBot="1">
      <c r="A15" s="494" t="s">
        <v>328</v>
      </c>
      <c r="B15" s="493">
        <f>B4*$I$14</f>
        <v>0</v>
      </c>
      <c r="C15" s="493">
        <f>C4*$I$14</f>
        <v>0</v>
      </c>
      <c r="D15" s="493">
        <f>D4*$I$14</f>
        <v>0</v>
      </c>
      <c r="E15" s="493">
        <f>E4*$I$14</f>
        <v>0</v>
      </c>
      <c r="F15" s="493">
        <f>F4*$I$14</f>
        <v>0</v>
      </c>
      <c r="H15" s="485" t="s">
        <v>375</v>
      </c>
      <c r="I15" s="487">
        <v>0.25</v>
      </c>
    </row>
    <row r="16" spans="1:9" hidden="1">
      <c r="A16" s="471" t="s">
        <v>329</v>
      </c>
      <c r="B16" s="470"/>
      <c r="C16" s="470"/>
      <c r="D16" s="470"/>
      <c r="E16" s="470"/>
      <c r="F16" s="470"/>
    </row>
    <row r="17" spans="1:6">
      <c r="A17" s="483" t="s">
        <v>330</v>
      </c>
      <c r="B17" s="482">
        <f>B10-SUM(B11:B16)</f>
        <v>265285479.31999999</v>
      </c>
      <c r="C17" s="482">
        <f>C10-SUM(C11:C16)</f>
        <v>275183281.66245353</v>
      </c>
      <c r="D17" s="482">
        <f>D10-SUM(D11:D16)</f>
        <v>297260207.99006271</v>
      </c>
      <c r="E17" s="482">
        <f>E10-SUM(E11:E16)</f>
        <v>326896857.88958418</v>
      </c>
      <c r="F17" s="482">
        <f>F10-SUM(F11:F16)</f>
        <v>362660458.34716249</v>
      </c>
    </row>
    <row r="18" spans="1:6" hidden="1">
      <c r="A18" s="478" t="s">
        <v>331</v>
      </c>
      <c r="B18" s="479"/>
      <c r="C18" s="479"/>
      <c r="D18" s="479"/>
      <c r="E18" s="479"/>
      <c r="F18" s="479"/>
    </row>
    <row r="19" spans="1:6">
      <c r="A19" s="495" t="s">
        <v>332</v>
      </c>
      <c r="B19" s="496">
        <f>'NECESIDADES DE FINANCIACIÓN'!E28</f>
        <v>-10689435.513317429</v>
      </c>
      <c r="C19" s="496">
        <f>'NECESIDADES DE FINANCIACIÓN'!E29</f>
        <v>-8551548.4106539432</v>
      </c>
      <c r="D19" s="496">
        <f>'NECESIDADES DE FINANCIACIÓN'!E30</f>
        <v>-6413661.3079904569</v>
      </c>
      <c r="E19" s="496">
        <f>'NECESIDADES DE FINANCIACIÓN'!E31</f>
        <v>-4275774.2053269716</v>
      </c>
      <c r="F19" s="496">
        <f>'NECESIDADES DE FINANCIACIÓN'!E32</f>
        <v>-2137887.1026634858</v>
      </c>
    </row>
    <row r="20" spans="1:6">
      <c r="A20" s="495" t="s">
        <v>342</v>
      </c>
      <c r="B20" s="496">
        <f>'NECESIDADES DE FINANCIACIÓN'!D28</f>
        <v>-7970000</v>
      </c>
      <c r="C20" s="496">
        <f>B20</f>
        <v>-7970000</v>
      </c>
      <c r="D20" s="496">
        <f>C20</f>
        <v>-7970000</v>
      </c>
      <c r="E20" s="496">
        <f>D20</f>
        <v>-7970000</v>
      </c>
      <c r="F20" s="496">
        <f>E20</f>
        <v>-7970000</v>
      </c>
    </row>
    <row r="21" spans="1:6">
      <c r="A21" s="497" t="s">
        <v>333</v>
      </c>
      <c r="B21" s="493">
        <f>B18+B19+B20</f>
        <v>-18659435.513317429</v>
      </c>
      <c r="C21" s="493">
        <f>C18+C19+C20</f>
        <v>-16521548.410653943</v>
      </c>
      <c r="D21" s="493">
        <f>D18+D19+D20</f>
        <v>-14383661.307990458</v>
      </c>
      <c r="E21" s="493">
        <f>E18+E19+E20</f>
        <v>-12245774.205326971</v>
      </c>
      <c r="F21" s="493">
        <f>F18+F19+F20</f>
        <v>-10107887.102663485</v>
      </c>
    </row>
    <row r="22" spans="1:6" hidden="1">
      <c r="A22" s="472" t="s">
        <v>334</v>
      </c>
      <c r="B22" s="473">
        <f>[1]Proyecciones!F182</f>
        <v>0</v>
      </c>
      <c r="C22" s="473">
        <f>[1]Proyecciones!G182</f>
        <v>0</v>
      </c>
      <c r="D22" s="473">
        <f>[1]Proyecciones!H182</f>
        <v>0</v>
      </c>
      <c r="E22" s="473">
        <f>[1]Proyecciones!I182</f>
        <v>0</v>
      </c>
      <c r="F22" s="473">
        <f>[1]Proyecciones!J182</f>
        <v>0</v>
      </c>
    </row>
    <row r="23" spans="1:6" hidden="1">
      <c r="A23" s="472" t="s">
        <v>335</v>
      </c>
      <c r="B23" s="473">
        <f>[1]Proyecciones!F97+[1]Proyecciones!F100+[1]Proyecciones!F107+[1]Proyecciones!F114+[1]Proyecciones!F121+[1]Proyecciones!F128+[1]Proyecciones!F135+[1]Proyecciones!F142</f>
        <v>0</v>
      </c>
      <c r="C23" s="473">
        <f>[1]Proyecciones!G97+[1]Proyecciones!G100+[1]Proyecciones!G107+[1]Proyecciones!G114+[1]Proyecciones!G121+[1]Proyecciones!G128+[1]Proyecciones!G135+[1]Proyecciones!G142</f>
        <v>0</v>
      </c>
      <c r="D23" s="473">
        <f>[1]Proyecciones!H97+[1]Proyecciones!H100+[1]Proyecciones!H107+[1]Proyecciones!H114+[1]Proyecciones!H121+[1]Proyecciones!H128+[1]Proyecciones!H135+[1]Proyecciones!H142</f>
        <v>0</v>
      </c>
      <c r="E23" s="473">
        <f>[1]Proyecciones!I97+[1]Proyecciones!I100+[1]Proyecciones!I107+[1]Proyecciones!I114+[1]Proyecciones!I121+[1]Proyecciones!I128+[1]Proyecciones!I135+[1]Proyecciones!I142</f>
        <v>0</v>
      </c>
      <c r="F23" s="473">
        <f>[1]Proyecciones!J97+[1]Proyecciones!J100+[1]Proyecciones!J107+[1]Proyecciones!J114+[1]Proyecciones!J121+[1]Proyecciones!J128+[1]Proyecciones!J135+[1]Proyecciones!J142</f>
        <v>0</v>
      </c>
    </row>
    <row r="24" spans="1:6" hidden="1">
      <c r="A24" s="472" t="s">
        <v>336</v>
      </c>
      <c r="B24" s="473">
        <f>[1]Proyecciones!F102+[1]Proyecciones!F109+[1]Proyecciones!F116+[1]Proyecciones!F123+[1]Proyecciones!F130</f>
        <v>0</v>
      </c>
      <c r="C24" s="473">
        <f>[1]Proyecciones!G102+[1]Proyecciones!G109+[1]Proyecciones!G116+[1]Proyecciones!G123+[1]Proyecciones!G130</f>
        <v>0</v>
      </c>
      <c r="D24" s="473">
        <f>[1]Proyecciones!H102+[1]Proyecciones!H109+[1]Proyecciones!H116+[1]Proyecciones!H123+[1]Proyecciones!H130</f>
        <v>0</v>
      </c>
      <c r="E24" s="473">
        <f>[1]Proyecciones!I102+[1]Proyecciones!I109+[1]Proyecciones!I116+[1]Proyecciones!I123+[1]Proyecciones!I130</f>
        <v>0</v>
      </c>
      <c r="F24" s="473">
        <f>[1]Proyecciones!J102+[1]Proyecciones!J109+[1]Proyecciones!J116+[1]Proyecciones!J123+[1]Proyecciones!J130</f>
        <v>0</v>
      </c>
    </row>
    <row r="25" spans="1:6" hidden="1">
      <c r="A25" s="472" t="s">
        <v>337</v>
      </c>
      <c r="B25" s="473">
        <v>0</v>
      </c>
      <c r="C25" s="473">
        <v>0</v>
      </c>
      <c r="D25" s="473">
        <v>0</v>
      </c>
      <c r="E25" s="473">
        <v>0</v>
      </c>
      <c r="F25" s="473">
        <v>0</v>
      </c>
    </row>
    <row r="26" spans="1:6" hidden="1">
      <c r="A26" s="472" t="s">
        <v>338</v>
      </c>
      <c r="B26" s="473">
        <f>[1]Proyecciones!F137+[1]Proyecciones!F144</f>
        <v>0</v>
      </c>
      <c r="C26" s="473">
        <f>[1]Proyecciones!G137+[1]Proyecciones!G144</f>
        <v>0</v>
      </c>
      <c r="D26" s="473">
        <f>[1]Proyecciones!H137+[1]Proyecciones!H144</f>
        <v>0</v>
      </c>
      <c r="E26" s="473">
        <f>[1]Proyecciones!I137+[1]Proyecciones!I144</f>
        <v>0</v>
      </c>
      <c r="F26" s="473">
        <f>[1]Proyecciones!J137+[1]Proyecciones!J144</f>
        <v>0</v>
      </c>
    </row>
    <row r="27" spans="1:6" hidden="1">
      <c r="A27" s="474" t="s">
        <v>339</v>
      </c>
      <c r="B27" s="470">
        <f>B22+B23+B24+B25+B26</f>
        <v>0</v>
      </c>
      <c r="C27" s="470">
        <f>C22+C23+C24+C25+C26</f>
        <v>0</v>
      </c>
      <c r="D27" s="470">
        <f>D22+D23+D24+D25+D26</f>
        <v>0</v>
      </c>
      <c r="E27" s="470">
        <f>E22+E23+E24+E25+E26</f>
        <v>0</v>
      </c>
      <c r="F27" s="470">
        <f>F22+F23+F24+F25+F26</f>
        <v>0</v>
      </c>
    </row>
    <row r="28" spans="1:6">
      <c r="A28" s="481" t="s">
        <v>340</v>
      </c>
      <c r="B28" s="482">
        <f>B17+B21+B27</f>
        <v>246626043.80668256</v>
      </c>
      <c r="C28" s="482">
        <f>C17+C21+C27</f>
        <v>258661733.25179958</v>
      </c>
      <c r="D28" s="482">
        <f>D17+D21+D27</f>
        <v>282876546.68207228</v>
      </c>
      <c r="E28" s="482">
        <f>E17+E21+E27</f>
        <v>314651083.68425721</v>
      </c>
      <c r="F28" s="482">
        <f>F17+F21+F27</f>
        <v>352552571.24449903</v>
      </c>
    </row>
    <row r="29" spans="1:6">
      <c r="A29" s="498" t="s">
        <v>371</v>
      </c>
      <c r="B29" s="499">
        <f>IF(B28*$I$10&lt;0,0,B28*$I$10)</f>
        <v>86319115.332338884</v>
      </c>
      <c r="C29" s="499">
        <f>IF(C28*$I$10&lt;0,0,C28*$I$10)</f>
        <v>90531606.638129845</v>
      </c>
      <c r="D29" s="499">
        <f>IF(D28*$I$10&lt;0,0,D28*$I$10)</f>
        <v>99006791.338725299</v>
      </c>
      <c r="E29" s="499">
        <f>IF(E28*$I$10&lt;0,0,E28*$I$10)</f>
        <v>110127879.28949001</v>
      </c>
      <c r="F29" s="499">
        <f>IF(F28*$I$10&lt;0,0,F28*$I$10)</f>
        <v>123393399.93557465</v>
      </c>
    </row>
    <row r="30" spans="1:6">
      <c r="A30" s="500" t="s">
        <v>350</v>
      </c>
      <c r="B30" s="499">
        <f>IF(B29*$I$11=0,0,B29*$I$11)</f>
        <v>8631911.5332338884</v>
      </c>
      <c r="C30" s="499">
        <f>IF(C29*$I$11=0,0,C29*$I$11)</f>
        <v>9053160.6638129856</v>
      </c>
      <c r="D30" s="499">
        <f>IF(D29*$I$11=0,0,D29*$I$11)</f>
        <v>9900679.1338725295</v>
      </c>
      <c r="E30" s="499">
        <f>IF(E29*$I$11=0,0,E29*$I$11)</f>
        <v>11012787.928949002</v>
      </c>
      <c r="F30" s="499">
        <f>IF(F29*$I$11=0,0,F29*$I$11)</f>
        <v>12339339.993557466</v>
      </c>
    </row>
    <row r="31" spans="1:6">
      <c r="A31" s="500" t="s">
        <v>351</v>
      </c>
      <c r="B31" s="499">
        <f>IF(B28*$I$12&lt;0,0,B28*$I$12)</f>
        <v>61656510.951670639</v>
      </c>
      <c r="C31" s="499">
        <f>IF(C28*$I$12&lt;0,0,C28*$I$12)</f>
        <v>64665433.312949896</v>
      </c>
      <c r="D31" s="499">
        <f>IF(D28*$I$12&lt;0,0,D28*$I$12)</f>
        <v>70719136.67051807</v>
      </c>
      <c r="E31" s="499">
        <f>IF(E28*$I$12&lt;0,0,E28*$I$12)</f>
        <v>78662770.921064302</v>
      </c>
      <c r="F31" s="499">
        <f>IF(F28*$I$12&lt;0,0,F28*$I$12)</f>
        <v>88138142.811124757</v>
      </c>
    </row>
    <row r="32" spans="1:6" ht="15">
      <c r="A32" s="480" t="s">
        <v>341</v>
      </c>
      <c r="B32" s="510">
        <f>B28-B29-B30-B31</f>
        <v>90018505.98943913</v>
      </c>
      <c r="C32" s="510">
        <f>C28-C29-C30-C31</f>
        <v>94411532.636906862</v>
      </c>
      <c r="D32" s="510">
        <f>D28-D29-D30-D31</f>
        <v>103249939.53895637</v>
      </c>
      <c r="E32" s="510">
        <f>E28-E29-E30-E31</f>
        <v>114847645.54475389</v>
      </c>
      <c r="F32" s="510">
        <f>F28-F29-F30-F31</f>
        <v>128681688.50424217</v>
      </c>
    </row>
    <row r="35" spans="1:6" hidden="1">
      <c r="A35" s="16"/>
      <c r="C35" s="336"/>
    </row>
    <row r="36" spans="1:6" hidden="1">
      <c r="A36" s="16" t="s">
        <v>310</v>
      </c>
      <c r="B36" s="489">
        <v>0</v>
      </c>
      <c r="C36" s="489">
        <f>B32-B37</f>
        <v>67513879.492079347</v>
      </c>
      <c r="D36" s="489">
        <f>C32-C37</f>
        <v>70808649.477680147</v>
      </c>
      <c r="E36" s="489">
        <f>D32-D37</f>
        <v>77437454.654217273</v>
      </c>
      <c r="F36" s="489">
        <f>E32-E37</f>
        <v>86135734.158565417</v>
      </c>
    </row>
    <row r="37" spans="1:6" hidden="1">
      <c r="A37" s="16" t="s">
        <v>375</v>
      </c>
      <c r="B37" s="488">
        <f>IF(B32*$I$15&lt;0,0,B32*$I$15)</f>
        <v>22504626.497359782</v>
      </c>
      <c r="C37" s="488">
        <f>IF(C32*$I$15&lt;0,0,C32*$I$15)</f>
        <v>23602883.159226716</v>
      </c>
      <c r="D37" s="488">
        <f>IF(D32*$I$15&lt;0,0,D32*$I$15)</f>
        <v>25812484.884739093</v>
      </c>
      <c r="E37" s="488">
        <f>IF(E32*$I$15&lt;0,0,E32*$I$15)</f>
        <v>28711911.386188474</v>
      </c>
      <c r="F37" s="488">
        <f>IF(F32*$I$15&lt;0,0,F32*$I$15)</f>
        <v>32170422.126060542</v>
      </c>
    </row>
    <row r="38" spans="1:6" hidden="1"/>
  </sheetData>
  <sheetProtection password="909C" sheet="1" formatCells="0" formatColumns="0" formatRows="0"/>
  <phoneticPr fontId="0" type="noConversion"/>
  <conditionalFormatting sqref="B32:F32">
    <cfRule type="cellIs" dxfId="10" priority="1" stopIfTrue="1" operator="lessThan">
      <formula>0</formula>
    </cfRule>
  </conditionalFormatting>
  <pageMargins left="0.7" right="0.7" top="0.75" bottom="0.75" header="0.3" footer="0.3"/>
  <pageSetup paperSize="9" scale="48" orientation="portrait" r:id="rId1"/>
  <drawing r:id="rId2"/>
  <legacyDrawing r:id="rId3"/>
</worksheet>
</file>

<file path=xl/worksheets/sheet14.xml><?xml version="1.0" encoding="utf-8"?>
<worksheet xmlns="http://schemas.openxmlformats.org/spreadsheetml/2006/main" xmlns:r="http://schemas.openxmlformats.org/officeDocument/2006/relationships">
  <sheetPr codeName="Hoja14"/>
  <dimension ref="A3:F44"/>
  <sheetViews>
    <sheetView view="pageBreakPreview" zoomScale="90" zoomScaleNormal="100" zoomScaleSheetLayoutView="90" workbookViewId="0"/>
  </sheetViews>
  <sheetFormatPr baseColWidth="10" defaultRowHeight="12.75"/>
  <cols>
    <col min="1" max="1" width="44.5703125" style="3" customWidth="1"/>
    <col min="2" max="2" width="22" style="3" customWidth="1"/>
    <col min="3" max="3" width="19.28515625" style="3" customWidth="1"/>
    <col min="4" max="4" width="22.5703125" style="3" customWidth="1"/>
    <col min="5" max="5" width="21" style="3" customWidth="1"/>
    <col min="6" max="6" width="19.85546875" style="3" customWidth="1"/>
    <col min="7" max="16384" width="11.42578125" style="3"/>
  </cols>
  <sheetData>
    <row r="3" spans="1:6">
      <c r="A3" s="501"/>
    </row>
    <row r="4" spans="1:6">
      <c r="A4" s="501"/>
    </row>
    <row r="5" spans="1:6" ht="18" customHeight="1" thickBot="1">
      <c r="A5" s="501"/>
    </row>
    <row r="6" spans="1:6" ht="16.5" thickBot="1">
      <c r="A6" s="504" t="s">
        <v>357</v>
      </c>
      <c r="B6" s="505">
        <f>'ESTADO DE RESULTADOS'!B3</f>
        <v>2012</v>
      </c>
      <c r="C6" s="506">
        <f>'ESTADO DE RESULTADOS'!C3</f>
        <v>2013</v>
      </c>
      <c r="D6" s="506">
        <f>'ESTADO DE RESULTADOS'!D3</f>
        <v>2014</v>
      </c>
      <c r="E6" s="506">
        <f>'ESTADO DE RESULTADOS'!E3</f>
        <v>2015</v>
      </c>
      <c r="F6" s="507">
        <f>'ESTADO DE RESULTADOS'!F3</f>
        <v>2016</v>
      </c>
    </row>
    <row r="7" spans="1:6" ht="15.75" thickBot="1">
      <c r="A7" s="832" t="s">
        <v>358</v>
      </c>
      <c r="B7" s="833"/>
      <c r="C7" s="833"/>
      <c r="D7" s="833"/>
      <c r="E7" s="833"/>
      <c r="F7" s="834"/>
    </row>
    <row r="8" spans="1:6">
      <c r="A8" s="511" t="s">
        <v>359</v>
      </c>
      <c r="B8" s="512">
        <f>'ESTADO DE RESULTADOS'!B17</f>
        <v>265285479.31999999</v>
      </c>
      <c r="C8" s="512">
        <f>'ESTADO DE RESULTADOS'!C17</f>
        <v>275183281.66245353</v>
      </c>
      <c r="D8" s="512">
        <f>'ESTADO DE RESULTADOS'!D17</f>
        <v>297260207.99006271</v>
      </c>
      <c r="E8" s="512">
        <f>'ESTADO DE RESULTADOS'!E17</f>
        <v>326896857.88958418</v>
      </c>
      <c r="F8" s="512">
        <f>'ESTADO DE RESULTADOS'!F17</f>
        <v>362660458.34716249</v>
      </c>
    </row>
    <row r="9" spans="1:6">
      <c r="A9" s="513" t="s">
        <v>360</v>
      </c>
      <c r="B9" s="514">
        <f>'CTOS VS ING OPER - INV INFRAEST'!C378</f>
        <v>1848333</v>
      </c>
      <c r="C9" s="514">
        <f>'CTOS VS ING OPER - INV INFRAEST'!D378</f>
        <v>2043333</v>
      </c>
      <c r="D9" s="514">
        <f>'CTOS VS ING OPER - INV INFRAEST'!E378</f>
        <v>2223333</v>
      </c>
      <c r="E9" s="514">
        <f>'CTOS VS ING OPER - INV INFRAEST'!F378</f>
        <v>1090000</v>
      </c>
      <c r="F9" s="514">
        <f>'CTOS VS ING OPER - INV INFRAEST'!G378</f>
        <v>1090000</v>
      </c>
    </row>
    <row r="10" spans="1:6">
      <c r="A10" s="513" t="s">
        <v>374</v>
      </c>
      <c r="B10" s="514">
        <f>'CTOS VS ING OPER - INV INFRAEST'!C379</f>
        <v>3640000</v>
      </c>
      <c r="C10" s="514">
        <f>'CTOS VS ING OPER - INV INFRAEST'!D379</f>
        <v>3640000</v>
      </c>
      <c r="D10" s="514">
        <f>'CTOS VS ING OPER - INV INFRAEST'!E379</f>
        <v>3640000</v>
      </c>
      <c r="E10" s="514">
        <f>'CTOS VS ING OPER - INV INFRAEST'!F379</f>
        <v>3640000</v>
      </c>
      <c r="F10" s="514">
        <f>'CTOS VS ING OPER - INV INFRAEST'!G379</f>
        <v>3640000</v>
      </c>
    </row>
    <row r="11" spans="1:6">
      <c r="A11" s="513" t="s">
        <v>328</v>
      </c>
      <c r="B11" s="514">
        <f>'ESTADO DE RESULTADOS'!B15</f>
        <v>0</v>
      </c>
      <c r="C11" s="514">
        <f>'ESTADO DE RESULTADOS'!C15</f>
        <v>0</v>
      </c>
      <c r="D11" s="514">
        <f>'ESTADO DE RESULTADOS'!D15</f>
        <v>0</v>
      </c>
      <c r="E11" s="514">
        <f>'ESTADO DE RESULTADOS'!E15</f>
        <v>0</v>
      </c>
      <c r="F11" s="514">
        <f>'ESTADO DE RESULTADOS'!F15</f>
        <v>0</v>
      </c>
    </row>
    <row r="12" spans="1:6">
      <c r="A12" s="513" t="s">
        <v>361</v>
      </c>
      <c r="B12" s="514">
        <f>-[1]Proyecciones!F169</f>
        <v>0</v>
      </c>
      <c r="C12" s="514">
        <f>'ESTADO DE RESULTADOS'!B29*-1</f>
        <v>-86319115.332338884</v>
      </c>
      <c r="D12" s="514">
        <f>'ESTADO DE RESULTADOS'!C29*-1</f>
        <v>-90531606.638129845</v>
      </c>
      <c r="E12" s="514">
        <f>'ESTADO DE RESULTADOS'!D29*-1</f>
        <v>-99006791.338725299</v>
      </c>
      <c r="F12" s="514">
        <f>'ESTADO DE RESULTADOS'!E29*-1</f>
        <v>-110127879.28949001</v>
      </c>
    </row>
    <row r="13" spans="1:6">
      <c r="A13" s="508" t="s">
        <v>362</v>
      </c>
      <c r="B13" s="482">
        <f>SUM(B8:B12)</f>
        <v>270773812.31999999</v>
      </c>
      <c r="C13" s="482">
        <f>SUM(C8:C12)</f>
        <v>194547499.33011466</v>
      </c>
      <c r="D13" s="482">
        <f>SUM(D8:D12)</f>
        <v>212591934.35193288</v>
      </c>
      <c r="E13" s="482">
        <f>SUM(E8:E12)</f>
        <v>232620066.55085889</v>
      </c>
      <c r="F13" s="482">
        <f>SUM(F8:F12)</f>
        <v>257262579.05767247</v>
      </c>
    </row>
    <row r="14" spans="1:6" ht="13.5" thickBot="1">
      <c r="A14" s="623"/>
      <c r="B14" s="624"/>
      <c r="C14" s="624"/>
      <c r="D14" s="624"/>
      <c r="E14" s="624"/>
      <c r="F14" s="624"/>
    </row>
    <row r="15" spans="1:6" ht="15">
      <c r="A15" s="836" t="s">
        <v>425</v>
      </c>
      <c r="B15" s="837"/>
      <c r="C15" s="837"/>
      <c r="D15" s="837"/>
      <c r="E15" s="837"/>
      <c r="F15" s="838"/>
    </row>
    <row r="16" spans="1:6">
      <c r="A16" s="550" t="s">
        <v>426</v>
      </c>
      <c r="B16" s="619">
        <f>B6</f>
        <v>2012</v>
      </c>
      <c r="C16" s="619">
        <f>C6</f>
        <v>2013</v>
      </c>
      <c r="D16" s="619">
        <f>D6</f>
        <v>2014</v>
      </c>
      <c r="E16" s="619">
        <f>E6</f>
        <v>2015</v>
      </c>
      <c r="F16" s="619">
        <f>F6</f>
        <v>2016</v>
      </c>
    </row>
    <row r="17" spans="1:6">
      <c r="A17" s="511" t="s">
        <v>427</v>
      </c>
      <c r="B17" s="512">
        <f>'BALANCE GENERAL'!D8</f>
        <v>0</v>
      </c>
      <c r="C17" s="512">
        <f>'BALANCE GENERAL'!E8</f>
        <v>0</v>
      </c>
      <c r="D17" s="512">
        <f>'BALANCE GENERAL'!F8</f>
        <v>0</v>
      </c>
      <c r="E17" s="512">
        <f>'BALANCE GENERAL'!G8</f>
        <v>0</v>
      </c>
      <c r="F17" s="512">
        <f>'BALANCE GENERAL'!H8</f>
        <v>0</v>
      </c>
    </row>
    <row r="18" spans="1:6">
      <c r="A18" s="511" t="s">
        <v>428</v>
      </c>
      <c r="B18" s="512">
        <f>'BALANCE GENERAL'!D11</f>
        <v>0</v>
      </c>
      <c r="C18" s="512">
        <f>'BALANCE GENERAL'!E11</f>
        <v>0</v>
      </c>
      <c r="D18" s="512">
        <f>'BALANCE GENERAL'!F11</f>
        <v>0</v>
      </c>
      <c r="E18" s="512">
        <f>'BALANCE GENERAL'!G11</f>
        <v>0</v>
      </c>
      <c r="F18" s="512">
        <f>'BALANCE GENERAL'!H11</f>
        <v>0</v>
      </c>
    </row>
    <row r="19" spans="1:6">
      <c r="A19" s="511" t="s">
        <v>429</v>
      </c>
      <c r="B19" s="512">
        <f>'BALANCE GENERAL'!D14</f>
        <v>0</v>
      </c>
      <c r="C19" s="512">
        <f>'BALANCE GENERAL'!E14</f>
        <v>0</v>
      </c>
      <c r="D19" s="512">
        <f>'BALANCE GENERAL'!F14</f>
        <v>0</v>
      </c>
      <c r="E19" s="512">
        <f>'BALANCE GENERAL'!G14</f>
        <v>0</v>
      </c>
      <c r="F19" s="512">
        <f>'BALANCE GENERAL'!H14</f>
        <v>0</v>
      </c>
    </row>
    <row r="20" spans="1:6">
      <c r="A20" s="620" t="s">
        <v>430</v>
      </c>
      <c r="B20" s="622">
        <f>SUM(B17:B19)</f>
        <v>0</v>
      </c>
      <c r="C20" s="622">
        <f>SUM(C17:C19)</f>
        <v>0</v>
      </c>
      <c r="D20" s="622">
        <f>SUM(D17:D19)</f>
        <v>0</v>
      </c>
      <c r="E20" s="622">
        <f>SUM(E17:E19)</f>
        <v>0</v>
      </c>
      <c r="F20" s="622">
        <f>SUM(F17:F19)</f>
        <v>0</v>
      </c>
    </row>
    <row r="21" spans="1:6">
      <c r="A21" s="511" t="s">
        <v>431</v>
      </c>
      <c r="B21" s="621">
        <f>'CTOS VS ING OPER - INV INFRAEST'!C43</f>
        <v>0</v>
      </c>
      <c r="C21" s="621">
        <f>'CTOS VS ING OPER - INV INFRAEST'!D43</f>
        <v>0</v>
      </c>
      <c r="D21" s="621">
        <f>'CTOS VS ING OPER - INV INFRAEST'!E43</f>
        <v>0</v>
      </c>
      <c r="E21" s="621">
        <f>'CTOS VS ING OPER - INV INFRAEST'!F43</f>
        <v>0</v>
      </c>
      <c r="F21" s="621">
        <f>'CTOS VS ING OPER - INV INFRAEST'!G43</f>
        <v>0</v>
      </c>
    </row>
    <row r="22" spans="1:6">
      <c r="A22" s="511" t="s">
        <v>432</v>
      </c>
      <c r="B22" s="621">
        <f>'CTOS VS ING OPER - INV INFRAEST'!G53</f>
        <v>0</v>
      </c>
      <c r="C22" s="621">
        <f>'CTOS VS ING OPER - INV INFRAEST'!J53</f>
        <v>0</v>
      </c>
      <c r="D22" s="621">
        <f>'CTOS VS ING OPER - INV INFRAEST'!M53</f>
        <v>0</v>
      </c>
      <c r="E22" s="621">
        <f>'CTOS VS ING OPER - INV INFRAEST'!P53</f>
        <v>0</v>
      </c>
      <c r="F22" s="621">
        <f>'CTOS VS ING OPER - INV INFRAEST'!S53</f>
        <v>0</v>
      </c>
    </row>
    <row r="23" spans="1:6">
      <c r="A23" s="511" t="s">
        <v>433</v>
      </c>
      <c r="B23" s="621">
        <f>'CTOS VS ING OPER - INV INFRAEST'!G95</f>
        <v>1950000</v>
      </c>
      <c r="C23" s="621">
        <f>'CTOS VS ING OPER - INV INFRAEST'!J95</f>
        <v>1800000</v>
      </c>
      <c r="D23" s="621">
        <f>'CTOS VS ING OPER - INV INFRAEST'!M95</f>
        <v>0</v>
      </c>
      <c r="E23" s="621">
        <f>'CTOS VS ING OPER - INV INFRAEST'!P95</f>
        <v>0</v>
      </c>
      <c r="F23" s="621">
        <f>'CTOS VS ING OPER - INV INFRAEST'!S95</f>
        <v>0</v>
      </c>
    </row>
    <row r="24" spans="1:6">
      <c r="A24" s="511" t="s">
        <v>434</v>
      </c>
      <c r="B24" s="621">
        <f>'CTOS VS ING OPER - INV INFRAEST'!G139</f>
        <v>0</v>
      </c>
      <c r="C24" s="621">
        <f>'CTOS VS ING OPER - INV INFRAEST'!J139</f>
        <v>0</v>
      </c>
      <c r="D24" s="621">
        <f>'CTOS VS ING OPER - INV INFRAEST'!M139</f>
        <v>0</v>
      </c>
      <c r="E24" s="621">
        <f>'CTOS VS ING OPER - INV INFRAEST'!P139</f>
        <v>0</v>
      </c>
      <c r="F24" s="621">
        <f>'CTOS VS ING OPER - INV INFRAEST'!S139</f>
        <v>0</v>
      </c>
    </row>
    <row r="25" spans="1:6">
      <c r="A25" s="511" t="s">
        <v>435</v>
      </c>
      <c r="B25" s="621">
        <f>'CTOS VS ING OPER - INV INFRAEST'!G146</f>
        <v>0</v>
      </c>
      <c r="C25" s="621">
        <f>'CTOS VS ING OPER - INV INFRAEST'!J146</f>
        <v>0</v>
      </c>
      <c r="D25" s="621">
        <f>'CTOS VS ING OPER - INV INFRAEST'!M146</f>
        <v>0</v>
      </c>
      <c r="E25" s="621">
        <f>'CTOS VS ING OPER - INV INFRAEST'!P146</f>
        <v>0</v>
      </c>
      <c r="F25" s="621">
        <f>'CTOS VS ING OPER - INV INFRAEST'!S146</f>
        <v>0</v>
      </c>
    </row>
    <row r="26" spans="1:6">
      <c r="A26" s="511" t="s">
        <v>436</v>
      </c>
      <c r="B26" s="621">
        <f>'CTOS VS ING OPER - INV INFRAEST'!G171</f>
        <v>0</v>
      </c>
      <c r="C26" s="621">
        <f>'CTOS VS ING OPER - INV INFRAEST'!J171</f>
        <v>0</v>
      </c>
      <c r="D26" s="621">
        <f>'CTOS VS ING OPER - INV INFRAEST'!M171</f>
        <v>0</v>
      </c>
      <c r="E26" s="621">
        <f>'CTOS VS ING OPER - INV INFRAEST'!P171</f>
        <v>0</v>
      </c>
      <c r="F26" s="621">
        <f>'CTOS VS ING OPER - INV INFRAEST'!S171</f>
        <v>0</v>
      </c>
    </row>
    <row r="27" spans="1:6">
      <c r="A27" s="511" t="s">
        <v>437</v>
      </c>
      <c r="B27" s="621">
        <f>'CTOS VS ING OPER - INV INFRAEST'!G192</f>
        <v>0</v>
      </c>
      <c r="C27" s="621">
        <f>'CTOS VS ING OPER - INV INFRAEST'!J192</f>
        <v>0</v>
      </c>
      <c r="D27" s="621">
        <f>'CTOS VS ING OPER - INV INFRAEST'!M192</f>
        <v>0</v>
      </c>
      <c r="E27" s="621">
        <f>'CTOS VS ING OPER - INV INFRAEST'!P192</f>
        <v>0</v>
      </c>
      <c r="F27" s="621">
        <f>'CTOS VS ING OPER - INV INFRAEST'!S192</f>
        <v>0</v>
      </c>
    </row>
    <row r="28" spans="1:6">
      <c r="A28" s="511" t="s">
        <v>438</v>
      </c>
      <c r="B28" s="621">
        <f>'CTOS VS ING OPER - INV INFRAEST'!G209</f>
        <v>0</v>
      </c>
      <c r="C28" s="621">
        <f>'CTOS VS ING OPER - INV INFRAEST'!J209</f>
        <v>0</v>
      </c>
      <c r="D28" s="621">
        <f>'CTOS VS ING OPER - INV INFRAEST'!M209</f>
        <v>0</v>
      </c>
      <c r="E28" s="621">
        <f>'CTOS VS ING OPER - INV INFRAEST'!P209</f>
        <v>0</v>
      </c>
      <c r="F28" s="621">
        <f>'CTOS VS ING OPER - INV INFRAEST'!S209</f>
        <v>0</v>
      </c>
    </row>
    <row r="29" spans="1:6">
      <c r="A29" s="511" t="s">
        <v>439</v>
      </c>
      <c r="B29" s="621">
        <f>'CTOS VS ING OPER - INV INFRAEST'!G217</f>
        <v>0</v>
      </c>
      <c r="C29" s="621">
        <f>'CTOS VS ING OPER - INV INFRAEST'!J217</f>
        <v>0</v>
      </c>
      <c r="D29" s="621">
        <f>'CTOS VS ING OPER - INV INFRAEST'!M217</f>
        <v>0</v>
      </c>
      <c r="E29" s="621">
        <f>'CTOS VS ING OPER - INV INFRAEST'!P217</f>
        <v>0</v>
      </c>
      <c r="F29" s="621">
        <f>'CTOS VS ING OPER - INV INFRAEST'!S217</f>
        <v>0</v>
      </c>
    </row>
    <row r="30" spans="1:6">
      <c r="A30" s="620" t="s">
        <v>440</v>
      </c>
      <c r="B30" s="622">
        <f>SUM(B21:B29)*-1</f>
        <v>-1950000</v>
      </c>
      <c r="C30" s="622">
        <f>SUM(C21:C29)*-1</f>
        <v>-1800000</v>
      </c>
      <c r="D30" s="622">
        <f>SUM(D21:D29)*-1</f>
        <v>0</v>
      </c>
      <c r="E30" s="622">
        <f>SUM(E21:E29)*-1</f>
        <v>0</v>
      </c>
      <c r="F30" s="622">
        <f>SUM(F21:F29)*-1</f>
        <v>0</v>
      </c>
    </row>
    <row r="31" spans="1:6">
      <c r="A31" s="508" t="s">
        <v>441</v>
      </c>
      <c r="B31" s="482">
        <f>B20+B30</f>
        <v>-1950000</v>
      </c>
      <c r="C31" s="482">
        <f>C20+C30</f>
        <v>-1800000</v>
      </c>
      <c r="D31" s="482">
        <f>D20+D30</f>
        <v>0</v>
      </c>
      <c r="E31" s="482">
        <f>E20+E30</f>
        <v>0</v>
      </c>
      <c r="F31" s="482">
        <f>F20+F30</f>
        <v>0</v>
      </c>
    </row>
    <row r="32" spans="1:6">
      <c r="A32" s="511"/>
      <c r="B32" s="512"/>
      <c r="C32" s="512"/>
      <c r="D32" s="512"/>
      <c r="E32" s="512"/>
      <c r="F32" s="512"/>
    </row>
    <row r="33" spans="1:6" ht="15">
      <c r="A33" s="835" t="s">
        <v>363</v>
      </c>
      <c r="B33" s="835"/>
      <c r="C33" s="835"/>
      <c r="D33" s="835"/>
      <c r="E33" s="835"/>
      <c r="F33" s="835"/>
    </row>
    <row r="34" spans="1:6">
      <c r="A34" s="550" t="s">
        <v>426</v>
      </c>
      <c r="B34" s="619">
        <f>B6</f>
        <v>2012</v>
      </c>
      <c r="C34" s="619">
        <f>C6</f>
        <v>2013</v>
      </c>
      <c r="D34" s="619">
        <f>D6</f>
        <v>2014</v>
      </c>
      <c r="E34" s="619">
        <f>E6</f>
        <v>2015</v>
      </c>
      <c r="F34" s="619">
        <f>F6</f>
        <v>2016</v>
      </c>
    </row>
    <row r="35" spans="1:6">
      <c r="A35" s="513" t="s">
        <v>364</v>
      </c>
      <c r="B35" s="514">
        <v>0</v>
      </c>
      <c r="C35" s="514">
        <v>0</v>
      </c>
      <c r="D35" s="514">
        <v>0</v>
      </c>
      <c r="E35" s="514">
        <v>0</v>
      </c>
      <c r="F35" s="514">
        <v>0</v>
      </c>
    </row>
    <row r="36" spans="1:6">
      <c r="A36" s="513" t="s">
        <v>365</v>
      </c>
      <c r="B36" s="514">
        <f>'NECESIDADES DE FINANCIACIÓN'!D28</f>
        <v>-7970000</v>
      </c>
      <c r="C36" s="514">
        <f>'NECESIDADES DE FINANCIACIÓN'!D29</f>
        <v>-7970000</v>
      </c>
      <c r="D36" s="514">
        <f>'NECESIDADES DE FINANCIACIÓN'!D30</f>
        <v>-7970000</v>
      </c>
      <c r="E36" s="514">
        <f>'NECESIDADES DE FINANCIACIÓN'!D31</f>
        <v>-7970000</v>
      </c>
      <c r="F36" s="514">
        <f>'NECESIDADES DE FINANCIACIÓN'!D32</f>
        <v>-7970000</v>
      </c>
    </row>
    <row r="37" spans="1:6">
      <c r="A37" s="513" t="s">
        <v>366</v>
      </c>
      <c r="B37" s="514">
        <f>'NECESIDADES DE FINANCIACIÓN'!E28</f>
        <v>-10689435.513317429</v>
      </c>
      <c r="C37" s="514">
        <f>'NECESIDADES DE FINANCIACIÓN'!E29</f>
        <v>-8551548.4106539432</v>
      </c>
      <c r="D37" s="514">
        <f>'NECESIDADES DE FINANCIACIÓN'!E30</f>
        <v>-6413661.3079904569</v>
      </c>
      <c r="E37" s="514">
        <f>'NECESIDADES DE FINANCIACIÓN'!E31</f>
        <v>-4275774.2053269716</v>
      </c>
      <c r="F37" s="514">
        <f>'NECESIDADES DE FINANCIACIÓN'!E32</f>
        <v>-2137887.1026634858</v>
      </c>
    </row>
    <row r="38" spans="1:6">
      <c r="A38" s="513" t="s">
        <v>367</v>
      </c>
      <c r="B38" s="514">
        <f>'ESTADO DE RESULTADOS'!B37*-1</f>
        <v>-22504626.497359782</v>
      </c>
      <c r="C38" s="514">
        <f>'ESTADO DE RESULTADOS'!C37*-1</f>
        <v>-23602883.159226716</v>
      </c>
      <c r="D38" s="514">
        <f>'ESTADO DE RESULTADOS'!D37*-1</f>
        <v>-25812484.884739093</v>
      </c>
      <c r="E38" s="514">
        <f>'ESTADO DE RESULTADOS'!E37*-1</f>
        <v>-28711911.386188474</v>
      </c>
      <c r="F38" s="514">
        <f>'ESTADO DE RESULTADOS'!F37*-1</f>
        <v>-32170422.126060542</v>
      </c>
    </row>
    <row r="39" spans="1:6" ht="15">
      <c r="A39" s="625" t="s">
        <v>377</v>
      </c>
      <c r="B39" s="626">
        <v>0</v>
      </c>
      <c r="C39" s="626">
        <v>0</v>
      </c>
      <c r="D39" s="626">
        <v>0</v>
      </c>
      <c r="E39" s="626">
        <v>0</v>
      </c>
      <c r="F39" s="626">
        <v>0</v>
      </c>
    </row>
    <row r="40" spans="1:6">
      <c r="A40" s="508" t="s">
        <v>368</v>
      </c>
      <c r="B40" s="482">
        <f>SUM(B35:B39)</f>
        <v>-41164062.010677211</v>
      </c>
      <c r="C40" s="482">
        <f>SUM(C35:C39)</f>
        <v>-40124431.569880657</v>
      </c>
      <c r="D40" s="482">
        <f>SUM(D35:D39)</f>
        <v>-40196146.192729548</v>
      </c>
      <c r="E40" s="482">
        <f>SUM(E35:E39)</f>
        <v>-40957685.591515444</v>
      </c>
      <c r="F40" s="482">
        <f>SUM(F35:F39)</f>
        <v>-42278309.228724025</v>
      </c>
    </row>
    <row r="41" spans="1:6">
      <c r="A41" s="502"/>
      <c r="B41" s="503"/>
      <c r="C41" s="503"/>
      <c r="D41" s="503"/>
      <c r="E41" s="503"/>
      <c r="F41" s="503"/>
    </row>
    <row r="42" spans="1:6">
      <c r="A42" s="515" t="s">
        <v>369</v>
      </c>
      <c r="B42" s="499">
        <f>B13+B31+B40</f>
        <v>227659750.30932277</v>
      </c>
      <c r="C42" s="499">
        <f>C13+C31+C40</f>
        <v>152623067.760234</v>
      </c>
      <c r="D42" s="499">
        <f>D13+D31+D40</f>
        <v>172395788.15920335</v>
      </c>
      <c r="E42" s="499">
        <f>E13+E31+E40</f>
        <v>191662380.95934343</v>
      </c>
      <c r="F42" s="499">
        <f>F13+F31+F40</f>
        <v>214984269.82894844</v>
      </c>
    </row>
    <row r="43" spans="1:6">
      <c r="A43" s="515" t="s">
        <v>370</v>
      </c>
      <c r="B43" s="499">
        <f>'BALANCE GENERAL'!B20</f>
        <v>22400000</v>
      </c>
      <c r="C43" s="499">
        <f>'BALANCE GENERAL'!C20</f>
        <v>202937865.85501188</v>
      </c>
      <c r="D43" s="499">
        <f>'BALANCE GENERAL'!D20</f>
        <v>275001845.43092906</v>
      </c>
      <c r="E43" s="499">
        <f>'BALANCE GENERAL'!E20</f>
        <v>293601058.48923433</v>
      </c>
      <c r="F43" s="499">
        <f>'BALANCE GENERAL'!F20</f>
        <v>318560767.41741014</v>
      </c>
    </row>
    <row r="44" spans="1:6">
      <c r="A44" s="509" t="s">
        <v>376</v>
      </c>
      <c r="B44" s="510">
        <f>B42+B43</f>
        <v>250059750.30932277</v>
      </c>
      <c r="C44" s="510">
        <f>C42+C43</f>
        <v>355560933.61524588</v>
      </c>
      <c r="D44" s="510">
        <f>D42+D43</f>
        <v>447397633.59013242</v>
      </c>
      <c r="E44" s="510">
        <f>E42+E43</f>
        <v>485263439.44857776</v>
      </c>
      <c r="F44" s="510">
        <f>F42+F43</f>
        <v>533545037.24635857</v>
      </c>
    </row>
  </sheetData>
  <sheetProtection password="909C" sheet="1"/>
  <mergeCells count="3">
    <mergeCell ref="A7:F7"/>
    <mergeCell ref="A33:F33"/>
    <mergeCell ref="A15:F15"/>
  </mergeCells>
  <phoneticPr fontId="0" type="noConversion"/>
  <conditionalFormatting sqref="B44:F44">
    <cfRule type="cellIs" dxfId="9" priority="1" stopIfTrue="1" operator="lessThan">
      <formula>0</formula>
    </cfRule>
  </conditionalFormatting>
  <pageMargins left="0.7" right="0.7" top="0.75" bottom="0.75" header="0.3" footer="0.3"/>
  <pageSetup paperSize="9" scale="48" orientation="portrait" r:id="rId1"/>
  <drawing r:id="rId2"/>
  <legacyDrawing r:id="rId3"/>
</worksheet>
</file>

<file path=xl/worksheets/sheet15.xml><?xml version="1.0" encoding="utf-8"?>
<worksheet xmlns="http://schemas.openxmlformats.org/spreadsheetml/2006/main" xmlns:r="http://schemas.openxmlformats.org/officeDocument/2006/relationships">
  <sheetPr codeName="Hoja15"/>
  <dimension ref="A7:G45"/>
  <sheetViews>
    <sheetView view="pageBreakPreview" topLeftCell="A39" zoomScale="90" zoomScaleNormal="90" zoomScaleSheetLayoutView="90" workbookViewId="0">
      <selection activeCell="G42" sqref="G42"/>
    </sheetView>
  </sheetViews>
  <sheetFormatPr baseColWidth="10" defaultRowHeight="12.75"/>
  <cols>
    <col min="1" max="1" width="27.7109375" style="3" customWidth="1"/>
    <col min="2" max="2" width="17.5703125" style="3" bestFit="1" customWidth="1"/>
    <col min="3" max="3" width="17.85546875" style="3" bestFit="1" customWidth="1"/>
    <col min="4" max="4" width="18.42578125" style="3" bestFit="1" customWidth="1"/>
    <col min="5" max="5" width="16.7109375" style="3" bestFit="1" customWidth="1"/>
    <col min="6" max="6" width="17.5703125" style="3" customWidth="1"/>
    <col min="7" max="7" width="17.140625" style="3" customWidth="1"/>
    <col min="8" max="8" width="16.42578125" style="3" customWidth="1"/>
    <col min="9" max="16384" width="11.42578125" style="3"/>
  </cols>
  <sheetData>
    <row r="7" spans="1:7" ht="13.5" thickBot="1"/>
    <row r="8" spans="1:7">
      <c r="A8" s="519" t="s">
        <v>379</v>
      </c>
      <c r="B8" s="520"/>
      <c r="C8" s="520"/>
      <c r="D8" s="520"/>
      <c r="E8" s="520"/>
      <c r="F8" s="520"/>
      <c r="G8" s="521">
        <f>'1'!G23</f>
        <v>0.28000000000000003</v>
      </c>
    </row>
    <row r="9" spans="1:7" ht="13.5" thickBot="1">
      <c r="A9" s="522"/>
      <c r="B9" s="523"/>
      <c r="C9" s="523"/>
      <c r="D9" s="523"/>
      <c r="E9" s="523"/>
      <c r="F9" s="523"/>
      <c r="G9" s="524"/>
    </row>
    <row r="10" spans="1:7" ht="13.5" thickBot="1">
      <c r="A10" s="534" t="s">
        <v>380</v>
      </c>
      <c r="B10" s="527"/>
      <c r="C10" s="527"/>
      <c r="D10" s="527"/>
      <c r="E10" s="527"/>
      <c r="F10" s="527"/>
      <c r="G10" s="545">
        <f>'NECESIDADES DE FINANCIACIÓN'!D19</f>
        <v>49850000</v>
      </c>
    </row>
    <row r="12" spans="1:7">
      <c r="B12" s="526" t="s">
        <v>381</v>
      </c>
      <c r="C12" s="525"/>
      <c r="D12" s="525"/>
      <c r="E12" s="525"/>
      <c r="F12" s="525"/>
      <c r="G12" s="525"/>
    </row>
    <row r="13" spans="1:7" ht="13.5" thickBot="1"/>
    <row r="14" spans="1:7" ht="13.5" thickBot="1">
      <c r="A14" s="533" t="s">
        <v>142</v>
      </c>
      <c r="B14" s="530" t="s">
        <v>231</v>
      </c>
      <c r="C14" s="531">
        <f>'FLUJO DE CAJA'!B6</f>
        <v>2012</v>
      </c>
      <c r="D14" s="531">
        <f>'FLUJO DE CAJA'!C6</f>
        <v>2013</v>
      </c>
      <c r="E14" s="531">
        <f>'FLUJO DE CAJA'!D6</f>
        <v>2014</v>
      </c>
      <c r="F14" s="531">
        <f>'FLUJO DE CAJA'!E6</f>
        <v>2015</v>
      </c>
      <c r="G14" s="532">
        <f>'FLUJO DE CAJA'!F6</f>
        <v>2016</v>
      </c>
    </row>
    <row r="15" spans="1:7" ht="13.5" thickBot="1">
      <c r="A15" s="533" t="s">
        <v>384</v>
      </c>
      <c r="B15" s="546">
        <f>G10*-1</f>
        <v>-49850000</v>
      </c>
      <c r="C15" s="547">
        <f>'FLUJO DE CAJA'!B44</f>
        <v>250059750.30932277</v>
      </c>
      <c r="D15" s="547">
        <f>'FLUJO DE CAJA'!C44</f>
        <v>355560933.61524588</v>
      </c>
      <c r="E15" s="547">
        <f>'FLUJO DE CAJA'!D44</f>
        <v>447397633.59013242</v>
      </c>
      <c r="F15" s="547">
        <f>'FLUJO DE CAJA'!E44</f>
        <v>485263439.44857776</v>
      </c>
      <c r="G15" s="548">
        <f>'FLUJO DE CAJA'!F44</f>
        <v>533545037.24635857</v>
      </c>
    </row>
    <row r="16" spans="1:7" ht="13.5" thickBot="1"/>
    <row r="17" spans="1:7" ht="15">
      <c r="B17" s="851" t="s">
        <v>382</v>
      </c>
      <c r="C17" s="852"/>
      <c r="D17" s="540">
        <f>B15+NPV(G8,C15:G15)</f>
        <v>911918928.8812058</v>
      </c>
      <c r="E17" s="528"/>
      <c r="F17" s="528"/>
    </row>
    <row r="18" spans="1:7" ht="15.75" thickBot="1">
      <c r="B18" s="522" t="s">
        <v>383</v>
      </c>
      <c r="C18" s="529"/>
      <c r="D18" s="541">
        <f>IRR(B15:G15)</f>
        <v>5.3947335836751344</v>
      </c>
    </row>
    <row r="19" spans="1:7" ht="6.75" customHeight="1" thickBot="1"/>
    <row r="20" spans="1:7" ht="13.5" customHeight="1">
      <c r="A20" s="860" t="s">
        <v>385</v>
      </c>
      <c r="B20" s="862">
        <f>D18</f>
        <v>5.3947335836751344</v>
      </c>
      <c r="C20" s="864" t="s">
        <v>386</v>
      </c>
      <c r="D20" s="862">
        <f>G8</f>
        <v>0.28000000000000003</v>
      </c>
      <c r="E20" s="853" t="s">
        <v>387</v>
      </c>
      <c r="F20" s="853"/>
      <c r="G20" s="866" t="s">
        <v>388</v>
      </c>
    </row>
    <row r="21" spans="1:7" ht="18" customHeight="1" thickBot="1">
      <c r="A21" s="861"/>
      <c r="B21" s="863"/>
      <c r="C21" s="865"/>
      <c r="D21" s="863"/>
      <c r="E21" s="854"/>
      <c r="F21" s="854"/>
      <c r="G21" s="867"/>
    </row>
    <row r="22" spans="1:7" ht="13.5" thickBot="1">
      <c r="A22" s="46"/>
      <c r="B22" s="46"/>
      <c r="C22" s="46"/>
      <c r="D22" s="46"/>
      <c r="E22" s="46"/>
      <c r="F22" s="46"/>
      <c r="G22" s="46"/>
    </row>
    <row r="23" spans="1:7" ht="15.75" customHeight="1">
      <c r="A23" s="860" t="s">
        <v>385</v>
      </c>
      <c r="B23" s="862">
        <f>D18</f>
        <v>5.3947335836751344</v>
      </c>
      <c r="C23" s="864" t="s">
        <v>390</v>
      </c>
      <c r="D23" s="862">
        <f>G8</f>
        <v>0.28000000000000003</v>
      </c>
      <c r="E23" s="853" t="s">
        <v>387</v>
      </c>
      <c r="F23" s="853"/>
      <c r="G23" s="866" t="s">
        <v>389</v>
      </c>
    </row>
    <row r="24" spans="1:7" ht="15" customHeight="1" thickBot="1">
      <c r="A24" s="861"/>
      <c r="B24" s="863"/>
      <c r="C24" s="865"/>
      <c r="D24" s="863"/>
      <c r="E24" s="854"/>
      <c r="F24" s="854"/>
      <c r="G24" s="867"/>
    </row>
    <row r="25" spans="1:7" ht="17.25" customHeight="1" thickBot="1">
      <c r="A25" s="46"/>
      <c r="B25" s="46"/>
      <c r="C25" s="46"/>
      <c r="D25" s="46"/>
      <c r="E25" s="46"/>
      <c r="F25" s="46"/>
      <c r="G25" s="46"/>
    </row>
    <row r="26" spans="1:7" ht="27" customHeight="1">
      <c r="A26" s="860" t="s">
        <v>385</v>
      </c>
      <c r="B26" s="862">
        <f>D18</f>
        <v>5.3947335836751344</v>
      </c>
      <c r="C26" s="864" t="s">
        <v>391</v>
      </c>
      <c r="D26" s="862">
        <f>G8</f>
        <v>0.28000000000000003</v>
      </c>
      <c r="E26" s="853" t="s">
        <v>387</v>
      </c>
      <c r="F26" s="853"/>
      <c r="G26" s="866" t="s">
        <v>392</v>
      </c>
    </row>
    <row r="27" spans="1:7" ht="6" customHeight="1" thickBot="1">
      <c r="A27" s="861"/>
      <c r="B27" s="863"/>
      <c r="C27" s="865"/>
      <c r="D27" s="863"/>
      <c r="E27" s="854"/>
      <c r="F27" s="854"/>
      <c r="G27" s="867"/>
    </row>
    <row r="29" spans="1:7">
      <c r="A29" s="857" t="s">
        <v>399</v>
      </c>
      <c r="B29" s="857"/>
      <c r="C29" s="535">
        <f>C14</f>
        <v>2012</v>
      </c>
      <c r="D29" s="535">
        <f>D14</f>
        <v>2013</v>
      </c>
      <c r="E29" s="535">
        <f>E14</f>
        <v>2014</v>
      </c>
      <c r="F29" s="535">
        <f>F14</f>
        <v>2015</v>
      </c>
      <c r="G29" s="535">
        <f>G14</f>
        <v>2016</v>
      </c>
    </row>
    <row r="30" spans="1:7" ht="15">
      <c r="A30" s="858" t="s">
        <v>393</v>
      </c>
      <c r="B30" s="859"/>
      <c r="C30" s="542">
        <f>IF('BALANCE GENERAL'!C61=0,0,'BALANCE GENERAL'!C23/'BALANCE GENERAL'!C61)</f>
        <v>2.3510188337041789</v>
      </c>
      <c r="D30" s="542">
        <f>IF('BALANCE GENERAL'!D61=0,0,'BALANCE GENERAL'!D23/'BALANCE GENERAL'!D61)</f>
        <v>3.0376335474764962</v>
      </c>
      <c r="E30" s="542">
        <f>IF('BALANCE GENERAL'!E61=0,0,'BALANCE GENERAL'!E23/'BALANCE GENERAL'!E61)</f>
        <v>2.9654638284838128</v>
      </c>
      <c r="F30" s="542">
        <f>IF('BALANCE GENERAL'!F61=0,0,'BALANCE GENERAL'!F23/'BALANCE GENERAL'!F61)</f>
        <v>2.8926441648805254</v>
      </c>
      <c r="G30" s="542">
        <f>IF('BALANCE GENERAL'!G61=0,0,'BALANCE GENERAL'!G23/'BALANCE GENERAL'!G61)</f>
        <v>2.8562724001118052</v>
      </c>
    </row>
    <row r="31" spans="1:7" ht="15">
      <c r="A31" s="858" t="s">
        <v>394</v>
      </c>
      <c r="B31" s="859"/>
      <c r="C31" s="543">
        <f>IF('BALANCE GENERAL'!B55=0,0,'BALANCE GENERAL'!B63/'BALANCE GENERAL'!B55)</f>
        <v>0.79939819458375128</v>
      </c>
      <c r="D31" s="543">
        <f>IF('BALANCE GENERAL'!C55=0,0,'BALANCE GENERAL'!C63/'BALANCE GENERAL'!C55)</f>
        <v>0.52104632460444344</v>
      </c>
      <c r="E31" s="543">
        <f>IF('BALANCE GENERAL'!D55=0,0,'BALANCE GENERAL'!D63/'BALANCE GENERAL'!D55)</f>
        <v>0.38738588155548442</v>
      </c>
      <c r="F31" s="543">
        <f>IF('BALANCE GENERAL'!E55=0,0,'BALANCE GENERAL'!E63/'BALANCE GENERAL'!E55)</f>
        <v>0.37210921510826273</v>
      </c>
      <c r="G31" s="543">
        <f>IF('BALANCE GENERAL'!F55=0,0,'BALANCE GENERAL'!F63/'BALANCE GENERAL'!F55)</f>
        <v>0.35636508036851183</v>
      </c>
    </row>
    <row r="32" spans="1:7" ht="15">
      <c r="A32" s="858" t="s">
        <v>395</v>
      </c>
      <c r="B32" s="859"/>
      <c r="C32" s="543">
        <f>IF('ESTADO DE RESULTADOS'!B4=0,0,'ESTADO DE RESULTADOS'!B17/'ESTADO DE RESULTADOS'!B4)</f>
        <v>0.54829174793320101</v>
      </c>
      <c r="D32" s="543">
        <f>IF('ESTADO DE RESULTADOS'!C4=0,0,'ESTADO DE RESULTADOS'!C17/'ESTADO DE RESULTADOS'!C4)</f>
        <v>0.53871729637634413</v>
      </c>
      <c r="E32" s="543">
        <f>IF('ESTADO DE RESULTADOS'!D4=0,0,'ESTADO DE RESULTADOS'!D17/'ESTADO DE RESULTADOS'!D4)</f>
        <v>0.54942980263859353</v>
      </c>
      <c r="F32" s="543">
        <f>IF('ESTADO DE RESULTADOS'!E4=0,0,'ESTADO DE RESULTADOS'!E17/'ESTADO DE RESULTADOS'!E4)</f>
        <v>0.56579595025737095</v>
      </c>
      <c r="G32" s="543">
        <f>IF('ESTADO DE RESULTADOS'!F4=0,0,'ESTADO DE RESULTADOS'!F17/'ESTADO DE RESULTADOS'!F4)</f>
        <v>0.58298015991067698</v>
      </c>
    </row>
    <row r="33" spans="1:7" ht="15">
      <c r="A33" s="858" t="s">
        <v>396</v>
      </c>
      <c r="B33" s="859"/>
      <c r="C33" s="544">
        <f>IF('ESTADO DE RESULTADOS'!B4=0,0,'ESTADO DE RESULTADOS'!B32/'ESTADO DE RESULTADOS'!B4)</f>
        <v>0.18605015292129451</v>
      </c>
      <c r="D33" s="544">
        <f>IF('ESTADO DE RESULTADOS'!C4=0,0,'ESTADO DE RESULTADOS'!C32/'ESTADO DE RESULTADOS'!C4)</f>
        <v>0.18482636481997089</v>
      </c>
      <c r="E33" s="544">
        <f>IF('ESTADO DE RESULTADOS'!D4=0,0,'ESTADO DE RESULTADOS'!D32/'ESTADO DE RESULTADOS'!D4)</f>
        <v>0.1908381693160624</v>
      </c>
      <c r="F33" s="544">
        <f>IF('ESTADO DE RESULTADOS'!E4=0,0,'ESTADO DE RESULTADOS'!E32/'ESTADO DE RESULTADOS'!E4)</f>
        <v>0.19877931273283794</v>
      </c>
      <c r="G33" s="544">
        <f>IF('ESTADO DE RESULTADOS'!F4=0,0,'ESTADO DE RESULTADOS'!F32/'ESTADO DE RESULTADOS'!F4)</f>
        <v>0.20685704662614754</v>
      </c>
    </row>
    <row r="34" spans="1:7" ht="15">
      <c r="A34" s="858" t="s">
        <v>397</v>
      </c>
      <c r="B34" s="859"/>
      <c r="C34" s="543">
        <f>IF('BALANCE GENERAL'!B70=0,0,'ESTADO DE RESULTADOS'!B32/'BALANCE GENERAL'!B70)</f>
        <v>9.0018505989439124</v>
      </c>
      <c r="D34" s="543">
        <f>IF('BALANCE GENERAL'!C70=0,0,'ESTADO DE RESULTADOS'!C32/'BALANCE GENERAL'!C70)</f>
        <v>0.86894772049270042</v>
      </c>
      <c r="E34" s="543">
        <f>IF('BALANCE GENERAL'!D70=0,0,'ESTADO DE RESULTADOS'!D32/'BALANCE GENERAL'!D70)</f>
        <v>0.57050919313617487</v>
      </c>
      <c r="F34" s="543">
        <f>IF('BALANCE GENERAL'!E70=0,0,'ESTADO DE RESULTADOS'!E32/'BALANCE GENERAL'!E70)</f>
        <v>0.59212249375798887</v>
      </c>
      <c r="G34" s="543">
        <f>IF('BALANCE GENERAL'!F70=0,0,'ESTADO DE RESULTADOS'!F32/'BALANCE GENERAL'!F70)</f>
        <v>0.60329565207447577</v>
      </c>
    </row>
    <row r="35" spans="1:7" ht="15.75" thickBot="1">
      <c r="A35" s="855" t="s">
        <v>398</v>
      </c>
      <c r="B35" s="856"/>
      <c r="C35" s="627">
        <f>IF('BALANCE GENERAL'!B55=0,0,'ESTADO DE RESULTADOS'!B32/'BALANCE GENERAL'!B55)</f>
        <v>1.8057874822354891</v>
      </c>
      <c r="D35" s="627">
        <f>IF('BALANCE GENERAL'!C55=0,0,'ESTADO DE RESULTADOS'!C32/'BALANCE GENERAL'!C55)</f>
        <v>0.41618570445656966</v>
      </c>
      <c r="E35" s="627">
        <f>IF('BALANCE GENERAL'!D55=0,0,'ESTADO DE RESULTADOS'!D32/'BALANCE GENERAL'!D55)</f>
        <v>0.34950198641760966</v>
      </c>
      <c r="F35" s="544">
        <f>IF('BALANCE GENERAL'!E55=0,0,'ESTADO DE RESULTADOS'!E32/'BALANCE GENERAL'!E55)</f>
        <v>0.3717882573577565</v>
      </c>
      <c r="G35" s="544">
        <f>IF('BALANCE GENERAL'!F55=0,0,'ESTADO DE RESULTADOS'!F32/'BALANCE GENERAL'!F55)</f>
        <v>0.38830214853698153</v>
      </c>
    </row>
    <row r="36" spans="1:7" ht="15" customHeight="1">
      <c r="A36" s="839" t="s">
        <v>442</v>
      </c>
      <c r="B36" s="840"/>
      <c r="C36" s="843">
        <f>IF(ISERROR(-B15/AVERAGE(C15:G15)),"N.A.",(-B15/AVERAGE(C15:G15)))</f>
        <v>0.12030445821851829</v>
      </c>
      <c r="D36" s="844"/>
      <c r="E36" s="847" t="s">
        <v>101</v>
      </c>
    </row>
    <row r="37" spans="1:7" ht="15" customHeight="1" thickBot="1">
      <c r="A37" s="841"/>
      <c r="B37" s="842"/>
      <c r="C37" s="845"/>
      <c r="D37" s="846"/>
      <c r="E37" s="848"/>
    </row>
    <row r="38" spans="1:7" ht="15" thickBot="1">
      <c r="C38" s="44"/>
      <c r="D38" s="44"/>
      <c r="E38" s="44"/>
      <c r="F38" s="44"/>
      <c r="G38" s="44"/>
    </row>
    <row r="39" spans="1:7" ht="27" thickBot="1">
      <c r="A39" s="530" t="s">
        <v>443</v>
      </c>
      <c r="B39" s="628" t="s">
        <v>444</v>
      </c>
      <c r="C39" s="632">
        <f>B15*-1</f>
        <v>49850000</v>
      </c>
      <c r="D39" s="629" t="s">
        <v>447</v>
      </c>
      <c r="E39" s="630" t="s">
        <v>448</v>
      </c>
      <c r="F39" s="631" t="s">
        <v>348</v>
      </c>
      <c r="G39" s="44"/>
    </row>
    <row r="40" spans="1:7" ht="27.75" thickBot="1">
      <c r="A40" s="849" t="s">
        <v>449</v>
      </c>
      <c r="B40" s="635" t="s">
        <v>445</v>
      </c>
      <c r="C40" s="633">
        <f>'NECESIDADES DE FINANCIACIÓN'!D20</f>
        <v>10000000</v>
      </c>
      <c r="D40" s="636">
        <f>IF(C39=0,0,C40/C39)</f>
        <v>0.20060180541624875</v>
      </c>
      <c r="E40" s="637">
        <f>G8</f>
        <v>0.28000000000000003</v>
      </c>
      <c r="F40" s="640">
        <f>'ESTADO DE RESULTADOS'!I10</f>
        <v>0.35</v>
      </c>
      <c r="G40" s="44"/>
    </row>
    <row r="41" spans="1:7" ht="35.25" customHeight="1" thickBot="1">
      <c r="A41" s="850"/>
      <c r="B41" s="635" t="s">
        <v>446</v>
      </c>
      <c r="C41" s="634">
        <f>'NECESIDADES DE FINANCIACIÓN'!D21</f>
        <v>39850000</v>
      </c>
      <c r="D41" s="638">
        <f>IF(C39=0,0,C41/C39)</f>
        <v>0.79939819458375128</v>
      </c>
      <c r="E41" s="639">
        <f>'NECESIDADES DE FINANCIACIÓN'!D24</f>
        <v>0.26824179456254527</v>
      </c>
      <c r="F41" s="44"/>
      <c r="G41" s="44"/>
    </row>
    <row r="42" spans="1:7" ht="14.25">
      <c r="C42" s="44"/>
      <c r="D42" s="44"/>
      <c r="E42" s="44"/>
      <c r="F42" s="44"/>
      <c r="G42" s="44"/>
    </row>
    <row r="43" spans="1:7" ht="26.25">
      <c r="A43" s="641" t="s">
        <v>450</v>
      </c>
      <c r="B43" s="646">
        <f>IF((D41*E41*(1-F40))+(D40*E40)&lt;0,"N.A.",(D41*E41*(1-F40))+(D40*E40))</f>
        <v>0.1955493096019324</v>
      </c>
      <c r="C43" s="44"/>
      <c r="D43" s="44"/>
      <c r="E43" s="44"/>
      <c r="F43" s="44"/>
      <c r="G43" s="44"/>
    </row>
    <row r="44" spans="1:7" ht="14.25">
      <c r="C44" s="44"/>
      <c r="D44" s="44"/>
      <c r="E44" s="44"/>
      <c r="F44" s="44"/>
      <c r="G44" s="44"/>
    </row>
    <row r="45" spans="1:7" ht="14.25">
      <c r="C45" s="44"/>
      <c r="D45" s="44"/>
      <c r="E45" s="44"/>
      <c r="F45" s="44"/>
      <c r="G45" s="44"/>
    </row>
  </sheetData>
  <sheetProtection password="909C" sheet="1" formatColumns="0" formatRows="0"/>
  <mergeCells count="30">
    <mergeCell ref="E26:F27"/>
    <mergeCell ref="A34:B34"/>
    <mergeCell ref="G20:G21"/>
    <mergeCell ref="B20:B21"/>
    <mergeCell ref="D20:D21"/>
    <mergeCell ref="A20:A21"/>
    <mergeCell ref="C20:C21"/>
    <mergeCell ref="G23:G24"/>
    <mergeCell ref="A26:A27"/>
    <mergeCell ref="G26:G27"/>
    <mergeCell ref="E23:F24"/>
    <mergeCell ref="A23:A24"/>
    <mergeCell ref="B23:B24"/>
    <mergeCell ref="C23:C24"/>
    <mergeCell ref="D23:D24"/>
    <mergeCell ref="A32:B32"/>
    <mergeCell ref="A33:B33"/>
    <mergeCell ref="B26:B27"/>
    <mergeCell ref="C26:C27"/>
    <mergeCell ref="D26:D27"/>
    <mergeCell ref="A36:B37"/>
    <mergeCell ref="C36:D37"/>
    <mergeCell ref="E36:E37"/>
    <mergeCell ref="A40:A41"/>
    <mergeCell ref="B17:C17"/>
    <mergeCell ref="E20:F21"/>
    <mergeCell ref="A35:B35"/>
    <mergeCell ref="A29:B29"/>
    <mergeCell ref="A30:B30"/>
    <mergeCell ref="A31:B31"/>
  </mergeCells>
  <phoneticPr fontId="0" type="noConversion"/>
  <conditionalFormatting sqref="D17">
    <cfRule type="cellIs" dxfId="8" priority="23" stopIfTrue="1" operator="lessThan">
      <formula>0</formula>
    </cfRule>
  </conditionalFormatting>
  <conditionalFormatting sqref="D20:D21">
    <cfRule type="cellIs" dxfId="7" priority="16" stopIfTrue="1" operator="lessThan">
      <formula>$D$18</formula>
    </cfRule>
    <cfRule type="cellIs" dxfId="6" priority="17" stopIfTrue="1" operator="lessThan">
      <formula>0.28</formula>
    </cfRule>
    <cfRule type="cellIs" dxfId="5" priority="18" stopIfTrue="1" operator="lessThan">
      <formula>$D$18</formula>
    </cfRule>
    <cfRule type="cellIs" dxfId="3" priority="19" stopIfTrue="1" operator="lessThan">
      <formula>$D$18</formula>
    </cfRule>
    <cfRule type="cellIs" dxfId="2" priority="20" stopIfTrue="1" operator="lessThan">
      <formula>$D$18</formula>
    </cfRule>
    <cfRule type="cellIs" dxfId="1" priority="21" stopIfTrue="1" operator="lessThan">
      <formula>$B$20</formula>
    </cfRule>
    <cfRule type="cellIs" dxfId="0" priority="22" stopIfTrue="1" operator="lessThan">
      <formula>$B$20</formula>
    </cfRule>
  </conditionalFormatting>
  <conditionalFormatting sqref="B20:B21">
    <cfRule type="cellIs" dxfId="4" priority="1" stopIfTrue="1" operator="lessThan">
      <formula>$D$20</formula>
    </cfRule>
  </conditionalFormatting>
  <pageMargins left="0.7" right="0.7" top="0.75" bottom="0.75" header="0.3" footer="0.3"/>
  <pageSetup paperSize="9" scale="37" orientation="portrait" horizontalDpi="300" r:id="rId1"/>
  <drawing r:id="rId2"/>
  <legacyDrawing r:id="rId3"/>
</worksheet>
</file>

<file path=xl/worksheets/sheet2.xml><?xml version="1.0" encoding="utf-8"?>
<worksheet xmlns="http://schemas.openxmlformats.org/spreadsheetml/2006/main" xmlns:r="http://schemas.openxmlformats.org/officeDocument/2006/relationships">
  <sheetPr codeName="Hoja5"/>
  <dimension ref="A1:G134"/>
  <sheetViews>
    <sheetView showGridLines="0" view="pageBreakPreview" zoomScale="130" zoomScaleNormal="100" zoomScaleSheetLayoutView="130" workbookViewId="0">
      <selection activeCell="C7" sqref="C7"/>
    </sheetView>
  </sheetViews>
  <sheetFormatPr baseColWidth="10" defaultRowHeight="12.75"/>
  <cols>
    <col min="3" max="3" width="54.85546875" customWidth="1"/>
    <col min="6" max="6" width="22.140625" customWidth="1"/>
  </cols>
  <sheetData>
    <row r="1" spans="1:7">
      <c r="A1" s="3"/>
      <c r="B1" s="3"/>
      <c r="C1" s="3"/>
      <c r="D1" s="3"/>
      <c r="E1" s="3"/>
      <c r="F1" s="3"/>
      <c r="G1" s="3"/>
    </row>
    <row r="2" spans="1:7">
      <c r="A2" s="3"/>
      <c r="B2" s="3"/>
      <c r="C2" s="3"/>
      <c r="D2" s="3"/>
      <c r="E2" s="3"/>
      <c r="F2" s="3"/>
      <c r="G2" s="3"/>
    </row>
    <row r="3" spans="1:7">
      <c r="A3" s="3"/>
      <c r="B3" s="3"/>
      <c r="C3" s="3"/>
      <c r="D3" s="3"/>
      <c r="E3" s="3"/>
      <c r="F3" s="3"/>
      <c r="G3" s="3"/>
    </row>
    <row r="4" spans="1:7">
      <c r="A4" s="3"/>
      <c r="B4" s="3"/>
      <c r="C4" s="3"/>
      <c r="D4" s="3"/>
      <c r="E4" s="3"/>
      <c r="F4" s="3"/>
      <c r="G4" s="3"/>
    </row>
    <row r="5" spans="1:7">
      <c r="A5" s="3"/>
      <c r="B5" s="3"/>
      <c r="C5" s="3"/>
      <c r="D5" s="3"/>
      <c r="E5" s="3"/>
      <c r="F5" s="3"/>
      <c r="G5" s="3"/>
    </row>
    <row r="6" spans="1:7">
      <c r="A6" s="647" t="s">
        <v>119</v>
      </c>
      <c r="B6" s="647"/>
      <c r="C6" s="549" t="s">
        <v>453</v>
      </c>
      <c r="D6" s="5"/>
      <c r="E6" s="5"/>
      <c r="F6" s="5"/>
      <c r="G6" s="5"/>
    </row>
    <row r="7" spans="1:7">
      <c r="A7" s="3"/>
      <c r="B7" s="3"/>
      <c r="C7" s="3"/>
      <c r="D7" s="3"/>
      <c r="E7" s="3"/>
      <c r="F7" s="3"/>
      <c r="G7" s="3"/>
    </row>
    <row r="8" spans="1:7">
      <c r="A8" s="51"/>
      <c r="B8" s="648" t="s">
        <v>120</v>
      </c>
      <c r="C8" s="648"/>
      <c r="D8" s="648"/>
      <c r="E8" s="648"/>
      <c r="F8" s="52"/>
      <c r="G8" s="52"/>
    </row>
    <row r="9" spans="1:7">
      <c r="A9" s="51"/>
      <c r="B9" s="648"/>
      <c r="C9" s="648"/>
      <c r="D9" s="648"/>
      <c r="E9" s="648"/>
      <c r="F9" s="52"/>
      <c r="G9" s="52"/>
    </row>
    <row r="10" spans="1:7">
      <c r="A10" s="51"/>
      <c r="B10" s="648"/>
      <c r="C10" s="648"/>
      <c r="D10" s="648"/>
      <c r="E10" s="648"/>
      <c r="F10" s="52"/>
      <c r="G10" s="52"/>
    </row>
    <row r="11" spans="1:7">
      <c r="A11" s="51"/>
      <c r="B11" s="51"/>
      <c r="C11" s="51"/>
      <c r="D11" s="51"/>
      <c r="E11" s="51"/>
      <c r="F11" s="52"/>
      <c r="G11" s="52"/>
    </row>
    <row r="12" spans="1:7">
      <c r="A12" s="3"/>
      <c r="B12" s="3"/>
      <c r="C12" s="3"/>
      <c r="D12" s="3"/>
      <c r="E12" s="3"/>
      <c r="F12" s="3"/>
      <c r="G12" s="3"/>
    </row>
    <row r="13" spans="1:7">
      <c r="A13" s="3"/>
      <c r="B13" s="3"/>
      <c r="C13" s="3"/>
      <c r="D13" s="3"/>
      <c r="E13" s="3"/>
      <c r="F13" s="3"/>
      <c r="G13" s="3"/>
    </row>
    <row r="14" spans="1:7">
      <c r="A14" s="3"/>
      <c r="B14" s="3"/>
      <c r="C14" s="3"/>
      <c r="D14" s="3"/>
      <c r="E14" s="3"/>
      <c r="F14" s="3"/>
      <c r="G14" s="3"/>
    </row>
    <row r="15" spans="1:7">
      <c r="A15" s="3"/>
      <c r="B15" s="3"/>
      <c r="C15" s="3"/>
      <c r="D15" s="3"/>
      <c r="E15" s="3"/>
      <c r="F15" s="3"/>
      <c r="G15" s="3"/>
    </row>
    <row r="16" spans="1:7">
      <c r="A16" s="3"/>
      <c r="B16" s="3"/>
      <c r="C16" s="3"/>
      <c r="D16" s="3"/>
      <c r="E16" s="3"/>
      <c r="F16" s="3"/>
      <c r="G16" s="3"/>
    </row>
    <row r="17" spans="1:7">
      <c r="A17" s="3"/>
      <c r="B17" s="3"/>
      <c r="C17" s="3"/>
      <c r="D17" s="3"/>
      <c r="E17" s="3"/>
      <c r="F17" s="3"/>
      <c r="G17" s="3"/>
    </row>
    <row r="18" spans="1:7">
      <c r="A18" s="3"/>
      <c r="B18" s="3"/>
      <c r="C18" s="3"/>
      <c r="D18" s="3"/>
      <c r="E18" s="3"/>
      <c r="F18" s="3"/>
      <c r="G18" s="3"/>
    </row>
    <row r="19" spans="1:7">
      <c r="A19" s="3"/>
      <c r="B19" s="3"/>
      <c r="C19" s="3"/>
      <c r="D19" s="3"/>
      <c r="E19" s="3"/>
      <c r="F19" s="3"/>
      <c r="G19" s="3"/>
    </row>
    <row r="20" spans="1:7">
      <c r="A20" s="3"/>
      <c r="B20" s="3"/>
      <c r="C20" s="3"/>
      <c r="D20" s="3"/>
      <c r="E20" s="3"/>
      <c r="F20" s="3"/>
      <c r="G20" s="3"/>
    </row>
    <row r="21" spans="1:7">
      <c r="A21" s="3"/>
      <c r="B21" s="3"/>
      <c r="C21" s="3"/>
      <c r="D21" s="3"/>
      <c r="E21" s="3"/>
      <c r="F21" s="3"/>
      <c r="G21" s="3"/>
    </row>
    <row r="22" spans="1:7">
      <c r="A22" s="3"/>
      <c r="B22" s="3"/>
      <c r="C22" s="3"/>
      <c r="D22" s="3"/>
      <c r="E22" s="3"/>
      <c r="F22" s="3"/>
      <c r="G22" s="3"/>
    </row>
    <row r="23" spans="1:7">
      <c r="A23" s="3"/>
      <c r="B23" s="3"/>
      <c r="C23" s="3"/>
      <c r="D23" s="3"/>
      <c r="E23" s="3"/>
      <c r="F23" s="3"/>
      <c r="G23" s="3"/>
    </row>
    <row r="24" spans="1:7">
      <c r="A24" s="3"/>
      <c r="B24" s="3"/>
      <c r="C24" s="3"/>
      <c r="D24" s="3"/>
      <c r="E24" s="3"/>
      <c r="F24" s="3"/>
      <c r="G24" s="3"/>
    </row>
    <row r="25" spans="1:7">
      <c r="A25" s="3"/>
      <c r="B25" s="3"/>
      <c r="C25" s="3"/>
      <c r="D25" s="3"/>
      <c r="E25" s="3"/>
      <c r="F25" s="3"/>
      <c r="G25" s="3"/>
    </row>
    <row r="26" spans="1:7">
      <c r="A26" s="3"/>
      <c r="B26" s="3"/>
      <c r="C26" s="3"/>
      <c r="D26" s="3"/>
      <c r="E26" s="3"/>
      <c r="F26" s="3"/>
      <c r="G26" s="3"/>
    </row>
    <row r="27" spans="1:7">
      <c r="A27" s="3"/>
      <c r="B27" s="3"/>
      <c r="C27" s="3"/>
      <c r="D27" s="3"/>
      <c r="E27" s="3"/>
      <c r="F27" s="3"/>
      <c r="G27" s="3"/>
    </row>
    <row r="28" spans="1:7">
      <c r="A28" s="3"/>
      <c r="B28" s="3"/>
      <c r="C28" s="3"/>
      <c r="D28" s="3"/>
      <c r="E28" s="3"/>
      <c r="F28" s="3"/>
      <c r="G28" s="3"/>
    </row>
    <row r="29" spans="1:7">
      <c r="A29" s="3"/>
      <c r="B29" s="3"/>
      <c r="C29" s="3"/>
      <c r="D29" s="3"/>
      <c r="E29" s="3"/>
      <c r="F29" s="3"/>
      <c r="G29" s="3"/>
    </row>
    <row r="30" spans="1:7">
      <c r="A30" s="3"/>
      <c r="B30" s="3"/>
      <c r="C30" s="3"/>
      <c r="D30" s="3"/>
      <c r="E30" s="3"/>
      <c r="F30" s="3"/>
      <c r="G30" s="3"/>
    </row>
    <row r="31" spans="1:7">
      <c r="A31" s="3"/>
      <c r="B31" s="3"/>
      <c r="C31" s="3"/>
      <c r="D31" s="3"/>
      <c r="E31" s="3"/>
      <c r="F31" s="3"/>
      <c r="G31" s="3"/>
    </row>
    <row r="32" spans="1:7">
      <c r="A32" s="3"/>
      <c r="B32" s="3"/>
      <c r="C32" s="3"/>
      <c r="D32" s="3"/>
      <c r="E32" s="3"/>
      <c r="F32" s="3"/>
      <c r="G32" s="3"/>
    </row>
    <row r="33" spans="1:7">
      <c r="A33" s="3"/>
      <c r="B33" s="3"/>
      <c r="C33" s="3"/>
      <c r="D33" s="3"/>
      <c r="E33" s="3"/>
      <c r="F33" s="3"/>
      <c r="G33" s="3"/>
    </row>
    <row r="34" spans="1:7">
      <c r="A34" s="3"/>
      <c r="B34" s="3"/>
      <c r="C34" s="3"/>
      <c r="D34" s="3"/>
      <c r="E34" s="3"/>
      <c r="F34" s="3"/>
      <c r="G34" s="3"/>
    </row>
    <row r="35" spans="1:7">
      <c r="A35" s="3"/>
      <c r="B35" s="3"/>
      <c r="C35" s="3"/>
      <c r="D35" s="3"/>
      <c r="E35" s="3"/>
      <c r="F35" s="3"/>
      <c r="G35" s="3"/>
    </row>
    <row r="36" spans="1:7">
      <c r="A36" s="3"/>
      <c r="B36" s="3"/>
      <c r="C36" s="3"/>
      <c r="D36" s="3"/>
      <c r="E36" s="3"/>
      <c r="F36" s="3"/>
      <c r="G36" s="3"/>
    </row>
    <row r="37" spans="1:7">
      <c r="A37" s="3"/>
      <c r="B37" s="3"/>
      <c r="C37" s="3"/>
      <c r="D37" s="3"/>
      <c r="E37" s="3"/>
      <c r="F37" s="3"/>
      <c r="G37" s="3"/>
    </row>
    <row r="38" spans="1:7">
      <c r="A38" s="3"/>
      <c r="B38" s="3"/>
      <c r="C38" s="3"/>
      <c r="D38" s="3"/>
      <c r="E38" s="3"/>
      <c r="F38" s="3"/>
      <c r="G38" s="3"/>
    </row>
    <row r="39" spans="1:7">
      <c r="A39" s="3"/>
      <c r="B39" s="3"/>
      <c r="C39" s="3"/>
      <c r="D39" s="3"/>
      <c r="E39" s="3"/>
      <c r="F39" s="3"/>
      <c r="G39" s="3"/>
    </row>
    <row r="40" spans="1:7">
      <c r="A40" s="3"/>
      <c r="B40" s="3"/>
      <c r="C40" s="3"/>
      <c r="D40" s="3"/>
      <c r="E40" s="3"/>
      <c r="F40" s="3"/>
      <c r="G40" s="3"/>
    </row>
    <row r="41" spans="1:7">
      <c r="A41" s="3"/>
      <c r="B41" s="3"/>
      <c r="C41" s="3"/>
      <c r="D41" s="3"/>
      <c r="E41" s="3"/>
      <c r="F41" s="3"/>
      <c r="G41" s="3"/>
    </row>
    <row r="42" spans="1:7">
      <c r="A42" s="3"/>
      <c r="B42" s="3"/>
      <c r="C42" s="3"/>
      <c r="D42" s="3"/>
      <c r="E42" s="3"/>
      <c r="F42" s="3"/>
      <c r="G42" s="3"/>
    </row>
    <row r="43" spans="1:7">
      <c r="A43" s="3"/>
      <c r="B43" s="3"/>
      <c r="C43" s="3"/>
      <c r="D43" s="3"/>
      <c r="E43" s="3"/>
      <c r="F43" s="3"/>
      <c r="G43" s="3"/>
    </row>
    <row r="44" spans="1:7">
      <c r="A44" s="3"/>
      <c r="B44" s="3"/>
      <c r="C44" s="3"/>
      <c r="D44" s="3"/>
      <c r="E44" s="3"/>
      <c r="F44" s="3"/>
      <c r="G44" s="3"/>
    </row>
    <row r="45" spans="1:7">
      <c r="A45" s="3"/>
      <c r="B45" s="3"/>
      <c r="C45" s="3"/>
      <c r="D45" s="3"/>
      <c r="E45" s="3"/>
      <c r="F45" s="3"/>
      <c r="G45" s="3"/>
    </row>
    <row r="46" spans="1:7">
      <c r="A46" s="3"/>
      <c r="B46" s="3"/>
      <c r="C46" s="3"/>
      <c r="D46" s="3"/>
      <c r="E46" s="3"/>
      <c r="F46" s="3"/>
      <c r="G46" s="3"/>
    </row>
    <row r="47" spans="1:7">
      <c r="A47" s="3"/>
      <c r="B47" s="3"/>
      <c r="C47" s="3"/>
      <c r="D47" s="3"/>
      <c r="E47" s="3"/>
      <c r="F47" s="3"/>
      <c r="G47" s="3"/>
    </row>
    <row r="48" spans="1:7">
      <c r="A48" s="3"/>
      <c r="B48" s="3"/>
      <c r="C48" s="3"/>
      <c r="D48" s="3"/>
      <c r="E48" s="3"/>
      <c r="F48" s="3"/>
      <c r="G48" s="3"/>
    </row>
    <row r="49" spans="1:7">
      <c r="A49" s="3"/>
      <c r="B49" s="3"/>
      <c r="C49" s="3"/>
      <c r="D49" s="3"/>
      <c r="E49" s="3"/>
      <c r="F49" s="3"/>
      <c r="G49" s="3"/>
    </row>
    <row r="50" spans="1:7">
      <c r="A50" s="3"/>
      <c r="B50" s="3"/>
      <c r="C50" s="3"/>
      <c r="D50" s="3"/>
      <c r="E50" s="3"/>
      <c r="F50" s="3"/>
      <c r="G50" s="3"/>
    </row>
    <row r="51" spans="1:7">
      <c r="A51" s="3"/>
      <c r="B51" s="3"/>
      <c r="C51" s="3"/>
      <c r="D51" s="3"/>
      <c r="E51" s="3"/>
      <c r="F51" s="3"/>
      <c r="G51" s="3"/>
    </row>
    <row r="52" spans="1:7">
      <c r="A52" s="3"/>
      <c r="B52" s="3"/>
      <c r="C52" s="3"/>
      <c r="D52" s="3"/>
      <c r="E52" s="3"/>
      <c r="F52" s="3"/>
      <c r="G52" s="3"/>
    </row>
    <row r="53" spans="1:7">
      <c r="A53" s="3"/>
      <c r="B53" s="3"/>
      <c r="C53" s="3"/>
      <c r="D53" s="3"/>
      <c r="E53" s="3"/>
      <c r="F53" s="3"/>
      <c r="G53" s="3"/>
    </row>
    <row r="54" spans="1:7">
      <c r="A54" s="3"/>
      <c r="B54" s="3"/>
      <c r="C54" s="3"/>
      <c r="D54" s="3"/>
      <c r="E54" s="3"/>
      <c r="F54" s="3"/>
      <c r="G54" s="3"/>
    </row>
    <row r="55" spans="1:7">
      <c r="A55" s="3"/>
      <c r="B55" s="3"/>
      <c r="C55" s="3"/>
      <c r="D55" s="3"/>
      <c r="E55" s="3"/>
      <c r="F55" s="3"/>
      <c r="G55" s="3"/>
    </row>
    <row r="56" spans="1:7">
      <c r="A56" s="3"/>
      <c r="B56" s="3"/>
      <c r="C56" s="3"/>
      <c r="D56" s="3"/>
      <c r="E56" s="3"/>
      <c r="F56" s="3"/>
      <c r="G56" s="3"/>
    </row>
    <row r="57" spans="1:7">
      <c r="A57" s="3"/>
      <c r="B57" s="3"/>
      <c r="C57" s="3"/>
      <c r="D57" s="3"/>
      <c r="E57" s="3"/>
      <c r="F57" s="3"/>
      <c r="G57" s="3"/>
    </row>
    <row r="58" spans="1:7">
      <c r="A58" s="3"/>
      <c r="B58" s="3"/>
      <c r="C58" s="3"/>
      <c r="D58" s="3"/>
      <c r="E58" s="3"/>
      <c r="F58" s="3"/>
      <c r="G58" s="3"/>
    </row>
    <row r="59" spans="1:7">
      <c r="A59" s="3"/>
      <c r="B59" s="3"/>
      <c r="C59" s="3"/>
      <c r="D59" s="3"/>
      <c r="E59" s="3"/>
    </row>
    <row r="60" spans="1:7">
      <c r="A60" s="3"/>
      <c r="B60" s="3"/>
      <c r="C60" s="3"/>
      <c r="D60" s="3"/>
      <c r="E60" s="3"/>
    </row>
    <row r="61" spans="1:7">
      <c r="A61" s="3"/>
      <c r="B61" s="3"/>
      <c r="C61" s="3"/>
      <c r="D61" s="3"/>
      <c r="E61" s="3"/>
    </row>
    <row r="62" spans="1:7">
      <c r="A62" s="3"/>
      <c r="B62" s="3"/>
      <c r="C62" s="3"/>
      <c r="D62" s="3"/>
      <c r="E62" s="3"/>
    </row>
    <row r="63" spans="1:7">
      <c r="A63" s="3"/>
      <c r="B63" s="3"/>
      <c r="C63" s="3"/>
      <c r="D63" s="3"/>
      <c r="E63" s="3"/>
    </row>
    <row r="64" spans="1:7">
      <c r="A64" s="3"/>
      <c r="B64" s="3"/>
      <c r="C64" s="3"/>
      <c r="D64" s="3"/>
      <c r="E64" s="3"/>
    </row>
    <row r="65" spans="1:5">
      <c r="A65" s="3"/>
      <c r="B65" s="3"/>
      <c r="C65" s="3"/>
      <c r="D65" s="3"/>
      <c r="E65" s="3"/>
    </row>
    <row r="66" spans="1:5">
      <c r="A66" s="3"/>
      <c r="B66" s="3"/>
      <c r="C66" s="3"/>
      <c r="D66" s="3"/>
      <c r="E66" s="3"/>
    </row>
    <row r="67" spans="1:5">
      <c r="A67" s="3"/>
      <c r="B67" s="3"/>
      <c r="C67" s="3"/>
      <c r="D67" s="3"/>
      <c r="E67" s="3"/>
    </row>
    <row r="68" spans="1:5">
      <c r="A68" s="3"/>
      <c r="B68" s="3"/>
      <c r="C68" s="3"/>
      <c r="D68" s="3"/>
      <c r="E68" s="3"/>
    </row>
    <row r="69" spans="1:5">
      <c r="A69" s="3"/>
      <c r="B69" s="3"/>
      <c r="C69" s="3"/>
      <c r="D69" s="3"/>
      <c r="E69" s="3"/>
    </row>
    <row r="70" spans="1:5">
      <c r="A70" s="3"/>
      <c r="B70" s="3"/>
      <c r="C70" s="3"/>
      <c r="D70" s="3"/>
      <c r="E70" s="3"/>
    </row>
    <row r="71" spans="1:5">
      <c r="A71" s="3"/>
      <c r="B71" s="3"/>
      <c r="C71" s="3"/>
      <c r="D71" s="3"/>
      <c r="E71" s="3"/>
    </row>
    <row r="72" spans="1:5">
      <c r="A72" s="3"/>
      <c r="B72" s="3"/>
      <c r="C72" s="3"/>
      <c r="D72" s="3"/>
      <c r="E72" s="3"/>
    </row>
    <row r="73" spans="1:5">
      <c r="A73" s="3"/>
      <c r="B73" s="3"/>
      <c r="C73" s="3"/>
      <c r="D73" s="3"/>
      <c r="E73" s="3"/>
    </row>
    <row r="74" spans="1:5">
      <c r="A74" s="3"/>
      <c r="B74" s="3"/>
      <c r="C74" s="3"/>
      <c r="D74" s="3"/>
      <c r="E74" s="3"/>
    </row>
    <row r="75" spans="1:5">
      <c r="A75" s="3"/>
      <c r="B75" s="3"/>
      <c r="C75" s="3"/>
      <c r="D75" s="3"/>
      <c r="E75" s="3"/>
    </row>
    <row r="76" spans="1:5">
      <c r="A76" s="3"/>
      <c r="B76" s="3"/>
      <c r="C76" s="3"/>
      <c r="D76" s="3"/>
      <c r="E76" s="3"/>
    </row>
    <row r="77" spans="1:5">
      <c r="A77" s="3"/>
      <c r="B77" s="3"/>
      <c r="C77" s="3"/>
      <c r="D77" s="3"/>
      <c r="E77" s="3"/>
    </row>
    <row r="78" spans="1:5">
      <c r="A78" s="3"/>
      <c r="B78" s="3"/>
      <c r="C78" s="3"/>
      <c r="D78" s="3"/>
      <c r="E78" s="3"/>
    </row>
    <row r="79" spans="1:5">
      <c r="A79" s="3"/>
      <c r="B79" s="3"/>
      <c r="C79" s="3"/>
      <c r="D79" s="3"/>
      <c r="E79" s="3"/>
    </row>
    <row r="80" spans="1:5">
      <c r="A80" s="3"/>
      <c r="B80" s="3"/>
      <c r="C80" s="3"/>
      <c r="D80" s="3"/>
      <c r="E80" s="3"/>
    </row>
    <row r="81" spans="1:5">
      <c r="A81" s="3"/>
      <c r="B81" s="3"/>
      <c r="C81" s="3"/>
      <c r="D81" s="3"/>
      <c r="E81" s="3"/>
    </row>
    <row r="82" spans="1:5">
      <c r="A82" s="3"/>
      <c r="B82" s="3"/>
      <c r="C82" s="3"/>
      <c r="D82" s="3"/>
      <c r="E82" s="3"/>
    </row>
    <row r="83" spans="1:5">
      <c r="A83" s="3"/>
      <c r="B83" s="3"/>
      <c r="C83" s="3"/>
      <c r="D83" s="3"/>
      <c r="E83" s="3"/>
    </row>
    <row r="84" spans="1:5">
      <c r="A84" s="3"/>
      <c r="B84" s="3"/>
      <c r="C84" s="3"/>
      <c r="D84" s="3"/>
      <c r="E84" s="3"/>
    </row>
    <row r="85" spans="1:5">
      <c r="A85" s="3"/>
      <c r="B85" s="3"/>
      <c r="C85" s="3"/>
      <c r="D85" s="3"/>
      <c r="E85" s="3"/>
    </row>
    <row r="86" spans="1:5">
      <c r="A86" s="3"/>
      <c r="B86" s="3"/>
      <c r="C86" s="3"/>
      <c r="D86" s="3"/>
      <c r="E86" s="3"/>
    </row>
    <row r="87" spans="1:5">
      <c r="A87" s="3"/>
      <c r="B87" s="3"/>
      <c r="C87" s="3"/>
      <c r="D87" s="3"/>
      <c r="E87" s="3"/>
    </row>
    <row r="88" spans="1:5">
      <c r="A88" s="3"/>
      <c r="B88" s="3"/>
      <c r="C88" s="3"/>
      <c r="D88" s="3"/>
      <c r="E88" s="3"/>
    </row>
    <row r="89" spans="1:5">
      <c r="A89" s="3"/>
      <c r="B89" s="3"/>
      <c r="C89" s="3"/>
      <c r="D89" s="3"/>
      <c r="E89" s="3"/>
    </row>
    <row r="90" spans="1:5">
      <c r="A90" s="3"/>
      <c r="B90" s="3"/>
      <c r="C90" s="3"/>
      <c r="D90" s="3"/>
      <c r="E90" s="3"/>
    </row>
    <row r="91" spans="1:5">
      <c r="A91" s="3"/>
      <c r="B91" s="3"/>
      <c r="C91" s="3"/>
      <c r="D91" s="3"/>
      <c r="E91" s="3"/>
    </row>
    <row r="92" spans="1:5">
      <c r="A92" s="3"/>
      <c r="B92" s="3"/>
      <c r="C92" s="3"/>
      <c r="D92" s="3"/>
      <c r="E92" s="3"/>
    </row>
    <row r="93" spans="1:5">
      <c r="A93" s="3"/>
      <c r="B93" s="3"/>
      <c r="C93" s="3"/>
      <c r="D93" s="3"/>
      <c r="E93" s="3"/>
    </row>
    <row r="94" spans="1:5">
      <c r="A94" s="3"/>
      <c r="B94" s="3"/>
      <c r="C94" s="3"/>
      <c r="D94" s="3"/>
      <c r="E94" s="3"/>
    </row>
    <row r="95" spans="1:5">
      <c r="A95" s="3"/>
      <c r="B95" s="3"/>
      <c r="C95" s="3"/>
      <c r="D95" s="3"/>
      <c r="E95" s="3"/>
    </row>
    <row r="96" spans="1:5">
      <c r="A96" s="3"/>
      <c r="B96" s="3"/>
      <c r="C96" s="3"/>
      <c r="D96" s="3"/>
      <c r="E96" s="3"/>
    </row>
    <row r="97" spans="1:5">
      <c r="A97" s="3"/>
      <c r="B97" s="3"/>
      <c r="C97" s="3"/>
      <c r="D97" s="3"/>
      <c r="E97" s="3"/>
    </row>
    <row r="98" spans="1:5">
      <c r="A98" s="3"/>
      <c r="B98" s="3"/>
      <c r="C98" s="3"/>
      <c r="D98" s="3"/>
      <c r="E98" s="3"/>
    </row>
    <row r="99" spans="1:5">
      <c r="A99" s="3"/>
      <c r="B99" s="3"/>
      <c r="C99" s="3"/>
      <c r="D99" s="3"/>
      <c r="E99" s="3"/>
    </row>
    <row r="100" spans="1:5">
      <c r="A100" s="3"/>
      <c r="B100" s="3"/>
      <c r="C100" s="3"/>
      <c r="D100" s="3"/>
      <c r="E100" s="3"/>
    </row>
    <row r="101" spans="1:5">
      <c r="A101" s="3"/>
      <c r="B101" s="3"/>
      <c r="C101" s="3"/>
      <c r="D101" s="3"/>
      <c r="E101" s="3"/>
    </row>
    <row r="102" spans="1:5">
      <c r="A102" s="3"/>
      <c r="B102" s="3"/>
      <c r="C102" s="3"/>
      <c r="D102" s="3"/>
      <c r="E102" s="3"/>
    </row>
    <row r="103" spans="1:5">
      <c r="A103" s="3"/>
      <c r="B103" s="3"/>
      <c r="C103" s="3"/>
      <c r="D103" s="3"/>
      <c r="E103" s="3"/>
    </row>
    <row r="104" spans="1:5">
      <c r="A104" s="3"/>
      <c r="B104" s="3"/>
      <c r="C104" s="3"/>
      <c r="D104" s="3"/>
      <c r="E104" s="3"/>
    </row>
    <row r="105" spans="1:5">
      <c r="A105" s="3"/>
      <c r="B105" s="3"/>
      <c r="C105" s="3"/>
      <c r="D105" s="3"/>
      <c r="E105" s="3"/>
    </row>
    <row r="106" spans="1:5">
      <c r="A106" s="3"/>
      <c r="B106" s="3"/>
      <c r="C106" s="3"/>
      <c r="D106" s="3"/>
      <c r="E106" s="3"/>
    </row>
    <row r="107" spans="1:5">
      <c r="A107" s="3"/>
      <c r="B107" s="3"/>
      <c r="C107" s="3"/>
      <c r="D107" s="3"/>
      <c r="E107" s="3"/>
    </row>
    <row r="108" spans="1:5">
      <c r="A108" s="3"/>
      <c r="B108" s="3"/>
      <c r="C108" s="3"/>
      <c r="D108" s="3"/>
      <c r="E108" s="3"/>
    </row>
    <row r="109" spans="1:5">
      <c r="A109" s="3"/>
      <c r="B109" s="3"/>
      <c r="C109" s="3"/>
      <c r="D109" s="3"/>
      <c r="E109" s="3"/>
    </row>
    <row r="110" spans="1:5">
      <c r="A110" s="3"/>
      <c r="B110" s="3"/>
      <c r="C110" s="3"/>
      <c r="D110" s="3"/>
      <c r="E110" s="3"/>
    </row>
    <row r="111" spans="1:5">
      <c r="A111" s="3"/>
      <c r="B111" s="3"/>
      <c r="C111" s="3"/>
      <c r="D111" s="3"/>
      <c r="E111" s="3"/>
    </row>
    <row r="112" spans="1:5">
      <c r="A112" s="3"/>
      <c r="B112" s="3"/>
      <c r="C112" s="3"/>
      <c r="D112" s="3"/>
      <c r="E112" s="3"/>
    </row>
    <row r="113" spans="1:5">
      <c r="A113" s="3"/>
      <c r="B113" s="3"/>
      <c r="C113" s="3"/>
      <c r="D113" s="3"/>
      <c r="E113" s="3"/>
    </row>
    <row r="114" spans="1:5">
      <c r="A114" s="3"/>
      <c r="B114" s="3"/>
      <c r="C114" s="3"/>
      <c r="D114" s="3"/>
      <c r="E114" s="3"/>
    </row>
    <row r="115" spans="1:5">
      <c r="A115" s="3"/>
      <c r="B115" s="3"/>
      <c r="C115" s="3"/>
      <c r="D115" s="3"/>
      <c r="E115" s="3"/>
    </row>
    <row r="116" spans="1:5">
      <c r="A116" s="3"/>
      <c r="B116" s="3"/>
      <c r="C116" s="3"/>
      <c r="D116" s="3"/>
      <c r="E116" s="3"/>
    </row>
    <row r="117" spans="1:5">
      <c r="A117" s="3"/>
      <c r="B117" s="3"/>
      <c r="C117" s="3"/>
      <c r="D117" s="3"/>
      <c r="E117" s="3"/>
    </row>
    <row r="118" spans="1:5">
      <c r="A118" s="3"/>
      <c r="B118" s="3"/>
      <c r="C118" s="3"/>
      <c r="D118" s="3"/>
      <c r="E118" s="3"/>
    </row>
    <row r="119" spans="1:5">
      <c r="A119" s="3"/>
      <c r="B119" s="3"/>
      <c r="C119" s="3"/>
      <c r="D119" s="3"/>
      <c r="E119" s="3"/>
    </row>
    <row r="120" spans="1:5">
      <c r="A120" s="3"/>
      <c r="B120" s="3"/>
      <c r="C120" s="3"/>
      <c r="D120" s="3"/>
      <c r="E120" s="3"/>
    </row>
    <row r="121" spans="1:5">
      <c r="A121" s="3"/>
      <c r="B121" s="3"/>
      <c r="C121" s="3"/>
      <c r="D121" s="3"/>
      <c r="E121" s="3"/>
    </row>
    <row r="122" spans="1:5">
      <c r="A122" s="3"/>
      <c r="B122" s="3"/>
      <c r="C122" s="3"/>
      <c r="D122" s="3"/>
      <c r="E122" s="3"/>
    </row>
    <row r="123" spans="1:5">
      <c r="A123" s="3"/>
      <c r="B123" s="3"/>
      <c r="C123" s="3"/>
      <c r="D123" s="3"/>
      <c r="E123" s="3"/>
    </row>
    <row r="124" spans="1:5">
      <c r="A124" s="3"/>
      <c r="B124" s="3"/>
      <c r="C124" s="3"/>
      <c r="D124" s="3"/>
      <c r="E124" s="3"/>
    </row>
    <row r="125" spans="1:5">
      <c r="A125" s="3"/>
      <c r="B125" s="3"/>
      <c r="C125" s="3"/>
      <c r="D125" s="3"/>
      <c r="E125" s="3"/>
    </row>
    <row r="126" spans="1:5">
      <c r="A126" s="3"/>
      <c r="B126" s="3"/>
      <c r="C126" s="3"/>
      <c r="D126" s="3"/>
      <c r="E126" s="3"/>
    </row>
    <row r="127" spans="1:5">
      <c r="A127" s="3"/>
      <c r="B127" s="3"/>
      <c r="C127" s="3"/>
      <c r="D127" s="3"/>
      <c r="E127" s="3"/>
    </row>
    <row r="128" spans="1:5">
      <c r="A128" s="3"/>
      <c r="B128" s="3"/>
      <c r="C128" s="3"/>
      <c r="D128" s="3"/>
      <c r="E128" s="3"/>
    </row>
    <row r="129" spans="1:5">
      <c r="A129" s="3"/>
      <c r="B129" s="3"/>
      <c r="C129" s="3"/>
      <c r="D129" s="3"/>
      <c r="E129" s="3"/>
    </row>
    <row r="130" spans="1:5">
      <c r="A130" s="3"/>
      <c r="B130" s="3"/>
      <c r="C130" s="3"/>
      <c r="D130" s="3"/>
      <c r="E130" s="3"/>
    </row>
    <row r="131" spans="1:5">
      <c r="A131" s="3"/>
      <c r="B131" s="3"/>
      <c r="C131" s="3"/>
      <c r="D131" s="3"/>
      <c r="E131" s="3"/>
    </row>
    <row r="132" spans="1:5">
      <c r="A132" s="3"/>
      <c r="B132" s="3"/>
      <c r="C132" s="3"/>
      <c r="D132" s="3"/>
      <c r="E132" s="3"/>
    </row>
    <row r="133" spans="1:5">
      <c r="A133" s="3"/>
      <c r="B133" s="3"/>
      <c r="C133" s="3"/>
      <c r="D133" s="3"/>
      <c r="E133" s="3"/>
    </row>
    <row r="134" spans="1:5">
      <c r="A134" s="3"/>
      <c r="B134" s="3"/>
      <c r="C134" s="3"/>
      <c r="D134" s="3"/>
      <c r="E134" s="3"/>
    </row>
  </sheetData>
  <sheetProtection password="909C" sheet="1" objects="1"/>
  <mergeCells count="2">
    <mergeCell ref="A6:B6"/>
    <mergeCell ref="B8:E10"/>
  </mergeCells>
  <phoneticPr fontId="0" type="noConversion"/>
  <pageMargins left="0.7" right="0.7" top="0.75" bottom="0.75" header="0.3" footer="0.3"/>
  <pageSetup paperSize="9" scale="41" orientation="portrait" horizontalDpi="300" r:id="rId1"/>
  <drawing r:id="rId2"/>
  <legacyDrawing r:id="rId3"/>
</worksheet>
</file>

<file path=xl/worksheets/sheet3.xml><?xml version="1.0" encoding="utf-8"?>
<worksheet xmlns="http://schemas.openxmlformats.org/spreadsheetml/2006/main" xmlns:r="http://schemas.openxmlformats.org/officeDocument/2006/relationships">
  <sheetPr codeName="Hoja6"/>
  <dimension ref="A1"/>
  <sheetViews>
    <sheetView showGridLines="0" view="pageBreakPreview" zoomScale="90" zoomScaleNormal="100" zoomScaleSheetLayoutView="90" workbookViewId="0"/>
  </sheetViews>
  <sheetFormatPr baseColWidth="10" defaultRowHeight="12.75"/>
  <sheetData/>
  <sheetProtection password="909C" sheet="1" objects="1" scenarios="1"/>
  <phoneticPr fontId="0" type="noConversion"/>
  <pageMargins left="0.7" right="0.7" top="0.75" bottom="0.75" header="0.3" footer="0.3"/>
  <pageSetup paperSize="9" scale="62" orientation="portrait" horizontalDpi="300" r:id="rId1"/>
  <drawing r:id="rId2"/>
</worksheet>
</file>

<file path=xl/worksheets/sheet4.xml><?xml version="1.0" encoding="utf-8"?>
<worksheet xmlns="http://schemas.openxmlformats.org/spreadsheetml/2006/main" xmlns:r="http://schemas.openxmlformats.org/officeDocument/2006/relationships">
  <sheetPr codeName="Hoja7"/>
  <dimension ref="A4:H39"/>
  <sheetViews>
    <sheetView showGridLines="0" tabSelected="1" view="pageBreakPreview" zoomScale="90" zoomScaleNormal="100" zoomScaleSheetLayoutView="90" workbookViewId="0">
      <selection activeCell="B13" sqref="B13"/>
    </sheetView>
  </sheetViews>
  <sheetFormatPr baseColWidth="10" defaultRowHeight="12.75"/>
  <cols>
    <col min="1" max="1" width="29.85546875" style="3" customWidth="1"/>
    <col min="2" max="4" width="15.7109375" style="3" customWidth="1"/>
    <col min="5" max="5" width="17.42578125" style="3" customWidth="1"/>
    <col min="6" max="6" width="19.42578125" style="3" customWidth="1"/>
    <col min="7" max="7" width="15.7109375" style="3" customWidth="1"/>
    <col min="8" max="16384" width="11.42578125" style="3"/>
  </cols>
  <sheetData>
    <row r="4" spans="1:8">
      <c r="B4" s="649" t="s">
        <v>81</v>
      </c>
      <c r="C4" s="649"/>
      <c r="D4" s="649"/>
      <c r="E4" s="649"/>
      <c r="F4" s="649"/>
      <c r="G4" s="649"/>
      <c r="H4" s="649"/>
    </row>
    <row r="5" spans="1:8">
      <c r="B5" s="649"/>
      <c r="C5" s="649"/>
      <c r="D5" s="649"/>
      <c r="E5" s="649"/>
      <c r="F5" s="649"/>
      <c r="G5" s="649"/>
      <c r="H5" s="649"/>
    </row>
    <row r="6" spans="1:8">
      <c r="B6" s="649"/>
      <c r="C6" s="649"/>
      <c r="D6" s="649"/>
      <c r="E6" s="649"/>
      <c r="F6" s="649"/>
      <c r="G6" s="649"/>
      <c r="H6" s="649"/>
    </row>
    <row r="7" spans="1:8">
      <c r="B7" s="649"/>
      <c r="C7" s="649"/>
      <c r="D7" s="649"/>
      <c r="E7" s="649"/>
      <c r="F7" s="649"/>
      <c r="G7" s="649"/>
      <c r="H7" s="649"/>
    </row>
    <row r="9" spans="1:8" ht="13.5" thickBot="1"/>
    <row r="10" spans="1:8" ht="20.25">
      <c r="A10" s="660" t="s">
        <v>71</v>
      </c>
      <c r="B10" s="661"/>
      <c r="C10" s="661"/>
      <c r="D10" s="661"/>
      <c r="E10" s="661"/>
      <c r="F10" s="661"/>
      <c r="G10" s="661"/>
      <c r="H10" s="661"/>
    </row>
    <row r="11" spans="1:8" ht="13.5" thickBot="1"/>
    <row r="12" spans="1:8" ht="15.75" thickBot="1">
      <c r="A12" s="662" t="s">
        <v>38</v>
      </c>
      <c r="B12" s="663"/>
    </row>
    <row r="13" spans="1:8" ht="15">
      <c r="A13" s="25"/>
      <c r="B13" s="40">
        <v>2012</v>
      </c>
      <c r="C13" s="26">
        <f>B13+1</f>
        <v>2013</v>
      </c>
      <c r="D13" s="26">
        <f>C13+1</f>
        <v>2014</v>
      </c>
      <c r="E13" s="26">
        <f>D13+1</f>
        <v>2015</v>
      </c>
      <c r="F13" s="27">
        <f>E13+1</f>
        <v>2016</v>
      </c>
    </row>
    <row r="14" spans="1:8">
      <c r="A14" s="28" t="s">
        <v>72</v>
      </c>
      <c r="B14" s="9">
        <v>5.57E-2</v>
      </c>
      <c r="C14" s="9">
        <v>4.53E-2</v>
      </c>
      <c r="D14" s="9">
        <v>3.8399999999999997E-2</v>
      </c>
      <c r="E14" s="9">
        <v>3.6799999999999999E-2</v>
      </c>
      <c r="F14" s="29">
        <v>3.5299999999999998E-2</v>
      </c>
    </row>
    <row r="15" spans="1:8">
      <c r="A15" s="28" t="s">
        <v>73</v>
      </c>
      <c r="B15" s="9">
        <v>0.03</v>
      </c>
      <c r="C15" s="9">
        <v>0.04</v>
      </c>
      <c r="D15" s="9">
        <v>-1.4999999999999999E-2</v>
      </c>
      <c r="E15" s="9">
        <v>1.4999999999999999E-2</v>
      </c>
      <c r="F15" s="29">
        <v>0.02</v>
      </c>
    </row>
    <row r="16" spans="1:8">
      <c r="A16" s="28" t="s">
        <v>39</v>
      </c>
      <c r="B16" s="9">
        <v>4.0002995749787933E-2</v>
      </c>
      <c r="C16" s="9">
        <v>4.0002995749787898E-2</v>
      </c>
      <c r="D16" s="9">
        <v>4.0002995749787933E-2</v>
      </c>
      <c r="E16" s="9">
        <v>4.0002995749787933E-2</v>
      </c>
      <c r="F16" s="29">
        <v>4.0002995749787933E-2</v>
      </c>
    </row>
    <row r="17" spans="1:8" ht="13.5" thickBot="1">
      <c r="A17" s="30" t="s">
        <v>40</v>
      </c>
      <c r="B17" s="31">
        <v>9.4299999999999995E-2</v>
      </c>
      <c r="C17" s="31">
        <v>8.3299999999999999E-2</v>
      </c>
      <c r="D17" s="31">
        <v>7.4300000000000005E-2</v>
      </c>
      <c r="E17" s="31">
        <v>6.93E-2</v>
      </c>
      <c r="F17" s="32">
        <v>6.5299999999999997E-2</v>
      </c>
    </row>
    <row r="18" spans="1:8" ht="13.5" thickBot="1"/>
    <row r="19" spans="1:8" ht="15">
      <c r="A19" s="664" t="s">
        <v>82</v>
      </c>
      <c r="B19" s="665"/>
      <c r="D19" s="11" t="s">
        <v>41</v>
      </c>
      <c r="E19" s="12"/>
      <c r="F19" s="10"/>
      <c r="G19" s="9">
        <v>6.0000000000000001E-3</v>
      </c>
      <c r="H19" s="3" t="s">
        <v>42</v>
      </c>
    </row>
    <row r="20" spans="1:8" ht="13.5" thickBot="1">
      <c r="A20" s="33" t="s">
        <v>43</v>
      </c>
      <c r="B20" s="34"/>
      <c r="G20" s="6"/>
    </row>
    <row r="21" spans="1:8" ht="15">
      <c r="A21" s="28" t="s">
        <v>44</v>
      </c>
      <c r="B21" s="35">
        <v>8.3299999999999999E-2</v>
      </c>
      <c r="D21" s="652" t="s">
        <v>45</v>
      </c>
      <c r="E21" s="653"/>
      <c r="F21" s="654"/>
      <c r="G21" s="9">
        <v>0.33</v>
      </c>
    </row>
    <row r="22" spans="1:8" ht="15.75" thickBot="1">
      <c r="A22" s="28" t="s">
        <v>46</v>
      </c>
      <c r="B22" s="35">
        <v>8.3299999999999999E-2</v>
      </c>
      <c r="G22" s="6"/>
    </row>
    <row r="23" spans="1:8" ht="15">
      <c r="A23" s="28" t="s">
        <v>47</v>
      </c>
      <c r="B23" s="35">
        <v>4.1700000000000001E-2</v>
      </c>
      <c r="D23" s="655" t="s">
        <v>77</v>
      </c>
      <c r="E23" s="656"/>
      <c r="F23" s="657"/>
      <c r="G23" s="9">
        <v>0.28000000000000003</v>
      </c>
    </row>
    <row r="24" spans="1:8" ht="15.75" thickBot="1">
      <c r="A24" s="28" t="s">
        <v>48</v>
      </c>
      <c r="B24" s="35">
        <v>0.01</v>
      </c>
      <c r="D24" s="13"/>
      <c r="E24" s="13"/>
      <c r="F24" s="13"/>
    </row>
    <row r="25" spans="1:8" ht="16.5">
      <c r="A25" s="36" t="s">
        <v>49</v>
      </c>
      <c r="B25" s="37">
        <f>SUM(B21:B24)</f>
        <v>0.21829999999999999</v>
      </c>
      <c r="D25" s="658" t="s">
        <v>50</v>
      </c>
      <c r="E25" s="653"/>
      <c r="F25" s="659"/>
    </row>
    <row r="26" spans="1:8" ht="15">
      <c r="A26" s="33" t="s">
        <v>51</v>
      </c>
      <c r="B26" s="34"/>
      <c r="D26" s="17" t="s">
        <v>52</v>
      </c>
      <c r="E26" s="8"/>
      <c r="F26" s="23">
        <v>0</v>
      </c>
    </row>
    <row r="27" spans="1:8" ht="15">
      <c r="A27" s="17" t="s">
        <v>53</v>
      </c>
      <c r="B27" s="35">
        <v>0.02</v>
      </c>
      <c r="D27" s="17" t="s">
        <v>54</v>
      </c>
      <c r="E27" s="8"/>
      <c r="F27" s="23">
        <v>5</v>
      </c>
    </row>
    <row r="28" spans="1:8" ht="15.75" thickBot="1">
      <c r="A28" s="17" t="s">
        <v>74</v>
      </c>
      <c r="B28" s="35">
        <v>0.04</v>
      </c>
      <c r="D28" s="19" t="s">
        <v>55</v>
      </c>
      <c r="E28" s="20"/>
      <c r="F28" s="24">
        <v>0.06</v>
      </c>
    </row>
    <row r="29" spans="1:8" ht="15.75" thickBot="1">
      <c r="A29" s="17" t="s">
        <v>56</v>
      </c>
      <c r="B29" s="35">
        <v>0.03</v>
      </c>
    </row>
    <row r="30" spans="1:8" ht="16.5" customHeight="1">
      <c r="A30" s="36" t="s">
        <v>57</v>
      </c>
      <c r="B30" s="37">
        <f>SUM(B27:B29)</f>
        <v>0.09</v>
      </c>
      <c r="D30" s="666" t="s">
        <v>78</v>
      </c>
      <c r="E30" s="667"/>
      <c r="F30" s="667"/>
      <c r="G30" s="668"/>
    </row>
    <row r="31" spans="1:8" ht="15">
      <c r="A31" s="33" t="s">
        <v>75</v>
      </c>
      <c r="B31" s="34"/>
      <c r="D31" s="17" t="s">
        <v>58</v>
      </c>
      <c r="E31" s="8"/>
      <c r="F31" s="14">
        <v>20</v>
      </c>
      <c r="G31" s="18" t="s">
        <v>59</v>
      </c>
    </row>
    <row r="32" spans="1:8" ht="15">
      <c r="A32" s="28" t="s">
        <v>60</v>
      </c>
      <c r="B32" s="35">
        <v>0.1013</v>
      </c>
      <c r="D32" s="17" t="s">
        <v>61</v>
      </c>
      <c r="E32" s="8"/>
      <c r="F32" s="14">
        <v>10</v>
      </c>
      <c r="G32" s="18" t="s">
        <v>59</v>
      </c>
    </row>
    <row r="33" spans="1:7" ht="15">
      <c r="A33" s="28" t="s">
        <v>62</v>
      </c>
      <c r="B33" s="35">
        <v>0.09</v>
      </c>
      <c r="D33" s="17" t="s">
        <v>63</v>
      </c>
      <c r="E33" s="8"/>
      <c r="F33" s="14">
        <v>5</v>
      </c>
      <c r="G33" s="18" t="s">
        <v>59</v>
      </c>
    </row>
    <row r="34" spans="1:7" ht="15">
      <c r="A34" s="28" t="s">
        <v>64</v>
      </c>
      <c r="B34" s="35">
        <v>0.01</v>
      </c>
      <c r="D34" s="17" t="s">
        <v>65</v>
      </c>
      <c r="E34" s="8"/>
      <c r="F34" s="14">
        <v>5</v>
      </c>
      <c r="G34" s="18" t="s">
        <v>59</v>
      </c>
    </row>
    <row r="35" spans="1:7" ht="16.5">
      <c r="A35" s="36" t="s">
        <v>66</v>
      </c>
      <c r="B35" s="37">
        <f>SUM(B32:B34)</f>
        <v>0.20130000000000001</v>
      </c>
      <c r="D35" s="17" t="s">
        <v>67</v>
      </c>
      <c r="E35" s="8"/>
      <c r="F35" s="14">
        <v>3</v>
      </c>
      <c r="G35" s="18" t="s">
        <v>59</v>
      </c>
    </row>
    <row r="36" spans="1:7" ht="18" thickBot="1">
      <c r="A36" s="38" t="s">
        <v>76</v>
      </c>
      <c r="B36" s="39">
        <f>B25+B30+B35</f>
        <v>0.50960000000000005</v>
      </c>
      <c r="D36" s="17" t="s">
        <v>68</v>
      </c>
      <c r="E36" s="8"/>
      <c r="F36" s="14">
        <v>1</v>
      </c>
      <c r="G36" s="18" t="s">
        <v>69</v>
      </c>
    </row>
    <row r="37" spans="1:7" ht="15.75" thickBot="1">
      <c r="D37" s="19" t="s">
        <v>79</v>
      </c>
      <c r="E37" s="20"/>
      <c r="F37" s="21">
        <v>10</v>
      </c>
      <c r="G37" s="22" t="s">
        <v>69</v>
      </c>
    </row>
    <row r="38" spans="1:7">
      <c r="D38" s="7"/>
      <c r="E38" s="7"/>
      <c r="F38" s="7"/>
      <c r="G38" s="7"/>
    </row>
    <row r="39" spans="1:7" ht="15">
      <c r="D39" s="650" t="s">
        <v>80</v>
      </c>
      <c r="E39" s="651"/>
      <c r="F39" s="14">
        <v>5</v>
      </c>
      <c r="G39" s="15" t="s">
        <v>70</v>
      </c>
    </row>
  </sheetData>
  <sheetProtection password="909C" sheet="1" objects="1" scenarios="1" selectLockedCells="1"/>
  <protectedRanges>
    <protectedRange sqref="B13" name="Rango1"/>
  </protectedRanges>
  <mergeCells count="9">
    <mergeCell ref="B4:H7"/>
    <mergeCell ref="D39:E39"/>
    <mergeCell ref="D21:F21"/>
    <mergeCell ref="D23:F23"/>
    <mergeCell ref="D25:F25"/>
    <mergeCell ref="A10:H10"/>
    <mergeCell ref="A12:B12"/>
    <mergeCell ref="A19:B19"/>
    <mergeCell ref="D30:G30"/>
  </mergeCells>
  <phoneticPr fontId="0" type="noConversion"/>
  <dataValidations count="4">
    <dataValidation allowBlank="1" showInputMessage="1" showErrorMessage="1" promptTitle="Tasa DTF " prompt="Tasa Anual Trimestre Anticipado" sqref="B17:F17"/>
    <dataValidation allowBlank="1" showInputMessage="1" showErrorMessage="1" promptTitle="% inflación" prompt="Variación Anual IPC" sqref="B14:F14"/>
    <dataValidation allowBlank="1" showInputMessage="1" showErrorMessage="1" promptTitle="% Devaluación" prompt="% Variación Anual" sqref="B15:F15"/>
    <dataValidation allowBlank="1" showInputMessage="1" showErrorMessage="1" promptTitle="% Variación Precios Productos" prompt="% Variación Anual" sqref="B16:F16"/>
  </dataValidations>
  <pageMargins left="0.7" right="0.7" top="0.75" bottom="0.75" header="0.3" footer="0.3"/>
  <pageSetup paperSize="9" scale="53" orientation="portrait" horizontalDpi="300" r:id="rId1"/>
  <drawing r:id="rId2"/>
  <legacyDrawing r:id="rId3"/>
</worksheet>
</file>

<file path=xl/worksheets/sheet5.xml><?xml version="1.0" encoding="utf-8"?>
<worksheet xmlns="http://schemas.openxmlformats.org/spreadsheetml/2006/main" xmlns:r="http://schemas.openxmlformats.org/officeDocument/2006/relationships">
  <sheetPr codeName="Hoja8"/>
  <dimension ref="A1:Q87"/>
  <sheetViews>
    <sheetView showGridLines="0" view="pageBreakPreview" zoomScale="90" zoomScaleNormal="100" zoomScaleSheetLayoutView="90" workbookViewId="0">
      <selection sqref="A1:B1"/>
    </sheetView>
  </sheetViews>
  <sheetFormatPr baseColWidth="10" defaultRowHeight="12.75"/>
  <cols>
    <col min="1" max="1" width="47.5703125" style="3" bestFit="1" customWidth="1"/>
    <col min="2" max="2" width="15.7109375" style="3" customWidth="1"/>
    <col min="3" max="4" width="15.85546875" style="3" bestFit="1" customWidth="1"/>
    <col min="5" max="5" width="16.28515625" style="3" customWidth="1"/>
    <col min="6" max="6" width="15.85546875" style="3" bestFit="1" customWidth="1"/>
    <col min="7" max="7" width="11.42578125" style="3"/>
    <col min="8" max="8" width="14.5703125" style="3" bestFit="1" customWidth="1"/>
    <col min="9" max="9" width="12.5703125" style="3" customWidth="1"/>
    <col min="10" max="10" width="11.28515625" style="3" bestFit="1" customWidth="1"/>
    <col min="11" max="11" width="14.5703125" style="3" bestFit="1" customWidth="1"/>
    <col min="12" max="12" width="9.5703125" style="3" bestFit="1" customWidth="1"/>
    <col min="13" max="13" width="11.42578125" style="3"/>
    <col min="14" max="14" width="14.5703125" style="3" bestFit="1" customWidth="1"/>
    <col min="15" max="15" width="9.5703125" style="3" bestFit="1" customWidth="1"/>
    <col min="16" max="16" width="11.42578125" style="3"/>
    <col min="17" max="17" width="14.5703125" style="3" bestFit="1" customWidth="1"/>
    <col min="18" max="16384" width="11.42578125" style="3"/>
  </cols>
  <sheetData>
    <row r="1" spans="1:6" ht="36.75" customHeight="1" thickBot="1">
      <c r="A1" s="688" t="s">
        <v>118</v>
      </c>
      <c r="B1" s="689"/>
      <c r="C1" s="690" t="str">
        <f>'INSTRUCCIONES GENERALES'!C6</f>
        <v>SITAEL LTDA</v>
      </c>
      <c r="D1" s="690"/>
      <c r="E1" s="690"/>
      <c r="F1" s="691"/>
    </row>
    <row r="2" spans="1:6" ht="13.5" thickBot="1">
      <c r="A2" s="692" t="s">
        <v>113</v>
      </c>
      <c r="B2" s="41" t="s">
        <v>83</v>
      </c>
      <c r="C2" s="695" t="s">
        <v>451</v>
      </c>
      <c r="D2" s="696"/>
      <c r="E2" s="696"/>
      <c r="F2" s="697"/>
    </row>
    <row r="3" spans="1:6" ht="13.5" thickBot="1">
      <c r="A3" s="693"/>
      <c r="B3" s="50" t="s">
        <v>88</v>
      </c>
      <c r="C3" s="698" t="s">
        <v>452</v>
      </c>
      <c r="D3" s="699"/>
      <c r="E3" s="699"/>
      <c r="F3" s="700"/>
    </row>
    <row r="4" spans="1:6" ht="13.5" thickBot="1">
      <c r="A4" s="693"/>
      <c r="B4" s="42" t="s">
        <v>89</v>
      </c>
      <c r="C4" s="701" t="s">
        <v>134</v>
      </c>
      <c r="D4" s="701"/>
      <c r="E4" s="701"/>
      <c r="F4" s="702"/>
    </row>
    <row r="5" spans="1:6" ht="13.5" thickBot="1">
      <c r="A5" s="693"/>
      <c r="B5" s="42" t="s">
        <v>90</v>
      </c>
      <c r="C5" s="701" t="s">
        <v>114</v>
      </c>
      <c r="D5" s="701"/>
      <c r="E5" s="701"/>
      <c r="F5" s="702"/>
    </row>
    <row r="6" spans="1:6" ht="13.5" thickBot="1">
      <c r="A6" s="694"/>
      <c r="B6" s="43" t="s">
        <v>91</v>
      </c>
      <c r="C6" s="701" t="s">
        <v>115</v>
      </c>
      <c r="D6" s="701"/>
      <c r="E6" s="701"/>
      <c r="F6" s="702"/>
    </row>
    <row r="7" spans="1:6" ht="13.5" thickBot="1"/>
    <row r="8" spans="1:6" ht="15">
      <c r="A8" s="141" t="s">
        <v>83</v>
      </c>
      <c r="B8" s="672" t="str">
        <f>C2</f>
        <v>TRAMITES</v>
      </c>
      <c r="C8" s="673"/>
      <c r="D8" s="673"/>
      <c r="E8" s="673"/>
      <c r="F8" s="674"/>
    </row>
    <row r="9" spans="1:6" ht="15.75" thickBot="1">
      <c r="A9" s="59" t="s">
        <v>84</v>
      </c>
      <c r="B9" s="54">
        <v>0.16</v>
      </c>
      <c r="C9" s="60"/>
      <c r="D9" s="60"/>
      <c r="E9" s="60"/>
      <c r="F9" s="61"/>
    </row>
    <row r="10" spans="1:6" ht="15.75" thickBot="1">
      <c r="A10" s="58" t="s">
        <v>126</v>
      </c>
      <c r="B10" s="56" t="s">
        <v>125</v>
      </c>
      <c r="C10" s="142">
        <v>0.01</v>
      </c>
      <c r="D10" s="142">
        <v>0.02</v>
      </c>
      <c r="E10" s="142">
        <v>0.03</v>
      </c>
      <c r="F10" s="143">
        <v>0.04</v>
      </c>
    </row>
    <row r="11" spans="1:6" ht="15">
      <c r="A11" s="62" t="s">
        <v>85</v>
      </c>
      <c r="B11" s="55">
        <f>'1'!B13</f>
        <v>2012</v>
      </c>
      <c r="C11" s="55">
        <f>'1'!C13</f>
        <v>2013</v>
      </c>
      <c r="D11" s="55">
        <f>'1'!D13</f>
        <v>2014</v>
      </c>
      <c r="E11" s="55">
        <f>'1'!E13</f>
        <v>2015</v>
      </c>
      <c r="F11" s="63">
        <f>'1'!F13</f>
        <v>2016</v>
      </c>
    </row>
    <row r="12" spans="1:6" ht="15">
      <c r="A12" s="75" t="s">
        <v>116</v>
      </c>
      <c r="B12" s="76"/>
      <c r="C12" s="73">
        <f>'1'!C14</f>
        <v>4.53E-2</v>
      </c>
      <c r="D12" s="73">
        <f>'1'!D14</f>
        <v>3.8399999999999997E-2</v>
      </c>
      <c r="E12" s="73">
        <f>'1'!E14</f>
        <v>3.6799999999999999E-2</v>
      </c>
      <c r="F12" s="74">
        <f>'1'!F14</f>
        <v>3.5299999999999998E-2</v>
      </c>
    </row>
    <row r="13" spans="1:6" ht="15">
      <c r="A13" s="64" t="s">
        <v>121</v>
      </c>
      <c r="B13" s="57">
        <v>8122</v>
      </c>
      <c r="C13" s="53">
        <f>B13*(1+$C$10)</f>
        <v>8203.2199999999993</v>
      </c>
      <c r="D13" s="53">
        <f>C13*(1+$D$10)</f>
        <v>8367.2843999999986</v>
      </c>
      <c r="E13" s="53">
        <f>D13*(1+$E$10)</f>
        <v>8618.3029319999987</v>
      </c>
      <c r="F13" s="65">
        <f>E13*(1+$F$10)</f>
        <v>8963.0350492799989</v>
      </c>
    </row>
    <row r="14" spans="1:6" ht="15">
      <c r="A14" s="64" t="s">
        <v>122</v>
      </c>
      <c r="B14" s="57">
        <v>9158</v>
      </c>
      <c r="C14" s="45">
        <f>B14*(1+$C$10)</f>
        <v>9249.58</v>
      </c>
      <c r="D14" s="45">
        <f>C14*(1+$D$10)</f>
        <v>9434.5715999999993</v>
      </c>
      <c r="E14" s="45">
        <f>D14*(1+$E$10)</f>
        <v>9717.6087479999987</v>
      </c>
      <c r="F14" s="66">
        <f>E14*(1+$F$10)</f>
        <v>10106.31309792</v>
      </c>
    </row>
    <row r="15" spans="1:6" ht="15">
      <c r="A15" s="67" t="s">
        <v>86</v>
      </c>
      <c r="B15" s="48">
        <f>B13+B14</f>
        <v>17280</v>
      </c>
      <c r="C15" s="48">
        <f>C13+C14</f>
        <v>17452.8</v>
      </c>
      <c r="D15" s="48">
        <f>D13+D14</f>
        <v>17801.856</v>
      </c>
      <c r="E15" s="48">
        <f>E13+E14</f>
        <v>18335.911679999997</v>
      </c>
      <c r="F15" s="68">
        <f>F13+F14</f>
        <v>19069.348147199998</v>
      </c>
    </row>
    <row r="16" spans="1:6" ht="15.75" thickBot="1">
      <c r="A16" s="69" t="s">
        <v>87</v>
      </c>
      <c r="B16" s="70">
        <v>14000</v>
      </c>
      <c r="C16" s="71">
        <f>+B16*(1+C12)</f>
        <v>14634.199999999999</v>
      </c>
      <c r="D16" s="71">
        <f>ROUND((C16*(1+D12)),0)</f>
        <v>15196</v>
      </c>
      <c r="E16" s="71">
        <f>ROUND((D16*(1+E12)),0)</f>
        <v>15755</v>
      </c>
      <c r="F16" s="72">
        <f>ROUND((E16*(1+F12)),0)</f>
        <v>16311</v>
      </c>
    </row>
    <row r="17" spans="1:6" ht="14.25">
      <c r="A17" s="44"/>
      <c r="B17" s="44"/>
      <c r="C17" s="44"/>
      <c r="D17" s="44"/>
      <c r="E17" s="44"/>
      <c r="F17" s="44"/>
    </row>
    <row r="18" spans="1:6" ht="15" thickBot="1">
      <c r="A18" s="44"/>
      <c r="B18" s="44"/>
      <c r="C18" s="44"/>
      <c r="D18" s="44"/>
      <c r="E18" s="44"/>
      <c r="F18" s="44"/>
    </row>
    <row r="19" spans="1:6" ht="15">
      <c r="A19" s="141" t="s">
        <v>88</v>
      </c>
      <c r="B19" s="672" t="str">
        <f>C3</f>
        <v>DILIGENCIAS</v>
      </c>
      <c r="C19" s="673"/>
      <c r="D19" s="673"/>
      <c r="E19" s="673"/>
      <c r="F19" s="674"/>
    </row>
    <row r="20" spans="1:6" ht="15.75" thickBot="1">
      <c r="A20" s="59" t="s">
        <v>84</v>
      </c>
      <c r="B20" s="54">
        <v>0.16</v>
      </c>
      <c r="C20" s="60"/>
      <c r="D20" s="60"/>
      <c r="E20" s="60"/>
      <c r="F20" s="61"/>
    </row>
    <row r="21" spans="1:6" ht="15.75" thickBot="1">
      <c r="A21" s="58" t="s">
        <v>126</v>
      </c>
      <c r="B21" s="56" t="s">
        <v>125</v>
      </c>
      <c r="C21" s="142">
        <v>0.01</v>
      </c>
      <c r="D21" s="142">
        <v>0.02</v>
      </c>
      <c r="E21" s="142">
        <v>0.03</v>
      </c>
      <c r="F21" s="143">
        <v>0.04</v>
      </c>
    </row>
    <row r="22" spans="1:6" ht="15">
      <c r="A22" s="62" t="s">
        <v>85</v>
      </c>
      <c r="B22" s="55">
        <f>B11</f>
        <v>2012</v>
      </c>
      <c r="C22" s="55">
        <f>C11</f>
        <v>2013</v>
      </c>
      <c r="D22" s="55">
        <f>D11</f>
        <v>2014</v>
      </c>
      <c r="E22" s="55">
        <f>E11</f>
        <v>2015</v>
      </c>
      <c r="F22" s="63">
        <f>F11</f>
        <v>2016</v>
      </c>
    </row>
    <row r="23" spans="1:6" ht="15">
      <c r="A23" s="75" t="s">
        <v>116</v>
      </c>
      <c r="B23" s="76"/>
      <c r="C23" s="73">
        <f>C12</f>
        <v>4.53E-2</v>
      </c>
      <c r="D23" s="73">
        <f>D12</f>
        <v>3.8399999999999997E-2</v>
      </c>
      <c r="E23" s="73">
        <f>E12</f>
        <v>3.6799999999999999E-2</v>
      </c>
      <c r="F23" s="74">
        <f>F12</f>
        <v>3.5299999999999998E-2</v>
      </c>
    </row>
    <row r="24" spans="1:6" ht="15">
      <c r="A24" s="64" t="s">
        <v>121</v>
      </c>
      <c r="B24" s="57">
        <v>8122</v>
      </c>
      <c r="C24" s="53">
        <f>B24*(1+C21)</f>
        <v>8203.2199999999993</v>
      </c>
      <c r="D24" s="53">
        <f>C24*(1+D21)</f>
        <v>8367.2843999999986</v>
      </c>
      <c r="E24" s="53">
        <f>D24*(1+E21)</f>
        <v>8618.3029319999987</v>
      </c>
      <c r="F24" s="65">
        <f>E24*(1+F21)</f>
        <v>8963.0350492799989</v>
      </c>
    </row>
    <row r="25" spans="1:6" ht="15">
      <c r="A25" s="64" t="s">
        <v>122</v>
      </c>
      <c r="B25" s="57">
        <v>9158</v>
      </c>
      <c r="C25" s="45">
        <f>B25*(1+C21)</f>
        <v>9249.58</v>
      </c>
      <c r="D25" s="45">
        <f>C25*(1+D21)</f>
        <v>9434.5715999999993</v>
      </c>
      <c r="E25" s="45">
        <f>D25*(1+E21)</f>
        <v>9717.6087479999987</v>
      </c>
      <c r="F25" s="66">
        <f>E25*(1+F21)</f>
        <v>10106.31309792</v>
      </c>
    </row>
    <row r="26" spans="1:6" ht="15">
      <c r="A26" s="67" t="s">
        <v>86</v>
      </c>
      <c r="B26" s="48">
        <f>B24+B25</f>
        <v>17280</v>
      </c>
      <c r="C26" s="48">
        <f>C24+C25</f>
        <v>17452.8</v>
      </c>
      <c r="D26" s="48">
        <f>D24+D25</f>
        <v>17801.856</v>
      </c>
      <c r="E26" s="48">
        <f>E24+E25</f>
        <v>18335.911679999997</v>
      </c>
      <c r="F26" s="68">
        <f>F24+F25</f>
        <v>19069.348147199998</v>
      </c>
    </row>
    <row r="27" spans="1:6" ht="15.75" thickBot="1">
      <c r="A27" s="69" t="s">
        <v>87</v>
      </c>
      <c r="B27" s="70">
        <v>14000</v>
      </c>
      <c r="C27" s="71">
        <f>ROUND((B27*(1+C23)),0)</f>
        <v>14634</v>
      </c>
      <c r="D27" s="71">
        <f>ROUND((C27*(1+D23)),0)</f>
        <v>15196</v>
      </c>
      <c r="E27" s="71">
        <f>ROUND((D27*(1+E23)),0)</f>
        <v>15755</v>
      </c>
      <c r="F27" s="72">
        <f>ROUND((E27*(1+F23)),0)</f>
        <v>16311</v>
      </c>
    </row>
    <row r="28" spans="1:6" ht="15" thickBot="1">
      <c r="A28" s="44"/>
      <c r="B28" s="44"/>
      <c r="C28" s="44"/>
      <c r="D28" s="44"/>
      <c r="E28" s="44"/>
      <c r="F28" s="44"/>
    </row>
    <row r="29" spans="1:6" ht="15">
      <c r="A29" s="141" t="s">
        <v>89</v>
      </c>
      <c r="B29" s="672" t="str">
        <f>C4</f>
        <v>Nombre del producto 3</v>
      </c>
      <c r="C29" s="673"/>
      <c r="D29" s="673"/>
      <c r="E29" s="673"/>
      <c r="F29" s="674"/>
    </row>
    <row r="30" spans="1:6" ht="15.75" thickBot="1">
      <c r="A30" s="59" t="s">
        <v>84</v>
      </c>
      <c r="B30" s="54">
        <v>0.16</v>
      </c>
      <c r="C30" s="60"/>
      <c r="D30" s="60"/>
      <c r="E30" s="60"/>
      <c r="F30" s="61"/>
    </row>
    <row r="31" spans="1:6" ht="15.75" thickBot="1">
      <c r="A31" s="58" t="s">
        <v>126</v>
      </c>
      <c r="B31" s="56" t="s">
        <v>125</v>
      </c>
      <c r="C31" s="142">
        <v>0.01</v>
      </c>
      <c r="D31" s="142">
        <v>0.02</v>
      </c>
      <c r="E31" s="142">
        <v>0.03</v>
      </c>
      <c r="F31" s="143">
        <v>0.04</v>
      </c>
    </row>
    <row r="32" spans="1:6" ht="15">
      <c r="A32" s="62" t="s">
        <v>85</v>
      </c>
      <c r="B32" s="55">
        <f>B11</f>
        <v>2012</v>
      </c>
      <c r="C32" s="55">
        <f>C11</f>
        <v>2013</v>
      </c>
      <c r="D32" s="55">
        <f>D11</f>
        <v>2014</v>
      </c>
      <c r="E32" s="55">
        <f>E11</f>
        <v>2015</v>
      </c>
      <c r="F32" s="63">
        <f>F11</f>
        <v>2016</v>
      </c>
    </row>
    <row r="33" spans="1:6" ht="15">
      <c r="A33" s="75" t="s">
        <v>116</v>
      </c>
      <c r="B33" s="76"/>
      <c r="C33" s="73">
        <f>C23</f>
        <v>4.53E-2</v>
      </c>
      <c r="D33" s="73">
        <f>D23</f>
        <v>3.8399999999999997E-2</v>
      </c>
      <c r="E33" s="73">
        <f>E23</f>
        <v>3.6799999999999999E-2</v>
      </c>
      <c r="F33" s="74">
        <f>F23</f>
        <v>3.5299999999999998E-2</v>
      </c>
    </row>
    <row r="34" spans="1:6" ht="15">
      <c r="A34" s="64" t="s">
        <v>121</v>
      </c>
      <c r="B34" s="57">
        <v>0</v>
      </c>
      <c r="C34" s="53">
        <f>B34*(1+C$31)</f>
        <v>0</v>
      </c>
      <c r="D34" s="53">
        <f>C34*(1+D$31)</f>
        <v>0</v>
      </c>
      <c r="E34" s="53">
        <f>D34*(1+E$31)</f>
        <v>0</v>
      </c>
      <c r="F34" s="65">
        <f>E34*(1+F$31)</f>
        <v>0</v>
      </c>
    </row>
    <row r="35" spans="1:6" ht="15">
      <c r="A35" s="64" t="s">
        <v>122</v>
      </c>
      <c r="B35" s="57">
        <v>0</v>
      </c>
      <c r="C35" s="45">
        <f>B35*(1+C31)</f>
        <v>0</v>
      </c>
      <c r="D35" s="45">
        <f>C35*(1+D31)</f>
        <v>0</v>
      </c>
      <c r="E35" s="45">
        <f>D35*(1+E31)</f>
        <v>0</v>
      </c>
      <c r="F35" s="66">
        <f>E35*(1+F31)</f>
        <v>0</v>
      </c>
    </row>
    <row r="36" spans="1:6" ht="15">
      <c r="A36" s="67" t="s">
        <v>86</v>
      </c>
      <c r="B36" s="48">
        <f>SUM(B34:B35)</f>
        <v>0</v>
      </c>
      <c r="C36" s="48">
        <f>SUM(C34:C35)</f>
        <v>0</v>
      </c>
      <c r="D36" s="48">
        <f>SUM(D34:D35)</f>
        <v>0</v>
      </c>
      <c r="E36" s="48">
        <f>SUM(E34:E35)</f>
        <v>0</v>
      </c>
      <c r="F36" s="68">
        <f>SUM(F34:F35)</f>
        <v>0</v>
      </c>
    </row>
    <row r="37" spans="1:6" ht="15.75" thickBot="1">
      <c r="A37" s="69" t="s">
        <v>87</v>
      </c>
      <c r="B37" s="70">
        <v>0</v>
      </c>
      <c r="C37" s="71">
        <f>ROUND((B37*(1+C33)),0)</f>
        <v>0</v>
      </c>
      <c r="D37" s="71">
        <f>ROUND((C37*(1+D33)),0)</f>
        <v>0</v>
      </c>
      <c r="E37" s="71">
        <f>ROUND((D37*(1+E33)),0)</f>
        <v>0</v>
      </c>
      <c r="F37" s="72">
        <f>ROUND((E37*(1+F33)),0)</f>
        <v>0</v>
      </c>
    </row>
    <row r="38" spans="1:6" ht="15" thickBot="1">
      <c r="A38" s="44"/>
      <c r="B38" s="44"/>
      <c r="C38" s="44"/>
      <c r="D38" s="44"/>
      <c r="E38" s="44"/>
      <c r="F38" s="44"/>
    </row>
    <row r="39" spans="1:6" ht="15">
      <c r="A39" s="141" t="s">
        <v>90</v>
      </c>
      <c r="B39" s="672" t="str">
        <f>C5</f>
        <v>Nombre del producto 4</v>
      </c>
      <c r="C39" s="673"/>
      <c r="D39" s="673"/>
      <c r="E39" s="673"/>
      <c r="F39" s="674"/>
    </row>
    <row r="40" spans="1:6" ht="15.75" thickBot="1">
      <c r="A40" s="59" t="s">
        <v>84</v>
      </c>
      <c r="B40" s="54">
        <v>0.16</v>
      </c>
      <c r="C40" s="60"/>
      <c r="D40" s="60"/>
      <c r="E40" s="60"/>
      <c r="F40" s="61"/>
    </row>
    <row r="41" spans="1:6" ht="15.75" thickBot="1">
      <c r="A41" s="58" t="s">
        <v>126</v>
      </c>
      <c r="B41" s="56" t="s">
        <v>125</v>
      </c>
      <c r="C41" s="142">
        <v>0.01</v>
      </c>
      <c r="D41" s="142">
        <v>0.02</v>
      </c>
      <c r="E41" s="142">
        <v>0.03</v>
      </c>
      <c r="F41" s="143">
        <v>0.04</v>
      </c>
    </row>
    <row r="42" spans="1:6" ht="15">
      <c r="A42" s="62" t="s">
        <v>85</v>
      </c>
      <c r="B42" s="55">
        <f>B11</f>
        <v>2012</v>
      </c>
      <c r="C42" s="55">
        <f>C11</f>
        <v>2013</v>
      </c>
      <c r="D42" s="55">
        <f>D11</f>
        <v>2014</v>
      </c>
      <c r="E42" s="55">
        <f>E11</f>
        <v>2015</v>
      </c>
      <c r="F42" s="63">
        <f>F11</f>
        <v>2016</v>
      </c>
    </row>
    <row r="43" spans="1:6" ht="15">
      <c r="A43" s="75" t="s">
        <v>116</v>
      </c>
      <c r="B43" s="76"/>
      <c r="C43" s="73">
        <f>C33</f>
        <v>4.53E-2</v>
      </c>
      <c r="D43" s="73">
        <f>D33</f>
        <v>3.8399999999999997E-2</v>
      </c>
      <c r="E43" s="73">
        <f>E33</f>
        <v>3.6799999999999999E-2</v>
      </c>
      <c r="F43" s="74">
        <f>F33</f>
        <v>3.5299999999999998E-2</v>
      </c>
    </row>
    <row r="44" spans="1:6" ht="15">
      <c r="A44" s="64" t="s">
        <v>121</v>
      </c>
      <c r="B44" s="57">
        <v>0</v>
      </c>
      <c r="C44" s="53">
        <f>B44*(1+C41)</f>
        <v>0</v>
      </c>
      <c r="D44" s="53">
        <f>C44*(1+D41)</f>
        <v>0</v>
      </c>
      <c r="E44" s="53">
        <f>D44*(1+E41)</f>
        <v>0</v>
      </c>
      <c r="F44" s="65">
        <f>E44*(1+F41)</f>
        <v>0</v>
      </c>
    </row>
    <row r="45" spans="1:6" ht="15">
      <c r="A45" s="64" t="s">
        <v>122</v>
      </c>
      <c r="B45" s="57">
        <v>0</v>
      </c>
      <c r="C45" s="45">
        <f>B45*(1+C41)</f>
        <v>0</v>
      </c>
      <c r="D45" s="45">
        <f>C45*(1+D41)</f>
        <v>0</v>
      </c>
      <c r="E45" s="45">
        <f>D45*(1+E41)</f>
        <v>0</v>
      </c>
      <c r="F45" s="66">
        <f>E45*(1+F41)</f>
        <v>0</v>
      </c>
    </row>
    <row r="46" spans="1:6" ht="15">
      <c r="A46" s="67" t="s">
        <v>86</v>
      </c>
      <c r="B46" s="48">
        <f>SUM(B44:B45)</f>
        <v>0</v>
      </c>
      <c r="C46" s="48">
        <f>SUM(C44:C45)</f>
        <v>0</v>
      </c>
      <c r="D46" s="48">
        <f>SUM(D44:D45)</f>
        <v>0</v>
      </c>
      <c r="E46" s="48">
        <f>SUM(E44:E45)</f>
        <v>0</v>
      </c>
      <c r="F46" s="68">
        <f>SUM(F44:F45)</f>
        <v>0</v>
      </c>
    </row>
    <row r="47" spans="1:6" ht="15.75" thickBot="1">
      <c r="A47" s="69" t="s">
        <v>87</v>
      </c>
      <c r="B47" s="70">
        <v>0</v>
      </c>
      <c r="C47" s="71">
        <f>ROUND((B47*(1+C43)),0)</f>
        <v>0</v>
      </c>
      <c r="D47" s="71">
        <f>ROUND((C47*(1+D43)),0)</f>
        <v>0</v>
      </c>
      <c r="E47" s="71">
        <f>ROUND((D47*(1+E43)),0)</f>
        <v>0</v>
      </c>
      <c r="F47" s="72">
        <f>ROUND((E47*(1+F43)),0)</f>
        <v>0</v>
      </c>
    </row>
    <row r="48" spans="1:6" ht="15" thickBot="1">
      <c r="A48" s="44"/>
      <c r="B48" s="44"/>
      <c r="C48" s="44"/>
      <c r="D48" s="44"/>
      <c r="E48" s="44"/>
      <c r="F48" s="44"/>
    </row>
    <row r="49" spans="1:17" ht="15">
      <c r="A49" s="141" t="s">
        <v>91</v>
      </c>
      <c r="B49" s="672" t="str">
        <f>C6</f>
        <v>Nombre del producto 5</v>
      </c>
      <c r="C49" s="673"/>
      <c r="D49" s="673"/>
      <c r="E49" s="673"/>
      <c r="F49" s="674"/>
    </row>
    <row r="50" spans="1:17" ht="15.75" thickBot="1">
      <c r="A50" s="59" t="s">
        <v>84</v>
      </c>
      <c r="B50" s="54">
        <v>0.16</v>
      </c>
      <c r="C50" s="60"/>
      <c r="D50" s="60"/>
      <c r="E50" s="60"/>
      <c r="F50" s="61"/>
    </row>
    <row r="51" spans="1:17" ht="15.75" thickBot="1">
      <c r="A51" s="58" t="s">
        <v>126</v>
      </c>
      <c r="B51" s="56" t="s">
        <v>125</v>
      </c>
      <c r="C51" s="142">
        <v>0.01</v>
      </c>
      <c r="D51" s="142">
        <v>0.02</v>
      </c>
      <c r="E51" s="142">
        <v>0.03</v>
      </c>
      <c r="F51" s="143">
        <v>0.04</v>
      </c>
    </row>
    <row r="52" spans="1:17" ht="15">
      <c r="A52" s="62" t="s">
        <v>85</v>
      </c>
      <c r="B52" s="55">
        <f>B11</f>
        <v>2012</v>
      </c>
      <c r="C52" s="55">
        <f>C11</f>
        <v>2013</v>
      </c>
      <c r="D52" s="55">
        <f>D11</f>
        <v>2014</v>
      </c>
      <c r="E52" s="55">
        <f>E11</f>
        <v>2015</v>
      </c>
      <c r="F52" s="63">
        <f>F11</f>
        <v>2016</v>
      </c>
    </row>
    <row r="53" spans="1:17" ht="15">
      <c r="A53" s="75" t="s">
        <v>116</v>
      </c>
      <c r="B53" s="76"/>
      <c r="C53" s="73">
        <f>C43</f>
        <v>4.53E-2</v>
      </c>
      <c r="D53" s="73">
        <f>D43</f>
        <v>3.8399999999999997E-2</v>
      </c>
      <c r="E53" s="73">
        <f>E43</f>
        <v>3.6799999999999999E-2</v>
      </c>
      <c r="F53" s="74">
        <f>F43</f>
        <v>3.5299999999999998E-2</v>
      </c>
    </row>
    <row r="54" spans="1:17" ht="15">
      <c r="A54" s="64" t="s">
        <v>121</v>
      </c>
      <c r="B54" s="57">
        <v>0</v>
      </c>
      <c r="C54" s="53">
        <f>B54*(1+C51)</f>
        <v>0</v>
      </c>
      <c r="D54" s="53">
        <f>C54*(1+D53)</f>
        <v>0</v>
      </c>
      <c r="E54" s="53">
        <f>D54*(1+E53)</f>
        <v>0</v>
      </c>
      <c r="F54" s="65">
        <f>E54*(1+F53)</f>
        <v>0</v>
      </c>
    </row>
    <row r="55" spans="1:17" ht="15">
      <c r="A55" s="64" t="s">
        <v>122</v>
      </c>
      <c r="B55" s="57">
        <v>0</v>
      </c>
      <c r="C55" s="45">
        <f>B55*(1+C51)</f>
        <v>0</v>
      </c>
      <c r="D55" s="45">
        <f>C55*(1+D51)</f>
        <v>0</v>
      </c>
      <c r="E55" s="45">
        <f>D55*(1+E51)</f>
        <v>0</v>
      </c>
      <c r="F55" s="66">
        <f>E55*(1+F51)</f>
        <v>0</v>
      </c>
    </row>
    <row r="56" spans="1:17" ht="15">
      <c r="A56" s="67" t="s">
        <v>86</v>
      </c>
      <c r="B56" s="48">
        <f>SUM(B54:B55)</f>
        <v>0</v>
      </c>
      <c r="C56" s="48">
        <f>SUM(C54:C55)</f>
        <v>0</v>
      </c>
      <c r="D56" s="48">
        <f>SUM(D54:D55)</f>
        <v>0</v>
      </c>
      <c r="E56" s="48">
        <f>SUM(E54:E55)</f>
        <v>0</v>
      </c>
      <c r="F56" s="68">
        <f>SUM(F54:F55)</f>
        <v>0</v>
      </c>
    </row>
    <row r="57" spans="1:17" ht="15.75" thickBot="1">
      <c r="A57" s="69" t="s">
        <v>87</v>
      </c>
      <c r="B57" s="70">
        <v>0</v>
      </c>
      <c r="C57" s="71">
        <f>ROUND((B57*(1+C53)),0)</f>
        <v>0</v>
      </c>
      <c r="D57" s="71">
        <f>ROUND((C57*(1+D53)),0)</f>
        <v>0</v>
      </c>
      <c r="E57" s="71">
        <f>ROUND((D57*(1+E53)),0)</f>
        <v>0</v>
      </c>
      <c r="F57" s="72">
        <f>ROUND((E57*(1+F53)),0)</f>
        <v>0</v>
      </c>
    </row>
    <row r="58" spans="1:17" ht="14.25">
      <c r="A58" s="44"/>
      <c r="B58" s="44"/>
      <c r="C58" s="44"/>
      <c r="D58" s="44"/>
      <c r="E58" s="44"/>
      <c r="F58" s="44"/>
    </row>
    <row r="59" spans="1:17" s="46" customFormat="1" ht="21.75" customHeight="1">
      <c r="A59" s="49" t="s">
        <v>117</v>
      </c>
      <c r="B59" s="47">
        <f>B56+B46+B36+B26+B15</f>
        <v>34560</v>
      </c>
      <c r="C59" s="47">
        <f>C56+C46+C36+C26+C15</f>
        <v>34905.599999999999</v>
      </c>
      <c r="D59" s="47">
        <f>D56+D46+D36+D26+D15</f>
        <v>35603.712</v>
      </c>
      <c r="E59" s="47">
        <f>E56+E46+E36+E26+E15</f>
        <v>36671.823359999995</v>
      </c>
      <c r="F59" s="47">
        <f>F56+F46+F36+F26+F15</f>
        <v>38138.696294399997</v>
      </c>
    </row>
    <row r="60" spans="1:17" s="46" customFormat="1" ht="12"/>
    <row r="61" spans="1:17" s="46" customFormat="1" thickBot="1">
      <c r="A61" s="675" t="s">
        <v>92</v>
      </c>
      <c r="B61" s="675"/>
      <c r="C61" s="675"/>
      <c r="D61" s="675"/>
      <c r="E61" s="675"/>
      <c r="F61" s="675"/>
      <c r="G61" s="675"/>
      <c r="H61" s="675"/>
      <c r="I61" s="675"/>
      <c r="J61" s="675"/>
      <c r="K61" s="675"/>
      <c r="L61" s="675"/>
      <c r="M61" s="675"/>
      <c r="N61" s="675"/>
      <c r="O61" s="675"/>
      <c r="P61" s="675"/>
      <c r="Q61" s="675"/>
    </row>
    <row r="62" spans="1:17" s="46" customFormat="1" ht="12">
      <c r="A62" s="676" t="s">
        <v>93</v>
      </c>
      <c r="B62" s="678" t="s">
        <v>85</v>
      </c>
      <c r="C62" s="669">
        <f>'1'!B13</f>
        <v>2012</v>
      </c>
      <c r="D62" s="670"/>
      <c r="E62" s="671"/>
      <c r="F62" s="669">
        <f>'1'!C13</f>
        <v>2013</v>
      </c>
      <c r="G62" s="670"/>
      <c r="H62" s="671"/>
      <c r="I62" s="669">
        <f>'1'!D13</f>
        <v>2014</v>
      </c>
      <c r="J62" s="670"/>
      <c r="K62" s="671"/>
      <c r="L62" s="669">
        <f>'1'!E13</f>
        <v>2015</v>
      </c>
      <c r="M62" s="670"/>
      <c r="N62" s="687"/>
      <c r="O62" s="669">
        <f>'1'!F13</f>
        <v>2016</v>
      </c>
      <c r="P62" s="670"/>
      <c r="Q62" s="671"/>
    </row>
    <row r="63" spans="1:17" s="46" customFormat="1" ht="23.25" thickBot="1">
      <c r="A63" s="677"/>
      <c r="B63" s="679"/>
      <c r="C63" s="144" t="s">
        <v>94</v>
      </c>
      <c r="D63" s="144" t="s">
        <v>95</v>
      </c>
      <c r="E63" s="144" t="s">
        <v>96</v>
      </c>
      <c r="F63" s="144" t="s">
        <v>94</v>
      </c>
      <c r="G63" s="144" t="s">
        <v>95</v>
      </c>
      <c r="H63" s="144" t="s">
        <v>96</v>
      </c>
      <c r="I63" s="144" t="s">
        <v>94</v>
      </c>
      <c r="J63" s="144" t="s">
        <v>95</v>
      </c>
      <c r="K63" s="144" t="s">
        <v>96</v>
      </c>
      <c r="L63" s="144" t="s">
        <v>94</v>
      </c>
      <c r="M63" s="144" t="s">
        <v>95</v>
      </c>
      <c r="N63" s="145" t="s">
        <v>96</v>
      </c>
      <c r="O63" s="146" t="s">
        <v>94</v>
      </c>
      <c r="P63" s="144" t="s">
        <v>95</v>
      </c>
      <c r="Q63" s="147" t="s">
        <v>96</v>
      </c>
    </row>
    <row r="64" spans="1:17" s="46" customFormat="1" ht="12">
      <c r="A64" s="682" t="str">
        <f>B8</f>
        <v>TRAMITES</v>
      </c>
      <c r="B64" s="148" t="s">
        <v>97</v>
      </c>
      <c r="C64" s="149">
        <f>+C66/2</f>
        <v>8640</v>
      </c>
      <c r="D64" s="150">
        <f>$B$16</f>
        <v>14000</v>
      </c>
      <c r="E64" s="151">
        <f>C64*D64</f>
        <v>120960000</v>
      </c>
      <c r="F64" s="149">
        <f>F66/2</f>
        <v>8726.4</v>
      </c>
      <c r="G64" s="150">
        <f>$C$16</f>
        <v>14634.199999999999</v>
      </c>
      <c r="H64" s="151">
        <f>F64*G64</f>
        <v>127703882.87999998</v>
      </c>
      <c r="I64" s="149">
        <f>I66/2</f>
        <v>8900.9279999999999</v>
      </c>
      <c r="J64" s="150">
        <f>$D$16</f>
        <v>15196</v>
      </c>
      <c r="K64" s="151">
        <f>I64*J64</f>
        <v>135258501.88800001</v>
      </c>
      <c r="L64" s="149">
        <f>L66/2</f>
        <v>9167.9558399999987</v>
      </c>
      <c r="M64" s="150">
        <f>$E$16</f>
        <v>15755</v>
      </c>
      <c r="N64" s="152">
        <f>L64*M64</f>
        <v>144441144.25919998</v>
      </c>
      <c r="O64" s="149">
        <f>O66/2</f>
        <v>9534.6740735999992</v>
      </c>
      <c r="P64" s="150">
        <f>$F$16</f>
        <v>16311</v>
      </c>
      <c r="Q64" s="151">
        <f>O64*P64</f>
        <v>155520068.81448957</v>
      </c>
    </row>
    <row r="65" spans="1:17" s="46" customFormat="1" ht="12">
      <c r="A65" s="683"/>
      <c r="B65" s="153" t="s">
        <v>98</v>
      </c>
      <c r="C65" s="154">
        <f>+C66/2</f>
        <v>8640</v>
      </c>
      <c r="D65" s="155">
        <f>$B$16</f>
        <v>14000</v>
      </c>
      <c r="E65" s="156">
        <f>C65*D65</f>
        <v>120960000</v>
      </c>
      <c r="F65" s="154">
        <f>F64</f>
        <v>8726.4</v>
      </c>
      <c r="G65" s="155">
        <f>$C$16</f>
        <v>14634.199999999999</v>
      </c>
      <c r="H65" s="156">
        <f>F65*G65</f>
        <v>127703882.87999998</v>
      </c>
      <c r="I65" s="154">
        <f>I66/2</f>
        <v>8900.9279999999999</v>
      </c>
      <c r="J65" s="155">
        <f>$D$16</f>
        <v>15196</v>
      </c>
      <c r="K65" s="156">
        <f>I65*J65</f>
        <v>135258501.88800001</v>
      </c>
      <c r="L65" s="154">
        <f>L64</f>
        <v>9167.9558399999987</v>
      </c>
      <c r="M65" s="155">
        <f>$E$16</f>
        <v>15755</v>
      </c>
      <c r="N65" s="157">
        <f>L65*M65</f>
        <v>144441144.25919998</v>
      </c>
      <c r="O65" s="154">
        <f>O66/2</f>
        <v>9534.6740735999992</v>
      </c>
      <c r="P65" s="155">
        <f>$F$16</f>
        <v>16311</v>
      </c>
      <c r="Q65" s="156">
        <f>O65*P65</f>
        <v>155520068.81448957</v>
      </c>
    </row>
    <row r="66" spans="1:17" s="46" customFormat="1" thickBot="1">
      <c r="A66" s="158" t="s">
        <v>123</v>
      </c>
      <c r="B66" s="159"/>
      <c r="C66" s="160">
        <f>+B15</f>
        <v>17280</v>
      </c>
      <c r="D66" s="161"/>
      <c r="E66" s="162">
        <f>SUM(E64:E65)</f>
        <v>241920000</v>
      </c>
      <c r="F66" s="160">
        <f>C15</f>
        <v>17452.8</v>
      </c>
      <c r="G66" s="161"/>
      <c r="H66" s="162">
        <f>SUM(H64:H65)</f>
        <v>255407765.75999996</v>
      </c>
      <c r="I66" s="160">
        <f>D15</f>
        <v>17801.856</v>
      </c>
      <c r="J66" s="161"/>
      <c r="K66" s="162">
        <f>SUM(K64:K65)</f>
        <v>270517003.77600002</v>
      </c>
      <c r="L66" s="160">
        <f>E15</f>
        <v>18335.911679999997</v>
      </c>
      <c r="M66" s="161"/>
      <c r="N66" s="163">
        <f>SUM(N64:N65)</f>
        <v>288882288.51839995</v>
      </c>
      <c r="O66" s="160">
        <f>F15</f>
        <v>19069.348147199998</v>
      </c>
      <c r="P66" s="161"/>
      <c r="Q66" s="164">
        <f>SUM(Q64:Q65)</f>
        <v>311040137.62897915</v>
      </c>
    </row>
    <row r="67" spans="1:17" s="46" customFormat="1" ht="12">
      <c r="A67" s="680" t="str">
        <f>B19</f>
        <v>DILIGENCIAS</v>
      </c>
      <c r="B67" s="165" t="s">
        <v>97</v>
      </c>
      <c r="C67" s="166">
        <f>C69/2</f>
        <v>8640</v>
      </c>
      <c r="D67" s="167">
        <f>$B$27</f>
        <v>14000</v>
      </c>
      <c r="E67" s="168">
        <f>C67*D67</f>
        <v>120960000</v>
      </c>
      <c r="F67" s="166">
        <f>F69/2</f>
        <v>8726.4</v>
      </c>
      <c r="G67" s="167">
        <f>$C$27</f>
        <v>14634</v>
      </c>
      <c r="H67" s="168">
        <f>F67*G67</f>
        <v>127702137.59999999</v>
      </c>
      <c r="I67" s="166">
        <f>I69/2</f>
        <v>8900.9279999999999</v>
      </c>
      <c r="J67" s="167">
        <f>$D$27</f>
        <v>15196</v>
      </c>
      <c r="K67" s="168">
        <f>I67*J67</f>
        <v>135258501.88800001</v>
      </c>
      <c r="L67" s="166">
        <f>L69/2</f>
        <v>9167.9558399999987</v>
      </c>
      <c r="M67" s="167">
        <f>$E$27</f>
        <v>15755</v>
      </c>
      <c r="N67" s="169">
        <f>L67*M67</f>
        <v>144441144.25919998</v>
      </c>
      <c r="O67" s="166">
        <f>O69/2</f>
        <v>9534.6740735999992</v>
      </c>
      <c r="P67" s="167">
        <f>$F$27</f>
        <v>16311</v>
      </c>
      <c r="Q67" s="168">
        <f>O67*P67</f>
        <v>155520068.81448957</v>
      </c>
    </row>
    <row r="68" spans="1:17" s="46" customFormat="1" ht="12">
      <c r="A68" s="681"/>
      <c r="B68" s="170" t="s">
        <v>98</v>
      </c>
      <c r="C68" s="171">
        <f>C69/2</f>
        <v>8640</v>
      </c>
      <c r="D68" s="172">
        <f>$B$27</f>
        <v>14000</v>
      </c>
      <c r="E68" s="173">
        <f>C68*D68</f>
        <v>120960000</v>
      </c>
      <c r="F68" s="171">
        <f>F69/2</f>
        <v>8726.4</v>
      </c>
      <c r="G68" s="172">
        <f>$C$27</f>
        <v>14634</v>
      </c>
      <c r="H68" s="173">
        <f>F68*G68</f>
        <v>127702137.59999999</v>
      </c>
      <c r="I68" s="171">
        <v>0</v>
      </c>
      <c r="J68" s="172">
        <f>$D$27</f>
        <v>15196</v>
      </c>
      <c r="K68" s="173">
        <f>I68*J68</f>
        <v>0</v>
      </c>
      <c r="L68" s="171">
        <v>3823</v>
      </c>
      <c r="M68" s="172">
        <f>$E$27</f>
        <v>15755</v>
      </c>
      <c r="N68" s="174">
        <f>L68*M68</f>
        <v>60231365</v>
      </c>
      <c r="O68" s="171">
        <v>3857</v>
      </c>
      <c r="P68" s="172">
        <f>$F$27</f>
        <v>16311</v>
      </c>
      <c r="Q68" s="173">
        <f>O68*P68</f>
        <v>62911527</v>
      </c>
    </row>
    <row r="69" spans="1:17" s="46" customFormat="1" thickBot="1">
      <c r="A69" s="175" t="s">
        <v>123</v>
      </c>
      <c r="B69" s="176"/>
      <c r="C69" s="177">
        <f>B26</f>
        <v>17280</v>
      </c>
      <c r="D69" s="178"/>
      <c r="E69" s="179">
        <f>SUM(E67:E68)</f>
        <v>241920000</v>
      </c>
      <c r="F69" s="177">
        <f>C26</f>
        <v>17452.8</v>
      </c>
      <c r="G69" s="178"/>
      <c r="H69" s="179">
        <f>SUM(H67:H68)</f>
        <v>255404275.19999999</v>
      </c>
      <c r="I69" s="177">
        <f>D26</f>
        <v>17801.856</v>
      </c>
      <c r="J69" s="178"/>
      <c r="K69" s="179">
        <f>SUM(K67:K68)</f>
        <v>135258501.88800001</v>
      </c>
      <c r="L69" s="177">
        <f>E26</f>
        <v>18335.911679999997</v>
      </c>
      <c r="M69" s="178"/>
      <c r="N69" s="180">
        <f>SUM(N67:N68)</f>
        <v>204672509.25919998</v>
      </c>
      <c r="O69" s="177">
        <f>F26</f>
        <v>19069.348147199998</v>
      </c>
      <c r="P69" s="178"/>
      <c r="Q69" s="181">
        <f>SUM(Q67:Q68)</f>
        <v>218431595.81448957</v>
      </c>
    </row>
    <row r="70" spans="1:17" s="46" customFormat="1" ht="12" hidden="1">
      <c r="A70" s="682" t="str">
        <f>B29</f>
        <v>Nombre del producto 3</v>
      </c>
      <c r="B70" s="148" t="s">
        <v>97</v>
      </c>
      <c r="C70" s="149">
        <f>B34</f>
        <v>0</v>
      </c>
      <c r="D70" s="150">
        <f>$B$37</f>
        <v>0</v>
      </c>
      <c r="E70" s="151">
        <f>C70*D70</f>
        <v>0</v>
      </c>
      <c r="F70" s="149">
        <f>$C34</f>
        <v>0</v>
      </c>
      <c r="G70" s="150">
        <f>$C$37</f>
        <v>0</v>
      </c>
      <c r="H70" s="151">
        <f>F70*G70</f>
        <v>0</v>
      </c>
      <c r="I70" s="149">
        <f>$D34</f>
        <v>0</v>
      </c>
      <c r="J70" s="150">
        <f>$D$37</f>
        <v>0</v>
      </c>
      <c r="K70" s="151">
        <f>I70*J70</f>
        <v>0</v>
      </c>
      <c r="L70" s="149">
        <f>$E34</f>
        <v>0</v>
      </c>
      <c r="M70" s="150">
        <f>$E$37</f>
        <v>0</v>
      </c>
      <c r="N70" s="152">
        <f>L70*M70</f>
        <v>0</v>
      </c>
      <c r="O70" s="149">
        <f>$F34</f>
        <v>0</v>
      </c>
      <c r="P70" s="150">
        <f>$F$37</f>
        <v>0</v>
      </c>
      <c r="Q70" s="151">
        <f>O70*P70</f>
        <v>0</v>
      </c>
    </row>
    <row r="71" spans="1:17" s="46" customFormat="1" ht="12" hidden="1">
      <c r="A71" s="683"/>
      <c r="B71" s="153" t="s">
        <v>98</v>
      </c>
      <c r="C71" s="154">
        <f>B35</f>
        <v>0</v>
      </c>
      <c r="D71" s="155">
        <f>$B$37</f>
        <v>0</v>
      </c>
      <c r="E71" s="156">
        <f>C71*D71</f>
        <v>0</v>
      </c>
      <c r="F71" s="154">
        <f>$C35</f>
        <v>0</v>
      </c>
      <c r="G71" s="155">
        <f>$C$37</f>
        <v>0</v>
      </c>
      <c r="H71" s="156">
        <f>F71*G71</f>
        <v>0</v>
      </c>
      <c r="I71" s="154">
        <f>$D35</f>
        <v>0</v>
      </c>
      <c r="J71" s="155">
        <f>$D$37</f>
        <v>0</v>
      </c>
      <c r="K71" s="156">
        <f>I71*J71</f>
        <v>0</v>
      </c>
      <c r="L71" s="154">
        <f>$E35</f>
        <v>0</v>
      </c>
      <c r="M71" s="155">
        <f>$E$37</f>
        <v>0</v>
      </c>
      <c r="N71" s="157">
        <f>L71*M71</f>
        <v>0</v>
      </c>
      <c r="O71" s="154">
        <f>$F35</f>
        <v>0</v>
      </c>
      <c r="P71" s="155">
        <f>$F$37</f>
        <v>0</v>
      </c>
      <c r="Q71" s="156">
        <f>O71*P71</f>
        <v>0</v>
      </c>
    </row>
    <row r="72" spans="1:17" s="46" customFormat="1" hidden="1" thickBot="1">
      <c r="A72" s="158" t="s">
        <v>123</v>
      </c>
      <c r="B72" s="159"/>
      <c r="C72" s="160">
        <f>SUM(C70:C71)</f>
        <v>0</v>
      </c>
      <c r="D72" s="161"/>
      <c r="E72" s="164">
        <f t="shared" ref="E72:Q72" si="0">SUM(E70:E71)</f>
        <v>0</v>
      </c>
      <c r="F72" s="160">
        <f t="shared" si="0"/>
        <v>0</v>
      </c>
      <c r="G72" s="161"/>
      <c r="H72" s="164">
        <f t="shared" si="0"/>
        <v>0</v>
      </c>
      <c r="I72" s="160">
        <f t="shared" si="0"/>
        <v>0</v>
      </c>
      <c r="J72" s="161"/>
      <c r="K72" s="164">
        <f t="shared" si="0"/>
        <v>0</v>
      </c>
      <c r="L72" s="160">
        <f t="shared" si="0"/>
        <v>0</v>
      </c>
      <c r="M72" s="161"/>
      <c r="N72" s="163">
        <f t="shared" si="0"/>
        <v>0</v>
      </c>
      <c r="O72" s="160">
        <f t="shared" si="0"/>
        <v>0</v>
      </c>
      <c r="P72" s="161"/>
      <c r="Q72" s="164">
        <f t="shared" si="0"/>
        <v>0</v>
      </c>
    </row>
    <row r="73" spans="1:17" s="46" customFormat="1" ht="12" hidden="1">
      <c r="A73" s="680" t="str">
        <f>B39</f>
        <v>Nombre del producto 4</v>
      </c>
      <c r="B73" s="165" t="s">
        <v>97</v>
      </c>
      <c r="C73" s="166">
        <f>B44</f>
        <v>0</v>
      </c>
      <c r="D73" s="167">
        <f>$B$47</f>
        <v>0</v>
      </c>
      <c r="E73" s="168">
        <f>C73*D73</f>
        <v>0</v>
      </c>
      <c r="F73" s="166">
        <f>$C44</f>
        <v>0</v>
      </c>
      <c r="G73" s="167">
        <f>$C$47</f>
        <v>0</v>
      </c>
      <c r="H73" s="168">
        <f>F73*G73</f>
        <v>0</v>
      </c>
      <c r="I73" s="166">
        <f>$D44</f>
        <v>0</v>
      </c>
      <c r="J73" s="167">
        <f>$D$47</f>
        <v>0</v>
      </c>
      <c r="K73" s="168">
        <f>I73*J73</f>
        <v>0</v>
      </c>
      <c r="L73" s="166">
        <f>$E44</f>
        <v>0</v>
      </c>
      <c r="M73" s="167">
        <f>$E$47</f>
        <v>0</v>
      </c>
      <c r="N73" s="169">
        <f>L73*M73</f>
        <v>0</v>
      </c>
      <c r="O73" s="166">
        <f>$F44</f>
        <v>0</v>
      </c>
      <c r="P73" s="167">
        <f>$F$47</f>
        <v>0</v>
      </c>
      <c r="Q73" s="168">
        <f>O73*P73</f>
        <v>0</v>
      </c>
    </row>
    <row r="74" spans="1:17" s="46" customFormat="1" ht="12" hidden="1">
      <c r="A74" s="681"/>
      <c r="B74" s="170" t="s">
        <v>98</v>
      </c>
      <c r="C74" s="171">
        <f>B45</f>
        <v>0</v>
      </c>
      <c r="D74" s="172">
        <f>$B$47</f>
        <v>0</v>
      </c>
      <c r="E74" s="173">
        <f>C74*D74</f>
        <v>0</v>
      </c>
      <c r="F74" s="171">
        <f>$C45</f>
        <v>0</v>
      </c>
      <c r="G74" s="172">
        <f>$C$47</f>
        <v>0</v>
      </c>
      <c r="H74" s="173">
        <f>F74*G74</f>
        <v>0</v>
      </c>
      <c r="I74" s="171">
        <f>$D45</f>
        <v>0</v>
      </c>
      <c r="J74" s="172">
        <f>$D$47</f>
        <v>0</v>
      </c>
      <c r="K74" s="173">
        <f>I74*J74</f>
        <v>0</v>
      </c>
      <c r="L74" s="171">
        <f>$E45</f>
        <v>0</v>
      </c>
      <c r="M74" s="172">
        <f>$E$47</f>
        <v>0</v>
      </c>
      <c r="N74" s="174">
        <f>L74*M74</f>
        <v>0</v>
      </c>
      <c r="O74" s="171">
        <f>$F45</f>
        <v>0</v>
      </c>
      <c r="P74" s="172">
        <f>$F$47</f>
        <v>0</v>
      </c>
      <c r="Q74" s="173">
        <f>O74*P74</f>
        <v>0</v>
      </c>
    </row>
    <row r="75" spans="1:17" s="46" customFormat="1" hidden="1" thickBot="1">
      <c r="A75" s="175" t="s">
        <v>123</v>
      </c>
      <c r="B75" s="176"/>
      <c r="C75" s="177">
        <f>SUM(C73:C74)</f>
        <v>0</v>
      </c>
      <c r="D75" s="178"/>
      <c r="E75" s="181">
        <f t="shared" ref="E75:Q75" si="1">SUM(E73:E74)</f>
        <v>0</v>
      </c>
      <c r="F75" s="177">
        <f t="shared" si="1"/>
        <v>0</v>
      </c>
      <c r="G75" s="178"/>
      <c r="H75" s="181">
        <f t="shared" si="1"/>
        <v>0</v>
      </c>
      <c r="I75" s="177">
        <f t="shared" si="1"/>
        <v>0</v>
      </c>
      <c r="J75" s="178"/>
      <c r="K75" s="181">
        <f t="shared" si="1"/>
        <v>0</v>
      </c>
      <c r="L75" s="177">
        <f t="shared" si="1"/>
        <v>0</v>
      </c>
      <c r="M75" s="178"/>
      <c r="N75" s="180">
        <f t="shared" si="1"/>
        <v>0</v>
      </c>
      <c r="O75" s="177">
        <f t="shared" si="1"/>
        <v>0</v>
      </c>
      <c r="P75" s="178"/>
      <c r="Q75" s="181">
        <f t="shared" si="1"/>
        <v>0</v>
      </c>
    </row>
    <row r="76" spans="1:17" s="46" customFormat="1" ht="12" hidden="1">
      <c r="A76" s="682" t="str">
        <f>B49</f>
        <v>Nombre del producto 5</v>
      </c>
      <c r="B76" s="148" t="s">
        <v>97</v>
      </c>
      <c r="C76" s="149">
        <f>B54</f>
        <v>0</v>
      </c>
      <c r="D76" s="150">
        <f>$B$57</f>
        <v>0</v>
      </c>
      <c r="E76" s="151">
        <f>C76*D76</f>
        <v>0</v>
      </c>
      <c r="F76" s="149">
        <f>$C54</f>
        <v>0</v>
      </c>
      <c r="G76" s="150">
        <f>$C$57</f>
        <v>0</v>
      </c>
      <c r="H76" s="151">
        <f>F76*G76</f>
        <v>0</v>
      </c>
      <c r="I76" s="149">
        <f>$D54</f>
        <v>0</v>
      </c>
      <c r="J76" s="150">
        <f>$D$57</f>
        <v>0</v>
      </c>
      <c r="K76" s="151">
        <f>I76*J76</f>
        <v>0</v>
      </c>
      <c r="L76" s="149">
        <f>$E54</f>
        <v>0</v>
      </c>
      <c r="M76" s="150">
        <f>$E$57</f>
        <v>0</v>
      </c>
      <c r="N76" s="152">
        <f>L76*M76</f>
        <v>0</v>
      </c>
      <c r="O76" s="149">
        <f>$F54</f>
        <v>0</v>
      </c>
      <c r="P76" s="150">
        <f>$F$57</f>
        <v>0</v>
      </c>
      <c r="Q76" s="151">
        <f>O76*P76</f>
        <v>0</v>
      </c>
    </row>
    <row r="77" spans="1:17" s="46" customFormat="1" ht="12" hidden="1">
      <c r="A77" s="683"/>
      <c r="B77" s="153" t="s">
        <v>98</v>
      </c>
      <c r="C77" s="154">
        <f>B55</f>
        <v>0</v>
      </c>
      <c r="D77" s="155">
        <f>$B$57</f>
        <v>0</v>
      </c>
      <c r="E77" s="156">
        <f>C77*D77</f>
        <v>0</v>
      </c>
      <c r="F77" s="154">
        <f>$C55</f>
        <v>0</v>
      </c>
      <c r="G77" s="155">
        <f>$C$57</f>
        <v>0</v>
      </c>
      <c r="H77" s="156">
        <f>F77*G77</f>
        <v>0</v>
      </c>
      <c r="I77" s="154">
        <f>$D55</f>
        <v>0</v>
      </c>
      <c r="J77" s="155">
        <f>$D$57</f>
        <v>0</v>
      </c>
      <c r="K77" s="156">
        <f>I77*J77</f>
        <v>0</v>
      </c>
      <c r="L77" s="154">
        <f>$E55</f>
        <v>0</v>
      </c>
      <c r="M77" s="155">
        <f>$E$57</f>
        <v>0</v>
      </c>
      <c r="N77" s="157">
        <f>L77*M77</f>
        <v>0</v>
      </c>
      <c r="O77" s="154">
        <f>$F55</f>
        <v>0</v>
      </c>
      <c r="P77" s="155">
        <f>$F$57</f>
        <v>0</v>
      </c>
      <c r="Q77" s="156">
        <f>O77*P77</f>
        <v>0</v>
      </c>
    </row>
    <row r="78" spans="1:17" s="46" customFormat="1" hidden="1" thickBot="1">
      <c r="A78" s="158" t="s">
        <v>123</v>
      </c>
      <c r="B78" s="182"/>
      <c r="C78" s="160">
        <f>SUM(C76:C77)</f>
        <v>0</v>
      </c>
      <c r="D78" s="161"/>
      <c r="E78" s="164">
        <f t="shared" ref="E78:Q78" si="2">SUM(E76:E77)</f>
        <v>0</v>
      </c>
      <c r="F78" s="160">
        <f t="shared" si="2"/>
        <v>0</v>
      </c>
      <c r="G78" s="161"/>
      <c r="H78" s="164">
        <f t="shared" si="2"/>
        <v>0</v>
      </c>
      <c r="I78" s="160">
        <f t="shared" si="2"/>
        <v>0</v>
      </c>
      <c r="J78" s="161"/>
      <c r="K78" s="164">
        <f t="shared" si="2"/>
        <v>0</v>
      </c>
      <c r="L78" s="160">
        <f t="shared" si="2"/>
        <v>0</v>
      </c>
      <c r="M78" s="161"/>
      <c r="N78" s="163">
        <f t="shared" si="2"/>
        <v>0</v>
      </c>
      <c r="O78" s="160">
        <f t="shared" si="2"/>
        <v>0</v>
      </c>
      <c r="P78" s="161"/>
      <c r="Q78" s="164">
        <f t="shared" si="2"/>
        <v>0</v>
      </c>
    </row>
    <row r="79" spans="1:17" s="46" customFormat="1" ht="12">
      <c r="A79" s="183" t="s">
        <v>99</v>
      </c>
      <c r="B79" s="184"/>
      <c r="C79" s="185">
        <f>C66+C69+C72+C75+C78</f>
        <v>34560</v>
      </c>
      <c r="D79" s="186"/>
      <c r="E79" s="187">
        <f>E66+E69+E72+E75+E78</f>
        <v>483840000</v>
      </c>
      <c r="F79" s="185">
        <f t="shared" ref="F79:Q79" si="3">F66+F69+F72+F75+F78</f>
        <v>34905.599999999999</v>
      </c>
      <c r="G79" s="186"/>
      <c r="H79" s="187">
        <f t="shared" si="3"/>
        <v>510812040.95999992</v>
      </c>
      <c r="I79" s="185">
        <f t="shared" si="3"/>
        <v>35603.712</v>
      </c>
      <c r="J79" s="186"/>
      <c r="K79" s="187">
        <f t="shared" si="3"/>
        <v>405775505.66400003</v>
      </c>
      <c r="L79" s="185">
        <f t="shared" si="3"/>
        <v>36671.823359999995</v>
      </c>
      <c r="M79" s="186"/>
      <c r="N79" s="187">
        <f t="shared" si="3"/>
        <v>493554797.77759993</v>
      </c>
      <c r="O79" s="185">
        <f t="shared" si="3"/>
        <v>38138.696294399997</v>
      </c>
      <c r="P79" s="186"/>
      <c r="Q79" s="187">
        <f t="shared" si="3"/>
        <v>529471733.44346869</v>
      </c>
    </row>
    <row r="80" spans="1:17" s="46" customFormat="1" ht="12">
      <c r="A80" s="188" t="s">
        <v>124</v>
      </c>
      <c r="B80" s="173"/>
      <c r="C80" s="171"/>
      <c r="D80" s="172"/>
      <c r="E80" s="173">
        <f>(E66*$B$9)+(E69*$B$20)+(E72*$B$30)+(E75*$B$40)+(E78*$B$50)</f>
        <v>77414400</v>
      </c>
      <c r="F80" s="171"/>
      <c r="G80" s="172"/>
      <c r="H80" s="173">
        <f>(H66*$B$9)+(H69*$B$20)+(H72*$B$30)+(H75*$B$40)+(H78*$B$50)</f>
        <v>81729926.553599983</v>
      </c>
      <c r="I80" s="171"/>
      <c r="J80" s="172"/>
      <c r="K80" s="173">
        <f>(K66*$B$9)+(K69*$B$20)+(K72*$B$30)+(K75*$B$40)+(K78*$B$50)</f>
        <v>64924080.906240001</v>
      </c>
      <c r="L80" s="171"/>
      <c r="M80" s="172"/>
      <c r="N80" s="174">
        <f>(N66*$B$9)+(N69*$B$20)+(N72*$B$30)+(N75*$B$40)+(N78*$B$50)</f>
        <v>78968767.64441599</v>
      </c>
      <c r="O80" s="171"/>
      <c r="P80" s="172"/>
      <c r="Q80" s="173">
        <f>(Q66*$B$9)+(Q69*$B$20)+(Q72*$B$30)+(Q75*$B$40)+(Q78*$B$50)</f>
        <v>84715477.350954995</v>
      </c>
    </row>
    <row r="81" spans="1:17" s="16" customFormat="1" ht="13.5" thickBot="1">
      <c r="A81" s="189" t="s">
        <v>100</v>
      </c>
      <c r="B81" s="190"/>
      <c r="C81" s="191"/>
      <c r="D81" s="192"/>
      <c r="E81" s="193">
        <f>E79+E80</f>
        <v>561254400</v>
      </c>
      <c r="F81" s="191"/>
      <c r="G81" s="192"/>
      <c r="H81" s="193">
        <f>H79+H80</f>
        <v>592541967.51359987</v>
      </c>
      <c r="I81" s="191"/>
      <c r="J81" s="192"/>
      <c r="K81" s="193">
        <f>K79+K80</f>
        <v>470699586.57024002</v>
      </c>
      <c r="L81" s="191"/>
      <c r="M81" s="192"/>
      <c r="N81" s="194">
        <f>N79+N80</f>
        <v>572523565.42201591</v>
      </c>
      <c r="O81" s="191"/>
      <c r="P81" s="192"/>
      <c r="Q81" s="193">
        <f>Q79+Q80</f>
        <v>614187210.7944237</v>
      </c>
    </row>
    <row r="82" spans="1:17" s="46" customFormat="1" ht="12">
      <c r="A82" s="195"/>
      <c r="B82" s="195"/>
      <c r="C82" s="195"/>
      <c r="D82" s="195"/>
      <c r="E82" s="195"/>
      <c r="F82" s="195"/>
      <c r="G82" s="195"/>
      <c r="H82" s="195"/>
      <c r="I82" s="195"/>
      <c r="J82" s="195"/>
      <c r="K82" s="195"/>
      <c r="L82" s="195"/>
      <c r="M82" s="195"/>
      <c r="N82" s="195"/>
      <c r="O82" s="195"/>
      <c r="P82" s="195"/>
      <c r="Q82" s="195"/>
    </row>
    <row r="83" spans="1:17" s="46" customFormat="1" thickBot="1">
      <c r="A83" s="195"/>
      <c r="B83" s="195"/>
      <c r="C83" s="195"/>
      <c r="D83" s="195"/>
      <c r="E83" s="195"/>
      <c r="F83" s="195"/>
      <c r="G83" s="195"/>
      <c r="H83" s="195"/>
      <c r="I83" s="195"/>
      <c r="J83" s="195"/>
      <c r="K83" s="195"/>
      <c r="L83" s="195"/>
      <c r="M83" s="195"/>
      <c r="N83" s="195"/>
      <c r="O83" s="195"/>
      <c r="P83" s="195"/>
      <c r="Q83" s="195"/>
    </row>
    <row r="84" spans="1:17" s="46" customFormat="1" thickBot="1">
      <c r="A84" s="684" t="s">
        <v>41</v>
      </c>
      <c r="B84" s="685"/>
      <c r="C84" s="685"/>
      <c r="D84" s="685"/>
      <c r="E84" s="685"/>
      <c r="F84" s="685"/>
      <c r="G84" s="685"/>
      <c r="H84" s="685"/>
      <c r="I84" s="685"/>
      <c r="J84" s="686"/>
      <c r="K84" s="196"/>
      <c r="L84" s="196"/>
      <c r="M84" s="196"/>
      <c r="N84" s="196"/>
      <c r="O84" s="196"/>
      <c r="P84" s="196"/>
      <c r="Q84" s="196"/>
    </row>
    <row r="85" spans="1:17" s="46" customFormat="1" ht="63">
      <c r="A85" s="197" t="s">
        <v>101</v>
      </c>
      <c r="B85" s="198" t="s">
        <v>102</v>
      </c>
      <c r="C85" s="198" t="s">
        <v>103</v>
      </c>
      <c r="D85" s="198" t="s">
        <v>104</v>
      </c>
      <c r="E85" s="198" t="s">
        <v>105</v>
      </c>
      <c r="F85" s="198" t="s">
        <v>106</v>
      </c>
      <c r="G85" s="198" t="s">
        <v>107</v>
      </c>
      <c r="H85" s="198" t="s">
        <v>108</v>
      </c>
      <c r="I85" s="198" t="s">
        <v>109</v>
      </c>
      <c r="J85" s="199" t="s">
        <v>110</v>
      </c>
      <c r="K85" s="196"/>
      <c r="L85" s="196"/>
      <c r="M85" s="196"/>
      <c r="N85" s="196"/>
      <c r="O85" s="196"/>
      <c r="P85" s="196"/>
      <c r="Q85" s="196"/>
    </row>
    <row r="86" spans="1:17" s="46" customFormat="1" ht="14.25">
      <c r="A86" s="200" t="s">
        <v>111</v>
      </c>
      <c r="B86" s="201"/>
      <c r="C86" s="201"/>
      <c r="D86" s="201">
        <f>[1]Bases!G11/1000</f>
        <v>6.0000000000000002E-6</v>
      </c>
      <c r="E86" s="201"/>
      <c r="F86" s="202">
        <v>0.15</v>
      </c>
      <c r="G86" s="201"/>
      <c r="H86" s="202">
        <v>0.48</v>
      </c>
      <c r="I86" s="201"/>
      <c r="J86" s="203">
        <v>0.6</v>
      </c>
      <c r="K86" s="196"/>
      <c r="L86" s="196"/>
      <c r="M86" s="196"/>
      <c r="N86" s="196"/>
      <c r="O86" s="196"/>
      <c r="P86" s="196"/>
      <c r="Q86" s="196"/>
    </row>
    <row r="87" spans="1:17" s="46" customFormat="1" ht="15" thickBot="1">
      <c r="A87" s="204" t="s">
        <v>112</v>
      </c>
      <c r="B87" s="205">
        <f>E79</f>
        <v>483840000</v>
      </c>
      <c r="C87" s="205">
        <f>B87/12</f>
        <v>40320000</v>
      </c>
      <c r="D87" s="205">
        <f>C87*D86</f>
        <v>241.92000000000002</v>
      </c>
      <c r="E87" s="205">
        <f>D87*12</f>
        <v>2903.04</v>
      </c>
      <c r="F87" s="205">
        <f>D87*F86</f>
        <v>36.288000000000004</v>
      </c>
      <c r="G87" s="205">
        <f>F87*12</f>
        <v>435.45600000000002</v>
      </c>
      <c r="H87" s="205">
        <f>(D87+F87)*H86</f>
        <v>133.53984</v>
      </c>
      <c r="I87" s="205">
        <f>E87+G87+H87</f>
        <v>3472.03584</v>
      </c>
      <c r="J87" s="206">
        <f>(I87/12)*J86</f>
        <v>173.60179199999999</v>
      </c>
      <c r="K87" s="207"/>
      <c r="L87" s="196"/>
      <c r="M87" s="196"/>
      <c r="N87" s="196"/>
      <c r="O87" s="196"/>
      <c r="P87" s="196"/>
      <c r="Q87" s="196"/>
    </row>
  </sheetData>
  <sheetProtection password="909C" sheet="1" formatColumns="0" formatRows="0"/>
  <mergeCells count="27">
    <mergeCell ref="C5:F5"/>
    <mergeCell ref="C6:F6"/>
    <mergeCell ref="A1:B1"/>
    <mergeCell ref="C1:F1"/>
    <mergeCell ref="A64:A65"/>
    <mergeCell ref="A67:A68"/>
    <mergeCell ref="A2:A6"/>
    <mergeCell ref="C2:F2"/>
    <mergeCell ref="C3:F3"/>
    <mergeCell ref="C4:F4"/>
    <mergeCell ref="C62:E62"/>
    <mergeCell ref="F62:H62"/>
    <mergeCell ref="A73:A74"/>
    <mergeCell ref="A76:A77"/>
    <mergeCell ref="A84:J84"/>
    <mergeCell ref="L62:N62"/>
    <mergeCell ref="I62:K62"/>
    <mergeCell ref="A70:A71"/>
    <mergeCell ref="O62:Q62"/>
    <mergeCell ref="B8:F8"/>
    <mergeCell ref="B19:F19"/>
    <mergeCell ref="B29:F29"/>
    <mergeCell ref="B39:F39"/>
    <mergeCell ref="B49:F49"/>
    <mergeCell ref="A61:Q61"/>
    <mergeCell ref="A62:A63"/>
    <mergeCell ref="B62:B63"/>
  </mergeCells>
  <phoneticPr fontId="0" type="noConversion"/>
  <pageMargins left="0.7" right="0.7" top="0.75" bottom="0.75" header="0.3" footer="0.3"/>
  <pageSetup paperSize="9" scale="30" orientation="portrait" horizontalDpi="300" r:id="rId1"/>
  <drawing r:id="rId2"/>
  <legacyDrawing r:id="rId3"/>
</worksheet>
</file>

<file path=xl/worksheets/sheet6.xml><?xml version="1.0" encoding="utf-8"?>
<worksheet xmlns="http://schemas.openxmlformats.org/spreadsheetml/2006/main" xmlns:r="http://schemas.openxmlformats.org/officeDocument/2006/relationships">
  <sheetPr codeName="Hoja1"/>
  <dimension ref="B1:T244"/>
  <sheetViews>
    <sheetView zoomScale="80" zoomScaleNormal="80" workbookViewId="0">
      <pane ySplit="13" topLeftCell="A220" activePane="bottomLeft" state="frozen"/>
      <selection pane="bottomLeft" activeCell="K47" sqref="K47:K50"/>
    </sheetView>
  </sheetViews>
  <sheetFormatPr baseColWidth="10" defaultRowHeight="12.75"/>
  <cols>
    <col min="1" max="1" width="5.140625" style="3" customWidth="1"/>
    <col min="2" max="2" width="30.85546875" style="3" customWidth="1"/>
    <col min="3" max="3" width="38.85546875" style="3" customWidth="1"/>
    <col min="4" max="4" width="22.85546875" style="3" customWidth="1"/>
    <col min="5" max="5" width="19.7109375" style="3" customWidth="1"/>
    <col min="6" max="7" width="17" style="3" bestFit="1" customWidth="1"/>
    <col min="8" max="8" width="16.7109375" style="3" customWidth="1"/>
    <col min="9" max="9" width="17.7109375" style="3" customWidth="1"/>
    <col min="10" max="10" width="15.85546875" style="3" customWidth="1"/>
    <col min="11" max="11" width="21.28515625" style="3" customWidth="1"/>
    <col min="12" max="14" width="16.5703125" style="3" customWidth="1"/>
    <col min="15" max="15" width="18.42578125" style="3" customWidth="1"/>
    <col min="16" max="17" width="21.42578125" style="3" bestFit="1" customWidth="1"/>
    <col min="18" max="18" width="21.140625" style="3" bestFit="1" customWidth="1"/>
    <col min="19" max="20" width="21.85546875" style="3" bestFit="1" customWidth="1"/>
    <col min="21" max="44" width="11.42578125" style="3"/>
    <col min="45" max="45" width="38" style="3" bestFit="1" customWidth="1"/>
    <col min="46" max="16384" width="11.42578125" style="3"/>
  </cols>
  <sheetData>
    <row r="1" spans="2:20" ht="16.5" thickBot="1">
      <c r="B1" s="724"/>
      <c r="C1" s="724"/>
      <c r="D1" s="724"/>
      <c r="E1" s="724"/>
      <c r="F1" s="724"/>
      <c r="G1" s="724"/>
      <c r="H1" s="724"/>
    </row>
    <row r="2" spans="2:20" ht="18.75" thickBot="1">
      <c r="B2" s="97" t="s">
        <v>35</v>
      </c>
      <c r="C2" s="732" t="str">
        <f>'PROYECCIÓN DE VENTAS'!C1:F1</f>
        <v>SITAEL LTDA</v>
      </c>
      <c r="D2" s="732"/>
      <c r="E2" s="732"/>
      <c r="F2" s="732"/>
      <c r="G2" s="733"/>
      <c r="H2" s="46"/>
      <c r="I2" s="139" t="s">
        <v>127</v>
      </c>
      <c r="J2" s="139"/>
      <c r="K2" s="139"/>
      <c r="L2" s="139"/>
      <c r="M2" s="139"/>
      <c r="N2" s="115"/>
      <c r="O2" s="115"/>
      <c r="P2" s="115"/>
    </row>
    <row r="3" spans="2:20" ht="15.75">
      <c r="B3" s="730" t="s">
        <v>2</v>
      </c>
      <c r="C3" s="734" t="s">
        <v>1</v>
      </c>
      <c r="D3" s="735"/>
      <c r="E3" s="735"/>
      <c r="F3" s="735"/>
      <c r="G3" s="736"/>
      <c r="H3" s="46"/>
      <c r="I3" s="139"/>
      <c r="J3" s="139"/>
      <c r="K3" s="139"/>
      <c r="L3" s="139"/>
      <c r="M3" s="139"/>
      <c r="N3" s="115"/>
      <c r="O3" s="116"/>
      <c r="P3" s="115"/>
    </row>
    <row r="4" spans="2:20" ht="15.75">
      <c r="B4" s="731"/>
      <c r="C4" s="96">
        <f>'PROYECCIÓN DE VENTAS'!B11</f>
        <v>2012</v>
      </c>
      <c r="D4" s="96">
        <f>'PROYECCIÓN DE VENTAS'!C11</f>
        <v>2013</v>
      </c>
      <c r="E4" s="96">
        <f>'PROYECCIÓN DE VENTAS'!D11</f>
        <v>2014</v>
      </c>
      <c r="F4" s="96">
        <f>'PROYECCIÓN DE VENTAS'!E11</f>
        <v>2015</v>
      </c>
      <c r="G4" s="96">
        <f>'PROYECCIÓN DE VENTAS'!F11</f>
        <v>2016</v>
      </c>
      <c r="H4" s="537"/>
      <c r="I4" s="708" t="s">
        <v>2</v>
      </c>
      <c r="J4" s="708" t="s">
        <v>1</v>
      </c>
      <c r="K4" s="708"/>
      <c r="L4" s="708"/>
      <c r="M4" s="708"/>
      <c r="N4" s="538"/>
      <c r="O4" s="116"/>
      <c r="P4" s="115"/>
      <c r="Q4" s="115"/>
      <c r="R4" s="115"/>
    </row>
    <row r="5" spans="2:20" ht="15.75">
      <c r="B5" s="94" t="str">
        <f>'PROYECCIÓN DE VENTAS'!B8:F8</f>
        <v>TRAMITES</v>
      </c>
      <c r="C5" s="101">
        <f>'PROYECCIÓN DE VENTAS'!B15</f>
        <v>17280</v>
      </c>
      <c r="D5" s="101">
        <f>'PROYECCIÓN DE VENTAS'!C15</f>
        <v>17452.8</v>
      </c>
      <c r="E5" s="101">
        <f>'PROYECCIÓN DE VENTAS'!D15</f>
        <v>17801.856</v>
      </c>
      <c r="F5" s="101">
        <f>'PROYECCIÓN DE VENTAS'!E15</f>
        <v>18335.911679999997</v>
      </c>
      <c r="G5" s="102">
        <f>'PROYECCIÓN DE VENTAS'!F15</f>
        <v>19069.348147199998</v>
      </c>
      <c r="H5" s="537"/>
      <c r="I5" s="708"/>
      <c r="J5" s="536">
        <f>D4</f>
        <v>2013</v>
      </c>
      <c r="K5" s="536">
        <f>E4</f>
        <v>2014</v>
      </c>
      <c r="L5" s="536">
        <f>F4</f>
        <v>2015</v>
      </c>
      <c r="M5" s="536">
        <f>G4</f>
        <v>2016</v>
      </c>
      <c r="N5" s="538"/>
      <c r="O5" s="116"/>
      <c r="P5" s="115"/>
      <c r="Q5" s="115"/>
      <c r="R5" s="115"/>
    </row>
    <row r="6" spans="2:20" ht="15.75">
      <c r="B6" s="94" t="str">
        <f>'PROYECCIÓN DE VENTAS'!B19:F19</f>
        <v>DILIGENCIAS</v>
      </c>
      <c r="C6" s="101">
        <f>'PROYECCIÓN DE VENTAS'!B26</f>
        <v>17280</v>
      </c>
      <c r="D6" s="101">
        <f>'PROYECCIÓN DE VENTAS'!C26</f>
        <v>17452.8</v>
      </c>
      <c r="E6" s="101">
        <f>'PROYECCIÓN DE VENTAS'!D26</f>
        <v>17801.856</v>
      </c>
      <c r="F6" s="101">
        <f>'PROYECCIÓN DE VENTAS'!E26</f>
        <v>18335.911679999997</v>
      </c>
      <c r="G6" s="101">
        <f>'PROYECCIÓN DE VENTAS'!F26</f>
        <v>19069.348147199998</v>
      </c>
      <c r="H6" s="537"/>
      <c r="I6" s="536" t="str">
        <f>B5</f>
        <v>TRAMITES</v>
      </c>
      <c r="J6" s="140">
        <f t="shared" ref="J6:M10" si="0">IF(C5=0,0,(D5-C5)/C5)</f>
        <v>9.9999999999999586E-3</v>
      </c>
      <c r="K6" s="140">
        <f t="shared" si="0"/>
        <v>2.0000000000000028E-2</v>
      </c>
      <c r="L6" s="140">
        <f t="shared" si="0"/>
        <v>2.9999999999999871E-2</v>
      </c>
      <c r="M6" s="140">
        <f t="shared" si="0"/>
        <v>4.0000000000000063E-2</v>
      </c>
      <c r="N6" s="538"/>
      <c r="O6" s="116"/>
      <c r="P6" s="115"/>
      <c r="Q6" s="115"/>
      <c r="R6" s="115"/>
    </row>
    <row r="7" spans="2:20" ht="15.75">
      <c r="B7" s="94" t="str">
        <f>'PROYECCIÓN DE VENTAS'!B29:F29</f>
        <v>Nombre del producto 3</v>
      </c>
      <c r="C7" s="101">
        <f>'PROYECCIÓN DE VENTAS'!B36</f>
        <v>0</v>
      </c>
      <c r="D7" s="101">
        <f>'PROYECCIÓN DE VENTAS'!C36</f>
        <v>0</v>
      </c>
      <c r="E7" s="101">
        <f>'PROYECCIÓN DE VENTAS'!D36</f>
        <v>0</v>
      </c>
      <c r="F7" s="101">
        <f>'PROYECCIÓN DE VENTAS'!E36</f>
        <v>0</v>
      </c>
      <c r="G7" s="101">
        <f>'PROYECCIÓN DE VENTAS'!F36</f>
        <v>0</v>
      </c>
      <c r="H7" s="537"/>
      <c r="I7" s="536" t="str">
        <f>B6</f>
        <v>DILIGENCIAS</v>
      </c>
      <c r="J7" s="140">
        <f t="shared" si="0"/>
        <v>9.9999999999999586E-3</v>
      </c>
      <c r="K7" s="140">
        <f t="shared" si="0"/>
        <v>2.0000000000000028E-2</v>
      </c>
      <c r="L7" s="140">
        <f t="shared" si="0"/>
        <v>2.9999999999999871E-2</v>
      </c>
      <c r="M7" s="140">
        <f t="shared" si="0"/>
        <v>4.0000000000000063E-2</v>
      </c>
      <c r="N7" s="538"/>
      <c r="O7" s="116"/>
      <c r="P7" s="115"/>
      <c r="Q7" s="115"/>
      <c r="R7" s="115"/>
    </row>
    <row r="8" spans="2:20" ht="15.75">
      <c r="B8" s="94" t="str">
        <f>'PROYECCIÓN DE VENTAS'!B39:F39</f>
        <v>Nombre del producto 4</v>
      </c>
      <c r="C8" s="101">
        <f>'PROYECCIÓN DE VENTAS'!B46</f>
        <v>0</v>
      </c>
      <c r="D8" s="101">
        <f>'PROYECCIÓN DE VENTAS'!C46</f>
        <v>0</v>
      </c>
      <c r="E8" s="101">
        <f>'PROYECCIÓN DE VENTAS'!D46</f>
        <v>0</v>
      </c>
      <c r="F8" s="101">
        <f>'PROYECCIÓN DE VENTAS'!E46</f>
        <v>0</v>
      </c>
      <c r="G8" s="101">
        <f>'PROYECCIÓN DE VENTAS'!F46</f>
        <v>0</v>
      </c>
      <c r="H8" s="537"/>
      <c r="I8" s="536" t="str">
        <f>B7</f>
        <v>Nombre del producto 3</v>
      </c>
      <c r="J8" s="140">
        <f t="shared" si="0"/>
        <v>0</v>
      </c>
      <c r="K8" s="140">
        <f t="shared" si="0"/>
        <v>0</v>
      </c>
      <c r="L8" s="140">
        <f t="shared" si="0"/>
        <v>0</v>
      </c>
      <c r="M8" s="140">
        <f t="shared" si="0"/>
        <v>0</v>
      </c>
      <c r="N8" s="538"/>
      <c r="O8" s="116"/>
      <c r="P8" s="115"/>
      <c r="Q8" s="115"/>
      <c r="R8" s="115"/>
    </row>
    <row r="9" spans="2:20" ht="16.5" thickBot="1">
      <c r="B9" s="95" t="str">
        <f>'PROYECCIÓN DE VENTAS'!B49:F49</f>
        <v>Nombre del producto 5</v>
      </c>
      <c r="C9" s="103">
        <f>'PROYECCIÓN DE VENTAS'!B56</f>
        <v>0</v>
      </c>
      <c r="D9" s="103">
        <f>'PROYECCIÓN DE VENTAS'!C56</f>
        <v>0</v>
      </c>
      <c r="E9" s="103">
        <f>'PROYECCIÓN DE VENTAS'!D56</f>
        <v>0</v>
      </c>
      <c r="F9" s="103">
        <f>'PROYECCIÓN DE VENTAS'!E56</f>
        <v>0</v>
      </c>
      <c r="G9" s="103">
        <f>'PROYECCIÓN DE VENTAS'!F56</f>
        <v>0</v>
      </c>
      <c r="H9" s="537"/>
      <c r="I9" s="536" t="str">
        <f>B8</f>
        <v>Nombre del producto 4</v>
      </c>
      <c r="J9" s="140">
        <f t="shared" si="0"/>
        <v>0</v>
      </c>
      <c r="K9" s="140">
        <f t="shared" si="0"/>
        <v>0</v>
      </c>
      <c r="L9" s="140">
        <f t="shared" si="0"/>
        <v>0</v>
      </c>
      <c r="M9" s="140">
        <f t="shared" si="0"/>
        <v>0</v>
      </c>
      <c r="N9" s="538"/>
      <c r="O9" s="116"/>
      <c r="P9" s="115"/>
      <c r="Q9" s="115"/>
      <c r="R9" s="115"/>
    </row>
    <row r="10" spans="2:20" ht="16.5" thickBot="1">
      <c r="B10" s="741" t="s">
        <v>141</v>
      </c>
      <c r="C10" s="742"/>
      <c r="D10" s="742"/>
      <c r="E10" s="742"/>
      <c r="F10" s="742"/>
      <c r="G10" s="743"/>
      <c r="H10" s="539"/>
      <c r="I10" s="536" t="str">
        <f>B9</f>
        <v>Nombre del producto 5</v>
      </c>
      <c r="J10" s="140">
        <f t="shared" si="0"/>
        <v>0</v>
      </c>
      <c r="K10" s="140">
        <f t="shared" si="0"/>
        <v>0</v>
      </c>
      <c r="L10" s="140">
        <f t="shared" si="0"/>
        <v>0</v>
      </c>
      <c r="M10" s="140">
        <f t="shared" si="0"/>
        <v>0</v>
      </c>
      <c r="N10" s="538"/>
      <c r="O10" s="116"/>
      <c r="P10" s="115"/>
      <c r="Q10" s="115"/>
      <c r="R10" s="115"/>
    </row>
    <row r="11" spans="2:20" ht="17.25" customHeight="1">
      <c r="B11" s="728" t="s">
        <v>2</v>
      </c>
      <c r="C11" s="705" t="s">
        <v>5</v>
      </c>
      <c r="D11" s="706"/>
      <c r="E11" s="706"/>
      <c r="F11" s="706"/>
      <c r="G11" s="706"/>
      <c r="H11" s="706"/>
      <c r="I11" s="706"/>
      <c r="J11" s="98"/>
      <c r="K11" s="739" t="s">
        <v>6</v>
      </c>
      <c r="L11" s="739" t="s">
        <v>7</v>
      </c>
      <c r="M11" s="739" t="s">
        <v>8</v>
      </c>
      <c r="N11" s="739" t="s">
        <v>9</v>
      </c>
      <c r="O11" s="739" t="s">
        <v>10</v>
      </c>
      <c r="P11" s="706" t="s">
        <v>4</v>
      </c>
      <c r="Q11" s="706"/>
      <c r="R11" s="706"/>
      <c r="S11" s="706"/>
      <c r="T11" s="713"/>
    </row>
    <row r="12" spans="2:20" ht="12.75" customHeight="1">
      <c r="B12" s="729"/>
      <c r="C12" s="737" t="s">
        <v>128</v>
      </c>
      <c r="D12" s="744" t="s">
        <v>15</v>
      </c>
      <c r="E12" s="100">
        <f>'CTOS VS ING OPER - INV INFRAEST'!C3</f>
        <v>2012</v>
      </c>
      <c r="F12" s="100">
        <f>'CTOS VS ING OPER - INV INFRAEST'!D3</f>
        <v>2013</v>
      </c>
      <c r="G12" s="100">
        <f>'CTOS VS ING OPER - INV INFRAEST'!E3</f>
        <v>2014</v>
      </c>
      <c r="H12" s="100">
        <f>'CTOS VS ING OPER - INV INFRAEST'!F3</f>
        <v>2015</v>
      </c>
      <c r="I12" s="100">
        <f>'CTOS VS ING OPER - INV INFRAEST'!G3</f>
        <v>2016</v>
      </c>
      <c r="J12" s="746" t="s">
        <v>136</v>
      </c>
      <c r="K12" s="740"/>
      <c r="L12" s="740"/>
      <c r="M12" s="740"/>
      <c r="N12" s="740"/>
      <c r="O12" s="740"/>
      <c r="P12" s="703">
        <f>E12</f>
        <v>2012</v>
      </c>
      <c r="Q12" s="703">
        <f>F12</f>
        <v>2013</v>
      </c>
      <c r="R12" s="703">
        <f>G12</f>
        <v>2014</v>
      </c>
      <c r="S12" s="703">
        <f>H12</f>
        <v>2015</v>
      </c>
      <c r="T12" s="703">
        <f>I12</f>
        <v>2016</v>
      </c>
    </row>
    <row r="13" spans="2:20" ht="25.5" customHeight="1" thickBot="1">
      <c r="B13" s="729"/>
      <c r="C13" s="738"/>
      <c r="D13" s="745"/>
      <c r="E13" s="99" t="s">
        <v>0</v>
      </c>
      <c r="F13" s="99" t="s">
        <v>0</v>
      </c>
      <c r="G13" s="99" t="s">
        <v>0</v>
      </c>
      <c r="H13" s="99" t="s">
        <v>0</v>
      </c>
      <c r="I13" s="99" t="s">
        <v>0</v>
      </c>
      <c r="J13" s="747"/>
      <c r="K13" s="740"/>
      <c r="L13" s="740"/>
      <c r="M13" s="740"/>
      <c r="N13" s="740"/>
      <c r="O13" s="740"/>
      <c r="P13" s="704"/>
      <c r="Q13" s="704"/>
      <c r="R13" s="704"/>
      <c r="S13" s="704"/>
      <c r="T13" s="704"/>
    </row>
    <row r="14" spans="2:20">
      <c r="B14" s="725" t="str">
        <f>'CTOS VS ING OPER - INV INFRAEST'!B4</f>
        <v>TRAMITES</v>
      </c>
      <c r="C14" s="114" t="s">
        <v>3</v>
      </c>
      <c r="D14" s="79"/>
      <c r="E14" s="79"/>
      <c r="F14" s="79"/>
      <c r="G14" s="79"/>
      <c r="H14" s="79"/>
      <c r="I14" s="79"/>
      <c r="J14" s="79"/>
      <c r="K14" s="79"/>
      <c r="L14" s="79"/>
      <c r="M14" s="79"/>
      <c r="N14" s="79"/>
      <c r="O14" s="79"/>
      <c r="P14" s="79"/>
      <c r="Q14" s="79"/>
      <c r="R14" s="79"/>
      <c r="S14" s="79"/>
      <c r="T14" s="80"/>
    </row>
    <row r="15" spans="2:20" ht="15">
      <c r="B15" s="726"/>
      <c r="C15" s="106"/>
      <c r="D15" s="107"/>
      <c r="E15" s="108"/>
      <c r="F15" s="105">
        <f t="shared" ref="F15:F34" si="1">+E15*(1+$J$6)</f>
        <v>0</v>
      </c>
      <c r="G15" s="105">
        <f t="shared" ref="G15:G34" si="2">+F15*(1+$K$6)</f>
        <v>0</v>
      </c>
      <c r="H15" s="105">
        <f t="shared" ref="H15:H34" si="3">+G15*(1+$L$6)</f>
        <v>0</v>
      </c>
      <c r="I15" s="105">
        <f t="shared" ref="I15:I34" si="4">+H15*(1+$M$6)</f>
        <v>0</v>
      </c>
      <c r="J15" s="81">
        <f>IF(E15=0,0,E15*1/$C$5)</f>
        <v>0</v>
      </c>
      <c r="K15" s="108"/>
      <c r="L15" s="77">
        <f>+K15*(1+'1'!$C$16)</f>
        <v>0</v>
      </c>
      <c r="M15" s="77">
        <f>+L15*(1+'1'!$D$16)</f>
        <v>0</v>
      </c>
      <c r="N15" s="77">
        <f>+M15*(1+'1'!$E$16)</f>
        <v>0</v>
      </c>
      <c r="O15" s="77">
        <f>+N15*(1+'1'!$F$16)</f>
        <v>0</v>
      </c>
      <c r="P15" s="124">
        <f>J15*K15*$C$5</f>
        <v>0</v>
      </c>
      <c r="Q15" s="124">
        <f>J15*L15*$D$5</f>
        <v>0</v>
      </c>
      <c r="R15" s="124">
        <f>J15*M15*$E$5</f>
        <v>0</v>
      </c>
      <c r="S15" s="124">
        <f>J15*N15*$F$5</f>
        <v>0</v>
      </c>
      <c r="T15" s="125">
        <f>J15*O15*$G$5</f>
        <v>0</v>
      </c>
    </row>
    <row r="16" spans="2:20" ht="15">
      <c r="B16" s="726"/>
      <c r="C16" s="106"/>
      <c r="D16" s="107"/>
      <c r="E16" s="108"/>
      <c r="F16" s="105">
        <f t="shared" si="1"/>
        <v>0</v>
      </c>
      <c r="G16" s="105">
        <f t="shared" si="2"/>
        <v>0</v>
      </c>
      <c r="H16" s="105">
        <f t="shared" si="3"/>
        <v>0</v>
      </c>
      <c r="I16" s="105">
        <f t="shared" si="4"/>
        <v>0</v>
      </c>
      <c r="J16" s="81">
        <f t="shared" ref="J16:J34" si="5">IF(E16=0,0,E16*1/$C$5)</f>
        <v>0</v>
      </c>
      <c r="K16" s="108"/>
      <c r="L16" s="77">
        <f>+K16*(1+'1'!$C$16)</f>
        <v>0</v>
      </c>
      <c r="M16" s="77">
        <f>+L16*(1+'1'!$D$16)</f>
        <v>0</v>
      </c>
      <c r="N16" s="77">
        <f>+M16*(1+'1'!$E$16)</f>
        <v>0</v>
      </c>
      <c r="O16" s="77">
        <f>+N16*(1+'1'!$F$16)</f>
        <v>0</v>
      </c>
      <c r="P16" s="124">
        <f t="shared" ref="P16:P34" si="6">J16*K16*$C$5</f>
        <v>0</v>
      </c>
      <c r="Q16" s="124">
        <f t="shared" ref="Q16:Q34" si="7">J16*L16*$D$5</f>
        <v>0</v>
      </c>
      <c r="R16" s="124">
        <f t="shared" ref="R16:R34" si="8">J16*M16*$E$5</f>
        <v>0</v>
      </c>
      <c r="S16" s="124">
        <f t="shared" ref="S16:S34" si="9">J16*N16*$F$5</f>
        <v>0</v>
      </c>
      <c r="T16" s="125">
        <f t="shared" ref="T16:T34" si="10">J16*O16*$G$5</f>
        <v>0</v>
      </c>
    </row>
    <row r="17" spans="2:20" ht="15">
      <c r="B17" s="726"/>
      <c r="C17" s="106"/>
      <c r="D17" s="107"/>
      <c r="E17" s="108"/>
      <c r="F17" s="105">
        <f>+E17*(1+$J$6)</f>
        <v>0</v>
      </c>
      <c r="G17" s="105">
        <f t="shared" si="2"/>
        <v>0</v>
      </c>
      <c r="H17" s="105">
        <f t="shared" si="3"/>
        <v>0</v>
      </c>
      <c r="I17" s="105">
        <f t="shared" si="4"/>
        <v>0</v>
      </c>
      <c r="J17" s="81">
        <f t="shared" si="5"/>
        <v>0</v>
      </c>
      <c r="K17" s="108"/>
      <c r="L17" s="77">
        <f>+K17*(1+'1'!$C$16)</f>
        <v>0</v>
      </c>
      <c r="M17" s="77">
        <f>+L17*(1+'1'!$D$16)</f>
        <v>0</v>
      </c>
      <c r="N17" s="77">
        <f>+M17*(1+'1'!$E$16)</f>
        <v>0</v>
      </c>
      <c r="O17" s="77">
        <f>+N17*(1+'1'!$F$16)</f>
        <v>0</v>
      </c>
      <c r="P17" s="124">
        <f t="shared" si="6"/>
        <v>0</v>
      </c>
      <c r="Q17" s="124">
        <f t="shared" si="7"/>
        <v>0</v>
      </c>
      <c r="R17" s="124">
        <f t="shared" si="8"/>
        <v>0</v>
      </c>
      <c r="S17" s="124">
        <f t="shared" si="9"/>
        <v>0</v>
      </c>
      <c r="T17" s="125">
        <f t="shared" si="10"/>
        <v>0</v>
      </c>
    </row>
    <row r="18" spans="2:20" ht="15">
      <c r="B18" s="726"/>
      <c r="C18" s="106"/>
      <c r="D18" s="107"/>
      <c r="E18" s="108"/>
      <c r="F18" s="105">
        <f>+E18*(1+$J$6)</f>
        <v>0</v>
      </c>
      <c r="G18" s="105">
        <f t="shared" si="2"/>
        <v>0</v>
      </c>
      <c r="H18" s="105">
        <f t="shared" si="3"/>
        <v>0</v>
      </c>
      <c r="I18" s="105">
        <f t="shared" si="4"/>
        <v>0</v>
      </c>
      <c r="J18" s="81">
        <f t="shared" si="5"/>
        <v>0</v>
      </c>
      <c r="K18" s="108"/>
      <c r="L18" s="77">
        <f>+K18*(1+'1'!$C$16)</f>
        <v>0</v>
      </c>
      <c r="M18" s="77">
        <f>+L18*(1+'1'!$D$16)</f>
        <v>0</v>
      </c>
      <c r="N18" s="77">
        <f>+M18*(1+'1'!$E$16)</f>
        <v>0</v>
      </c>
      <c r="O18" s="77">
        <f>+N18*(1+'1'!$F$16)</f>
        <v>0</v>
      </c>
      <c r="P18" s="124">
        <f t="shared" si="6"/>
        <v>0</v>
      </c>
      <c r="Q18" s="124">
        <f t="shared" si="7"/>
        <v>0</v>
      </c>
      <c r="R18" s="124">
        <f t="shared" si="8"/>
        <v>0</v>
      </c>
      <c r="S18" s="124">
        <f t="shared" si="9"/>
        <v>0</v>
      </c>
      <c r="T18" s="125">
        <f t="shared" si="10"/>
        <v>0</v>
      </c>
    </row>
    <row r="19" spans="2:20" ht="15">
      <c r="B19" s="726"/>
      <c r="C19" s="106"/>
      <c r="D19" s="107"/>
      <c r="E19" s="108"/>
      <c r="F19" s="105">
        <f>+E19*(1+$J$6)</f>
        <v>0</v>
      </c>
      <c r="G19" s="105">
        <f t="shared" si="2"/>
        <v>0</v>
      </c>
      <c r="H19" s="105">
        <f t="shared" si="3"/>
        <v>0</v>
      </c>
      <c r="I19" s="105">
        <f t="shared" si="4"/>
        <v>0</v>
      </c>
      <c r="J19" s="81">
        <f t="shared" si="5"/>
        <v>0</v>
      </c>
      <c r="K19" s="108"/>
      <c r="L19" s="77">
        <f>+K19*(1+'1'!$C$16)</f>
        <v>0</v>
      </c>
      <c r="M19" s="77">
        <f>+L19*(1+'1'!$D$16)</f>
        <v>0</v>
      </c>
      <c r="N19" s="77">
        <f>+M19*(1+'1'!$E$16)</f>
        <v>0</v>
      </c>
      <c r="O19" s="77">
        <f>+N19*(1+'1'!$F$16)</f>
        <v>0</v>
      </c>
      <c r="P19" s="124">
        <f t="shared" si="6"/>
        <v>0</v>
      </c>
      <c r="Q19" s="124">
        <f t="shared" si="7"/>
        <v>0</v>
      </c>
      <c r="R19" s="124">
        <f t="shared" si="8"/>
        <v>0</v>
      </c>
      <c r="S19" s="124">
        <f t="shared" si="9"/>
        <v>0</v>
      </c>
      <c r="T19" s="125">
        <f t="shared" si="10"/>
        <v>0</v>
      </c>
    </row>
    <row r="20" spans="2:20" ht="15">
      <c r="B20" s="726"/>
      <c r="C20" s="106"/>
      <c r="D20" s="107"/>
      <c r="E20" s="108"/>
      <c r="F20" s="105">
        <f t="shared" si="1"/>
        <v>0</v>
      </c>
      <c r="G20" s="105">
        <f t="shared" si="2"/>
        <v>0</v>
      </c>
      <c r="H20" s="105">
        <f t="shared" si="3"/>
        <v>0</v>
      </c>
      <c r="I20" s="105">
        <f t="shared" si="4"/>
        <v>0</v>
      </c>
      <c r="J20" s="81">
        <f t="shared" si="5"/>
        <v>0</v>
      </c>
      <c r="K20" s="108"/>
      <c r="L20" s="77">
        <f>+K20*(1+'1'!$C$16)</f>
        <v>0</v>
      </c>
      <c r="M20" s="77">
        <f>+L20*(1+'1'!$D$16)</f>
        <v>0</v>
      </c>
      <c r="N20" s="77">
        <f>+M20*(1+'1'!$E$16)</f>
        <v>0</v>
      </c>
      <c r="O20" s="77">
        <f>+N20*(1+'1'!$F$16)</f>
        <v>0</v>
      </c>
      <c r="P20" s="124">
        <f t="shared" si="6"/>
        <v>0</v>
      </c>
      <c r="Q20" s="124">
        <f t="shared" si="7"/>
        <v>0</v>
      </c>
      <c r="R20" s="124">
        <f t="shared" si="8"/>
        <v>0</v>
      </c>
      <c r="S20" s="124">
        <f t="shared" si="9"/>
        <v>0</v>
      </c>
      <c r="T20" s="125">
        <f t="shared" si="10"/>
        <v>0</v>
      </c>
    </row>
    <row r="21" spans="2:20" ht="15">
      <c r="B21" s="726"/>
      <c r="C21" s="106"/>
      <c r="D21" s="107"/>
      <c r="E21" s="108"/>
      <c r="F21" s="105">
        <f t="shared" si="1"/>
        <v>0</v>
      </c>
      <c r="G21" s="105">
        <f t="shared" si="2"/>
        <v>0</v>
      </c>
      <c r="H21" s="105">
        <f t="shared" si="3"/>
        <v>0</v>
      </c>
      <c r="I21" s="105">
        <f t="shared" si="4"/>
        <v>0</v>
      </c>
      <c r="J21" s="81">
        <f t="shared" si="5"/>
        <v>0</v>
      </c>
      <c r="K21" s="108"/>
      <c r="L21" s="77">
        <f>+K21*(1+'1'!$C$16)</f>
        <v>0</v>
      </c>
      <c r="M21" s="77">
        <f>+L21*(1+'1'!$D$16)</f>
        <v>0</v>
      </c>
      <c r="N21" s="77">
        <f>+M21*(1+'1'!$E$16)</f>
        <v>0</v>
      </c>
      <c r="O21" s="77">
        <f>+N21*(1+'1'!$F$16)</f>
        <v>0</v>
      </c>
      <c r="P21" s="124">
        <f t="shared" si="6"/>
        <v>0</v>
      </c>
      <c r="Q21" s="124">
        <f t="shared" si="7"/>
        <v>0</v>
      </c>
      <c r="R21" s="124">
        <f t="shared" si="8"/>
        <v>0</v>
      </c>
      <c r="S21" s="124">
        <f t="shared" si="9"/>
        <v>0</v>
      </c>
      <c r="T21" s="125">
        <f t="shared" si="10"/>
        <v>0</v>
      </c>
    </row>
    <row r="22" spans="2:20" ht="15">
      <c r="B22" s="726"/>
      <c r="C22" s="106"/>
      <c r="D22" s="107"/>
      <c r="E22" s="108"/>
      <c r="F22" s="105">
        <f t="shared" si="1"/>
        <v>0</v>
      </c>
      <c r="G22" s="105">
        <f t="shared" si="2"/>
        <v>0</v>
      </c>
      <c r="H22" s="105">
        <f t="shared" si="3"/>
        <v>0</v>
      </c>
      <c r="I22" s="105">
        <f t="shared" si="4"/>
        <v>0</v>
      </c>
      <c r="J22" s="81">
        <f t="shared" si="5"/>
        <v>0</v>
      </c>
      <c r="K22" s="108"/>
      <c r="L22" s="77">
        <f>+K22*(1+'1'!$C$16)</f>
        <v>0</v>
      </c>
      <c r="M22" s="77">
        <f>+L22*(1+'1'!$D$16)</f>
        <v>0</v>
      </c>
      <c r="N22" s="77">
        <f>+M22*(1+'1'!$E$16)</f>
        <v>0</v>
      </c>
      <c r="O22" s="77">
        <f>+N22*(1+'1'!$F$16)</f>
        <v>0</v>
      </c>
      <c r="P22" s="124">
        <f t="shared" si="6"/>
        <v>0</v>
      </c>
      <c r="Q22" s="124">
        <f t="shared" si="7"/>
        <v>0</v>
      </c>
      <c r="R22" s="124">
        <f t="shared" si="8"/>
        <v>0</v>
      </c>
      <c r="S22" s="124">
        <f t="shared" si="9"/>
        <v>0</v>
      </c>
      <c r="T22" s="125">
        <f t="shared" si="10"/>
        <v>0</v>
      </c>
    </row>
    <row r="23" spans="2:20" ht="15">
      <c r="B23" s="726"/>
      <c r="C23" s="106"/>
      <c r="D23" s="107"/>
      <c r="E23" s="108"/>
      <c r="F23" s="105">
        <f t="shared" si="1"/>
        <v>0</v>
      </c>
      <c r="G23" s="105">
        <f t="shared" si="2"/>
        <v>0</v>
      </c>
      <c r="H23" s="105">
        <f t="shared" si="3"/>
        <v>0</v>
      </c>
      <c r="I23" s="105">
        <f t="shared" si="4"/>
        <v>0</v>
      </c>
      <c r="J23" s="81">
        <f t="shared" si="5"/>
        <v>0</v>
      </c>
      <c r="K23" s="108"/>
      <c r="L23" s="77">
        <f>+K23*(1+'1'!$C$16)</f>
        <v>0</v>
      </c>
      <c r="M23" s="77">
        <f>+L23*(1+'1'!$D$16)</f>
        <v>0</v>
      </c>
      <c r="N23" s="77">
        <f>+M23*(1+'1'!$E$16)</f>
        <v>0</v>
      </c>
      <c r="O23" s="77">
        <f>+N23*(1+'1'!$F$16)</f>
        <v>0</v>
      </c>
      <c r="P23" s="124">
        <f t="shared" si="6"/>
        <v>0</v>
      </c>
      <c r="Q23" s="124">
        <f t="shared" si="7"/>
        <v>0</v>
      </c>
      <c r="R23" s="124">
        <f t="shared" si="8"/>
        <v>0</v>
      </c>
      <c r="S23" s="124">
        <f t="shared" si="9"/>
        <v>0</v>
      </c>
      <c r="T23" s="125">
        <f t="shared" si="10"/>
        <v>0</v>
      </c>
    </row>
    <row r="24" spans="2:20" ht="15">
      <c r="B24" s="726"/>
      <c r="C24" s="106"/>
      <c r="D24" s="107"/>
      <c r="E24" s="108"/>
      <c r="F24" s="105">
        <f t="shared" si="1"/>
        <v>0</v>
      </c>
      <c r="G24" s="105">
        <f t="shared" si="2"/>
        <v>0</v>
      </c>
      <c r="H24" s="105">
        <f t="shared" si="3"/>
        <v>0</v>
      </c>
      <c r="I24" s="105">
        <f t="shared" si="4"/>
        <v>0</v>
      </c>
      <c r="J24" s="81">
        <f t="shared" si="5"/>
        <v>0</v>
      </c>
      <c r="K24" s="108"/>
      <c r="L24" s="77">
        <f>+K24*(1+'1'!$C$16)</f>
        <v>0</v>
      </c>
      <c r="M24" s="77">
        <f>+L24*(1+'1'!$D$16)</f>
        <v>0</v>
      </c>
      <c r="N24" s="77">
        <f>+M24*(1+'1'!$E$16)</f>
        <v>0</v>
      </c>
      <c r="O24" s="77">
        <f>+N24*(1+'1'!$F$16)</f>
        <v>0</v>
      </c>
      <c r="P24" s="124">
        <f t="shared" si="6"/>
        <v>0</v>
      </c>
      <c r="Q24" s="124">
        <f t="shared" si="7"/>
        <v>0</v>
      </c>
      <c r="R24" s="124">
        <f t="shared" si="8"/>
        <v>0</v>
      </c>
      <c r="S24" s="124">
        <f t="shared" si="9"/>
        <v>0</v>
      </c>
      <c r="T24" s="125">
        <f t="shared" si="10"/>
        <v>0</v>
      </c>
    </row>
    <row r="25" spans="2:20" ht="15">
      <c r="B25" s="726"/>
      <c r="C25" s="106"/>
      <c r="D25" s="107"/>
      <c r="E25" s="108"/>
      <c r="F25" s="105">
        <f t="shared" si="1"/>
        <v>0</v>
      </c>
      <c r="G25" s="105">
        <f t="shared" si="2"/>
        <v>0</v>
      </c>
      <c r="H25" s="105">
        <f t="shared" si="3"/>
        <v>0</v>
      </c>
      <c r="I25" s="105">
        <f t="shared" si="4"/>
        <v>0</v>
      </c>
      <c r="J25" s="81">
        <f t="shared" si="5"/>
        <v>0</v>
      </c>
      <c r="K25" s="108"/>
      <c r="L25" s="77">
        <f>+K25*(1+'1'!$C$16)</f>
        <v>0</v>
      </c>
      <c r="M25" s="77">
        <f>+L25*(1+'1'!$D$16)</f>
        <v>0</v>
      </c>
      <c r="N25" s="77">
        <f>+M25*(1+'1'!$E$16)</f>
        <v>0</v>
      </c>
      <c r="O25" s="77">
        <f>+N25*(1+'1'!$F$16)</f>
        <v>0</v>
      </c>
      <c r="P25" s="124">
        <f t="shared" si="6"/>
        <v>0</v>
      </c>
      <c r="Q25" s="124">
        <f t="shared" si="7"/>
        <v>0</v>
      </c>
      <c r="R25" s="124">
        <f t="shared" si="8"/>
        <v>0</v>
      </c>
      <c r="S25" s="124">
        <f t="shared" si="9"/>
        <v>0</v>
      </c>
      <c r="T25" s="125">
        <f t="shared" si="10"/>
        <v>0</v>
      </c>
    </row>
    <row r="26" spans="2:20" ht="15">
      <c r="B26" s="726"/>
      <c r="C26" s="106"/>
      <c r="D26" s="107"/>
      <c r="E26" s="108"/>
      <c r="F26" s="105">
        <f t="shared" si="1"/>
        <v>0</v>
      </c>
      <c r="G26" s="105">
        <f t="shared" si="2"/>
        <v>0</v>
      </c>
      <c r="H26" s="105">
        <f t="shared" si="3"/>
        <v>0</v>
      </c>
      <c r="I26" s="105">
        <f t="shared" si="4"/>
        <v>0</v>
      </c>
      <c r="J26" s="81">
        <f t="shared" si="5"/>
        <v>0</v>
      </c>
      <c r="K26" s="108"/>
      <c r="L26" s="77">
        <f>+K26*(1+'1'!$C$16)</f>
        <v>0</v>
      </c>
      <c r="M26" s="77">
        <f>+L26*(1+'1'!$D$16)</f>
        <v>0</v>
      </c>
      <c r="N26" s="77">
        <f>+M26*(1+'1'!$E$16)</f>
        <v>0</v>
      </c>
      <c r="O26" s="77">
        <f>+N26*(1+'1'!$F$16)</f>
        <v>0</v>
      </c>
      <c r="P26" s="124">
        <f t="shared" si="6"/>
        <v>0</v>
      </c>
      <c r="Q26" s="124">
        <f t="shared" si="7"/>
        <v>0</v>
      </c>
      <c r="R26" s="124">
        <f t="shared" si="8"/>
        <v>0</v>
      </c>
      <c r="S26" s="124">
        <f t="shared" si="9"/>
        <v>0</v>
      </c>
      <c r="T26" s="125">
        <f t="shared" si="10"/>
        <v>0</v>
      </c>
    </row>
    <row r="27" spans="2:20" ht="15">
      <c r="B27" s="726"/>
      <c r="C27" s="106"/>
      <c r="D27" s="107"/>
      <c r="E27" s="108"/>
      <c r="F27" s="105">
        <f t="shared" si="1"/>
        <v>0</v>
      </c>
      <c r="G27" s="105">
        <f t="shared" si="2"/>
        <v>0</v>
      </c>
      <c r="H27" s="105">
        <f t="shared" si="3"/>
        <v>0</v>
      </c>
      <c r="I27" s="105">
        <f t="shared" si="4"/>
        <v>0</v>
      </c>
      <c r="J27" s="81">
        <f t="shared" si="5"/>
        <v>0</v>
      </c>
      <c r="K27" s="108"/>
      <c r="L27" s="77">
        <f>+K27*(1+'1'!$C$16)</f>
        <v>0</v>
      </c>
      <c r="M27" s="77">
        <f>+L27*(1+'1'!$D$16)</f>
        <v>0</v>
      </c>
      <c r="N27" s="77">
        <f>+M27*(1+'1'!$E$16)</f>
        <v>0</v>
      </c>
      <c r="O27" s="77">
        <f>+N27*(1+'1'!$F$16)</f>
        <v>0</v>
      </c>
      <c r="P27" s="124">
        <f t="shared" si="6"/>
        <v>0</v>
      </c>
      <c r="Q27" s="124">
        <f t="shared" si="7"/>
        <v>0</v>
      </c>
      <c r="R27" s="124">
        <f t="shared" si="8"/>
        <v>0</v>
      </c>
      <c r="S27" s="124">
        <f t="shared" si="9"/>
        <v>0</v>
      </c>
      <c r="T27" s="125">
        <f t="shared" si="10"/>
        <v>0</v>
      </c>
    </row>
    <row r="28" spans="2:20" ht="15">
      <c r="B28" s="726"/>
      <c r="C28" s="106"/>
      <c r="D28" s="107"/>
      <c r="E28" s="108"/>
      <c r="F28" s="105">
        <f t="shared" si="1"/>
        <v>0</v>
      </c>
      <c r="G28" s="105">
        <f t="shared" si="2"/>
        <v>0</v>
      </c>
      <c r="H28" s="105">
        <f t="shared" si="3"/>
        <v>0</v>
      </c>
      <c r="I28" s="105">
        <f t="shared" si="4"/>
        <v>0</v>
      </c>
      <c r="J28" s="81">
        <f t="shared" si="5"/>
        <v>0</v>
      </c>
      <c r="K28" s="108"/>
      <c r="L28" s="77">
        <f>+K28*(1+'1'!$C$16)</f>
        <v>0</v>
      </c>
      <c r="M28" s="77">
        <f>+L28*(1+'1'!$D$16)</f>
        <v>0</v>
      </c>
      <c r="N28" s="77">
        <f>+M28*(1+'1'!$E$16)</f>
        <v>0</v>
      </c>
      <c r="O28" s="77">
        <f>+N28*(1+'1'!$F$16)</f>
        <v>0</v>
      </c>
      <c r="P28" s="124">
        <f t="shared" si="6"/>
        <v>0</v>
      </c>
      <c r="Q28" s="124">
        <f t="shared" si="7"/>
        <v>0</v>
      </c>
      <c r="R28" s="124">
        <f t="shared" si="8"/>
        <v>0</v>
      </c>
      <c r="S28" s="124">
        <f t="shared" si="9"/>
        <v>0</v>
      </c>
      <c r="T28" s="125">
        <f t="shared" si="10"/>
        <v>0</v>
      </c>
    </row>
    <row r="29" spans="2:20" ht="15">
      <c r="B29" s="726"/>
      <c r="C29" s="106"/>
      <c r="D29" s="107"/>
      <c r="E29" s="108"/>
      <c r="F29" s="105">
        <f t="shared" si="1"/>
        <v>0</v>
      </c>
      <c r="G29" s="105">
        <f t="shared" si="2"/>
        <v>0</v>
      </c>
      <c r="H29" s="105">
        <f t="shared" si="3"/>
        <v>0</v>
      </c>
      <c r="I29" s="105">
        <f t="shared" si="4"/>
        <v>0</v>
      </c>
      <c r="J29" s="81">
        <f t="shared" si="5"/>
        <v>0</v>
      </c>
      <c r="K29" s="108"/>
      <c r="L29" s="77">
        <f>+K29*(1+'1'!$C$16)</f>
        <v>0</v>
      </c>
      <c r="M29" s="77">
        <f>+L29*(1+'1'!$D$16)</f>
        <v>0</v>
      </c>
      <c r="N29" s="77">
        <f>+M29*(1+'1'!$E$16)</f>
        <v>0</v>
      </c>
      <c r="O29" s="77">
        <f>+N29*(1+'1'!$F$16)</f>
        <v>0</v>
      </c>
      <c r="P29" s="124">
        <f t="shared" si="6"/>
        <v>0</v>
      </c>
      <c r="Q29" s="124">
        <f t="shared" si="7"/>
        <v>0</v>
      </c>
      <c r="R29" s="124">
        <f t="shared" si="8"/>
        <v>0</v>
      </c>
      <c r="S29" s="124">
        <f t="shared" si="9"/>
        <v>0</v>
      </c>
      <c r="T29" s="125">
        <f t="shared" si="10"/>
        <v>0</v>
      </c>
    </row>
    <row r="30" spans="2:20" ht="15">
      <c r="B30" s="726"/>
      <c r="C30" s="106"/>
      <c r="D30" s="107"/>
      <c r="E30" s="108"/>
      <c r="F30" s="105">
        <f t="shared" si="1"/>
        <v>0</v>
      </c>
      <c r="G30" s="105">
        <f t="shared" si="2"/>
        <v>0</v>
      </c>
      <c r="H30" s="105">
        <f t="shared" si="3"/>
        <v>0</v>
      </c>
      <c r="I30" s="105">
        <f t="shared" si="4"/>
        <v>0</v>
      </c>
      <c r="J30" s="81">
        <f t="shared" si="5"/>
        <v>0</v>
      </c>
      <c r="K30" s="108"/>
      <c r="L30" s="77">
        <f>+K30*(1+'1'!$C$16)</f>
        <v>0</v>
      </c>
      <c r="M30" s="77">
        <f>+L30*(1+'1'!$D$16)</f>
        <v>0</v>
      </c>
      <c r="N30" s="77">
        <f>+M30*(1+'1'!$E$16)</f>
        <v>0</v>
      </c>
      <c r="O30" s="77">
        <f>+N30*(1+'1'!$F$16)</f>
        <v>0</v>
      </c>
      <c r="P30" s="124">
        <f t="shared" si="6"/>
        <v>0</v>
      </c>
      <c r="Q30" s="124">
        <f t="shared" si="7"/>
        <v>0</v>
      </c>
      <c r="R30" s="124">
        <f t="shared" si="8"/>
        <v>0</v>
      </c>
      <c r="S30" s="124">
        <f t="shared" si="9"/>
        <v>0</v>
      </c>
      <c r="T30" s="125">
        <f t="shared" si="10"/>
        <v>0</v>
      </c>
    </row>
    <row r="31" spans="2:20" ht="15">
      <c r="B31" s="726"/>
      <c r="C31" s="109"/>
      <c r="D31" s="107"/>
      <c r="E31" s="108"/>
      <c r="F31" s="105">
        <f t="shared" si="1"/>
        <v>0</v>
      </c>
      <c r="G31" s="105">
        <f t="shared" si="2"/>
        <v>0</v>
      </c>
      <c r="H31" s="105">
        <f t="shared" si="3"/>
        <v>0</v>
      </c>
      <c r="I31" s="105">
        <f t="shared" si="4"/>
        <v>0</v>
      </c>
      <c r="J31" s="81">
        <f t="shared" si="5"/>
        <v>0</v>
      </c>
      <c r="K31" s="108"/>
      <c r="L31" s="77">
        <f>+K31*(1+'1'!$C$16)</f>
        <v>0</v>
      </c>
      <c r="M31" s="77">
        <f>+L31*(1+'1'!$D$16)</f>
        <v>0</v>
      </c>
      <c r="N31" s="77">
        <f>+M31*(1+'1'!$E$16)</f>
        <v>0</v>
      </c>
      <c r="O31" s="77">
        <f>+N31*(1+'1'!$F$16)</f>
        <v>0</v>
      </c>
      <c r="P31" s="124">
        <f t="shared" si="6"/>
        <v>0</v>
      </c>
      <c r="Q31" s="124">
        <f t="shared" si="7"/>
        <v>0</v>
      </c>
      <c r="R31" s="124">
        <f t="shared" si="8"/>
        <v>0</v>
      </c>
      <c r="S31" s="124">
        <f t="shared" si="9"/>
        <v>0</v>
      </c>
      <c r="T31" s="125">
        <f t="shared" si="10"/>
        <v>0</v>
      </c>
    </row>
    <row r="32" spans="2:20" ht="15">
      <c r="B32" s="726"/>
      <c r="C32" s="109"/>
      <c r="D32" s="107"/>
      <c r="E32" s="108"/>
      <c r="F32" s="105">
        <f t="shared" si="1"/>
        <v>0</v>
      </c>
      <c r="G32" s="105">
        <f t="shared" si="2"/>
        <v>0</v>
      </c>
      <c r="H32" s="105">
        <f t="shared" si="3"/>
        <v>0</v>
      </c>
      <c r="I32" s="105">
        <f t="shared" si="4"/>
        <v>0</v>
      </c>
      <c r="J32" s="81">
        <f t="shared" si="5"/>
        <v>0</v>
      </c>
      <c r="K32" s="108"/>
      <c r="L32" s="77">
        <f>+K32*(1+'1'!$C$16)</f>
        <v>0</v>
      </c>
      <c r="M32" s="77">
        <f>+L32*(1+'1'!$D$16)</f>
        <v>0</v>
      </c>
      <c r="N32" s="77">
        <f>+M32*(1+'1'!$E$16)</f>
        <v>0</v>
      </c>
      <c r="O32" s="77">
        <f>+N32*(1+'1'!$F$16)</f>
        <v>0</v>
      </c>
      <c r="P32" s="124">
        <f t="shared" si="6"/>
        <v>0</v>
      </c>
      <c r="Q32" s="124">
        <f t="shared" si="7"/>
        <v>0</v>
      </c>
      <c r="R32" s="124">
        <f t="shared" si="8"/>
        <v>0</v>
      </c>
      <c r="S32" s="124">
        <f t="shared" si="9"/>
        <v>0</v>
      </c>
      <c r="T32" s="125">
        <f t="shared" si="10"/>
        <v>0</v>
      </c>
    </row>
    <row r="33" spans="2:20" ht="15">
      <c r="B33" s="726"/>
      <c r="C33" s="109"/>
      <c r="D33" s="110"/>
      <c r="E33" s="108"/>
      <c r="F33" s="105">
        <f t="shared" si="1"/>
        <v>0</v>
      </c>
      <c r="G33" s="105">
        <f t="shared" si="2"/>
        <v>0</v>
      </c>
      <c r="H33" s="105">
        <f t="shared" si="3"/>
        <v>0</v>
      </c>
      <c r="I33" s="105">
        <f t="shared" si="4"/>
        <v>0</v>
      </c>
      <c r="J33" s="81">
        <f t="shared" si="5"/>
        <v>0</v>
      </c>
      <c r="K33" s="108"/>
      <c r="L33" s="77">
        <f>+K33*(1+'1'!$C$16)</f>
        <v>0</v>
      </c>
      <c r="M33" s="77">
        <f>+L33*(1+'1'!$D$16)</f>
        <v>0</v>
      </c>
      <c r="N33" s="77">
        <f>+M33*(1+'1'!$E$16)</f>
        <v>0</v>
      </c>
      <c r="O33" s="77">
        <f>+N33*(1+'1'!$F$16)</f>
        <v>0</v>
      </c>
      <c r="P33" s="124">
        <f t="shared" si="6"/>
        <v>0</v>
      </c>
      <c r="Q33" s="124">
        <f t="shared" si="7"/>
        <v>0</v>
      </c>
      <c r="R33" s="124">
        <f t="shared" si="8"/>
        <v>0</v>
      </c>
      <c r="S33" s="124">
        <f t="shared" si="9"/>
        <v>0</v>
      </c>
      <c r="T33" s="125">
        <f t="shared" si="10"/>
        <v>0</v>
      </c>
    </row>
    <row r="34" spans="2:20" ht="15">
      <c r="B34" s="726"/>
      <c r="C34" s="111"/>
      <c r="D34" s="112"/>
      <c r="E34" s="113"/>
      <c r="F34" s="105">
        <f t="shared" si="1"/>
        <v>0</v>
      </c>
      <c r="G34" s="105">
        <f t="shared" si="2"/>
        <v>0</v>
      </c>
      <c r="H34" s="105">
        <f t="shared" si="3"/>
        <v>0</v>
      </c>
      <c r="I34" s="105">
        <f t="shared" si="4"/>
        <v>0</v>
      </c>
      <c r="J34" s="81">
        <f t="shared" si="5"/>
        <v>0</v>
      </c>
      <c r="K34" s="108"/>
      <c r="L34" s="77">
        <f>+K34*(1+'1'!$C$16)</f>
        <v>0</v>
      </c>
      <c r="M34" s="77">
        <f>+L34*(1+'1'!$D$16)</f>
        <v>0</v>
      </c>
      <c r="N34" s="77">
        <f>+M34*(1+'1'!$E$16)</f>
        <v>0</v>
      </c>
      <c r="O34" s="77">
        <f>+N34*(1+'1'!$F$16)</f>
        <v>0</v>
      </c>
      <c r="P34" s="124">
        <f t="shared" si="6"/>
        <v>0</v>
      </c>
      <c r="Q34" s="124">
        <f t="shared" si="7"/>
        <v>0</v>
      </c>
      <c r="R34" s="124">
        <f t="shared" si="8"/>
        <v>0</v>
      </c>
      <c r="S34" s="124">
        <f t="shared" si="9"/>
        <v>0</v>
      </c>
      <c r="T34" s="125">
        <f t="shared" si="10"/>
        <v>0</v>
      </c>
    </row>
    <row r="35" spans="2:20" ht="13.5" thickBot="1">
      <c r="B35" s="726"/>
      <c r="C35" s="707" t="s">
        <v>13</v>
      </c>
      <c r="D35" s="707"/>
      <c r="E35" s="707"/>
      <c r="F35" s="707"/>
      <c r="G35" s="707"/>
      <c r="H35" s="707"/>
      <c r="I35" s="707"/>
      <c r="J35" s="707"/>
      <c r="K35" s="707"/>
      <c r="L35" s="707"/>
      <c r="M35" s="707"/>
      <c r="N35" s="707"/>
      <c r="O35" s="707"/>
      <c r="P35" s="126">
        <f>SUM(P14:P34)</f>
        <v>0</v>
      </c>
      <c r="Q35" s="126">
        <f>SUM(Q14:Q34)</f>
        <v>0</v>
      </c>
      <c r="R35" s="126">
        <f>SUM(R14:R34)</f>
        <v>0</v>
      </c>
      <c r="S35" s="126">
        <f>SUM(S14:S34)</f>
        <v>0</v>
      </c>
      <c r="T35" s="127">
        <f>SUM(T14:T34)</f>
        <v>0</v>
      </c>
    </row>
    <row r="36" spans="2:20">
      <c r="B36" s="726"/>
      <c r="C36" s="114" t="s">
        <v>11</v>
      </c>
      <c r="D36" s="82"/>
      <c r="E36" s="79"/>
      <c r="F36" s="79"/>
      <c r="G36" s="79"/>
      <c r="H36" s="79"/>
      <c r="I36" s="79"/>
      <c r="J36" s="79"/>
      <c r="K36" s="79"/>
      <c r="L36" s="79"/>
      <c r="M36" s="79"/>
      <c r="N36" s="79"/>
      <c r="O36" s="79"/>
      <c r="P36" s="79"/>
      <c r="Q36" s="79"/>
      <c r="R36" s="79"/>
      <c r="S36" s="79"/>
      <c r="T36" s="80"/>
    </row>
    <row r="37" spans="2:20" ht="15">
      <c r="B37" s="726"/>
      <c r="C37" s="106" t="s">
        <v>454</v>
      </c>
      <c r="D37" s="107">
        <v>12</v>
      </c>
      <c r="E37" s="108">
        <v>4</v>
      </c>
      <c r="F37" s="105">
        <f>E37*(1+$J$6)</f>
        <v>4.04</v>
      </c>
      <c r="G37" s="105">
        <f>F37*(1+$K$6)</f>
        <v>4.1208</v>
      </c>
      <c r="H37" s="105">
        <f>G37*(1+$L$6)</f>
        <v>4.2444239999999995</v>
      </c>
      <c r="I37" s="105">
        <f>H37*(1+$M$6)</f>
        <v>4.4142009599999996</v>
      </c>
      <c r="J37" s="81">
        <f t="shared" ref="J37:J44" si="11">IF(E37=0,0,E37*1/$C$5)</f>
        <v>2.3148148148148149E-4</v>
      </c>
      <c r="K37" s="108">
        <v>1800000</v>
      </c>
      <c r="L37" s="77">
        <f>K37*(1+'1'!$C$16)</f>
        <v>1872005.392349618</v>
      </c>
      <c r="M37" s="77">
        <f>L37*(1+'1'!$D$16)</f>
        <v>1946891.2161033596</v>
      </c>
      <c r="N37" s="77">
        <f>M37*(1+'1'!$E$16)</f>
        <v>2024772.6971464416</v>
      </c>
      <c r="O37" s="77">
        <f>N37*(1+'1'!$F$16)</f>
        <v>2105769.6707446771</v>
      </c>
      <c r="P37" s="124">
        <f>J37*K37*$C$5</f>
        <v>7200000</v>
      </c>
      <c r="Q37" s="124">
        <f t="shared" ref="Q37:Q44" si="12">J37*L37*$D$5</f>
        <v>7562901.7850924563</v>
      </c>
      <c r="R37" s="124">
        <f t="shared" ref="R37:R44" si="13">J37*M37*$E$5</f>
        <v>8022749.3233187245</v>
      </c>
      <c r="S37" s="124">
        <f t="shared" ref="S37:S44" si="14">J37*N37*$F$5</f>
        <v>8593993.8303130865</v>
      </c>
      <c r="T37" s="125">
        <f t="shared" ref="T37:T44" si="15">J37*O37*$G$5</f>
        <v>9295290.5021400377</v>
      </c>
    </row>
    <row r="38" spans="2:20" ht="15">
      <c r="B38" s="726"/>
      <c r="C38" s="106" t="s">
        <v>455</v>
      </c>
      <c r="D38" s="107">
        <v>12</v>
      </c>
      <c r="E38" s="108">
        <v>4</v>
      </c>
      <c r="F38" s="105">
        <f t="shared" ref="F38:F44" si="16">E38*(1+$J$6)</f>
        <v>4.04</v>
      </c>
      <c r="G38" s="105">
        <f t="shared" ref="G38:G44" si="17">F38*(1+$K$6)</f>
        <v>4.1208</v>
      </c>
      <c r="H38" s="105">
        <f t="shared" ref="H38:H44" si="18">G38*(1+$L$6)</f>
        <v>4.2444239999999995</v>
      </c>
      <c r="I38" s="105">
        <f t="shared" ref="I38:I44" si="19">H38*(1+$M$6)</f>
        <v>4.4142009599999996</v>
      </c>
      <c r="J38" s="81">
        <f t="shared" si="11"/>
        <v>2.3148148148148149E-4</v>
      </c>
      <c r="K38" s="108">
        <v>300000</v>
      </c>
      <c r="L38" s="77">
        <f>K38*(1+'1'!$C$16)</f>
        <v>312000.89872493636</v>
      </c>
      <c r="M38" s="77">
        <f>L38*(1+'1'!$D$16)</f>
        <v>324481.86935055995</v>
      </c>
      <c r="N38" s="77">
        <f>M38*(1+'1'!$E$16)</f>
        <v>337462.11619107361</v>
      </c>
      <c r="O38" s="77">
        <f>N38*(1+'1'!$F$16)</f>
        <v>350961.61179077951</v>
      </c>
      <c r="P38" s="124">
        <f t="shared" ref="P38:P44" si="20">J38*K38*$C$5</f>
        <v>1200000</v>
      </c>
      <c r="Q38" s="124">
        <f t="shared" si="12"/>
        <v>1260483.6308487428</v>
      </c>
      <c r="R38" s="124">
        <f t="shared" si="13"/>
        <v>1337124.8872197876</v>
      </c>
      <c r="S38" s="124">
        <f t="shared" si="14"/>
        <v>1432332.3050521815</v>
      </c>
      <c r="T38" s="125">
        <f t="shared" si="15"/>
        <v>1549215.0836900063</v>
      </c>
    </row>
    <row r="39" spans="2:20" ht="14.25">
      <c r="B39" s="726"/>
      <c r="C39" s="109"/>
      <c r="D39" s="107"/>
      <c r="E39" s="136"/>
      <c r="F39" s="105">
        <f t="shared" si="16"/>
        <v>0</v>
      </c>
      <c r="G39" s="105">
        <f t="shared" si="17"/>
        <v>0</v>
      </c>
      <c r="H39" s="105">
        <f t="shared" si="18"/>
        <v>0</v>
      </c>
      <c r="I39" s="105">
        <f t="shared" si="19"/>
        <v>0</v>
      </c>
      <c r="J39" s="81">
        <f t="shared" si="11"/>
        <v>0</v>
      </c>
      <c r="K39" s="208"/>
      <c r="L39" s="77">
        <f>K39*(1+'1'!$C$16)</f>
        <v>0</v>
      </c>
      <c r="M39" s="77">
        <f>L39*(1+'1'!$D$16)</f>
        <v>0</v>
      </c>
      <c r="N39" s="77">
        <f>M39*(1+'1'!$E$16)</f>
        <v>0</v>
      </c>
      <c r="O39" s="77">
        <f>N39*(1+'1'!$F$16)</f>
        <v>0</v>
      </c>
      <c r="P39" s="124">
        <f t="shared" si="20"/>
        <v>0</v>
      </c>
      <c r="Q39" s="124">
        <f t="shared" si="12"/>
        <v>0</v>
      </c>
      <c r="R39" s="124">
        <f t="shared" si="13"/>
        <v>0</v>
      </c>
      <c r="S39" s="124">
        <f t="shared" si="14"/>
        <v>0</v>
      </c>
      <c r="T39" s="125">
        <f t="shared" si="15"/>
        <v>0</v>
      </c>
    </row>
    <row r="40" spans="2:20" ht="14.25">
      <c r="B40" s="726"/>
      <c r="C40" s="109"/>
      <c r="D40" s="107"/>
      <c r="E40" s="136"/>
      <c r="F40" s="105">
        <f t="shared" si="16"/>
        <v>0</v>
      </c>
      <c r="G40" s="105">
        <f t="shared" si="17"/>
        <v>0</v>
      </c>
      <c r="H40" s="105">
        <f t="shared" si="18"/>
        <v>0</v>
      </c>
      <c r="I40" s="105">
        <f t="shared" si="19"/>
        <v>0</v>
      </c>
      <c r="J40" s="81">
        <f t="shared" si="11"/>
        <v>0</v>
      </c>
      <c r="K40" s="208"/>
      <c r="L40" s="77">
        <f>K40*(1+'1'!$C$16)</f>
        <v>0</v>
      </c>
      <c r="M40" s="77">
        <f>L40*(1+'1'!$D$16)</f>
        <v>0</v>
      </c>
      <c r="N40" s="77">
        <f>M40*(1+'1'!$E$16)</f>
        <v>0</v>
      </c>
      <c r="O40" s="77">
        <f>N40*(1+'1'!$F$16)</f>
        <v>0</v>
      </c>
      <c r="P40" s="124">
        <f t="shared" si="20"/>
        <v>0</v>
      </c>
      <c r="Q40" s="124">
        <f t="shared" si="12"/>
        <v>0</v>
      </c>
      <c r="R40" s="124">
        <f t="shared" si="13"/>
        <v>0</v>
      </c>
      <c r="S40" s="124">
        <f t="shared" si="14"/>
        <v>0</v>
      </c>
      <c r="T40" s="125">
        <f t="shared" si="15"/>
        <v>0</v>
      </c>
    </row>
    <row r="41" spans="2:20" ht="14.25">
      <c r="B41" s="726"/>
      <c r="C41" s="109"/>
      <c r="D41" s="107"/>
      <c r="E41" s="136"/>
      <c r="F41" s="105">
        <f t="shared" si="16"/>
        <v>0</v>
      </c>
      <c r="G41" s="105">
        <f t="shared" si="17"/>
        <v>0</v>
      </c>
      <c r="H41" s="105">
        <f t="shared" si="18"/>
        <v>0</v>
      </c>
      <c r="I41" s="105">
        <f t="shared" si="19"/>
        <v>0</v>
      </c>
      <c r="J41" s="81">
        <f t="shared" si="11"/>
        <v>0</v>
      </c>
      <c r="K41" s="208"/>
      <c r="L41" s="77">
        <f>K41*(1+'1'!$C$16)</f>
        <v>0</v>
      </c>
      <c r="M41" s="77">
        <f>L41*(1+'1'!$D$16)</f>
        <v>0</v>
      </c>
      <c r="N41" s="77">
        <f>M41*(1+'1'!$E$16)</f>
        <v>0</v>
      </c>
      <c r="O41" s="77">
        <f>N41*(1+'1'!$F$16)</f>
        <v>0</v>
      </c>
      <c r="P41" s="124">
        <f t="shared" si="20"/>
        <v>0</v>
      </c>
      <c r="Q41" s="124">
        <f t="shared" si="12"/>
        <v>0</v>
      </c>
      <c r="R41" s="124">
        <f t="shared" si="13"/>
        <v>0</v>
      </c>
      <c r="S41" s="124">
        <f t="shared" si="14"/>
        <v>0</v>
      </c>
      <c r="T41" s="125">
        <f t="shared" si="15"/>
        <v>0</v>
      </c>
    </row>
    <row r="42" spans="2:20" ht="14.25">
      <c r="B42" s="726"/>
      <c r="C42" s="109"/>
      <c r="D42" s="110"/>
      <c r="E42" s="136"/>
      <c r="F42" s="105">
        <f t="shared" si="16"/>
        <v>0</v>
      </c>
      <c r="G42" s="105">
        <f t="shared" si="17"/>
        <v>0</v>
      </c>
      <c r="H42" s="105">
        <f t="shared" si="18"/>
        <v>0</v>
      </c>
      <c r="I42" s="105">
        <f t="shared" si="19"/>
        <v>0</v>
      </c>
      <c r="J42" s="81">
        <f t="shared" si="11"/>
        <v>0</v>
      </c>
      <c r="K42" s="208"/>
      <c r="L42" s="77">
        <f>K42*(1+'1'!$C$16)</f>
        <v>0</v>
      </c>
      <c r="M42" s="77">
        <f>L42*(1+'1'!$D$16)</f>
        <v>0</v>
      </c>
      <c r="N42" s="77">
        <f>M42*(1+'1'!$E$16)</f>
        <v>0</v>
      </c>
      <c r="O42" s="77">
        <f>N42*(1+'1'!$F$16)</f>
        <v>0</v>
      </c>
      <c r="P42" s="124">
        <f t="shared" si="20"/>
        <v>0</v>
      </c>
      <c r="Q42" s="124">
        <f t="shared" si="12"/>
        <v>0</v>
      </c>
      <c r="R42" s="124">
        <f t="shared" si="13"/>
        <v>0</v>
      </c>
      <c r="S42" s="124">
        <f t="shared" si="14"/>
        <v>0</v>
      </c>
      <c r="T42" s="125">
        <f t="shared" si="15"/>
        <v>0</v>
      </c>
    </row>
    <row r="43" spans="2:20" ht="14.25">
      <c r="B43" s="726"/>
      <c r="C43" s="109"/>
      <c r="D43" s="110"/>
      <c r="E43" s="136"/>
      <c r="F43" s="105">
        <f t="shared" si="16"/>
        <v>0</v>
      </c>
      <c r="G43" s="105">
        <f t="shared" si="17"/>
        <v>0</v>
      </c>
      <c r="H43" s="105">
        <f t="shared" si="18"/>
        <v>0</v>
      </c>
      <c r="I43" s="105">
        <f t="shared" si="19"/>
        <v>0</v>
      </c>
      <c r="J43" s="81">
        <f t="shared" si="11"/>
        <v>0</v>
      </c>
      <c r="K43" s="208"/>
      <c r="L43" s="77">
        <f>K43*(1+'1'!$C$16)</f>
        <v>0</v>
      </c>
      <c r="M43" s="77">
        <f>L43*(1+'1'!$D$16)</f>
        <v>0</v>
      </c>
      <c r="N43" s="77">
        <f>M43*(1+'1'!$E$16)</f>
        <v>0</v>
      </c>
      <c r="O43" s="77">
        <f>N43*(1+'1'!$F$16)</f>
        <v>0</v>
      </c>
      <c r="P43" s="124">
        <f t="shared" si="20"/>
        <v>0</v>
      </c>
      <c r="Q43" s="124">
        <f t="shared" si="12"/>
        <v>0</v>
      </c>
      <c r="R43" s="124">
        <f t="shared" si="13"/>
        <v>0</v>
      </c>
      <c r="S43" s="124">
        <f t="shared" si="14"/>
        <v>0</v>
      </c>
      <c r="T43" s="125">
        <f t="shared" si="15"/>
        <v>0</v>
      </c>
    </row>
    <row r="44" spans="2:20" ht="14.25">
      <c r="B44" s="726"/>
      <c r="C44" s="109"/>
      <c r="D44" s="110"/>
      <c r="E44" s="136"/>
      <c r="F44" s="105">
        <f t="shared" si="16"/>
        <v>0</v>
      </c>
      <c r="G44" s="105">
        <f t="shared" si="17"/>
        <v>0</v>
      </c>
      <c r="H44" s="105">
        <f t="shared" si="18"/>
        <v>0</v>
      </c>
      <c r="I44" s="105">
        <f t="shared" si="19"/>
        <v>0</v>
      </c>
      <c r="J44" s="81">
        <f t="shared" si="11"/>
        <v>0</v>
      </c>
      <c r="K44" s="208"/>
      <c r="L44" s="77">
        <f>K44*(1+'1'!$C$16)</f>
        <v>0</v>
      </c>
      <c r="M44" s="77">
        <f>L44*(1+'1'!$D$16)</f>
        <v>0</v>
      </c>
      <c r="N44" s="77">
        <f>M44*(1+'1'!$E$16)</f>
        <v>0</v>
      </c>
      <c r="O44" s="77">
        <f>N44*(1+'1'!$F$16)</f>
        <v>0</v>
      </c>
      <c r="P44" s="124">
        <f t="shared" si="20"/>
        <v>0</v>
      </c>
      <c r="Q44" s="124">
        <f t="shared" si="12"/>
        <v>0</v>
      </c>
      <c r="R44" s="124">
        <f t="shared" si="13"/>
        <v>0</v>
      </c>
      <c r="S44" s="124">
        <f t="shared" si="14"/>
        <v>0</v>
      </c>
      <c r="T44" s="125">
        <f t="shared" si="15"/>
        <v>0</v>
      </c>
    </row>
    <row r="45" spans="2:20" ht="13.5" thickBot="1">
      <c r="B45" s="726"/>
      <c r="C45" s="707" t="s">
        <v>13</v>
      </c>
      <c r="D45" s="707"/>
      <c r="E45" s="707"/>
      <c r="F45" s="707"/>
      <c r="G45" s="707"/>
      <c r="H45" s="707"/>
      <c r="I45" s="707"/>
      <c r="J45" s="707"/>
      <c r="K45" s="707"/>
      <c r="L45" s="707"/>
      <c r="M45" s="707"/>
      <c r="N45" s="707"/>
      <c r="O45" s="707"/>
      <c r="P45" s="126">
        <f>SUM(P37:P44)</f>
        <v>8400000</v>
      </c>
      <c r="Q45" s="126">
        <f>SUM(Q37:Q44)</f>
        <v>8823385.4159411993</v>
      </c>
      <c r="R45" s="126">
        <f>SUM(R37:R44)</f>
        <v>9359874.2105385121</v>
      </c>
      <c r="S45" s="126">
        <f>SUM(S37:S44)</f>
        <v>10026326.135365268</v>
      </c>
      <c r="T45" s="126">
        <f>SUM(T37:T44)</f>
        <v>10844505.585830044</v>
      </c>
    </row>
    <row r="46" spans="2:20" ht="14.25" customHeight="1">
      <c r="B46" s="726"/>
      <c r="C46" s="114" t="s">
        <v>132</v>
      </c>
      <c r="D46" s="711">
        <f>K46*(1+'1'!$C$16)</f>
        <v>0</v>
      </c>
      <c r="E46" s="711"/>
      <c r="F46" s="711"/>
      <c r="G46" s="711"/>
      <c r="H46" s="711"/>
      <c r="I46" s="711"/>
      <c r="J46" s="711"/>
      <c r="K46" s="711"/>
      <c r="L46" s="711"/>
      <c r="M46" s="711"/>
      <c r="N46" s="711"/>
      <c r="O46" s="711"/>
      <c r="P46" s="711"/>
      <c r="Q46" s="711"/>
      <c r="R46" s="711"/>
      <c r="S46" s="711"/>
      <c r="T46" s="712"/>
    </row>
    <row r="47" spans="2:20" ht="14.25">
      <c r="B47" s="726"/>
      <c r="C47" s="109"/>
      <c r="D47" s="107"/>
      <c r="E47" s="136"/>
      <c r="F47" s="105">
        <f>E47*(1+$J$6)</f>
        <v>0</v>
      </c>
      <c r="G47" s="105">
        <f>F47*(1+$K$6)</f>
        <v>0</v>
      </c>
      <c r="H47" s="105">
        <f>G47*(1+$L$6)</f>
        <v>0</v>
      </c>
      <c r="I47" s="105">
        <f>H47*(1+$M$6)</f>
        <v>0</v>
      </c>
      <c r="J47" s="81">
        <f t="shared" ref="J47:J53" si="21">IF(E47=0,0,E47*1/$C$5)</f>
        <v>0</v>
      </c>
      <c r="K47" s="107"/>
      <c r="L47" s="77">
        <f>K47*(1+'1'!$C$16)</f>
        <v>0</v>
      </c>
      <c r="M47" s="77">
        <f>L47*(1+'1'!$D$16)</f>
        <v>0</v>
      </c>
      <c r="N47" s="77">
        <f>M47*(1+'1'!$E$16)</f>
        <v>0</v>
      </c>
      <c r="O47" s="77">
        <f>N47*(1+'1'!$F$16)</f>
        <v>0</v>
      </c>
      <c r="P47" s="124">
        <f t="shared" ref="P47:P53" si="22">J47*K47*$C$5</f>
        <v>0</v>
      </c>
      <c r="Q47" s="124">
        <f t="shared" ref="Q47:Q53" si="23">J47*L47*$D$5</f>
        <v>0</v>
      </c>
      <c r="R47" s="124">
        <f t="shared" ref="R47:R53" si="24">J47*M47*$E$5</f>
        <v>0</v>
      </c>
      <c r="S47" s="124">
        <f t="shared" ref="S47:S53" si="25">J47*N47*$F$5</f>
        <v>0</v>
      </c>
      <c r="T47" s="125">
        <f t="shared" ref="T47:T53" si="26">J47*O47*$G$5</f>
        <v>0</v>
      </c>
    </row>
    <row r="48" spans="2:20" ht="14.25">
      <c r="B48" s="726"/>
      <c r="C48" s="109"/>
      <c r="D48" s="107"/>
      <c r="E48" s="136"/>
      <c r="F48" s="105">
        <f t="shared" ref="F48:F53" si="27">E48*(1+$J$6)</f>
        <v>0</v>
      </c>
      <c r="G48" s="105">
        <f t="shared" ref="G48:G53" si="28">F48*(1+$K$6)</f>
        <v>0</v>
      </c>
      <c r="H48" s="105">
        <f t="shared" ref="H48:H53" si="29">G48*(1+$L$6)</f>
        <v>0</v>
      </c>
      <c r="I48" s="105">
        <f t="shared" ref="I48:I53" si="30">H48*(1+$M$6)</f>
        <v>0</v>
      </c>
      <c r="J48" s="81">
        <f t="shared" si="21"/>
        <v>0</v>
      </c>
      <c r="K48" s="107"/>
      <c r="L48" s="77">
        <f>K48*(1+'1'!$C$16)</f>
        <v>0</v>
      </c>
      <c r="M48" s="77">
        <f>L48*(1+'1'!$D$16)</f>
        <v>0</v>
      </c>
      <c r="N48" s="77">
        <f>M48*(1+'1'!$E$16)</f>
        <v>0</v>
      </c>
      <c r="O48" s="77">
        <f>N48*(1+'1'!$F$16)</f>
        <v>0</v>
      </c>
      <c r="P48" s="124">
        <f t="shared" si="22"/>
        <v>0</v>
      </c>
      <c r="Q48" s="124">
        <f t="shared" si="23"/>
        <v>0</v>
      </c>
      <c r="R48" s="124">
        <f t="shared" si="24"/>
        <v>0</v>
      </c>
      <c r="S48" s="124">
        <f t="shared" si="25"/>
        <v>0</v>
      </c>
      <c r="T48" s="125">
        <f t="shared" si="26"/>
        <v>0</v>
      </c>
    </row>
    <row r="49" spans="2:20" ht="14.25">
      <c r="B49" s="726"/>
      <c r="C49" s="109"/>
      <c r="D49" s="107"/>
      <c r="E49" s="136"/>
      <c r="F49" s="105">
        <f t="shared" si="27"/>
        <v>0</v>
      </c>
      <c r="G49" s="105">
        <f t="shared" si="28"/>
        <v>0</v>
      </c>
      <c r="H49" s="105">
        <f t="shared" si="29"/>
        <v>0</v>
      </c>
      <c r="I49" s="105">
        <f t="shared" si="30"/>
        <v>0</v>
      </c>
      <c r="J49" s="81">
        <f t="shared" si="21"/>
        <v>0</v>
      </c>
      <c r="K49" s="107"/>
      <c r="L49" s="77">
        <f>K49*(1+'1'!$C$16)</f>
        <v>0</v>
      </c>
      <c r="M49" s="77">
        <f>L49*(1+'1'!$D$16)</f>
        <v>0</v>
      </c>
      <c r="N49" s="77">
        <f>M49*(1+'1'!$E$16)</f>
        <v>0</v>
      </c>
      <c r="O49" s="77">
        <f>N49*(1+'1'!$F$16)</f>
        <v>0</v>
      </c>
      <c r="P49" s="124">
        <f t="shared" si="22"/>
        <v>0</v>
      </c>
      <c r="Q49" s="124">
        <f t="shared" si="23"/>
        <v>0</v>
      </c>
      <c r="R49" s="124">
        <f t="shared" si="24"/>
        <v>0</v>
      </c>
      <c r="S49" s="124">
        <f t="shared" si="25"/>
        <v>0</v>
      </c>
      <c r="T49" s="125">
        <f t="shared" si="26"/>
        <v>0</v>
      </c>
    </row>
    <row r="50" spans="2:20" ht="14.25">
      <c r="B50" s="726"/>
      <c r="C50" s="109"/>
      <c r="D50" s="107"/>
      <c r="E50" s="136"/>
      <c r="F50" s="105">
        <f t="shared" si="27"/>
        <v>0</v>
      </c>
      <c r="G50" s="105">
        <f t="shared" si="28"/>
        <v>0</v>
      </c>
      <c r="H50" s="105">
        <f t="shared" si="29"/>
        <v>0</v>
      </c>
      <c r="I50" s="105">
        <f t="shared" si="30"/>
        <v>0</v>
      </c>
      <c r="J50" s="81">
        <f t="shared" si="21"/>
        <v>0</v>
      </c>
      <c r="K50" s="107"/>
      <c r="L50" s="77">
        <f>K50*(1+'1'!$C$16)</f>
        <v>0</v>
      </c>
      <c r="M50" s="77">
        <f>L50*(1+'1'!$D$16)</f>
        <v>0</v>
      </c>
      <c r="N50" s="77">
        <f>M50*(1+'1'!$E$16)</f>
        <v>0</v>
      </c>
      <c r="O50" s="77">
        <f>N50*(1+'1'!$F$16)</f>
        <v>0</v>
      </c>
      <c r="P50" s="124">
        <f t="shared" si="22"/>
        <v>0</v>
      </c>
      <c r="Q50" s="124">
        <f t="shared" si="23"/>
        <v>0</v>
      </c>
      <c r="R50" s="124">
        <f t="shared" si="24"/>
        <v>0</v>
      </c>
      <c r="S50" s="124">
        <f t="shared" si="25"/>
        <v>0</v>
      </c>
      <c r="T50" s="125">
        <f t="shared" si="26"/>
        <v>0</v>
      </c>
    </row>
    <row r="51" spans="2:20" ht="14.25">
      <c r="B51" s="726"/>
      <c r="C51" s="109"/>
      <c r="D51" s="107"/>
      <c r="E51" s="136"/>
      <c r="F51" s="105">
        <f t="shared" si="27"/>
        <v>0</v>
      </c>
      <c r="G51" s="105">
        <f t="shared" si="28"/>
        <v>0</v>
      </c>
      <c r="H51" s="105">
        <f t="shared" si="29"/>
        <v>0</v>
      </c>
      <c r="I51" s="105">
        <f t="shared" si="30"/>
        <v>0</v>
      </c>
      <c r="J51" s="81">
        <f t="shared" si="21"/>
        <v>0</v>
      </c>
      <c r="K51" s="107"/>
      <c r="L51" s="77">
        <f>K51*(1+'1'!$C$16)</f>
        <v>0</v>
      </c>
      <c r="M51" s="77">
        <f>L51*(1+'1'!$D$16)</f>
        <v>0</v>
      </c>
      <c r="N51" s="77">
        <f>M51*(1+'1'!$E$16)</f>
        <v>0</v>
      </c>
      <c r="O51" s="77">
        <f>N51*(1+'1'!$F$16)</f>
        <v>0</v>
      </c>
      <c r="P51" s="124">
        <f t="shared" si="22"/>
        <v>0</v>
      </c>
      <c r="Q51" s="124">
        <f t="shared" si="23"/>
        <v>0</v>
      </c>
      <c r="R51" s="124">
        <f t="shared" si="24"/>
        <v>0</v>
      </c>
      <c r="S51" s="124">
        <f t="shared" si="25"/>
        <v>0</v>
      </c>
      <c r="T51" s="125">
        <f t="shared" si="26"/>
        <v>0</v>
      </c>
    </row>
    <row r="52" spans="2:20" ht="14.25">
      <c r="B52" s="726"/>
      <c r="C52" s="107"/>
      <c r="D52" s="107"/>
      <c r="E52" s="107"/>
      <c r="F52" s="105">
        <f t="shared" si="27"/>
        <v>0</v>
      </c>
      <c r="G52" s="105">
        <f t="shared" si="28"/>
        <v>0</v>
      </c>
      <c r="H52" s="105">
        <f t="shared" si="29"/>
        <v>0</v>
      </c>
      <c r="I52" s="105">
        <f t="shared" si="30"/>
        <v>0</v>
      </c>
      <c r="J52" s="81">
        <f t="shared" si="21"/>
        <v>0</v>
      </c>
      <c r="K52" s="107"/>
      <c r="L52" s="77">
        <f>K52*(1+'1'!$C$16)</f>
        <v>0</v>
      </c>
      <c r="M52" s="77">
        <f>L52*(1+'1'!$D$16)</f>
        <v>0</v>
      </c>
      <c r="N52" s="77">
        <f>M52*(1+'1'!$E$16)</f>
        <v>0</v>
      </c>
      <c r="O52" s="77">
        <f>N52*(1+'1'!$F$16)</f>
        <v>0</v>
      </c>
      <c r="P52" s="124">
        <f t="shared" si="22"/>
        <v>0</v>
      </c>
      <c r="Q52" s="124">
        <f t="shared" si="23"/>
        <v>0</v>
      </c>
      <c r="R52" s="124">
        <f t="shared" si="24"/>
        <v>0</v>
      </c>
      <c r="S52" s="124">
        <f>J52*N52*$F$5</f>
        <v>0</v>
      </c>
      <c r="T52" s="125">
        <f t="shared" si="26"/>
        <v>0</v>
      </c>
    </row>
    <row r="53" spans="2:20" ht="14.25">
      <c r="B53" s="726"/>
      <c r="C53" s="107"/>
      <c r="D53" s="107"/>
      <c r="E53" s="107"/>
      <c r="F53" s="105">
        <f t="shared" si="27"/>
        <v>0</v>
      </c>
      <c r="G53" s="105">
        <f t="shared" si="28"/>
        <v>0</v>
      </c>
      <c r="H53" s="105">
        <f t="shared" si="29"/>
        <v>0</v>
      </c>
      <c r="I53" s="105">
        <f t="shared" si="30"/>
        <v>0</v>
      </c>
      <c r="J53" s="81">
        <f t="shared" si="21"/>
        <v>0</v>
      </c>
      <c r="K53" s="107"/>
      <c r="L53" s="77">
        <f>K53*(1+'1'!$C$16)</f>
        <v>0</v>
      </c>
      <c r="M53" s="77">
        <f>L53*(1+'1'!$D$16)</f>
        <v>0</v>
      </c>
      <c r="N53" s="77">
        <f>M53*(1+'1'!$E$16)</f>
        <v>0</v>
      </c>
      <c r="O53" s="77">
        <f>N53*(1+'1'!$F$16)</f>
        <v>0</v>
      </c>
      <c r="P53" s="124">
        <f t="shared" si="22"/>
        <v>0</v>
      </c>
      <c r="Q53" s="124">
        <f t="shared" si="23"/>
        <v>0</v>
      </c>
      <c r="R53" s="124">
        <f t="shared" si="24"/>
        <v>0</v>
      </c>
      <c r="S53" s="124">
        <f t="shared" si="25"/>
        <v>0</v>
      </c>
      <c r="T53" s="125">
        <f t="shared" si="26"/>
        <v>0</v>
      </c>
    </row>
    <row r="54" spans="2:20" ht="13.5" thickBot="1">
      <c r="B54" s="727"/>
      <c r="C54" s="709" t="s">
        <v>13</v>
      </c>
      <c r="D54" s="707"/>
      <c r="E54" s="707"/>
      <c r="F54" s="707"/>
      <c r="G54" s="707"/>
      <c r="H54" s="707"/>
      <c r="I54" s="707"/>
      <c r="J54" s="707"/>
      <c r="K54" s="707"/>
      <c r="L54" s="707"/>
      <c r="M54" s="707"/>
      <c r="N54" s="707"/>
      <c r="O54" s="710"/>
      <c r="P54" s="126">
        <f>SUM(P47:P53)</f>
        <v>0</v>
      </c>
      <c r="Q54" s="126">
        <f>SUM(Q47:Q53)</f>
        <v>0</v>
      </c>
      <c r="R54" s="126">
        <f>SUM(R47:R53)</f>
        <v>0</v>
      </c>
      <c r="S54" s="126">
        <f>SUM(S47:S53)</f>
        <v>0</v>
      </c>
      <c r="T54" s="126">
        <f>SUM(T47:T53)</f>
        <v>0</v>
      </c>
    </row>
    <row r="55" spans="2:20" ht="12.75" customHeight="1">
      <c r="B55" s="725" t="str">
        <f>'CTOS VS ING OPER - INV INFRAEST'!B6</f>
        <v>DILIGENCIAS</v>
      </c>
      <c r="C55" s="114" t="s">
        <v>3</v>
      </c>
      <c r="D55" s="79"/>
      <c r="E55" s="79"/>
      <c r="F55" s="79"/>
      <c r="G55" s="79"/>
      <c r="H55" s="79"/>
      <c r="I55" s="79"/>
      <c r="J55" s="79"/>
      <c r="K55" s="79"/>
      <c r="L55" s="79"/>
      <c r="M55" s="79"/>
      <c r="N55" s="79"/>
      <c r="O55" s="79"/>
      <c r="P55" s="79"/>
      <c r="Q55" s="79"/>
      <c r="R55" s="79"/>
      <c r="S55" s="79"/>
      <c r="T55" s="80"/>
    </row>
    <row r="56" spans="2:20" ht="14.25" customHeight="1">
      <c r="B56" s="726"/>
      <c r="C56" s="109"/>
      <c r="D56" s="109"/>
      <c r="E56" s="109"/>
      <c r="F56" s="105">
        <f>+E56*(1+$J$7)</f>
        <v>0</v>
      </c>
      <c r="G56" s="105">
        <f>+F56*(1+$K$7)</f>
        <v>0</v>
      </c>
      <c r="H56" s="105">
        <f>+G56*(1+$L$7)</f>
        <v>0</v>
      </c>
      <c r="I56" s="105">
        <f>+H56*(1+$M$7)</f>
        <v>0</v>
      </c>
      <c r="J56" s="123">
        <f>IF(E56=0,0,+E56*1/$C$6)</f>
        <v>0</v>
      </c>
      <c r="K56" s="107"/>
      <c r="L56" s="77">
        <f>+K56*(1+'1'!$C$16)</f>
        <v>0</v>
      </c>
      <c r="M56" s="77">
        <f>+L56*(1+'1'!$D$16)</f>
        <v>0</v>
      </c>
      <c r="N56" s="77">
        <f>+M56*(1+'1'!$E$16)</f>
        <v>0</v>
      </c>
      <c r="O56" s="77">
        <f>N56*(1+'1'!$F$16)</f>
        <v>0</v>
      </c>
      <c r="P56" s="124">
        <f>J56*K56*$C$6</f>
        <v>0</v>
      </c>
      <c r="Q56" s="124">
        <f>J56*L56*$D$6</f>
        <v>0</v>
      </c>
      <c r="R56" s="124">
        <f>J56*M56*$E$6</f>
        <v>0</v>
      </c>
      <c r="S56" s="124">
        <f>J56*N56*$F$6</f>
        <v>0</v>
      </c>
      <c r="T56" s="124">
        <f>J56*O56*$G$6</f>
        <v>0</v>
      </c>
    </row>
    <row r="57" spans="2:20" ht="14.25" customHeight="1">
      <c r="B57" s="726"/>
      <c r="C57" s="109"/>
      <c r="D57" s="109"/>
      <c r="E57" s="109"/>
      <c r="F57" s="105">
        <f t="shared" ref="F57:F75" si="31">+E57*(1+$J$7)</f>
        <v>0</v>
      </c>
      <c r="G57" s="105">
        <f t="shared" ref="G57:G75" si="32">+F57*(1+$K$7)</f>
        <v>0</v>
      </c>
      <c r="H57" s="105">
        <f t="shared" ref="H57:H75" si="33">+G57*(1+$L$7)</f>
        <v>0</v>
      </c>
      <c r="I57" s="105">
        <f t="shared" ref="I57:I75" si="34">+H57*(1+$M$7)</f>
        <v>0</v>
      </c>
      <c r="J57" s="123">
        <f t="shared" ref="J57:J75" si="35">IF(E57=0,0,+E57*1/$C$6)</f>
        <v>0</v>
      </c>
      <c r="K57" s="107"/>
      <c r="L57" s="77">
        <f>+K57*(1+'1'!$C$16)</f>
        <v>0</v>
      </c>
      <c r="M57" s="77">
        <f>+L57*(1+'1'!$D$16)</f>
        <v>0</v>
      </c>
      <c r="N57" s="77">
        <f>+M57*(1+'1'!$E$16)</f>
        <v>0</v>
      </c>
      <c r="O57" s="77">
        <f>N57*(1+'1'!$F$16)</f>
        <v>0</v>
      </c>
      <c r="P57" s="124">
        <f t="shared" ref="P57:P75" si="36">J57*K57*$C$6</f>
        <v>0</v>
      </c>
      <c r="Q57" s="124">
        <f t="shared" ref="Q57:Q75" si="37">J57*L57*$D$6</f>
        <v>0</v>
      </c>
      <c r="R57" s="124">
        <f t="shared" ref="R57:R75" si="38">J57*M57*$E$6</f>
        <v>0</v>
      </c>
      <c r="S57" s="124">
        <f t="shared" ref="S57:S75" si="39">J57*N57*$F$6</f>
        <v>0</v>
      </c>
      <c r="T57" s="124">
        <f t="shared" ref="T57:T75" si="40">J57*O57*$G$6</f>
        <v>0</v>
      </c>
    </row>
    <row r="58" spans="2:20" ht="14.25" customHeight="1">
      <c r="B58" s="726"/>
      <c r="C58" s="109"/>
      <c r="D58" s="109"/>
      <c r="E58" s="109"/>
      <c r="F58" s="105">
        <f t="shared" si="31"/>
        <v>0</v>
      </c>
      <c r="G58" s="105">
        <f t="shared" si="32"/>
        <v>0</v>
      </c>
      <c r="H58" s="105">
        <f t="shared" si="33"/>
        <v>0</v>
      </c>
      <c r="I58" s="105">
        <f t="shared" si="34"/>
        <v>0</v>
      </c>
      <c r="J58" s="123">
        <f t="shared" si="35"/>
        <v>0</v>
      </c>
      <c r="K58" s="107"/>
      <c r="L58" s="77">
        <f>+K58*(1+'1'!$C$16)</f>
        <v>0</v>
      </c>
      <c r="M58" s="77">
        <f>+L58*(1+'1'!$D$16)</f>
        <v>0</v>
      </c>
      <c r="N58" s="77">
        <f>+M58*(1+'1'!$E$16)</f>
        <v>0</v>
      </c>
      <c r="O58" s="77">
        <f>N58*(1+'1'!$F$16)</f>
        <v>0</v>
      </c>
      <c r="P58" s="124">
        <f t="shared" si="36"/>
        <v>0</v>
      </c>
      <c r="Q58" s="124">
        <f t="shared" si="37"/>
        <v>0</v>
      </c>
      <c r="R58" s="124">
        <f t="shared" si="38"/>
        <v>0</v>
      </c>
      <c r="S58" s="124">
        <f t="shared" si="39"/>
        <v>0</v>
      </c>
      <c r="T58" s="124">
        <f t="shared" si="40"/>
        <v>0</v>
      </c>
    </row>
    <row r="59" spans="2:20" ht="14.25" customHeight="1">
      <c r="B59" s="726"/>
      <c r="C59" s="109"/>
      <c r="D59" s="109"/>
      <c r="E59" s="109"/>
      <c r="F59" s="105">
        <f t="shared" si="31"/>
        <v>0</v>
      </c>
      <c r="G59" s="105">
        <f t="shared" si="32"/>
        <v>0</v>
      </c>
      <c r="H59" s="105">
        <f t="shared" si="33"/>
        <v>0</v>
      </c>
      <c r="I59" s="105">
        <f t="shared" si="34"/>
        <v>0</v>
      </c>
      <c r="J59" s="123">
        <f t="shared" si="35"/>
        <v>0</v>
      </c>
      <c r="K59" s="107"/>
      <c r="L59" s="77">
        <f>+K59*(1+'1'!$C$16)</f>
        <v>0</v>
      </c>
      <c r="M59" s="77">
        <f>+L59*(1+'1'!$D$16)</f>
        <v>0</v>
      </c>
      <c r="N59" s="77">
        <f>+M59*(1+'1'!$E$16)</f>
        <v>0</v>
      </c>
      <c r="O59" s="77">
        <f>N59*(1+'1'!$F$16)</f>
        <v>0</v>
      </c>
      <c r="P59" s="124">
        <f t="shared" si="36"/>
        <v>0</v>
      </c>
      <c r="Q59" s="124">
        <f t="shared" si="37"/>
        <v>0</v>
      </c>
      <c r="R59" s="124">
        <f t="shared" si="38"/>
        <v>0</v>
      </c>
      <c r="S59" s="124">
        <f t="shared" si="39"/>
        <v>0</v>
      </c>
      <c r="T59" s="124">
        <f t="shared" si="40"/>
        <v>0</v>
      </c>
    </row>
    <row r="60" spans="2:20" ht="14.25" customHeight="1">
      <c r="B60" s="726"/>
      <c r="C60" s="109"/>
      <c r="D60" s="109"/>
      <c r="E60" s="109"/>
      <c r="F60" s="105">
        <f t="shared" si="31"/>
        <v>0</v>
      </c>
      <c r="G60" s="105">
        <f t="shared" si="32"/>
        <v>0</v>
      </c>
      <c r="H60" s="105">
        <f t="shared" si="33"/>
        <v>0</v>
      </c>
      <c r="I60" s="105">
        <f t="shared" si="34"/>
        <v>0</v>
      </c>
      <c r="J60" s="123">
        <f t="shared" si="35"/>
        <v>0</v>
      </c>
      <c r="K60" s="107"/>
      <c r="L60" s="77">
        <f>+K60*(1+'1'!$C$16)</f>
        <v>0</v>
      </c>
      <c r="M60" s="77">
        <f>+L60*(1+'1'!$D$16)</f>
        <v>0</v>
      </c>
      <c r="N60" s="77">
        <f>+M60*(1+'1'!$E$16)</f>
        <v>0</v>
      </c>
      <c r="O60" s="77">
        <f>N60*(1+'1'!$F$16)</f>
        <v>0</v>
      </c>
      <c r="P60" s="124">
        <f t="shared" si="36"/>
        <v>0</v>
      </c>
      <c r="Q60" s="124">
        <f t="shared" si="37"/>
        <v>0</v>
      </c>
      <c r="R60" s="124">
        <f t="shared" si="38"/>
        <v>0</v>
      </c>
      <c r="S60" s="124">
        <f t="shared" si="39"/>
        <v>0</v>
      </c>
      <c r="T60" s="124">
        <f t="shared" si="40"/>
        <v>0</v>
      </c>
    </row>
    <row r="61" spans="2:20" ht="14.25" customHeight="1">
      <c r="B61" s="726"/>
      <c r="C61" s="109"/>
      <c r="D61" s="109"/>
      <c r="E61" s="109"/>
      <c r="F61" s="105">
        <f t="shared" si="31"/>
        <v>0</v>
      </c>
      <c r="G61" s="105">
        <f t="shared" si="32"/>
        <v>0</v>
      </c>
      <c r="H61" s="105">
        <f t="shared" si="33"/>
        <v>0</v>
      </c>
      <c r="I61" s="105">
        <f t="shared" si="34"/>
        <v>0</v>
      </c>
      <c r="J61" s="123">
        <f t="shared" si="35"/>
        <v>0</v>
      </c>
      <c r="K61" s="107"/>
      <c r="L61" s="77">
        <f>+K61*(1+'1'!$C$16)</f>
        <v>0</v>
      </c>
      <c r="M61" s="77">
        <f>+L61*(1+'1'!$D$16)</f>
        <v>0</v>
      </c>
      <c r="N61" s="77">
        <f>+M61*(1+'1'!$E$16)</f>
        <v>0</v>
      </c>
      <c r="O61" s="77">
        <f>N61*(1+'1'!$F$16)</f>
        <v>0</v>
      </c>
      <c r="P61" s="124">
        <f t="shared" si="36"/>
        <v>0</v>
      </c>
      <c r="Q61" s="124">
        <f t="shared" si="37"/>
        <v>0</v>
      </c>
      <c r="R61" s="124">
        <f t="shared" si="38"/>
        <v>0</v>
      </c>
      <c r="S61" s="124">
        <f t="shared" si="39"/>
        <v>0</v>
      </c>
      <c r="T61" s="124">
        <f t="shared" si="40"/>
        <v>0</v>
      </c>
    </row>
    <row r="62" spans="2:20" ht="14.25" customHeight="1">
      <c r="B62" s="726"/>
      <c r="C62" s="109"/>
      <c r="D62" s="109"/>
      <c r="E62" s="109"/>
      <c r="F62" s="105">
        <f t="shared" si="31"/>
        <v>0</v>
      </c>
      <c r="G62" s="105">
        <f t="shared" si="32"/>
        <v>0</v>
      </c>
      <c r="H62" s="105">
        <f t="shared" si="33"/>
        <v>0</v>
      </c>
      <c r="I62" s="105">
        <f t="shared" si="34"/>
        <v>0</v>
      </c>
      <c r="J62" s="123">
        <f t="shared" si="35"/>
        <v>0</v>
      </c>
      <c r="K62" s="107"/>
      <c r="L62" s="77">
        <f>+K62*(1+'1'!$C$16)</f>
        <v>0</v>
      </c>
      <c r="M62" s="77">
        <f>+L62*(1+'1'!$D$16)</f>
        <v>0</v>
      </c>
      <c r="N62" s="77">
        <f>+M62*(1+'1'!$E$16)</f>
        <v>0</v>
      </c>
      <c r="O62" s="77">
        <f>N62*(1+'1'!$F$16)</f>
        <v>0</v>
      </c>
      <c r="P62" s="124">
        <f t="shared" si="36"/>
        <v>0</v>
      </c>
      <c r="Q62" s="124">
        <f t="shared" si="37"/>
        <v>0</v>
      </c>
      <c r="R62" s="124">
        <f t="shared" si="38"/>
        <v>0</v>
      </c>
      <c r="S62" s="124">
        <f t="shared" si="39"/>
        <v>0</v>
      </c>
      <c r="T62" s="124">
        <f t="shared" si="40"/>
        <v>0</v>
      </c>
    </row>
    <row r="63" spans="2:20" ht="14.25" customHeight="1">
      <c r="B63" s="726"/>
      <c r="C63" s="109"/>
      <c r="D63" s="109"/>
      <c r="E63" s="109"/>
      <c r="F63" s="105">
        <f t="shared" si="31"/>
        <v>0</v>
      </c>
      <c r="G63" s="105">
        <f t="shared" si="32"/>
        <v>0</v>
      </c>
      <c r="H63" s="105">
        <f t="shared" si="33"/>
        <v>0</v>
      </c>
      <c r="I63" s="105">
        <f t="shared" si="34"/>
        <v>0</v>
      </c>
      <c r="J63" s="123">
        <f t="shared" si="35"/>
        <v>0</v>
      </c>
      <c r="K63" s="107"/>
      <c r="L63" s="77">
        <f>+K63*(1+'1'!$C$16)</f>
        <v>0</v>
      </c>
      <c r="M63" s="77">
        <f>+L63*(1+'1'!$D$16)</f>
        <v>0</v>
      </c>
      <c r="N63" s="77">
        <f>+M63*(1+'1'!$E$16)</f>
        <v>0</v>
      </c>
      <c r="O63" s="77">
        <f>N63*(1+'1'!$F$16)</f>
        <v>0</v>
      </c>
      <c r="P63" s="124">
        <f t="shared" si="36"/>
        <v>0</v>
      </c>
      <c r="Q63" s="124">
        <f t="shared" si="37"/>
        <v>0</v>
      </c>
      <c r="R63" s="124">
        <f t="shared" si="38"/>
        <v>0</v>
      </c>
      <c r="S63" s="124">
        <f t="shared" si="39"/>
        <v>0</v>
      </c>
      <c r="T63" s="124">
        <f t="shared" si="40"/>
        <v>0</v>
      </c>
    </row>
    <row r="64" spans="2:20" ht="14.25" customHeight="1">
      <c r="B64" s="726"/>
      <c r="C64" s="109"/>
      <c r="D64" s="109"/>
      <c r="E64" s="109"/>
      <c r="F64" s="105">
        <f t="shared" si="31"/>
        <v>0</v>
      </c>
      <c r="G64" s="105">
        <f t="shared" si="32"/>
        <v>0</v>
      </c>
      <c r="H64" s="105">
        <f t="shared" si="33"/>
        <v>0</v>
      </c>
      <c r="I64" s="105">
        <f t="shared" si="34"/>
        <v>0</v>
      </c>
      <c r="J64" s="123">
        <f t="shared" si="35"/>
        <v>0</v>
      </c>
      <c r="K64" s="107"/>
      <c r="L64" s="77">
        <f>+K64*(1+'1'!$C$16)</f>
        <v>0</v>
      </c>
      <c r="M64" s="77">
        <f>+L64*(1+'1'!$D$16)</f>
        <v>0</v>
      </c>
      <c r="N64" s="77">
        <f>+M64*(1+'1'!$E$16)</f>
        <v>0</v>
      </c>
      <c r="O64" s="77">
        <f>N64*(1+'1'!$F$16)</f>
        <v>0</v>
      </c>
      <c r="P64" s="124">
        <f t="shared" si="36"/>
        <v>0</v>
      </c>
      <c r="Q64" s="124">
        <f t="shared" si="37"/>
        <v>0</v>
      </c>
      <c r="R64" s="124">
        <f t="shared" si="38"/>
        <v>0</v>
      </c>
      <c r="S64" s="124">
        <f t="shared" si="39"/>
        <v>0</v>
      </c>
      <c r="T64" s="124">
        <f t="shared" si="40"/>
        <v>0</v>
      </c>
    </row>
    <row r="65" spans="2:20" ht="14.25" customHeight="1">
      <c r="B65" s="726"/>
      <c r="C65" s="109"/>
      <c r="D65" s="109"/>
      <c r="E65" s="109"/>
      <c r="F65" s="105">
        <f t="shared" si="31"/>
        <v>0</v>
      </c>
      <c r="G65" s="105">
        <f t="shared" si="32"/>
        <v>0</v>
      </c>
      <c r="H65" s="105">
        <f t="shared" si="33"/>
        <v>0</v>
      </c>
      <c r="I65" s="105">
        <f t="shared" si="34"/>
        <v>0</v>
      </c>
      <c r="J65" s="123">
        <f t="shared" si="35"/>
        <v>0</v>
      </c>
      <c r="K65" s="107"/>
      <c r="L65" s="77">
        <f>+K65*(1+'1'!$C$16)</f>
        <v>0</v>
      </c>
      <c r="M65" s="77">
        <f>+L65*(1+'1'!$D$16)</f>
        <v>0</v>
      </c>
      <c r="N65" s="77">
        <f>+M65*(1+'1'!$E$16)</f>
        <v>0</v>
      </c>
      <c r="O65" s="77">
        <f>N65*(1+'1'!$F$16)</f>
        <v>0</v>
      </c>
      <c r="P65" s="124">
        <f t="shared" si="36"/>
        <v>0</v>
      </c>
      <c r="Q65" s="124">
        <f t="shared" si="37"/>
        <v>0</v>
      </c>
      <c r="R65" s="124">
        <f t="shared" si="38"/>
        <v>0</v>
      </c>
      <c r="S65" s="124">
        <f t="shared" si="39"/>
        <v>0</v>
      </c>
      <c r="T65" s="124">
        <f t="shared" si="40"/>
        <v>0</v>
      </c>
    </row>
    <row r="66" spans="2:20" ht="14.25" customHeight="1">
      <c r="B66" s="726"/>
      <c r="C66" s="109"/>
      <c r="D66" s="109"/>
      <c r="E66" s="109"/>
      <c r="F66" s="105">
        <f t="shared" si="31"/>
        <v>0</v>
      </c>
      <c r="G66" s="105">
        <f t="shared" si="32"/>
        <v>0</v>
      </c>
      <c r="H66" s="105">
        <f t="shared" si="33"/>
        <v>0</v>
      </c>
      <c r="I66" s="105">
        <f t="shared" si="34"/>
        <v>0</v>
      </c>
      <c r="J66" s="123">
        <f t="shared" si="35"/>
        <v>0</v>
      </c>
      <c r="K66" s="107"/>
      <c r="L66" s="77">
        <f>+K66*(1+'1'!$C$16)</f>
        <v>0</v>
      </c>
      <c r="M66" s="77">
        <f>+L66*(1+'1'!$D$16)</f>
        <v>0</v>
      </c>
      <c r="N66" s="77">
        <f>+M66*(1+'1'!$E$16)</f>
        <v>0</v>
      </c>
      <c r="O66" s="77">
        <f>N66*(1+'1'!$F$16)</f>
        <v>0</v>
      </c>
      <c r="P66" s="124">
        <f t="shared" si="36"/>
        <v>0</v>
      </c>
      <c r="Q66" s="124">
        <f t="shared" si="37"/>
        <v>0</v>
      </c>
      <c r="R66" s="124">
        <f t="shared" si="38"/>
        <v>0</v>
      </c>
      <c r="S66" s="124">
        <f t="shared" si="39"/>
        <v>0</v>
      </c>
      <c r="T66" s="124">
        <f t="shared" si="40"/>
        <v>0</v>
      </c>
    </row>
    <row r="67" spans="2:20" ht="14.25" customHeight="1">
      <c r="B67" s="726"/>
      <c r="C67" s="109"/>
      <c r="D67" s="109"/>
      <c r="E67" s="109"/>
      <c r="F67" s="105">
        <f t="shared" si="31"/>
        <v>0</v>
      </c>
      <c r="G67" s="105">
        <f t="shared" si="32"/>
        <v>0</v>
      </c>
      <c r="H67" s="105">
        <f t="shared" si="33"/>
        <v>0</v>
      </c>
      <c r="I67" s="105">
        <f t="shared" si="34"/>
        <v>0</v>
      </c>
      <c r="J67" s="123">
        <f t="shared" si="35"/>
        <v>0</v>
      </c>
      <c r="K67" s="107"/>
      <c r="L67" s="77">
        <f>+K67*(1+'1'!$C$16)</f>
        <v>0</v>
      </c>
      <c r="M67" s="77">
        <f>+L67*(1+'1'!$D$16)</f>
        <v>0</v>
      </c>
      <c r="N67" s="77">
        <f>+M67*(1+'1'!$E$16)</f>
        <v>0</v>
      </c>
      <c r="O67" s="77">
        <f>N67*(1+'1'!$F$16)</f>
        <v>0</v>
      </c>
      <c r="P67" s="124">
        <f t="shared" si="36"/>
        <v>0</v>
      </c>
      <c r="Q67" s="124">
        <f t="shared" si="37"/>
        <v>0</v>
      </c>
      <c r="R67" s="124">
        <f t="shared" si="38"/>
        <v>0</v>
      </c>
      <c r="S67" s="124">
        <f t="shared" si="39"/>
        <v>0</v>
      </c>
      <c r="T67" s="124">
        <f t="shared" si="40"/>
        <v>0</v>
      </c>
    </row>
    <row r="68" spans="2:20" ht="14.25" customHeight="1">
      <c r="B68" s="726"/>
      <c r="C68" s="109"/>
      <c r="D68" s="109"/>
      <c r="E68" s="109"/>
      <c r="F68" s="105">
        <f t="shared" si="31"/>
        <v>0</v>
      </c>
      <c r="G68" s="105">
        <f t="shared" si="32"/>
        <v>0</v>
      </c>
      <c r="H68" s="105">
        <f t="shared" si="33"/>
        <v>0</v>
      </c>
      <c r="I68" s="105">
        <f t="shared" si="34"/>
        <v>0</v>
      </c>
      <c r="J68" s="123">
        <f t="shared" si="35"/>
        <v>0</v>
      </c>
      <c r="K68" s="107"/>
      <c r="L68" s="77">
        <f>+K68*(1+'1'!$C$16)</f>
        <v>0</v>
      </c>
      <c r="M68" s="77">
        <f>+L68*(1+'1'!$D$16)</f>
        <v>0</v>
      </c>
      <c r="N68" s="77">
        <f>+M68*(1+'1'!$E$16)</f>
        <v>0</v>
      </c>
      <c r="O68" s="77">
        <f>N68*(1+'1'!$F$16)</f>
        <v>0</v>
      </c>
      <c r="P68" s="124">
        <f t="shared" si="36"/>
        <v>0</v>
      </c>
      <c r="Q68" s="124">
        <f t="shared" si="37"/>
        <v>0</v>
      </c>
      <c r="R68" s="124">
        <f t="shared" si="38"/>
        <v>0</v>
      </c>
      <c r="S68" s="124">
        <f t="shared" si="39"/>
        <v>0</v>
      </c>
      <c r="T68" s="124">
        <f t="shared" si="40"/>
        <v>0</v>
      </c>
    </row>
    <row r="69" spans="2:20" ht="14.25" customHeight="1">
      <c r="B69" s="726"/>
      <c r="C69" s="109"/>
      <c r="D69" s="109"/>
      <c r="E69" s="109"/>
      <c r="F69" s="105">
        <f t="shared" si="31"/>
        <v>0</v>
      </c>
      <c r="G69" s="105">
        <f t="shared" si="32"/>
        <v>0</v>
      </c>
      <c r="H69" s="105">
        <f t="shared" si="33"/>
        <v>0</v>
      </c>
      <c r="I69" s="105">
        <f t="shared" si="34"/>
        <v>0</v>
      </c>
      <c r="J69" s="123">
        <f t="shared" si="35"/>
        <v>0</v>
      </c>
      <c r="K69" s="107"/>
      <c r="L69" s="77">
        <f>+K69*(1+'1'!$C$16)</f>
        <v>0</v>
      </c>
      <c r="M69" s="77">
        <f>+L69*(1+'1'!$D$16)</f>
        <v>0</v>
      </c>
      <c r="N69" s="77">
        <f>+M69*(1+'1'!$E$16)</f>
        <v>0</v>
      </c>
      <c r="O69" s="77">
        <f>N69*(1+'1'!$F$16)</f>
        <v>0</v>
      </c>
      <c r="P69" s="124">
        <f t="shared" si="36"/>
        <v>0</v>
      </c>
      <c r="Q69" s="124">
        <f t="shared" si="37"/>
        <v>0</v>
      </c>
      <c r="R69" s="124">
        <f t="shared" si="38"/>
        <v>0</v>
      </c>
      <c r="S69" s="124">
        <f t="shared" si="39"/>
        <v>0</v>
      </c>
      <c r="T69" s="124">
        <f t="shared" si="40"/>
        <v>0</v>
      </c>
    </row>
    <row r="70" spans="2:20" ht="14.25" customHeight="1">
      <c r="B70" s="726"/>
      <c r="C70" s="109"/>
      <c r="D70" s="109"/>
      <c r="E70" s="109"/>
      <c r="F70" s="105">
        <f t="shared" si="31"/>
        <v>0</v>
      </c>
      <c r="G70" s="105">
        <f t="shared" si="32"/>
        <v>0</v>
      </c>
      <c r="H70" s="105">
        <f t="shared" si="33"/>
        <v>0</v>
      </c>
      <c r="I70" s="105">
        <f t="shared" si="34"/>
        <v>0</v>
      </c>
      <c r="J70" s="123">
        <f t="shared" si="35"/>
        <v>0</v>
      </c>
      <c r="K70" s="107"/>
      <c r="L70" s="77">
        <f>+K70*(1+'1'!$C$16)</f>
        <v>0</v>
      </c>
      <c r="M70" s="77">
        <f>+L70*(1+'1'!$D$16)</f>
        <v>0</v>
      </c>
      <c r="N70" s="77">
        <f>+M70*(1+'1'!$E$16)</f>
        <v>0</v>
      </c>
      <c r="O70" s="77">
        <f>N70*(1+'1'!$F$16)</f>
        <v>0</v>
      </c>
      <c r="P70" s="124">
        <f t="shared" si="36"/>
        <v>0</v>
      </c>
      <c r="Q70" s="124">
        <f t="shared" si="37"/>
        <v>0</v>
      </c>
      <c r="R70" s="124">
        <f t="shared" si="38"/>
        <v>0</v>
      </c>
      <c r="S70" s="124">
        <f t="shared" si="39"/>
        <v>0</v>
      </c>
      <c r="T70" s="124">
        <f t="shared" si="40"/>
        <v>0</v>
      </c>
    </row>
    <row r="71" spans="2:20" ht="14.25" customHeight="1">
      <c r="B71" s="726"/>
      <c r="C71" s="109"/>
      <c r="D71" s="109"/>
      <c r="E71" s="109"/>
      <c r="F71" s="105">
        <f t="shared" si="31"/>
        <v>0</v>
      </c>
      <c r="G71" s="105">
        <f t="shared" si="32"/>
        <v>0</v>
      </c>
      <c r="H71" s="105">
        <f t="shared" si="33"/>
        <v>0</v>
      </c>
      <c r="I71" s="105">
        <f t="shared" si="34"/>
        <v>0</v>
      </c>
      <c r="J71" s="123">
        <f t="shared" si="35"/>
        <v>0</v>
      </c>
      <c r="K71" s="107"/>
      <c r="L71" s="77">
        <f>+K71*(1+'1'!$C$16)</f>
        <v>0</v>
      </c>
      <c r="M71" s="77">
        <f>+L71*(1+'1'!$D$16)</f>
        <v>0</v>
      </c>
      <c r="N71" s="77">
        <f>+M71*(1+'1'!$E$16)</f>
        <v>0</v>
      </c>
      <c r="O71" s="77">
        <f>N71*(1+'1'!$F$16)</f>
        <v>0</v>
      </c>
      <c r="P71" s="124">
        <f t="shared" si="36"/>
        <v>0</v>
      </c>
      <c r="Q71" s="124">
        <f t="shared" si="37"/>
        <v>0</v>
      </c>
      <c r="R71" s="124">
        <f t="shared" si="38"/>
        <v>0</v>
      </c>
      <c r="S71" s="124">
        <f t="shared" si="39"/>
        <v>0</v>
      </c>
      <c r="T71" s="124">
        <f t="shared" si="40"/>
        <v>0</v>
      </c>
    </row>
    <row r="72" spans="2:20" ht="14.25" customHeight="1">
      <c r="B72" s="726"/>
      <c r="C72" s="109"/>
      <c r="D72" s="109"/>
      <c r="E72" s="109"/>
      <c r="F72" s="105">
        <f t="shared" si="31"/>
        <v>0</v>
      </c>
      <c r="G72" s="105">
        <f t="shared" si="32"/>
        <v>0</v>
      </c>
      <c r="H72" s="105">
        <f t="shared" si="33"/>
        <v>0</v>
      </c>
      <c r="I72" s="105">
        <f t="shared" si="34"/>
        <v>0</v>
      </c>
      <c r="J72" s="123">
        <f t="shared" si="35"/>
        <v>0</v>
      </c>
      <c r="K72" s="107"/>
      <c r="L72" s="77">
        <f>+K72*(1+'1'!$C$16)</f>
        <v>0</v>
      </c>
      <c r="M72" s="77">
        <f>+L72*(1+'1'!$D$16)</f>
        <v>0</v>
      </c>
      <c r="N72" s="77">
        <f>+M72*(1+'1'!$E$16)</f>
        <v>0</v>
      </c>
      <c r="O72" s="77">
        <f>N72*(1+'1'!$F$16)</f>
        <v>0</v>
      </c>
      <c r="P72" s="124">
        <f t="shared" si="36"/>
        <v>0</v>
      </c>
      <c r="Q72" s="124">
        <f t="shared" si="37"/>
        <v>0</v>
      </c>
      <c r="R72" s="124">
        <f t="shared" si="38"/>
        <v>0</v>
      </c>
      <c r="S72" s="124">
        <f t="shared" si="39"/>
        <v>0</v>
      </c>
      <c r="T72" s="124">
        <f t="shared" si="40"/>
        <v>0</v>
      </c>
    </row>
    <row r="73" spans="2:20" ht="14.25" customHeight="1">
      <c r="B73" s="726"/>
      <c r="C73" s="109"/>
      <c r="D73" s="109"/>
      <c r="E73" s="109"/>
      <c r="F73" s="105">
        <f t="shared" si="31"/>
        <v>0</v>
      </c>
      <c r="G73" s="105">
        <f t="shared" si="32"/>
        <v>0</v>
      </c>
      <c r="H73" s="105">
        <f t="shared" si="33"/>
        <v>0</v>
      </c>
      <c r="I73" s="105">
        <f t="shared" si="34"/>
        <v>0</v>
      </c>
      <c r="J73" s="123">
        <f t="shared" si="35"/>
        <v>0</v>
      </c>
      <c r="K73" s="107"/>
      <c r="L73" s="77">
        <f>+K73*(1+'1'!$C$16)</f>
        <v>0</v>
      </c>
      <c r="M73" s="77">
        <f>+L73*(1+'1'!$D$16)</f>
        <v>0</v>
      </c>
      <c r="N73" s="77">
        <f>+M73*(1+'1'!$E$16)</f>
        <v>0</v>
      </c>
      <c r="O73" s="77">
        <f>N73*(1+'1'!$F$16)</f>
        <v>0</v>
      </c>
      <c r="P73" s="124">
        <f t="shared" si="36"/>
        <v>0</v>
      </c>
      <c r="Q73" s="124">
        <f t="shared" si="37"/>
        <v>0</v>
      </c>
      <c r="R73" s="124">
        <f t="shared" si="38"/>
        <v>0</v>
      </c>
      <c r="S73" s="124">
        <f t="shared" si="39"/>
        <v>0</v>
      </c>
      <c r="T73" s="124">
        <f t="shared" si="40"/>
        <v>0</v>
      </c>
    </row>
    <row r="74" spans="2:20" ht="14.25" customHeight="1">
      <c r="B74" s="726"/>
      <c r="C74" s="109"/>
      <c r="D74" s="109"/>
      <c r="E74" s="109"/>
      <c r="F74" s="105">
        <f t="shared" si="31"/>
        <v>0</v>
      </c>
      <c r="G74" s="105">
        <f t="shared" si="32"/>
        <v>0</v>
      </c>
      <c r="H74" s="105">
        <f t="shared" si="33"/>
        <v>0</v>
      </c>
      <c r="I74" s="105">
        <f t="shared" si="34"/>
        <v>0</v>
      </c>
      <c r="J74" s="123">
        <f t="shared" si="35"/>
        <v>0</v>
      </c>
      <c r="K74" s="107"/>
      <c r="L74" s="77">
        <f>+K74*(1+'1'!$C$16)</f>
        <v>0</v>
      </c>
      <c r="M74" s="77">
        <f>+L74*(1+'1'!$D$16)</f>
        <v>0</v>
      </c>
      <c r="N74" s="77">
        <f>+M74*(1+'1'!$E$16)</f>
        <v>0</v>
      </c>
      <c r="O74" s="77">
        <f>N74*(1+'1'!$F$16)</f>
        <v>0</v>
      </c>
      <c r="P74" s="124">
        <f t="shared" si="36"/>
        <v>0</v>
      </c>
      <c r="Q74" s="124">
        <f t="shared" si="37"/>
        <v>0</v>
      </c>
      <c r="R74" s="124">
        <f t="shared" si="38"/>
        <v>0</v>
      </c>
      <c r="S74" s="124">
        <f t="shared" si="39"/>
        <v>0</v>
      </c>
      <c r="T74" s="124">
        <f t="shared" si="40"/>
        <v>0</v>
      </c>
    </row>
    <row r="75" spans="2:20" ht="14.25" customHeight="1">
      <c r="B75" s="726"/>
      <c r="C75" s="109"/>
      <c r="D75" s="109"/>
      <c r="E75" s="109"/>
      <c r="F75" s="105">
        <f t="shared" si="31"/>
        <v>0</v>
      </c>
      <c r="G75" s="105">
        <f t="shared" si="32"/>
        <v>0</v>
      </c>
      <c r="H75" s="105">
        <f t="shared" si="33"/>
        <v>0</v>
      </c>
      <c r="I75" s="105">
        <f t="shared" si="34"/>
        <v>0</v>
      </c>
      <c r="J75" s="123">
        <f t="shared" si="35"/>
        <v>0</v>
      </c>
      <c r="K75" s="107"/>
      <c r="L75" s="77">
        <f>+K75*(1+'1'!$C$16)</f>
        <v>0</v>
      </c>
      <c r="M75" s="77">
        <f>+L75*(1+'1'!$D$16)</f>
        <v>0</v>
      </c>
      <c r="N75" s="77">
        <f>+M75*(1+'1'!$E$16)</f>
        <v>0</v>
      </c>
      <c r="O75" s="77">
        <f>N75*(1+'1'!$F$16)</f>
        <v>0</v>
      </c>
      <c r="P75" s="124">
        <f t="shared" si="36"/>
        <v>0</v>
      </c>
      <c r="Q75" s="124">
        <f t="shared" si="37"/>
        <v>0</v>
      </c>
      <c r="R75" s="124">
        <f t="shared" si="38"/>
        <v>0</v>
      </c>
      <c r="S75" s="124">
        <f t="shared" si="39"/>
        <v>0</v>
      </c>
      <c r="T75" s="124">
        <f t="shared" si="40"/>
        <v>0</v>
      </c>
    </row>
    <row r="76" spans="2:20" ht="13.5" customHeight="1" thickBot="1">
      <c r="B76" s="726"/>
      <c r="C76" s="707" t="s">
        <v>13</v>
      </c>
      <c r="D76" s="707"/>
      <c r="E76" s="707"/>
      <c r="F76" s="707"/>
      <c r="G76" s="707"/>
      <c r="H76" s="707"/>
      <c r="I76" s="707"/>
      <c r="J76" s="707"/>
      <c r="K76" s="707"/>
      <c r="L76" s="707"/>
      <c r="M76" s="707"/>
      <c r="N76" s="707"/>
      <c r="O76" s="707"/>
      <c r="P76" s="126">
        <f>SUM(P56:P75)</f>
        <v>0</v>
      </c>
      <c r="Q76" s="126">
        <f>SUM(Q56:Q75)</f>
        <v>0</v>
      </c>
      <c r="R76" s="126">
        <f>SUM(R56:R75)</f>
        <v>0</v>
      </c>
      <c r="S76" s="126">
        <f>SUM(S56:S75)</f>
        <v>0</v>
      </c>
      <c r="T76" s="126">
        <f>SUM(T56:T75)</f>
        <v>0</v>
      </c>
    </row>
    <row r="77" spans="2:20" ht="12.75" customHeight="1">
      <c r="B77" s="726"/>
      <c r="C77" s="114" t="s">
        <v>12</v>
      </c>
      <c r="D77" s="79"/>
      <c r="E77" s="79"/>
      <c r="F77" s="79"/>
      <c r="G77" s="79"/>
      <c r="H77" s="79"/>
      <c r="I77" s="79"/>
      <c r="J77" s="79"/>
      <c r="K77" s="79"/>
      <c r="L77" s="79"/>
      <c r="M77" s="79"/>
      <c r="N77" s="79"/>
      <c r="O77" s="79"/>
      <c r="P77" s="79"/>
      <c r="Q77" s="79"/>
      <c r="R77" s="79"/>
      <c r="S77" s="79"/>
      <c r="T77" s="80"/>
    </row>
    <row r="78" spans="2:20" ht="14.25" customHeight="1">
      <c r="B78" s="726"/>
      <c r="C78" s="106" t="s">
        <v>454</v>
      </c>
      <c r="D78" s="107">
        <v>12</v>
      </c>
      <c r="E78" s="108">
        <v>4</v>
      </c>
      <c r="F78" s="105">
        <f t="shared" ref="F78:F85" si="41">+E78*(1+$J$7)</f>
        <v>4.04</v>
      </c>
      <c r="G78" s="105">
        <f t="shared" ref="G78:G85" si="42">+F78*(1+$K$7)</f>
        <v>4.1208</v>
      </c>
      <c r="H78" s="105">
        <f t="shared" ref="H78:H85" si="43">+G78*(1+$L$7)</f>
        <v>4.2444239999999995</v>
      </c>
      <c r="I78" s="105">
        <f t="shared" ref="I78:I85" si="44">+H78*(1+$M$7)</f>
        <v>4.4142009599999996</v>
      </c>
      <c r="J78" s="123">
        <f t="shared" ref="J78:J85" si="45">IF(E78=0,0,+E78*1/$C$6)</f>
        <v>2.3148148148148149E-4</v>
      </c>
      <c r="K78" s="108">
        <v>1800000</v>
      </c>
      <c r="L78" s="77">
        <f>+K78*(1+'1'!$C$16)</f>
        <v>1872005.392349618</v>
      </c>
      <c r="M78" s="77">
        <f>+L78*(1+'1'!$D$16)</f>
        <v>1946891.2161033596</v>
      </c>
      <c r="N78" s="77">
        <f>+M78*(1+'1'!$E$16)</f>
        <v>2024772.6971464416</v>
      </c>
      <c r="O78" s="77">
        <f>N78*(1+'1'!$F$16)</f>
        <v>2105769.6707446771</v>
      </c>
      <c r="P78" s="124">
        <f>J78*K78*$C$6</f>
        <v>7200000</v>
      </c>
      <c r="Q78" s="124">
        <f>J78*L78*$D$6</f>
        <v>7562901.7850924563</v>
      </c>
      <c r="R78" s="124">
        <f>J78*M78*$E$6</f>
        <v>8022749.3233187245</v>
      </c>
      <c r="S78" s="124">
        <f>J78*N78*$F$6</f>
        <v>8593993.8303130865</v>
      </c>
      <c r="T78" s="124">
        <f>J78*O78*$G$6</f>
        <v>9295290.5021400377</v>
      </c>
    </row>
    <row r="79" spans="2:20" ht="14.25" customHeight="1">
      <c r="B79" s="726"/>
      <c r="C79" s="106" t="s">
        <v>455</v>
      </c>
      <c r="D79" s="107">
        <v>12</v>
      </c>
      <c r="E79" s="108">
        <v>4</v>
      </c>
      <c r="F79" s="105">
        <f t="shared" si="41"/>
        <v>4.04</v>
      </c>
      <c r="G79" s="105">
        <f t="shared" si="42"/>
        <v>4.1208</v>
      </c>
      <c r="H79" s="105">
        <f t="shared" si="43"/>
        <v>4.2444239999999995</v>
      </c>
      <c r="I79" s="105">
        <f t="shared" si="44"/>
        <v>4.4142009599999996</v>
      </c>
      <c r="J79" s="123">
        <f t="shared" si="45"/>
        <v>2.3148148148148149E-4</v>
      </c>
      <c r="K79" s="108">
        <v>300000</v>
      </c>
      <c r="L79" s="77">
        <f>+K79*(1+'1'!$C$16)</f>
        <v>312000.89872493636</v>
      </c>
      <c r="M79" s="77">
        <f>+L79*(1+'1'!$D$16)</f>
        <v>324481.86935055995</v>
      </c>
      <c r="N79" s="77">
        <f>+M79*(1+'1'!$E$16)</f>
        <v>337462.11619107361</v>
      </c>
      <c r="O79" s="77">
        <f>N79*(1+'1'!$F$16)</f>
        <v>350961.61179077951</v>
      </c>
      <c r="P79" s="124">
        <f t="shared" ref="P79:P85" si="46">J79*K79*$C$6</f>
        <v>1200000</v>
      </c>
      <c r="Q79" s="124">
        <f t="shared" ref="Q79:Q85" si="47">J79*L79*$D$6</f>
        <v>1260483.6308487428</v>
      </c>
      <c r="R79" s="124">
        <f t="shared" ref="R79:R85" si="48">J79*M79*$E$6</f>
        <v>1337124.8872197876</v>
      </c>
      <c r="S79" s="124">
        <f t="shared" ref="S79:S85" si="49">J79*N79*$F$6</f>
        <v>1432332.3050521815</v>
      </c>
      <c r="T79" s="124">
        <f t="shared" ref="T79:T85" si="50">J79*O79*$G$6</f>
        <v>1549215.0836900063</v>
      </c>
    </row>
    <row r="80" spans="2:20" ht="14.25" customHeight="1">
      <c r="B80" s="726"/>
      <c r="C80" s="109"/>
      <c r="D80" s="109"/>
      <c r="E80" s="109"/>
      <c r="F80" s="105">
        <f t="shared" si="41"/>
        <v>0</v>
      </c>
      <c r="G80" s="105">
        <f t="shared" si="42"/>
        <v>0</v>
      </c>
      <c r="H80" s="105">
        <f t="shared" si="43"/>
        <v>0</v>
      </c>
      <c r="I80" s="105">
        <f t="shared" si="44"/>
        <v>0</v>
      </c>
      <c r="J80" s="123">
        <f t="shared" si="45"/>
        <v>0</v>
      </c>
      <c r="K80" s="107"/>
      <c r="L80" s="77">
        <f>+K80*(1+'1'!$C$16)</f>
        <v>0</v>
      </c>
      <c r="M80" s="77">
        <f>+L80*(1+'1'!$D$16)</f>
        <v>0</v>
      </c>
      <c r="N80" s="77">
        <f>+M80*(1+'1'!$E$16)</f>
        <v>0</v>
      </c>
      <c r="O80" s="77">
        <f>N80*(1+'1'!$F$16)</f>
        <v>0</v>
      </c>
      <c r="P80" s="124">
        <f t="shared" si="46"/>
        <v>0</v>
      </c>
      <c r="Q80" s="124">
        <f t="shared" si="47"/>
        <v>0</v>
      </c>
      <c r="R80" s="124">
        <f t="shared" si="48"/>
        <v>0</v>
      </c>
      <c r="S80" s="124">
        <f t="shared" si="49"/>
        <v>0</v>
      </c>
      <c r="T80" s="124">
        <f t="shared" si="50"/>
        <v>0</v>
      </c>
    </row>
    <row r="81" spans="2:20" ht="14.25" customHeight="1">
      <c r="B81" s="726"/>
      <c r="C81" s="109"/>
      <c r="D81" s="109"/>
      <c r="E81" s="109"/>
      <c r="F81" s="105">
        <f t="shared" si="41"/>
        <v>0</v>
      </c>
      <c r="G81" s="105">
        <f t="shared" si="42"/>
        <v>0</v>
      </c>
      <c r="H81" s="105">
        <f t="shared" si="43"/>
        <v>0</v>
      </c>
      <c r="I81" s="105">
        <f t="shared" si="44"/>
        <v>0</v>
      </c>
      <c r="J81" s="123">
        <f t="shared" si="45"/>
        <v>0</v>
      </c>
      <c r="K81" s="107"/>
      <c r="L81" s="77">
        <f>+K81*(1+'1'!$C$16)</f>
        <v>0</v>
      </c>
      <c r="M81" s="77">
        <f>+L81*(1+'1'!$D$16)</f>
        <v>0</v>
      </c>
      <c r="N81" s="77">
        <f>+M81*(1+'1'!$E$16)</f>
        <v>0</v>
      </c>
      <c r="O81" s="77">
        <f>N81*(1+'1'!$F$16)</f>
        <v>0</v>
      </c>
      <c r="P81" s="124">
        <f t="shared" si="46"/>
        <v>0</v>
      </c>
      <c r="Q81" s="124">
        <f t="shared" si="47"/>
        <v>0</v>
      </c>
      <c r="R81" s="124">
        <f t="shared" si="48"/>
        <v>0</v>
      </c>
      <c r="S81" s="124">
        <f t="shared" si="49"/>
        <v>0</v>
      </c>
      <c r="T81" s="124">
        <f t="shared" si="50"/>
        <v>0</v>
      </c>
    </row>
    <row r="82" spans="2:20" ht="14.25" customHeight="1">
      <c r="B82" s="726"/>
      <c r="C82" s="109"/>
      <c r="D82" s="109"/>
      <c r="E82" s="109"/>
      <c r="F82" s="105">
        <f t="shared" si="41"/>
        <v>0</v>
      </c>
      <c r="G82" s="105">
        <f t="shared" si="42"/>
        <v>0</v>
      </c>
      <c r="H82" s="105">
        <f t="shared" si="43"/>
        <v>0</v>
      </c>
      <c r="I82" s="105">
        <f t="shared" si="44"/>
        <v>0</v>
      </c>
      <c r="J82" s="123">
        <f t="shared" si="45"/>
        <v>0</v>
      </c>
      <c r="K82" s="107"/>
      <c r="L82" s="77">
        <f>+K82*(1+'1'!$C$16)</f>
        <v>0</v>
      </c>
      <c r="M82" s="77">
        <f>+L82*(1+'1'!$D$16)</f>
        <v>0</v>
      </c>
      <c r="N82" s="77">
        <f>+M82*(1+'1'!$E$16)</f>
        <v>0</v>
      </c>
      <c r="O82" s="77">
        <f>N82*(1+'1'!$F$16)</f>
        <v>0</v>
      </c>
      <c r="P82" s="124">
        <f t="shared" si="46"/>
        <v>0</v>
      </c>
      <c r="Q82" s="124">
        <f t="shared" si="47"/>
        <v>0</v>
      </c>
      <c r="R82" s="124">
        <f t="shared" si="48"/>
        <v>0</v>
      </c>
      <c r="S82" s="124">
        <f t="shared" si="49"/>
        <v>0</v>
      </c>
      <c r="T82" s="124">
        <f t="shared" si="50"/>
        <v>0</v>
      </c>
    </row>
    <row r="83" spans="2:20" ht="14.25" customHeight="1">
      <c r="B83" s="726"/>
      <c r="C83" s="109"/>
      <c r="D83" s="109"/>
      <c r="E83" s="109"/>
      <c r="F83" s="105">
        <f t="shared" si="41"/>
        <v>0</v>
      </c>
      <c r="G83" s="105">
        <f t="shared" si="42"/>
        <v>0</v>
      </c>
      <c r="H83" s="105">
        <f t="shared" si="43"/>
        <v>0</v>
      </c>
      <c r="I83" s="105">
        <f t="shared" si="44"/>
        <v>0</v>
      </c>
      <c r="J83" s="123">
        <f t="shared" si="45"/>
        <v>0</v>
      </c>
      <c r="K83" s="107"/>
      <c r="L83" s="77">
        <f>+K83*(1+'1'!$C$16)</f>
        <v>0</v>
      </c>
      <c r="M83" s="77">
        <f>+L83*(1+'1'!$D$16)</f>
        <v>0</v>
      </c>
      <c r="N83" s="77">
        <f>+M83*(1+'1'!$E$16)</f>
        <v>0</v>
      </c>
      <c r="O83" s="77">
        <f>N83*(1+'1'!$F$16)</f>
        <v>0</v>
      </c>
      <c r="P83" s="124">
        <f t="shared" si="46"/>
        <v>0</v>
      </c>
      <c r="Q83" s="124">
        <f t="shared" si="47"/>
        <v>0</v>
      </c>
      <c r="R83" s="124">
        <f t="shared" si="48"/>
        <v>0</v>
      </c>
      <c r="S83" s="124">
        <f t="shared" si="49"/>
        <v>0</v>
      </c>
      <c r="T83" s="124">
        <f t="shared" si="50"/>
        <v>0</v>
      </c>
    </row>
    <row r="84" spans="2:20" ht="14.25" customHeight="1">
      <c r="B84" s="726"/>
      <c r="C84" s="109"/>
      <c r="D84" s="109"/>
      <c r="E84" s="109"/>
      <c r="F84" s="105">
        <f t="shared" si="41"/>
        <v>0</v>
      </c>
      <c r="G84" s="105">
        <f t="shared" si="42"/>
        <v>0</v>
      </c>
      <c r="H84" s="105">
        <f t="shared" si="43"/>
        <v>0</v>
      </c>
      <c r="I84" s="105">
        <f t="shared" si="44"/>
        <v>0</v>
      </c>
      <c r="J84" s="123">
        <f t="shared" si="45"/>
        <v>0</v>
      </c>
      <c r="K84" s="107"/>
      <c r="L84" s="77">
        <f>+K84*(1+'1'!$C$16)</f>
        <v>0</v>
      </c>
      <c r="M84" s="77">
        <f>+L84*(1+'1'!$D$16)</f>
        <v>0</v>
      </c>
      <c r="N84" s="77">
        <f>+M84*(1+'1'!$E$16)</f>
        <v>0</v>
      </c>
      <c r="O84" s="77">
        <f>N84*(1+'1'!$F$16)</f>
        <v>0</v>
      </c>
      <c r="P84" s="124">
        <f t="shared" si="46"/>
        <v>0</v>
      </c>
      <c r="Q84" s="124">
        <f t="shared" si="47"/>
        <v>0</v>
      </c>
      <c r="R84" s="124">
        <f t="shared" si="48"/>
        <v>0</v>
      </c>
      <c r="S84" s="124">
        <f t="shared" si="49"/>
        <v>0</v>
      </c>
      <c r="T84" s="124">
        <f t="shared" si="50"/>
        <v>0</v>
      </c>
    </row>
    <row r="85" spans="2:20" ht="14.25" customHeight="1">
      <c r="B85" s="726"/>
      <c r="C85" s="109"/>
      <c r="D85" s="109"/>
      <c r="E85" s="109"/>
      <c r="F85" s="105">
        <f t="shared" si="41"/>
        <v>0</v>
      </c>
      <c r="G85" s="105">
        <f t="shared" si="42"/>
        <v>0</v>
      </c>
      <c r="H85" s="105">
        <f t="shared" si="43"/>
        <v>0</v>
      </c>
      <c r="I85" s="105">
        <f t="shared" si="44"/>
        <v>0</v>
      </c>
      <c r="J85" s="123">
        <f t="shared" si="45"/>
        <v>0</v>
      </c>
      <c r="K85" s="107"/>
      <c r="L85" s="77">
        <f>+K85*(1+'1'!$C$16)</f>
        <v>0</v>
      </c>
      <c r="M85" s="77">
        <f>+L85*(1+'1'!$D$16)</f>
        <v>0</v>
      </c>
      <c r="N85" s="77">
        <f>+M85*(1+'1'!$E$16)</f>
        <v>0</v>
      </c>
      <c r="O85" s="77">
        <f>N85*(1+'1'!$F$16)</f>
        <v>0</v>
      </c>
      <c r="P85" s="124">
        <f t="shared" si="46"/>
        <v>0</v>
      </c>
      <c r="Q85" s="124">
        <f t="shared" si="47"/>
        <v>0</v>
      </c>
      <c r="R85" s="124">
        <f t="shared" si="48"/>
        <v>0</v>
      </c>
      <c r="S85" s="124">
        <f t="shared" si="49"/>
        <v>0</v>
      </c>
      <c r="T85" s="124">
        <f t="shared" si="50"/>
        <v>0</v>
      </c>
    </row>
    <row r="86" spans="2:20" ht="13.5" customHeight="1" thickBot="1">
      <c r="B86" s="726"/>
      <c r="C86" s="130" t="s">
        <v>13</v>
      </c>
      <c r="D86" s="130"/>
      <c r="E86" s="130"/>
      <c r="F86" s="130"/>
      <c r="G86" s="130"/>
      <c r="H86" s="130"/>
      <c r="I86" s="130"/>
      <c r="J86" s="130"/>
      <c r="K86" s="130"/>
      <c r="L86" s="130"/>
      <c r="M86" s="130"/>
      <c r="N86" s="130"/>
      <c r="O86" s="131"/>
      <c r="P86" s="128">
        <f>SUM(P84)</f>
        <v>0</v>
      </c>
      <c r="Q86" s="128">
        <f>SUM(Q78:Q85)</f>
        <v>8823385.4159411993</v>
      </c>
      <c r="R86" s="128">
        <f>SUM(R78:R85)</f>
        <v>9359874.2105385121</v>
      </c>
      <c r="S86" s="128">
        <f>SUM(S78:S85)</f>
        <v>10026326.135365268</v>
      </c>
      <c r="T86" s="128">
        <f>SUM(T78:T85)</f>
        <v>10844505.585830044</v>
      </c>
    </row>
    <row r="87" spans="2:20" ht="13.5" customHeight="1">
      <c r="B87" s="726"/>
      <c r="C87" s="114" t="s">
        <v>132</v>
      </c>
      <c r="D87" s="79"/>
      <c r="E87" s="79"/>
      <c r="F87" s="79"/>
      <c r="G87" s="79"/>
      <c r="H87" s="79"/>
      <c r="I87" s="79"/>
      <c r="J87" s="79"/>
      <c r="K87" s="79"/>
      <c r="L87" s="79"/>
      <c r="M87" s="79"/>
      <c r="N87" s="79"/>
      <c r="O87" s="79"/>
      <c r="P87" s="79"/>
      <c r="Q87" s="79"/>
      <c r="R87" s="79"/>
      <c r="S87" s="79"/>
      <c r="T87" s="80"/>
    </row>
    <row r="88" spans="2:20" ht="15.75" customHeight="1">
      <c r="B88" s="726"/>
      <c r="C88" s="109"/>
      <c r="D88" s="107"/>
      <c r="E88" s="136"/>
      <c r="F88" s="105">
        <f t="shared" ref="F88:F94" si="51">+E88*(1+$J$7)</f>
        <v>0</v>
      </c>
      <c r="G88" s="105">
        <f t="shared" ref="G88:G94" si="52">+F88*(1+$K$7)</f>
        <v>0</v>
      </c>
      <c r="H88" s="105">
        <f t="shared" ref="H88:H93" si="53">+G88*(1+$L$7)</f>
        <v>0</v>
      </c>
      <c r="I88" s="105">
        <f>+H88*(1+$M$7)</f>
        <v>0</v>
      </c>
      <c r="J88" s="123">
        <f t="shared" ref="J88:J94" si="54">IF(E88=0,0,+E88*1/$C$6)</f>
        <v>0</v>
      </c>
      <c r="K88" s="107"/>
      <c r="L88" s="77">
        <f>+K88*(1+'1'!$C$16)</f>
        <v>0</v>
      </c>
      <c r="M88" s="77">
        <f>+L88*(1+'1'!$D$16)</f>
        <v>0</v>
      </c>
      <c r="N88" s="77">
        <f>+M88*(1+'1'!$E$16)</f>
        <v>0</v>
      </c>
      <c r="O88" s="77">
        <f>N88*(1+'1'!$F$16)</f>
        <v>0</v>
      </c>
      <c r="P88" s="124">
        <f>J88*K88*$C$6</f>
        <v>0</v>
      </c>
      <c r="Q88" s="124">
        <f>J88*L88*$D$6</f>
        <v>0</v>
      </c>
      <c r="R88" s="124">
        <f>J88*M88*$E$6</f>
        <v>0</v>
      </c>
      <c r="S88" s="124">
        <f>J88*N88*$F$6</f>
        <v>0</v>
      </c>
      <c r="T88" s="124">
        <f>J88*O88*$G$6</f>
        <v>0</v>
      </c>
    </row>
    <row r="89" spans="2:20" ht="14.25" customHeight="1">
      <c r="B89" s="726"/>
      <c r="C89" s="109"/>
      <c r="D89" s="107"/>
      <c r="E89" s="136"/>
      <c r="F89" s="105">
        <f t="shared" si="51"/>
        <v>0</v>
      </c>
      <c r="G89" s="105">
        <f t="shared" si="52"/>
        <v>0</v>
      </c>
      <c r="H89" s="105">
        <f t="shared" si="53"/>
        <v>0</v>
      </c>
      <c r="I89" s="105">
        <f t="shared" ref="I89:I94" si="55">+H89*(1+$M$7)</f>
        <v>0</v>
      </c>
      <c r="J89" s="123">
        <f t="shared" si="54"/>
        <v>0</v>
      </c>
      <c r="K89" s="107"/>
      <c r="L89" s="77">
        <f>+K89*(1+'1'!$C$16)</f>
        <v>0</v>
      </c>
      <c r="M89" s="77">
        <f>+L89*(1+'1'!$D$16)</f>
        <v>0</v>
      </c>
      <c r="N89" s="77">
        <f>+M89*(1+'1'!$E$16)</f>
        <v>0</v>
      </c>
      <c r="O89" s="77">
        <f>N89*(1+'1'!$F$16)</f>
        <v>0</v>
      </c>
      <c r="P89" s="124">
        <f t="shared" ref="P89:P94" si="56">J89*K89*$C$6</f>
        <v>0</v>
      </c>
      <c r="Q89" s="124">
        <f t="shared" ref="Q89:Q94" si="57">J89*L89*$D$6</f>
        <v>0</v>
      </c>
      <c r="R89" s="124">
        <f t="shared" ref="R89:R94" si="58">J89*M89*$E$6</f>
        <v>0</v>
      </c>
      <c r="S89" s="124">
        <f t="shared" ref="S89:S94" si="59">J89*N89*$F$6</f>
        <v>0</v>
      </c>
      <c r="T89" s="124">
        <f t="shared" ref="T89:T94" si="60">J89*O89*$G$6</f>
        <v>0</v>
      </c>
    </row>
    <row r="90" spans="2:20" ht="14.25" customHeight="1">
      <c r="B90" s="726"/>
      <c r="C90" s="109"/>
      <c r="D90" s="107"/>
      <c r="E90" s="136"/>
      <c r="F90" s="105">
        <f t="shared" si="51"/>
        <v>0</v>
      </c>
      <c r="G90" s="105">
        <f t="shared" si="52"/>
        <v>0</v>
      </c>
      <c r="H90" s="105">
        <f t="shared" si="53"/>
        <v>0</v>
      </c>
      <c r="I90" s="105">
        <f t="shared" si="55"/>
        <v>0</v>
      </c>
      <c r="J90" s="123">
        <f t="shared" si="54"/>
        <v>0</v>
      </c>
      <c r="K90" s="107"/>
      <c r="L90" s="77">
        <f>+K90*(1+'1'!$C$16)</f>
        <v>0</v>
      </c>
      <c r="M90" s="77">
        <f>+L90*(1+'1'!$D$16)</f>
        <v>0</v>
      </c>
      <c r="N90" s="77">
        <f>+M90*(1+'1'!$E$16)</f>
        <v>0</v>
      </c>
      <c r="O90" s="77">
        <f>N90*(1+'1'!$F$16)</f>
        <v>0</v>
      </c>
      <c r="P90" s="124">
        <f t="shared" si="56"/>
        <v>0</v>
      </c>
      <c r="Q90" s="124">
        <f t="shared" si="57"/>
        <v>0</v>
      </c>
      <c r="R90" s="124">
        <f t="shared" si="58"/>
        <v>0</v>
      </c>
      <c r="S90" s="124">
        <f t="shared" si="59"/>
        <v>0</v>
      </c>
      <c r="T90" s="124">
        <f t="shared" si="60"/>
        <v>0</v>
      </c>
    </row>
    <row r="91" spans="2:20" ht="14.25" customHeight="1">
      <c r="B91" s="726"/>
      <c r="C91" s="109"/>
      <c r="D91" s="107"/>
      <c r="E91" s="136"/>
      <c r="F91" s="105">
        <f t="shared" si="51"/>
        <v>0</v>
      </c>
      <c r="G91" s="105">
        <f t="shared" si="52"/>
        <v>0</v>
      </c>
      <c r="H91" s="105">
        <f t="shared" si="53"/>
        <v>0</v>
      </c>
      <c r="I91" s="105">
        <f t="shared" si="55"/>
        <v>0</v>
      </c>
      <c r="J91" s="123">
        <f t="shared" si="54"/>
        <v>0</v>
      </c>
      <c r="K91" s="107"/>
      <c r="L91" s="77">
        <f>+K91*(1+'1'!$C$16)</f>
        <v>0</v>
      </c>
      <c r="M91" s="77">
        <f>+L91*(1+'1'!$D$16)</f>
        <v>0</v>
      </c>
      <c r="N91" s="77">
        <f>+M91*(1+'1'!$E$16)</f>
        <v>0</v>
      </c>
      <c r="O91" s="77">
        <f>N91*(1+'1'!$F$16)</f>
        <v>0</v>
      </c>
      <c r="P91" s="124">
        <f t="shared" si="56"/>
        <v>0</v>
      </c>
      <c r="Q91" s="124">
        <f t="shared" si="57"/>
        <v>0</v>
      </c>
      <c r="R91" s="124">
        <f t="shared" si="58"/>
        <v>0</v>
      </c>
      <c r="S91" s="124">
        <f t="shared" si="59"/>
        <v>0</v>
      </c>
      <c r="T91" s="124">
        <f t="shared" si="60"/>
        <v>0</v>
      </c>
    </row>
    <row r="92" spans="2:20" ht="15" customHeight="1">
      <c r="B92" s="726"/>
      <c r="C92" s="109"/>
      <c r="D92" s="107"/>
      <c r="E92" s="136"/>
      <c r="F92" s="105">
        <f t="shared" si="51"/>
        <v>0</v>
      </c>
      <c r="G92" s="105">
        <f t="shared" si="52"/>
        <v>0</v>
      </c>
      <c r="H92" s="105">
        <f t="shared" si="53"/>
        <v>0</v>
      </c>
      <c r="I92" s="105">
        <f t="shared" si="55"/>
        <v>0</v>
      </c>
      <c r="J92" s="123">
        <f t="shared" si="54"/>
        <v>0</v>
      </c>
      <c r="K92" s="107"/>
      <c r="L92" s="77">
        <f>+K92*(1+'1'!$C$16)</f>
        <v>0</v>
      </c>
      <c r="M92" s="77">
        <f>+L92*(1+'1'!$D$16)</f>
        <v>0</v>
      </c>
      <c r="N92" s="77">
        <f>+M92*(1+'1'!$E$16)</f>
        <v>0</v>
      </c>
      <c r="O92" s="77">
        <f>N92*(1+'1'!$F$16)</f>
        <v>0</v>
      </c>
      <c r="P92" s="124">
        <f t="shared" si="56"/>
        <v>0</v>
      </c>
      <c r="Q92" s="124">
        <f t="shared" si="57"/>
        <v>0</v>
      </c>
      <c r="R92" s="124">
        <f t="shared" si="58"/>
        <v>0</v>
      </c>
      <c r="S92" s="124">
        <f t="shared" si="59"/>
        <v>0</v>
      </c>
      <c r="T92" s="124">
        <f t="shared" si="60"/>
        <v>0</v>
      </c>
    </row>
    <row r="93" spans="2:20" ht="12.75" customHeight="1">
      <c r="B93" s="726"/>
      <c r="C93" s="110"/>
      <c r="D93" s="107"/>
      <c r="E93" s="107"/>
      <c r="F93" s="105">
        <f t="shared" si="51"/>
        <v>0</v>
      </c>
      <c r="G93" s="105">
        <f t="shared" si="52"/>
        <v>0</v>
      </c>
      <c r="H93" s="105">
        <f t="shared" si="53"/>
        <v>0</v>
      </c>
      <c r="I93" s="105">
        <f t="shared" si="55"/>
        <v>0</v>
      </c>
      <c r="J93" s="123">
        <f t="shared" si="54"/>
        <v>0</v>
      </c>
      <c r="K93" s="107"/>
      <c r="L93" s="77">
        <f>+K93*(1+'1'!$C$16)</f>
        <v>0</v>
      </c>
      <c r="M93" s="77">
        <f>+L93*(1+'1'!$D$16)</f>
        <v>0</v>
      </c>
      <c r="N93" s="77">
        <f>+M93*(1+'1'!$E$16)</f>
        <v>0</v>
      </c>
      <c r="O93" s="77">
        <f>N93*(1+'1'!$F$16)</f>
        <v>0</v>
      </c>
      <c r="P93" s="124">
        <f t="shared" si="56"/>
        <v>0</v>
      </c>
      <c r="Q93" s="124">
        <f t="shared" si="57"/>
        <v>0</v>
      </c>
      <c r="R93" s="124">
        <f t="shared" si="58"/>
        <v>0</v>
      </c>
      <c r="S93" s="124">
        <f t="shared" si="59"/>
        <v>0</v>
      </c>
      <c r="T93" s="124">
        <f t="shared" si="60"/>
        <v>0</v>
      </c>
    </row>
    <row r="94" spans="2:20" ht="14.25" customHeight="1">
      <c r="B94" s="726"/>
      <c r="C94" s="110"/>
      <c r="D94" s="107"/>
      <c r="E94" s="107"/>
      <c r="F94" s="105">
        <f t="shared" si="51"/>
        <v>0</v>
      </c>
      <c r="G94" s="105">
        <f t="shared" si="52"/>
        <v>0</v>
      </c>
      <c r="H94" s="105">
        <f>+G94*(1+$L$7)</f>
        <v>0</v>
      </c>
      <c r="I94" s="105">
        <f t="shared" si="55"/>
        <v>0</v>
      </c>
      <c r="J94" s="123">
        <f t="shared" si="54"/>
        <v>0</v>
      </c>
      <c r="K94" s="107"/>
      <c r="L94" s="77">
        <f>+K94*(1+'1'!$C$16)</f>
        <v>0</v>
      </c>
      <c r="M94" s="77">
        <f>+L94*(1+'1'!$D$16)</f>
        <v>0</v>
      </c>
      <c r="N94" s="77">
        <f>+M94*(1+'1'!$E$16)</f>
        <v>0</v>
      </c>
      <c r="O94" s="77">
        <f>N94*(1+'1'!$F$16)</f>
        <v>0</v>
      </c>
      <c r="P94" s="124">
        <f t="shared" si="56"/>
        <v>0</v>
      </c>
      <c r="Q94" s="124">
        <f t="shared" si="57"/>
        <v>0</v>
      </c>
      <c r="R94" s="124">
        <f t="shared" si="58"/>
        <v>0</v>
      </c>
      <c r="S94" s="124">
        <f t="shared" si="59"/>
        <v>0</v>
      </c>
      <c r="T94" s="124">
        <f t="shared" si="60"/>
        <v>0</v>
      </c>
    </row>
    <row r="95" spans="2:20" ht="14.25" customHeight="1" thickBot="1">
      <c r="B95" s="727"/>
      <c r="C95" s="130" t="s">
        <v>13</v>
      </c>
      <c r="D95" s="133"/>
      <c r="E95" s="133"/>
      <c r="F95" s="133"/>
      <c r="G95" s="133"/>
      <c r="H95" s="133"/>
      <c r="I95" s="133"/>
      <c r="J95" s="133"/>
      <c r="K95" s="133"/>
      <c r="L95" s="133"/>
      <c r="M95" s="133"/>
      <c r="N95" s="133"/>
      <c r="O95" s="134"/>
      <c r="P95" s="126">
        <f>SUM(P88:P94)</f>
        <v>0</v>
      </c>
      <c r="Q95" s="126">
        <f>SUM(Q88:Q94)</f>
        <v>0</v>
      </c>
      <c r="R95" s="126">
        <f>SUM(R88:R94)</f>
        <v>0</v>
      </c>
      <c r="S95" s="126">
        <f>SUM(S88:S94)</f>
        <v>0</v>
      </c>
      <c r="T95" s="126">
        <f>SUM(T88:T94)</f>
        <v>0</v>
      </c>
    </row>
    <row r="96" spans="2:20">
      <c r="B96" s="725" t="str">
        <f>'CTOS VS ING OPER - INV INFRAEST'!B8</f>
        <v>Nombre del producto 3</v>
      </c>
      <c r="C96" s="114" t="s">
        <v>3</v>
      </c>
      <c r="D96" s="132"/>
      <c r="E96" s="132"/>
      <c r="F96" s="132"/>
      <c r="G96" s="132"/>
      <c r="H96" s="132"/>
      <c r="I96" s="132"/>
      <c r="J96" s="132"/>
      <c r="K96" s="132"/>
      <c r="L96" s="132"/>
      <c r="M96" s="132"/>
      <c r="N96" s="132"/>
      <c r="O96" s="132"/>
      <c r="P96" s="132"/>
      <c r="Q96" s="132"/>
      <c r="R96" s="132"/>
      <c r="S96" s="132"/>
      <c r="T96" s="135"/>
    </row>
    <row r="97" spans="2:20" ht="14.25">
      <c r="B97" s="726"/>
      <c r="C97" s="209"/>
      <c r="D97" s="210"/>
      <c r="E97" s="211"/>
      <c r="F97" s="105">
        <f>+E97*(1+$J$8)</f>
        <v>0</v>
      </c>
      <c r="G97" s="105">
        <f>+F97*(1+$K$8)</f>
        <v>0</v>
      </c>
      <c r="H97" s="105">
        <f>+G97*(1+$L$8)</f>
        <v>0</v>
      </c>
      <c r="I97" s="105">
        <f>+H97*(1+$M$8)</f>
        <v>0</v>
      </c>
      <c r="J97" s="123">
        <f>IF(E97=0,0,+E97*1/$C$7)</f>
        <v>0</v>
      </c>
      <c r="K97" s="212"/>
      <c r="L97" s="77">
        <f>+K97*(1+'1'!$C$16)</f>
        <v>0</v>
      </c>
      <c r="M97" s="77">
        <f>+L97*(1+'1'!$D$16)</f>
        <v>0</v>
      </c>
      <c r="N97" s="77">
        <f>+M97*(1+'1'!$E$16)</f>
        <v>0</v>
      </c>
      <c r="O97" s="77">
        <f>N97*(1+'1'!$F$16)</f>
        <v>0</v>
      </c>
      <c r="P97" s="124">
        <f>J97*K97*$C$7</f>
        <v>0</v>
      </c>
      <c r="Q97" s="124">
        <f>J97*L97*$D$7</f>
        <v>0</v>
      </c>
      <c r="R97" s="124">
        <f>J97*M97*$E$7</f>
        <v>0</v>
      </c>
      <c r="S97" s="124">
        <f>J97*N97*$F$7</f>
        <v>0</v>
      </c>
      <c r="T97" s="124">
        <f>J97*O97*$G$7</f>
        <v>0</v>
      </c>
    </row>
    <row r="98" spans="2:20" ht="14.25">
      <c r="B98" s="726"/>
      <c r="C98" s="209"/>
      <c r="D98" s="210"/>
      <c r="E98" s="211"/>
      <c r="F98" s="105">
        <f t="shared" ref="F98:F116" si="61">+E98*(1+$J$8)</f>
        <v>0</v>
      </c>
      <c r="G98" s="105">
        <f t="shared" ref="G98:G116" si="62">+F98*(1+$K$8)</f>
        <v>0</v>
      </c>
      <c r="H98" s="105">
        <f t="shared" ref="H98:H116" si="63">+G98*(1+$L$8)</f>
        <v>0</v>
      </c>
      <c r="I98" s="105">
        <f t="shared" ref="I98:I116" si="64">+H98*(1+$M$8)</f>
        <v>0</v>
      </c>
      <c r="J98" s="123">
        <f t="shared" ref="J98:J116" si="65">IF(E98=0,0,+E98*1/$C$7)</f>
        <v>0</v>
      </c>
      <c r="K98" s="212"/>
      <c r="L98" s="77">
        <f>+K98*(1+'1'!$C$16)</f>
        <v>0</v>
      </c>
      <c r="M98" s="77">
        <f>+L98*(1+'1'!$D$16)</f>
        <v>0</v>
      </c>
      <c r="N98" s="77">
        <f>+M98*(1+'1'!$E$16)</f>
        <v>0</v>
      </c>
      <c r="O98" s="77">
        <f>N98*(1+'1'!$F$16)</f>
        <v>0</v>
      </c>
      <c r="P98" s="124">
        <f t="shared" ref="P98:P116" si="66">J98*K98*$C$7</f>
        <v>0</v>
      </c>
      <c r="Q98" s="124">
        <f t="shared" ref="Q98:Q116" si="67">J98*L98*$D$7</f>
        <v>0</v>
      </c>
      <c r="R98" s="124">
        <f t="shared" ref="R98:R116" si="68">J98*M98*$E$7</f>
        <v>0</v>
      </c>
      <c r="S98" s="124">
        <f t="shared" ref="S98:S116" si="69">J98*N98*$F$7</f>
        <v>0</v>
      </c>
      <c r="T98" s="124">
        <f t="shared" ref="T98:T116" si="70">J98*O98*$G$7</f>
        <v>0</v>
      </c>
    </row>
    <row r="99" spans="2:20" ht="14.25">
      <c r="B99" s="726"/>
      <c r="C99" s="209"/>
      <c r="D99" s="210"/>
      <c r="E99" s="211"/>
      <c r="F99" s="105">
        <f t="shared" si="61"/>
        <v>0</v>
      </c>
      <c r="G99" s="105">
        <f t="shared" si="62"/>
        <v>0</v>
      </c>
      <c r="H99" s="105">
        <f t="shared" si="63"/>
        <v>0</v>
      </c>
      <c r="I99" s="105">
        <f t="shared" si="64"/>
        <v>0</v>
      </c>
      <c r="J99" s="123">
        <f t="shared" si="65"/>
        <v>0</v>
      </c>
      <c r="K99" s="212"/>
      <c r="L99" s="77">
        <f>+K99*(1+'1'!$C$16)</f>
        <v>0</v>
      </c>
      <c r="M99" s="77">
        <f>+L99*(1+'1'!$D$16)</f>
        <v>0</v>
      </c>
      <c r="N99" s="77">
        <f>+M99*(1+'1'!$E$16)</f>
        <v>0</v>
      </c>
      <c r="O99" s="77">
        <f>N99*(1+'1'!$F$16)</f>
        <v>0</v>
      </c>
      <c r="P99" s="124">
        <f t="shared" si="66"/>
        <v>0</v>
      </c>
      <c r="Q99" s="124">
        <f t="shared" si="67"/>
        <v>0</v>
      </c>
      <c r="R99" s="124">
        <f t="shared" si="68"/>
        <v>0</v>
      </c>
      <c r="S99" s="124">
        <f t="shared" si="69"/>
        <v>0</v>
      </c>
      <c r="T99" s="124">
        <f t="shared" si="70"/>
        <v>0</v>
      </c>
    </row>
    <row r="100" spans="2:20" ht="14.25">
      <c r="B100" s="726"/>
      <c r="C100" s="209"/>
      <c r="D100" s="210"/>
      <c r="E100" s="211"/>
      <c r="F100" s="105">
        <f t="shared" si="61"/>
        <v>0</v>
      </c>
      <c r="G100" s="105">
        <f t="shared" si="62"/>
        <v>0</v>
      </c>
      <c r="H100" s="105">
        <f t="shared" si="63"/>
        <v>0</v>
      </c>
      <c r="I100" s="105">
        <f t="shared" si="64"/>
        <v>0</v>
      </c>
      <c r="J100" s="123">
        <f t="shared" si="65"/>
        <v>0</v>
      </c>
      <c r="K100" s="212"/>
      <c r="L100" s="77">
        <f>+K100*(1+'1'!$C$16)</f>
        <v>0</v>
      </c>
      <c r="M100" s="77">
        <f>+L100*(1+'1'!$D$16)</f>
        <v>0</v>
      </c>
      <c r="N100" s="77">
        <f>+M100*(1+'1'!$E$16)</f>
        <v>0</v>
      </c>
      <c r="O100" s="77">
        <f>N100*(1+'1'!$F$16)</f>
        <v>0</v>
      </c>
      <c r="P100" s="124">
        <f t="shared" si="66"/>
        <v>0</v>
      </c>
      <c r="Q100" s="124">
        <f t="shared" si="67"/>
        <v>0</v>
      </c>
      <c r="R100" s="124">
        <f t="shared" si="68"/>
        <v>0</v>
      </c>
      <c r="S100" s="124">
        <f t="shared" si="69"/>
        <v>0</v>
      </c>
      <c r="T100" s="124">
        <f t="shared" si="70"/>
        <v>0</v>
      </c>
    </row>
    <row r="101" spans="2:20" ht="14.25">
      <c r="B101" s="726"/>
      <c r="C101" s="209"/>
      <c r="D101" s="210"/>
      <c r="E101" s="211"/>
      <c r="F101" s="105">
        <f t="shared" si="61"/>
        <v>0</v>
      </c>
      <c r="G101" s="105">
        <f t="shared" si="62"/>
        <v>0</v>
      </c>
      <c r="H101" s="105">
        <f t="shared" si="63"/>
        <v>0</v>
      </c>
      <c r="I101" s="105">
        <f t="shared" si="64"/>
        <v>0</v>
      </c>
      <c r="J101" s="123">
        <f t="shared" si="65"/>
        <v>0</v>
      </c>
      <c r="K101" s="212"/>
      <c r="L101" s="77">
        <f>+K101*(1+'1'!$C$16)</f>
        <v>0</v>
      </c>
      <c r="M101" s="77">
        <f>+L101*(1+'1'!$D$16)</f>
        <v>0</v>
      </c>
      <c r="N101" s="77">
        <f>+M101*(1+'1'!$E$16)</f>
        <v>0</v>
      </c>
      <c r="O101" s="77">
        <f>N101*(1+'1'!$F$16)</f>
        <v>0</v>
      </c>
      <c r="P101" s="124">
        <f t="shared" si="66"/>
        <v>0</v>
      </c>
      <c r="Q101" s="124">
        <f t="shared" si="67"/>
        <v>0</v>
      </c>
      <c r="R101" s="124">
        <f t="shared" si="68"/>
        <v>0</v>
      </c>
      <c r="S101" s="124">
        <f t="shared" si="69"/>
        <v>0</v>
      </c>
      <c r="T101" s="124">
        <f t="shared" si="70"/>
        <v>0</v>
      </c>
    </row>
    <row r="102" spans="2:20" ht="14.25">
      <c r="B102" s="726"/>
      <c r="C102" s="209"/>
      <c r="D102" s="210"/>
      <c r="E102" s="211"/>
      <c r="F102" s="105">
        <f t="shared" si="61"/>
        <v>0</v>
      </c>
      <c r="G102" s="105">
        <f t="shared" si="62"/>
        <v>0</v>
      </c>
      <c r="H102" s="105">
        <f t="shared" si="63"/>
        <v>0</v>
      </c>
      <c r="I102" s="105">
        <f t="shared" si="64"/>
        <v>0</v>
      </c>
      <c r="J102" s="123">
        <f t="shared" si="65"/>
        <v>0</v>
      </c>
      <c r="K102" s="212"/>
      <c r="L102" s="77">
        <f>+K102*(1+'1'!$C$16)</f>
        <v>0</v>
      </c>
      <c r="M102" s="77">
        <f>+L102*(1+'1'!$D$16)</f>
        <v>0</v>
      </c>
      <c r="N102" s="77">
        <f>+M102*(1+'1'!$E$16)</f>
        <v>0</v>
      </c>
      <c r="O102" s="77">
        <f>N102*(1+'1'!$F$16)</f>
        <v>0</v>
      </c>
      <c r="P102" s="124">
        <f t="shared" si="66"/>
        <v>0</v>
      </c>
      <c r="Q102" s="124">
        <f t="shared" si="67"/>
        <v>0</v>
      </c>
      <c r="R102" s="124">
        <f t="shared" si="68"/>
        <v>0</v>
      </c>
      <c r="S102" s="124">
        <f t="shared" si="69"/>
        <v>0</v>
      </c>
      <c r="T102" s="124">
        <f t="shared" si="70"/>
        <v>0</v>
      </c>
    </row>
    <row r="103" spans="2:20" ht="14.25">
      <c r="B103" s="726"/>
      <c r="C103" s="209"/>
      <c r="D103" s="210"/>
      <c r="E103" s="211"/>
      <c r="F103" s="105">
        <f t="shared" si="61"/>
        <v>0</v>
      </c>
      <c r="G103" s="105">
        <f t="shared" si="62"/>
        <v>0</v>
      </c>
      <c r="H103" s="105">
        <f t="shared" si="63"/>
        <v>0</v>
      </c>
      <c r="I103" s="105">
        <f t="shared" si="64"/>
        <v>0</v>
      </c>
      <c r="J103" s="123">
        <f t="shared" si="65"/>
        <v>0</v>
      </c>
      <c r="K103" s="212"/>
      <c r="L103" s="77">
        <f>+K103*(1+'1'!$C$16)</f>
        <v>0</v>
      </c>
      <c r="M103" s="77">
        <f>+L103*(1+'1'!$D$16)</f>
        <v>0</v>
      </c>
      <c r="N103" s="77">
        <f>+M103*(1+'1'!$E$16)</f>
        <v>0</v>
      </c>
      <c r="O103" s="77">
        <f>N103*(1+'1'!$F$16)</f>
        <v>0</v>
      </c>
      <c r="P103" s="124">
        <f t="shared" si="66"/>
        <v>0</v>
      </c>
      <c r="Q103" s="124">
        <f t="shared" si="67"/>
        <v>0</v>
      </c>
      <c r="R103" s="124">
        <f t="shared" si="68"/>
        <v>0</v>
      </c>
      <c r="S103" s="124">
        <f t="shared" si="69"/>
        <v>0</v>
      </c>
      <c r="T103" s="124">
        <f t="shared" si="70"/>
        <v>0</v>
      </c>
    </row>
    <row r="104" spans="2:20" ht="14.25">
      <c r="B104" s="726"/>
      <c r="C104" s="209"/>
      <c r="D104" s="210"/>
      <c r="E104" s="211"/>
      <c r="F104" s="105">
        <f t="shared" si="61"/>
        <v>0</v>
      </c>
      <c r="G104" s="105">
        <f t="shared" si="62"/>
        <v>0</v>
      </c>
      <c r="H104" s="105">
        <f t="shared" si="63"/>
        <v>0</v>
      </c>
      <c r="I104" s="105">
        <f t="shared" si="64"/>
        <v>0</v>
      </c>
      <c r="J104" s="123">
        <f t="shared" si="65"/>
        <v>0</v>
      </c>
      <c r="K104" s="212"/>
      <c r="L104" s="77">
        <f>+K104*(1+'1'!$C$16)</f>
        <v>0</v>
      </c>
      <c r="M104" s="77">
        <f>+L104*(1+'1'!$D$16)</f>
        <v>0</v>
      </c>
      <c r="N104" s="77">
        <f>+M104*(1+'1'!$E$16)</f>
        <v>0</v>
      </c>
      <c r="O104" s="77">
        <f>N104*(1+'1'!$F$16)</f>
        <v>0</v>
      </c>
      <c r="P104" s="124">
        <f t="shared" si="66"/>
        <v>0</v>
      </c>
      <c r="Q104" s="124">
        <f t="shared" si="67"/>
        <v>0</v>
      </c>
      <c r="R104" s="124">
        <f t="shared" si="68"/>
        <v>0</v>
      </c>
      <c r="S104" s="124">
        <f t="shared" si="69"/>
        <v>0</v>
      </c>
      <c r="T104" s="124">
        <f t="shared" si="70"/>
        <v>0</v>
      </c>
    </row>
    <row r="105" spans="2:20" ht="14.25">
      <c r="B105" s="726"/>
      <c r="C105" s="209"/>
      <c r="D105" s="210"/>
      <c r="E105" s="211"/>
      <c r="F105" s="105">
        <f t="shared" si="61"/>
        <v>0</v>
      </c>
      <c r="G105" s="105">
        <f t="shared" si="62"/>
        <v>0</v>
      </c>
      <c r="H105" s="105">
        <f t="shared" si="63"/>
        <v>0</v>
      </c>
      <c r="I105" s="105">
        <f t="shared" si="64"/>
        <v>0</v>
      </c>
      <c r="J105" s="123">
        <f t="shared" si="65"/>
        <v>0</v>
      </c>
      <c r="K105" s="212"/>
      <c r="L105" s="77">
        <f>+K105*(1+'1'!$C$16)</f>
        <v>0</v>
      </c>
      <c r="M105" s="77">
        <f>+L105*(1+'1'!$D$16)</f>
        <v>0</v>
      </c>
      <c r="N105" s="77">
        <f>+M105*(1+'1'!$E$16)</f>
        <v>0</v>
      </c>
      <c r="O105" s="77">
        <f>N105*(1+'1'!$F$16)</f>
        <v>0</v>
      </c>
      <c r="P105" s="124">
        <f t="shared" si="66"/>
        <v>0</v>
      </c>
      <c r="Q105" s="124">
        <f t="shared" si="67"/>
        <v>0</v>
      </c>
      <c r="R105" s="124">
        <f t="shared" si="68"/>
        <v>0</v>
      </c>
      <c r="S105" s="124">
        <f t="shared" si="69"/>
        <v>0</v>
      </c>
      <c r="T105" s="124">
        <f t="shared" si="70"/>
        <v>0</v>
      </c>
    </row>
    <row r="106" spans="2:20" ht="14.25">
      <c r="B106" s="726"/>
      <c r="C106" s="209"/>
      <c r="D106" s="210"/>
      <c r="E106" s="211"/>
      <c r="F106" s="105">
        <f t="shared" si="61"/>
        <v>0</v>
      </c>
      <c r="G106" s="105">
        <f t="shared" si="62"/>
        <v>0</v>
      </c>
      <c r="H106" s="105">
        <f t="shared" si="63"/>
        <v>0</v>
      </c>
      <c r="I106" s="105">
        <f t="shared" si="64"/>
        <v>0</v>
      </c>
      <c r="J106" s="123">
        <f t="shared" si="65"/>
        <v>0</v>
      </c>
      <c r="K106" s="212"/>
      <c r="L106" s="77">
        <f>+K106*(1+'1'!$C$16)</f>
        <v>0</v>
      </c>
      <c r="M106" s="77">
        <f>+L106*(1+'1'!$D$16)</f>
        <v>0</v>
      </c>
      <c r="N106" s="77">
        <f>+M106*(1+'1'!$E$16)</f>
        <v>0</v>
      </c>
      <c r="O106" s="77">
        <f>N106*(1+'1'!$F$16)</f>
        <v>0</v>
      </c>
      <c r="P106" s="124">
        <f t="shared" si="66"/>
        <v>0</v>
      </c>
      <c r="Q106" s="124">
        <f t="shared" si="67"/>
        <v>0</v>
      </c>
      <c r="R106" s="124">
        <f t="shared" si="68"/>
        <v>0</v>
      </c>
      <c r="S106" s="124">
        <f t="shared" si="69"/>
        <v>0</v>
      </c>
      <c r="T106" s="124">
        <f t="shared" si="70"/>
        <v>0</v>
      </c>
    </row>
    <row r="107" spans="2:20" ht="14.25">
      <c r="B107" s="726"/>
      <c r="C107" s="209"/>
      <c r="D107" s="210"/>
      <c r="E107" s="211"/>
      <c r="F107" s="105">
        <f t="shared" si="61"/>
        <v>0</v>
      </c>
      <c r="G107" s="105">
        <f t="shared" si="62"/>
        <v>0</v>
      </c>
      <c r="H107" s="105">
        <f t="shared" si="63"/>
        <v>0</v>
      </c>
      <c r="I107" s="105">
        <f t="shared" si="64"/>
        <v>0</v>
      </c>
      <c r="J107" s="123">
        <f t="shared" si="65"/>
        <v>0</v>
      </c>
      <c r="K107" s="212"/>
      <c r="L107" s="77">
        <f>+K107*(1+'1'!$C$16)</f>
        <v>0</v>
      </c>
      <c r="M107" s="77">
        <f>+L107*(1+'1'!$D$16)</f>
        <v>0</v>
      </c>
      <c r="N107" s="77">
        <f>+M107*(1+'1'!$E$16)</f>
        <v>0</v>
      </c>
      <c r="O107" s="77">
        <f>N107*(1+'1'!$F$16)</f>
        <v>0</v>
      </c>
      <c r="P107" s="124">
        <f t="shared" si="66"/>
        <v>0</v>
      </c>
      <c r="Q107" s="124">
        <f t="shared" si="67"/>
        <v>0</v>
      </c>
      <c r="R107" s="124">
        <f t="shared" si="68"/>
        <v>0</v>
      </c>
      <c r="S107" s="124">
        <f t="shared" si="69"/>
        <v>0</v>
      </c>
      <c r="T107" s="124">
        <f t="shared" si="70"/>
        <v>0</v>
      </c>
    </row>
    <row r="108" spans="2:20" ht="14.25">
      <c r="B108" s="726"/>
      <c r="C108" s="209"/>
      <c r="D108" s="210"/>
      <c r="E108" s="211"/>
      <c r="F108" s="105">
        <f t="shared" si="61"/>
        <v>0</v>
      </c>
      <c r="G108" s="105">
        <f t="shared" si="62"/>
        <v>0</v>
      </c>
      <c r="H108" s="105">
        <f t="shared" si="63"/>
        <v>0</v>
      </c>
      <c r="I108" s="105">
        <f t="shared" si="64"/>
        <v>0</v>
      </c>
      <c r="J108" s="123">
        <f t="shared" si="65"/>
        <v>0</v>
      </c>
      <c r="K108" s="212"/>
      <c r="L108" s="77">
        <f>+K108*(1+'1'!$C$16)</f>
        <v>0</v>
      </c>
      <c r="M108" s="77">
        <f>+L108*(1+'1'!$D$16)</f>
        <v>0</v>
      </c>
      <c r="N108" s="77">
        <f>+M108*(1+'1'!$E$16)</f>
        <v>0</v>
      </c>
      <c r="O108" s="77">
        <f>N108*(1+'1'!$F$16)</f>
        <v>0</v>
      </c>
      <c r="P108" s="124">
        <f t="shared" si="66"/>
        <v>0</v>
      </c>
      <c r="Q108" s="124">
        <f t="shared" si="67"/>
        <v>0</v>
      </c>
      <c r="R108" s="124">
        <f t="shared" si="68"/>
        <v>0</v>
      </c>
      <c r="S108" s="124">
        <f t="shared" si="69"/>
        <v>0</v>
      </c>
      <c r="T108" s="124">
        <f t="shared" si="70"/>
        <v>0</v>
      </c>
    </row>
    <row r="109" spans="2:20" ht="14.25">
      <c r="B109" s="726"/>
      <c r="C109" s="209"/>
      <c r="D109" s="210"/>
      <c r="E109" s="211"/>
      <c r="F109" s="105">
        <f t="shared" si="61"/>
        <v>0</v>
      </c>
      <c r="G109" s="105">
        <f t="shared" si="62"/>
        <v>0</v>
      </c>
      <c r="H109" s="105">
        <f t="shared" si="63"/>
        <v>0</v>
      </c>
      <c r="I109" s="105">
        <f t="shared" si="64"/>
        <v>0</v>
      </c>
      <c r="J109" s="123">
        <f t="shared" si="65"/>
        <v>0</v>
      </c>
      <c r="K109" s="212"/>
      <c r="L109" s="77">
        <f>+K109*(1+'1'!$C$16)</f>
        <v>0</v>
      </c>
      <c r="M109" s="77">
        <f>+L109*(1+'1'!$D$16)</f>
        <v>0</v>
      </c>
      <c r="N109" s="77">
        <f>+M109*(1+'1'!$E$16)</f>
        <v>0</v>
      </c>
      <c r="O109" s="77">
        <f>N109*(1+'1'!$F$16)</f>
        <v>0</v>
      </c>
      <c r="P109" s="124">
        <f t="shared" si="66"/>
        <v>0</v>
      </c>
      <c r="Q109" s="124">
        <f t="shared" si="67"/>
        <v>0</v>
      </c>
      <c r="R109" s="124">
        <f t="shared" si="68"/>
        <v>0</v>
      </c>
      <c r="S109" s="124">
        <f t="shared" si="69"/>
        <v>0</v>
      </c>
      <c r="T109" s="124">
        <f t="shared" si="70"/>
        <v>0</v>
      </c>
    </row>
    <row r="110" spans="2:20" ht="14.25">
      <c r="B110" s="726"/>
      <c r="C110" s="209"/>
      <c r="D110" s="210"/>
      <c r="E110" s="211"/>
      <c r="F110" s="105">
        <f t="shared" si="61"/>
        <v>0</v>
      </c>
      <c r="G110" s="105">
        <f t="shared" si="62"/>
        <v>0</v>
      </c>
      <c r="H110" s="105">
        <f t="shared" si="63"/>
        <v>0</v>
      </c>
      <c r="I110" s="105">
        <f t="shared" si="64"/>
        <v>0</v>
      </c>
      <c r="J110" s="123">
        <f t="shared" si="65"/>
        <v>0</v>
      </c>
      <c r="K110" s="212"/>
      <c r="L110" s="77">
        <f>+K110*(1+'1'!$C$16)</f>
        <v>0</v>
      </c>
      <c r="M110" s="77">
        <f>+L110*(1+'1'!$D$16)</f>
        <v>0</v>
      </c>
      <c r="N110" s="77">
        <f>+M110*(1+'1'!$E$16)</f>
        <v>0</v>
      </c>
      <c r="O110" s="77">
        <f>N110*(1+'1'!$F$16)</f>
        <v>0</v>
      </c>
      <c r="P110" s="124">
        <f t="shared" si="66"/>
        <v>0</v>
      </c>
      <c r="Q110" s="124">
        <f t="shared" si="67"/>
        <v>0</v>
      </c>
      <c r="R110" s="124">
        <f t="shared" si="68"/>
        <v>0</v>
      </c>
      <c r="S110" s="124">
        <f t="shared" si="69"/>
        <v>0</v>
      </c>
      <c r="T110" s="124">
        <f t="shared" si="70"/>
        <v>0</v>
      </c>
    </row>
    <row r="111" spans="2:20" ht="14.25">
      <c r="B111" s="726"/>
      <c r="C111" s="209"/>
      <c r="D111" s="210"/>
      <c r="E111" s="211"/>
      <c r="F111" s="105">
        <f t="shared" si="61"/>
        <v>0</v>
      </c>
      <c r="G111" s="105">
        <f t="shared" si="62"/>
        <v>0</v>
      </c>
      <c r="H111" s="105">
        <f t="shared" si="63"/>
        <v>0</v>
      </c>
      <c r="I111" s="105">
        <f t="shared" si="64"/>
        <v>0</v>
      </c>
      <c r="J111" s="123">
        <f t="shared" si="65"/>
        <v>0</v>
      </c>
      <c r="K111" s="212"/>
      <c r="L111" s="77">
        <f>+K111*(1+'1'!$C$16)</f>
        <v>0</v>
      </c>
      <c r="M111" s="77">
        <f>+L111*(1+'1'!$D$16)</f>
        <v>0</v>
      </c>
      <c r="N111" s="77">
        <f>+M111*(1+'1'!$E$16)</f>
        <v>0</v>
      </c>
      <c r="O111" s="77">
        <f>N111*(1+'1'!$F$16)</f>
        <v>0</v>
      </c>
      <c r="P111" s="124">
        <f t="shared" si="66"/>
        <v>0</v>
      </c>
      <c r="Q111" s="124">
        <f t="shared" si="67"/>
        <v>0</v>
      </c>
      <c r="R111" s="124">
        <f t="shared" si="68"/>
        <v>0</v>
      </c>
      <c r="S111" s="124">
        <f t="shared" si="69"/>
        <v>0</v>
      </c>
      <c r="T111" s="124">
        <f t="shared" si="70"/>
        <v>0</v>
      </c>
    </row>
    <row r="112" spans="2:20" ht="14.25">
      <c r="B112" s="726"/>
      <c r="C112" s="209"/>
      <c r="D112" s="210"/>
      <c r="E112" s="211"/>
      <c r="F112" s="105">
        <f t="shared" si="61"/>
        <v>0</v>
      </c>
      <c r="G112" s="105">
        <f t="shared" si="62"/>
        <v>0</v>
      </c>
      <c r="H112" s="105">
        <f t="shared" si="63"/>
        <v>0</v>
      </c>
      <c r="I112" s="105">
        <f t="shared" si="64"/>
        <v>0</v>
      </c>
      <c r="J112" s="123">
        <f t="shared" si="65"/>
        <v>0</v>
      </c>
      <c r="K112" s="212"/>
      <c r="L112" s="77">
        <f>+K112*(1+'1'!$C$16)</f>
        <v>0</v>
      </c>
      <c r="M112" s="77">
        <f>+L112*(1+'1'!$D$16)</f>
        <v>0</v>
      </c>
      <c r="N112" s="77">
        <f>+M112*(1+'1'!$E$16)</f>
        <v>0</v>
      </c>
      <c r="O112" s="77">
        <f>N112*(1+'1'!$F$16)</f>
        <v>0</v>
      </c>
      <c r="P112" s="124">
        <f t="shared" si="66"/>
        <v>0</v>
      </c>
      <c r="Q112" s="124">
        <f t="shared" si="67"/>
        <v>0</v>
      </c>
      <c r="R112" s="124">
        <f t="shared" si="68"/>
        <v>0</v>
      </c>
      <c r="S112" s="124">
        <f t="shared" si="69"/>
        <v>0</v>
      </c>
      <c r="T112" s="124">
        <f t="shared" si="70"/>
        <v>0</v>
      </c>
    </row>
    <row r="113" spans="2:20" ht="14.25">
      <c r="B113" s="726"/>
      <c r="C113" s="209"/>
      <c r="D113" s="210"/>
      <c r="E113" s="211"/>
      <c r="F113" s="105">
        <f t="shared" si="61"/>
        <v>0</v>
      </c>
      <c r="G113" s="105">
        <f t="shared" si="62"/>
        <v>0</v>
      </c>
      <c r="H113" s="105">
        <f t="shared" si="63"/>
        <v>0</v>
      </c>
      <c r="I113" s="105">
        <f t="shared" si="64"/>
        <v>0</v>
      </c>
      <c r="J113" s="123">
        <f t="shared" si="65"/>
        <v>0</v>
      </c>
      <c r="K113" s="212"/>
      <c r="L113" s="77">
        <f>+K113*(1+'1'!$C$16)</f>
        <v>0</v>
      </c>
      <c r="M113" s="77">
        <f>+L113*(1+'1'!$D$16)</f>
        <v>0</v>
      </c>
      <c r="N113" s="77">
        <f>+M113*(1+'1'!$E$16)</f>
        <v>0</v>
      </c>
      <c r="O113" s="77">
        <f>N113*(1+'1'!$F$16)</f>
        <v>0</v>
      </c>
      <c r="P113" s="124">
        <f t="shared" si="66"/>
        <v>0</v>
      </c>
      <c r="Q113" s="124">
        <f t="shared" si="67"/>
        <v>0</v>
      </c>
      <c r="R113" s="124">
        <f t="shared" si="68"/>
        <v>0</v>
      </c>
      <c r="S113" s="124">
        <f t="shared" si="69"/>
        <v>0</v>
      </c>
      <c r="T113" s="124">
        <f t="shared" si="70"/>
        <v>0</v>
      </c>
    </row>
    <row r="114" spans="2:20" ht="14.25">
      <c r="B114" s="726"/>
      <c r="C114" s="209"/>
      <c r="D114" s="210"/>
      <c r="E114" s="211"/>
      <c r="F114" s="105">
        <f t="shared" si="61"/>
        <v>0</v>
      </c>
      <c r="G114" s="105">
        <f t="shared" si="62"/>
        <v>0</v>
      </c>
      <c r="H114" s="105">
        <f t="shared" si="63"/>
        <v>0</v>
      </c>
      <c r="I114" s="105">
        <f t="shared" si="64"/>
        <v>0</v>
      </c>
      <c r="J114" s="123">
        <f t="shared" si="65"/>
        <v>0</v>
      </c>
      <c r="K114" s="212"/>
      <c r="L114" s="77">
        <f>+K114*(1+'1'!$C$16)</f>
        <v>0</v>
      </c>
      <c r="M114" s="77">
        <f>+L114*(1+'1'!$D$16)</f>
        <v>0</v>
      </c>
      <c r="N114" s="77">
        <f>+M114*(1+'1'!$E$16)</f>
        <v>0</v>
      </c>
      <c r="O114" s="77">
        <f>N114*(1+'1'!$F$16)</f>
        <v>0</v>
      </c>
      <c r="P114" s="124">
        <f t="shared" si="66"/>
        <v>0</v>
      </c>
      <c r="Q114" s="124">
        <f t="shared" si="67"/>
        <v>0</v>
      </c>
      <c r="R114" s="124">
        <f t="shared" si="68"/>
        <v>0</v>
      </c>
      <c r="S114" s="124">
        <f t="shared" si="69"/>
        <v>0</v>
      </c>
      <c r="T114" s="124">
        <f t="shared" si="70"/>
        <v>0</v>
      </c>
    </row>
    <row r="115" spans="2:20" ht="14.25">
      <c r="B115" s="726"/>
      <c r="C115" s="209"/>
      <c r="D115" s="210"/>
      <c r="E115" s="211"/>
      <c r="F115" s="105">
        <f t="shared" si="61"/>
        <v>0</v>
      </c>
      <c r="G115" s="105">
        <f t="shared" si="62"/>
        <v>0</v>
      </c>
      <c r="H115" s="105">
        <f t="shared" si="63"/>
        <v>0</v>
      </c>
      <c r="I115" s="105">
        <f t="shared" si="64"/>
        <v>0</v>
      </c>
      <c r="J115" s="123">
        <f t="shared" si="65"/>
        <v>0</v>
      </c>
      <c r="K115" s="212"/>
      <c r="L115" s="77">
        <f>+K115*(1+'1'!$C$16)</f>
        <v>0</v>
      </c>
      <c r="M115" s="77">
        <f>+L115*(1+'1'!$D$16)</f>
        <v>0</v>
      </c>
      <c r="N115" s="77">
        <f>+M115*(1+'1'!$E$16)</f>
        <v>0</v>
      </c>
      <c r="O115" s="77">
        <f>N115*(1+'1'!$F$16)</f>
        <v>0</v>
      </c>
      <c r="P115" s="124">
        <f t="shared" si="66"/>
        <v>0</v>
      </c>
      <c r="Q115" s="124">
        <f t="shared" si="67"/>
        <v>0</v>
      </c>
      <c r="R115" s="124">
        <f t="shared" si="68"/>
        <v>0</v>
      </c>
      <c r="S115" s="124">
        <f t="shared" si="69"/>
        <v>0</v>
      </c>
      <c r="T115" s="124">
        <f t="shared" si="70"/>
        <v>0</v>
      </c>
    </row>
    <row r="116" spans="2:20" ht="14.25">
      <c r="B116" s="726"/>
      <c r="C116" s="209"/>
      <c r="D116" s="210"/>
      <c r="E116" s="211"/>
      <c r="F116" s="105">
        <f t="shared" si="61"/>
        <v>0</v>
      </c>
      <c r="G116" s="105">
        <f t="shared" si="62"/>
        <v>0</v>
      </c>
      <c r="H116" s="105">
        <f t="shared" si="63"/>
        <v>0</v>
      </c>
      <c r="I116" s="105">
        <f t="shared" si="64"/>
        <v>0</v>
      </c>
      <c r="J116" s="123">
        <f t="shared" si="65"/>
        <v>0</v>
      </c>
      <c r="K116" s="212"/>
      <c r="L116" s="77">
        <f>+K116*(1+'1'!$C$16)</f>
        <v>0</v>
      </c>
      <c r="M116" s="77">
        <f>+L116*(1+'1'!$D$16)</f>
        <v>0</v>
      </c>
      <c r="N116" s="77">
        <f>+M116*(1+'1'!$E$16)</f>
        <v>0</v>
      </c>
      <c r="O116" s="77">
        <f>N116*(1+'1'!$F$16)</f>
        <v>0</v>
      </c>
      <c r="P116" s="124">
        <f t="shared" si="66"/>
        <v>0</v>
      </c>
      <c r="Q116" s="124">
        <f t="shared" si="67"/>
        <v>0</v>
      </c>
      <c r="R116" s="124">
        <f t="shared" si="68"/>
        <v>0</v>
      </c>
      <c r="S116" s="124">
        <f t="shared" si="69"/>
        <v>0</v>
      </c>
      <c r="T116" s="124">
        <f t="shared" si="70"/>
        <v>0</v>
      </c>
    </row>
    <row r="117" spans="2:20" ht="13.5" thickBot="1">
      <c r="B117" s="726"/>
      <c r="C117" s="707" t="s">
        <v>13</v>
      </c>
      <c r="D117" s="707"/>
      <c r="E117" s="707"/>
      <c r="F117" s="707"/>
      <c r="G117" s="707"/>
      <c r="H117" s="707"/>
      <c r="I117" s="707"/>
      <c r="J117" s="707"/>
      <c r="K117" s="707"/>
      <c r="L117" s="707"/>
      <c r="M117" s="707"/>
      <c r="N117" s="707"/>
      <c r="O117" s="707"/>
      <c r="P117" s="137">
        <f>SUM(P97:P116)</f>
        <v>0</v>
      </c>
      <c r="Q117" s="124">
        <f>SUM(Q97:Q116)</f>
        <v>0</v>
      </c>
      <c r="R117" s="124">
        <f>SUM(R97:R116)</f>
        <v>0</v>
      </c>
      <c r="S117" s="124">
        <f>SUM(S97:S116)</f>
        <v>0</v>
      </c>
      <c r="T117" s="124">
        <f>SUM(T97:T116)</f>
        <v>0</v>
      </c>
    </row>
    <row r="118" spans="2:20">
      <c r="B118" s="726"/>
      <c r="C118" s="114" t="s">
        <v>12</v>
      </c>
      <c r="D118" s="79"/>
      <c r="E118" s="79"/>
      <c r="F118" s="79"/>
      <c r="G118" s="79"/>
      <c r="H118" s="79"/>
      <c r="I118" s="79"/>
      <c r="J118" s="79"/>
      <c r="K118" s="79"/>
      <c r="L118" s="79"/>
      <c r="M118" s="79"/>
      <c r="N118" s="79"/>
      <c r="O118" s="79"/>
      <c r="P118" s="79"/>
      <c r="Q118" s="79"/>
      <c r="R118" s="79"/>
      <c r="S118" s="79"/>
      <c r="T118" s="80"/>
    </row>
    <row r="119" spans="2:20" ht="14.25">
      <c r="B119" s="726"/>
      <c r="C119" s="109"/>
      <c r="D119" s="109"/>
      <c r="E119" s="109"/>
      <c r="F119" s="105">
        <f t="shared" ref="F119:F126" si="71">+E119*(1+$J$8)</f>
        <v>0</v>
      </c>
      <c r="G119" s="105">
        <f t="shared" ref="G119:G126" si="72">+F119*(1+$K$8)</f>
        <v>0</v>
      </c>
      <c r="H119" s="105">
        <f t="shared" ref="H119:H135" si="73">+G119*(1+$L$8)</f>
        <v>0</v>
      </c>
      <c r="I119" s="105">
        <f t="shared" ref="I119:I126" si="74">+H119*(1+$M$8)</f>
        <v>0</v>
      </c>
      <c r="J119" s="123">
        <f>IF(E119=0,0,+E119*1/$C$7)</f>
        <v>0</v>
      </c>
      <c r="K119" s="107"/>
      <c r="L119" s="77">
        <f>+K119*(1+'1'!$C$16)</f>
        <v>0</v>
      </c>
      <c r="M119" s="77">
        <f>+L119*(1+'1'!$D$16)</f>
        <v>0</v>
      </c>
      <c r="N119" s="77">
        <f>+M119*(1+'1'!$E$16)</f>
        <v>0</v>
      </c>
      <c r="O119" s="77">
        <f>N119*(1+'1'!$F$16)</f>
        <v>0</v>
      </c>
      <c r="P119" s="124">
        <f>J119*K119*$C$7</f>
        <v>0</v>
      </c>
      <c r="Q119" s="124">
        <f>J119*L119*$D$7</f>
        <v>0</v>
      </c>
      <c r="R119" s="124">
        <f>J119*M119*$E$7</f>
        <v>0</v>
      </c>
      <c r="S119" s="124">
        <f>J119*N119*$F$7</f>
        <v>0</v>
      </c>
      <c r="T119" s="124">
        <f>J119*O119*$G$7</f>
        <v>0</v>
      </c>
    </row>
    <row r="120" spans="2:20" ht="14.25">
      <c r="B120" s="726"/>
      <c r="C120" s="109"/>
      <c r="D120" s="109"/>
      <c r="E120" s="109"/>
      <c r="F120" s="105">
        <f t="shared" si="71"/>
        <v>0</v>
      </c>
      <c r="G120" s="105">
        <f t="shared" si="72"/>
        <v>0</v>
      </c>
      <c r="H120" s="105">
        <f t="shared" si="73"/>
        <v>0</v>
      </c>
      <c r="I120" s="105">
        <f t="shared" si="74"/>
        <v>0</v>
      </c>
      <c r="J120" s="123">
        <f t="shared" ref="J120:J126" si="75">IF(E120=0,0,+E120*1/$C$7)</f>
        <v>0</v>
      </c>
      <c r="K120" s="107"/>
      <c r="L120" s="77">
        <f>+K120*(1+'1'!$C$16)</f>
        <v>0</v>
      </c>
      <c r="M120" s="77">
        <f>+L120*(1+'1'!$D$16)</f>
        <v>0</v>
      </c>
      <c r="N120" s="77">
        <f>+M120*(1+'1'!$E$16)</f>
        <v>0</v>
      </c>
      <c r="O120" s="77">
        <f>N120*(1+'1'!$F$16)</f>
        <v>0</v>
      </c>
      <c r="P120" s="124">
        <f t="shared" ref="P120:P126" si="76">J120*K120*$C$7</f>
        <v>0</v>
      </c>
      <c r="Q120" s="124">
        <f t="shared" ref="Q120:Q126" si="77">J120*L120*$D$7</f>
        <v>0</v>
      </c>
      <c r="R120" s="124">
        <f t="shared" ref="R120:R126" si="78">J120*M120*$E$7</f>
        <v>0</v>
      </c>
      <c r="S120" s="124">
        <f t="shared" ref="S120:S126" si="79">J120*N120*$F$7</f>
        <v>0</v>
      </c>
      <c r="T120" s="124">
        <f t="shared" ref="T120:T126" si="80">J120*O120*$G$7</f>
        <v>0</v>
      </c>
    </row>
    <row r="121" spans="2:20" ht="14.25">
      <c r="B121" s="726"/>
      <c r="C121" s="109"/>
      <c r="D121" s="109"/>
      <c r="E121" s="109"/>
      <c r="F121" s="105">
        <f t="shared" si="71"/>
        <v>0</v>
      </c>
      <c r="G121" s="105">
        <f t="shared" si="72"/>
        <v>0</v>
      </c>
      <c r="H121" s="105">
        <f t="shared" si="73"/>
        <v>0</v>
      </c>
      <c r="I121" s="105">
        <f t="shared" si="74"/>
        <v>0</v>
      </c>
      <c r="J121" s="123">
        <f t="shared" si="75"/>
        <v>0</v>
      </c>
      <c r="K121" s="107"/>
      <c r="L121" s="77">
        <f>+K121*(1+'1'!$C$16)</f>
        <v>0</v>
      </c>
      <c r="M121" s="77">
        <f>+L121*(1+'1'!$D$16)</f>
        <v>0</v>
      </c>
      <c r="N121" s="77">
        <f>+M121*(1+'1'!$E$16)</f>
        <v>0</v>
      </c>
      <c r="O121" s="77">
        <f>N121*(1+'1'!$F$16)</f>
        <v>0</v>
      </c>
      <c r="P121" s="124">
        <f t="shared" si="76"/>
        <v>0</v>
      </c>
      <c r="Q121" s="124">
        <f t="shared" si="77"/>
        <v>0</v>
      </c>
      <c r="R121" s="124">
        <f t="shared" si="78"/>
        <v>0</v>
      </c>
      <c r="S121" s="124">
        <f t="shared" si="79"/>
        <v>0</v>
      </c>
      <c r="T121" s="124">
        <f t="shared" si="80"/>
        <v>0</v>
      </c>
    </row>
    <row r="122" spans="2:20" ht="14.25">
      <c r="B122" s="726"/>
      <c r="C122" s="109"/>
      <c r="D122" s="109"/>
      <c r="E122" s="109"/>
      <c r="F122" s="105">
        <f t="shared" si="71"/>
        <v>0</v>
      </c>
      <c r="G122" s="105">
        <f t="shared" si="72"/>
        <v>0</v>
      </c>
      <c r="H122" s="105">
        <f t="shared" si="73"/>
        <v>0</v>
      </c>
      <c r="I122" s="105">
        <f t="shared" si="74"/>
        <v>0</v>
      </c>
      <c r="J122" s="123">
        <f t="shared" si="75"/>
        <v>0</v>
      </c>
      <c r="K122" s="107"/>
      <c r="L122" s="77">
        <f>+K122*(1+'1'!$C$16)</f>
        <v>0</v>
      </c>
      <c r="M122" s="77">
        <f>+L122*(1+'1'!$D$16)</f>
        <v>0</v>
      </c>
      <c r="N122" s="77">
        <f>+M122*(1+'1'!$E$16)</f>
        <v>0</v>
      </c>
      <c r="O122" s="77">
        <f>N122*(1+'1'!$F$16)</f>
        <v>0</v>
      </c>
      <c r="P122" s="124">
        <f t="shared" si="76"/>
        <v>0</v>
      </c>
      <c r="Q122" s="124">
        <f t="shared" si="77"/>
        <v>0</v>
      </c>
      <c r="R122" s="124">
        <f t="shared" si="78"/>
        <v>0</v>
      </c>
      <c r="S122" s="124">
        <f t="shared" si="79"/>
        <v>0</v>
      </c>
      <c r="T122" s="124">
        <f t="shared" si="80"/>
        <v>0</v>
      </c>
    </row>
    <row r="123" spans="2:20" ht="14.25">
      <c r="B123" s="726"/>
      <c r="C123" s="109"/>
      <c r="D123" s="109"/>
      <c r="E123" s="109"/>
      <c r="F123" s="105">
        <f t="shared" si="71"/>
        <v>0</v>
      </c>
      <c r="G123" s="105">
        <f t="shared" si="72"/>
        <v>0</v>
      </c>
      <c r="H123" s="105">
        <f t="shared" si="73"/>
        <v>0</v>
      </c>
      <c r="I123" s="105">
        <f t="shared" si="74"/>
        <v>0</v>
      </c>
      <c r="J123" s="123">
        <f t="shared" si="75"/>
        <v>0</v>
      </c>
      <c r="K123" s="107"/>
      <c r="L123" s="77">
        <f>+K123*(1+'1'!$C$16)</f>
        <v>0</v>
      </c>
      <c r="M123" s="77">
        <f>+L123*(1+'1'!$D$16)</f>
        <v>0</v>
      </c>
      <c r="N123" s="77">
        <f>+M123*(1+'1'!$E$16)</f>
        <v>0</v>
      </c>
      <c r="O123" s="77">
        <f>N123*(1+'1'!$F$16)</f>
        <v>0</v>
      </c>
      <c r="P123" s="124">
        <f t="shared" si="76"/>
        <v>0</v>
      </c>
      <c r="Q123" s="124">
        <f t="shared" si="77"/>
        <v>0</v>
      </c>
      <c r="R123" s="124">
        <f t="shared" si="78"/>
        <v>0</v>
      </c>
      <c r="S123" s="124">
        <f t="shared" si="79"/>
        <v>0</v>
      </c>
      <c r="T123" s="124">
        <f t="shared" si="80"/>
        <v>0</v>
      </c>
    </row>
    <row r="124" spans="2:20" ht="14.25">
      <c r="B124" s="726"/>
      <c r="C124" s="109"/>
      <c r="D124" s="109"/>
      <c r="E124" s="109"/>
      <c r="F124" s="105">
        <f t="shared" si="71"/>
        <v>0</v>
      </c>
      <c r="G124" s="105">
        <f t="shared" si="72"/>
        <v>0</v>
      </c>
      <c r="H124" s="105">
        <f t="shared" si="73"/>
        <v>0</v>
      </c>
      <c r="I124" s="105">
        <f t="shared" si="74"/>
        <v>0</v>
      </c>
      <c r="J124" s="123">
        <f t="shared" si="75"/>
        <v>0</v>
      </c>
      <c r="K124" s="107"/>
      <c r="L124" s="77">
        <f>+K124*(1+'1'!$C$16)</f>
        <v>0</v>
      </c>
      <c r="M124" s="77">
        <f>+L124*(1+'1'!$D$16)</f>
        <v>0</v>
      </c>
      <c r="N124" s="77">
        <f>+M124*(1+'1'!$E$16)</f>
        <v>0</v>
      </c>
      <c r="O124" s="77">
        <f>N124*(1+'1'!$F$16)</f>
        <v>0</v>
      </c>
      <c r="P124" s="124">
        <f t="shared" si="76"/>
        <v>0</v>
      </c>
      <c r="Q124" s="124">
        <f t="shared" si="77"/>
        <v>0</v>
      </c>
      <c r="R124" s="124">
        <f t="shared" si="78"/>
        <v>0</v>
      </c>
      <c r="S124" s="124">
        <f t="shared" si="79"/>
        <v>0</v>
      </c>
      <c r="T124" s="124">
        <f t="shared" si="80"/>
        <v>0</v>
      </c>
    </row>
    <row r="125" spans="2:20" ht="14.25">
      <c r="B125" s="726"/>
      <c r="C125" s="109"/>
      <c r="D125" s="109"/>
      <c r="E125" s="109"/>
      <c r="F125" s="105">
        <f t="shared" si="71"/>
        <v>0</v>
      </c>
      <c r="G125" s="105">
        <f t="shared" si="72"/>
        <v>0</v>
      </c>
      <c r="H125" s="105">
        <f t="shared" si="73"/>
        <v>0</v>
      </c>
      <c r="I125" s="105">
        <f t="shared" si="74"/>
        <v>0</v>
      </c>
      <c r="J125" s="123">
        <f t="shared" si="75"/>
        <v>0</v>
      </c>
      <c r="K125" s="107"/>
      <c r="L125" s="77">
        <f>+K125*(1+'1'!$C$16)</f>
        <v>0</v>
      </c>
      <c r="M125" s="77">
        <f>+L125*(1+'1'!$D$16)</f>
        <v>0</v>
      </c>
      <c r="N125" s="77">
        <f>+M125*(1+'1'!$E$16)</f>
        <v>0</v>
      </c>
      <c r="O125" s="77">
        <f>N125*(1+'1'!$F$16)</f>
        <v>0</v>
      </c>
      <c r="P125" s="124">
        <f t="shared" si="76"/>
        <v>0</v>
      </c>
      <c r="Q125" s="124">
        <f t="shared" si="77"/>
        <v>0</v>
      </c>
      <c r="R125" s="124">
        <f t="shared" si="78"/>
        <v>0</v>
      </c>
      <c r="S125" s="124">
        <f t="shared" si="79"/>
        <v>0</v>
      </c>
      <c r="T125" s="124">
        <f t="shared" si="80"/>
        <v>0</v>
      </c>
    </row>
    <row r="126" spans="2:20" ht="14.25">
      <c r="B126" s="726"/>
      <c r="C126" s="109"/>
      <c r="D126" s="109"/>
      <c r="E126" s="109"/>
      <c r="F126" s="105">
        <f t="shared" si="71"/>
        <v>0</v>
      </c>
      <c r="G126" s="105">
        <f t="shared" si="72"/>
        <v>0</v>
      </c>
      <c r="H126" s="105">
        <f t="shared" si="73"/>
        <v>0</v>
      </c>
      <c r="I126" s="105">
        <f t="shared" si="74"/>
        <v>0</v>
      </c>
      <c r="J126" s="123">
        <f t="shared" si="75"/>
        <v>0</v>
      </c>
      <c r="K126" s="107"/>
      <c r="L126" s="77">
        <f>+K126*(1+'1'!$C$16)</f>
        <v>0</v>
      </c>
      <c r="M126" s="77">
        <f>+L126*(1+'1'!$D$16)</f>
        <v>0</v>
      </c>
      <c r="N126" s="77">
        <f>+M126*(1+'1'!$E$16)</f>
        <v>0</v>
      </c>
      <c r="O126" s="77">
        <f>N126*(1+'1'!$F$16)</f>
        <v>0</v>
      </c>
      <c r="P126" s="124">
        <f t="shared" si="76"/>
        <v>0</v>
      </c>
      <c r="Q126" s="124">
        <f t="shared" si="77"/>
        <v>0</v>
      </c>
      <c r="R126" s="124">
        <f t="shared" si="78"/>
        <v>0</v>
      </c>
      <c r="S126" s="124">
        <f t="shared" si="79"/>
        <v>0</v>
      </c>
      <c r="T126" s="124">
        <f t="shared" si="80"/>
        <v>0</v>
      </c>
    </row>
    <row r="127" spans="2:20" ht="13.5" thickBot="1">
      <c r="B127" s="726"/>
      <c r="C127" s="129" t="s">
        <v>13</v>
      </c>
      <c r="D127" s="130"/>
      <c r="E127" s="130"/>
      <c r="F127" s="130"/>
      <c r="G127" s="130"/>
      <c r="H127" s="130"/>
      <c r="I127" s="130"/>
      <c r="J127" s="130"/>
      <c r="K127" s="130"/>
      <c r="L127" s="130"/>
      <c r="M127" s="130"/>
      <c r="N127" s="130"/>
      <c r="O127" s="131"/>
      <c r="P127" s="128">
        <f>SUM(P125)</f>
        <v>0</v>
      </c>
      <c r="Q127" s="128">
        <f>SUM(Q119:Q126)</f>
        <v>0</v>
      </c>
      <c r="R127" s="128">
        <f>SUM(R119:R126)</f>
        <v>0</v>
      </c>
      <c r="S127" s="128">
        <f>SUM(S119:S126)</f>
        <v>0</v>
      </c>
      <c r="T127" s="128">
        <f>SUM(T119:T126)</f>
        <v>0</v>
      </c>
    </row>
    <row r="128" spans="2:20">
      <c r="B128" s="726"/>
      <c r="C128" s="114" t="s">
        <v>132</v>
      </c>
      <c r="D128" s="79"/>
      <c r="E128" s="79"/>
      <c r="F128" s="79"/>
      <c r="G128" s="79"/>
      <c r="H128" s="79"/>
      <c r="I128" s="79"/>
      <c r="J128" s="79"/>
      <c r="K128" s="79"/>
      <c r="L128" s="79"/>
      <c r="M128" s="79"/>
      <c r="N128" s="79"/>
      <c r="O128" s="79"/>
      <c r="P128" s="79"/>
      <c r="Q128" s="79"/>
      <c r="R128" s="79"/>
      <c r="S128" s="79"/>
      <c r="T128" s="80"/>
    </row>
    <row r="129" spans="2:20" ht="14.25">
      <c r="B129" s="726"/>
      <c r="C129" s="109"/>
      <c r="D129" s="107"/>
      <c r="E129" s="136"/>
      <c r="F129" s="105">
        <f t="shared" ref="F129:F135" si="81">+E129*(1+$J$8)</f>
        <v>0</v>
      </c>
      <c r="G129" s="105">
        <f t="shared" ref="G129:G135" si="82">+F129*(1+$K$8)</f>
        <v>0</v>
      </c>
      <c r="H129" s="105">
        <f t="shared" si="73"/>
        <v>0</v>
      </c>
      <c r="I129" s="105">
        <f t="shared" ref="I129:I135" si="83">+H129*(1+$M$8)</f>
        <v>0</v>
      </c>
      <c r="J129" s="123">
        <f>IF(E129=0,0,+E129*1/$C$7)</f>
        <v>0</v>
      </c>
      <c r="K129" s="107"/>
      <c r="L129" s="77">
        <f>+K129*(1+'1'!$C$16)</f>
        <v>0</v>
      </c>
      <c r="M129" s="77">
        <f>+L129*(1+'1'!$D$16)</f>
        <v>0</v>
      </c>
      <c r="N129" s="77">
        <f>+M129*(1+'1'!$E$16)</f>
        <v>0</v>
      </c>
      <c r="O129" s="77">
        <f>N129*(1+'1'!$F$16)</f>
        <v>0</v>
      </c>
      <c r="P129" s="124">
        <f>J129*K129*$C$7</f>
        <v>0</v>
      </c>
      <c r="Q129" s="124">
        <f>J129*L129*$D$7</f>
        <v>0</v>
      </c>
      <c r="R129" s="124">
        <f>J129*M129*$E$7</f>
        <v>0</v>
      </c>
      <c r="S129" s="124">
        <f>J129*N129*$F$7</f>
        <v>0</v>
      </c>
      <c r="T129" s="124">
        <f>J129*O129*$G$7</f>
        <v>0</v>
      </c>
    </row>
    <row r="130" spans="2:20" ht="14.25">
      <c r="B130" s="726"/>
      <c r="C130" s="109"/>
      <c r="D130" s="107"/>
      <c r="E130" s="136"/>
      <c r="F130" s="105">
        <f t="shared" si="81"/>
        <v>0</v>
      </c>
      <c r="G130" s="105">
        <f t="shared" si="82"/>
        <v>0</v>
      </c>
      <c r="H130" s="105">
        <f t="shared" si="73"/>
        <v>0</v>
      </c>
      <c r="I130" s="105">
        <f t="shared" si="83"/>
        <v>0</v>
      </c>
      <c r="J130" s="123">
        <f t="shared" ref="J130:J135" si="84">IF(E130=0,0,+E130*1/$C$7)</f>
        <v>0</v>
      </c>
      <c r="K130" s="107"/>
      <c r="L130" s="77">
        <f>+K130*(1+'1'!$C$16)</f>
        <v>0</v>
      </c>
      <c r="M130" s="77">
        <f>+L130*(1+'1'!$D$16)</f>
        <v>0</v>
      </c>
      <c r="N130" s="77">
        <f>+M130*(1+'1'!$E$16)</f>
        <v>0</v>
      </c>
      <c r="O130" s="77">
        <f>N130*(1+'1'!$F$16)</f>
        <v>0</v>
      </c>
      <c r="P130" s="124">
        <f t="shared" ref="P130:P135" si="85">J130*K130*$C$7</f>
        <v>0</v>
      </c>
      <c r="Q130" s="124">
        <f t="shared" ref="Q130:Q135" si="86">J130*L130*$D$7</f>
        <v>0</v>
      </c>
      <c r="R130" s="124">
        <f t="shared" ref="R130:R135" si="87">J130*M130*$E$7</f>
        <v>0</v>
      </c>
      <c r="S130" s="124">
        <f t="shared" ref="S130:S135" si="88">J130*N130*$F$7</f>
        <v>0</v>
      </c>
      <c r="T130" s="124">
        <f t="shared" ref="T130:T135" si="89">J130*O130*$G$7</f>
        <v>0</v>
      </c>
    </row>
    <row r="131" spans="2:20" ht="14.25">
      <c r="B131" s="726"/>
      <c r="C131" s="109"/>
      <c r="D131" s="107"/>
      <c r="E131" s="136"/>
      <c r="F131" s="105">
        <f t="shared" si="81"/>
        <v>0</v>
      </c>
      <c r="G131" s="105">
        <f t="shared" si="82"/>
        <v>0</v>
      </c>
      <c r="H131" s="105">
        <f t="shared" si="73"/>
        <v>0</v>
      </c>
      <c r="I131" s="105">
        <f t="shared" si="83"/>
        <v>0</v>
      </c>
      <c r="J131" s="123">
        <f t="shared" si="84"/>
        <v>0</v>
      </c>
      <c r="K131" s="107"/>
      <c r="L131" s="77">
        <f>+K131*(1+'1'!$C$16)</f>
        <v>0</v>
      </c>
      <c r="M131" s="77">
        <f>+L131*(1+'1'!$D$16)</f>
        <v>0</v>
      </c>
      <c r="N131" s="77">
        <f>+M131*(1+'1'!$E$16)</f>
        <v>0</v>
      </c>
      <c r="O131" s="77">
        <f>N131*(1+'1'!$F$16)</f>
        <v>0</v>
      </c>
      <c r="P131" s="124">
        <f t="shared" si="85"/>
        <v>0</v>
      </c>
      <c r="Q131" s="124">
        <f t="shared" si="86"/>
        <v>0</v>
      </c>
      <c r="R131" s="124">
        <f t="shared" si="87"/>
        <v>0</v>
      </c>
      <c r="S131" s="124">
        <f t="shared" si="88"/>
        <v>0</v>
      </c>
      <c r="T131" s="124">
        <f t="shared" si="89"/>
        <v>0</v>
      </c>
    </row>
    <row r="132" spans="2:20" ht="14.25">
      <c r="B132" s="726"/>
      <c r="C132" s="109"/>
      <c r="D132" s="107"/>
      <c r="E132" s="136"/>
      <c r="F132" s="105">
        <f t="shared" si="81"/>
        <v>0</v>
      </c>
      <c r="G132" s="105">
        <f t="shared" si="82"/>
        <v>0</v>
      </c>
      <c r="H132" s="105">
        <f t="shared" si="73"/>
        <v>0</v>
      </c>
      <c r="I132" s="105">
        <f t="shared" si="83"/>
        <v>0</v>
      </c>
      <c r="J132" s="123">
        <f t="shared" si="84"/>
        <v>0</v>
      </c>
      <c r="K132" s="107"/>
      <c r="L132" s="77">
        <f>+K132*(1+'1'!$C$16)</f>
        <v>0</v>
      </c>
      <c r="M132" s="77">
        <f>+L132*(1+'1'!$D$16)</f>
        <v>0</v>
      </c>
      <c r="N132" s="77">
        <f>+M132*(1+'1'!$E$16)</f>
        <v>0</v>
      </c>
      <c r="O132" s="77">
        <f>N132*(1+'1'!$F$16)</f>
        <v>0</v>
      </c>
      <c r="P132" s="124">
        <f t="shared" si="85"/>
        <v>0</v>
      </c>
      <c r="Q132" s="124">
        <f t="shared" si="86"/>
        <v>0</v>
      </c>
      <c r="R132" s="124">
        <f t="shared" si="87"/>
        <v>0</v>
      </c>
      <c r="S132" s="124">
        <f t="shared" si="88"/>
        <v>0</v>
      </c>
      <c r="T132" s="124">
        <f t="shared" si="89"/>
        <v>0</v>
      </c>
    </row>
    <row r="133" spans="2:20" ht="14.25">
      <c r="B133" s="726"/>
      <c r="C133" s="109"/>
      <c r="D133" s="107"/>
      <c r="E133" s="136"/>
      <c r="F133" s="105">
        <f t="shared" si="81"/>
        <v>0</v>
      </c>
      <c r="G133" s="105">
        <f t="shared" si="82"/>
        <v>0</v>
      </c>
      <c r="H133" s="105">
        <f t="shared" si="73"/>
        <v>0</v>
      </c>
      <c r="I133" s="105">
        <f t="shared" si="83"/>
        <v>0</v>
      </c>
      <c r="J133" s="123">
        <f t="shared" si="84"/>
        <v>0</v>
      </c>
      <c r="K133" s="107"/>
      <c r="L133" s="77">
        <f>+K133*(1+'1'!$C$16)</f>
        <v>0</v>
      </c>
      <c r="M133" s="77">
        <f>+L133*(1+'1'!$D$16)</f>
        <v>0</v>
      </c>
      <c r="N133" s="77">
        <f>+M133*(1+'1'!$E$16)</f>
        <v>0</v>
      </c>
      <c r="O133" s="77">
        <f>N133*(1+'1'!$F$16)</f>
        <v>0</v>
      </c>
      <c r="P133" s="124">
        <f t="shared" si="85"/>
        <v>0</v>
      </c>
      <c r="Q133" s="124">
        <f t="shared" si="86"/>
        <v>0</v>
      </c>
      <c r="R133" s="124">
        <f t="shared" si="87"/>
        <v>0</v>
      </c>
      <c r="S133" s="124">
        <f t="shared" si="88"/>
        <v>0</v>
      </c>
      <c r="T133" s="124">
        <f t="shared" si="89"/>
        <v>0</v>
      </c>
    </row>
    <row r="134" spans="2:20" ht="14.25">
      <c r="B134" s="726"/>
      <c r="C134" s="107"/>
      <c r="D134" s="107"/>
      <c r="E134" s="107"/>
      <c r="F134" s="105">
        <f t="shared" si="81"/>
        <v>0</v>
      </c>
      <c r="G134" s="105">
        <f t="shared" si="82"/>
        <v>0</v>
      </c>
      <c r="H134" s="105">
        <f t="shared" si="73"/>
        <v>0</v>
      </c>
      <c r="I134" s="105">
        <f t="shared" si="83"/>
        <v>0</v>
      </c>
      <c r="J134" s="123">
        <f t="shared" si="84"/>
        <v>0</v>
      </c>
      <c r="K134" s="107"/>
      <c r="L134" s="77">
        <f>+K134*(1+'1'!$C$16)</f>
        <v>0</v>
      </c>
      <c r="M134" s="77">
        <f>+L134*(1+'1'!$D$16)</f>
        <v>0</v>
      </c>
      <c r="N134" s="77">
        <f>+M134*(1+'1'!$E$16)</f>
        <v>0</v>
      </c>
      <c r="O134" s="77">
        <f>N134*(1+'1'!$F$16)</f>
        <v>0</v>
      </c>
      <c r="P134" s="124">
        <f t="shared" si="85"/>
        <v>0</v>
      </c>
      <c r="Q134" s="124">
        <f t="shared" si="86"/>
        <v>0</v>
      </c>
      <c r="R134" s="124">
        <f t="shared" si="87"/>
        <v>0</v>
      </c>
      <c r="S134" s="124">
        <f t="shared" si="88"/>
        <v>0</v>
      </c>
      <c r="T134" s="124">
        <f t="shared" si="89"/>
        <v>0</v>
      </c>
    </row>
    <row r="135" spans="2:20" ht="14.25">
      <c r="B135" s="726"/>
      <c r="C135" s="107"/>
      <c r="D135" s="107"/>
      <c r="E135" s="107"/>
      <c r="F135" s="105">
        <f t="shared" si="81"/>
        <v>0</v>
      </c>
      <c r="G135" s="105">
        <f t="shared" si="82"/>
        <v>0</v>
      </c>
      <c r="H135" s="105">
        <f t="shared" si="73"/>
        <v>0</v>
      </c>
      <c r="I135" s="105">
        <f t="shared" si="83"/>
        <v>0</v>
      </c>
      <c r="J135" s="123">
        <f t="shared" si="84"/>
        <v>0</v>
      </c>
      <c r="K135" s="107"/>
      <c r="L135" s="77">
        <f>+K135*(1+'1'!$C$16)</f>
        <v>0</v>
      </c>
      <c r="M135" s="77">
        <f>+L135*(1+'1'!$D$16)</f>
        <v>0</v>
      </c>
      <c r="N135" s="77">
        <f>+M135*(1+'1'!$E$16)</f>
        <v>0</v>
      </c>
      <c r="O135" s="77">
        <f>N135*(1+'1'!$F$16)</f>
        <v>0</v>
      </c>
      <c r="P135" s="124">
        <f t="shared" si="85"/>
        <v>0</v>
      </c>
      <c r="Q135" s="124">
        <f t="shared" si="86"/>
        <v>0</v>
      </c>
      <c r="R135" s="124">
        <f t="shared" si="87"/>
        <v>0</v>
      </c>
      <c r="S135" s="124">
        <f t="shared" si="88"/>
        <v>0</v>
      </c>
      <c r="T135" s="124">
        <f t="shared" si="89"/>
        <v>0</v>
      </c>
    </row>
    <row r="136" spans="2:20" ht="13.5" thickBot="1">
      <c r="B136" s="727"/>
      <c r="C136" s="129" t="s">
        <v>13</v>
      </c>
      <c r="D136" s="133"/>
      <c r="E136" s="133"/>
      <c r="F136" s="133"/>
      <c r="G136" s="133"/>
      <c r="H136" s="133"/>
      <c r="I136" s="133"/>
      <c r="J136" s="133"/>
      <c r="K136" s="133"/>
      <c r="L136" s="133"/>
      <c r="M136" s="133"/>
      <c r="N136" s="133"/>
      <c r="O136" s="134"/>
      <c r="P136" s="126">
        <f>SUM(P129:P135)</f>
        <v>0</v>
      </c>
      <c r="Q136" s="126">
        <f>SUM(Q129:Q135)</f>
        <v>0</v>
      </c>
      <c r="R136" s="126">
        <f>SUM(R129:R135)</f>
        <v>0</v>
      </c>
      <c r="S136" s="126">
        <f>SUM(S129:S135)</f>
        <v>0</v>
      </c>
      <c r="T136" s="126">
        <f>SUM(T129:T135)</f>
        <v>0</v>
      </c>
    </row>
    <row r="137" spans="2:20" ht="12.75" customHeight="1">
      <c r="B137" s="725" t="str">
        <f>B8</f>
        <v>Nombre del producto 4</v>
      </c>
      <c r="C137" s="114" t="s">
        <v>3</v>
      </c>
      <c r="D137" s="132"/>
      <c r="E137" s="132"/>
      <c r="F137" s="132"/>
      <c r="G137" s="132"/>
      <c r="H137" s="132"/>
      <c r="I137" s="132"/>
      <c r="J137" s="132"/>
      <c r="K137" s="132"/>
      <c r="L137" s="132"/>
      <c r="M137" s="132"/>
      <c r="N137" s="132"/>
      <c r="O137" s="132"/>
      <c r="P137" s="132"/>
      <c r="Q137" s="132"/>
      <c r="R137" s="132"/>
      <c r="S137" s="132"/>
      <c r="T137" s="135"/>
    </row>
    <row r="138" spans="2:20" ht="14.25" customHeight="1">
      <c r="B138" s="726"/>
      <c r="C138" s="209"/>
      <c r="D138" s="210"/>
      <c r="E138" s="211"/>
      <c r="F138" s="105">
        <f>+E138*(1+$J$9)</f>
        <v>0</v>
      </c>
      <c r="G138" s="105">
        <f>+F138*(1+$K$9)</f>
        <v>0</v>
      </c>
      <c r="H138" s="105">
        <f>+G138*(1+$L$9)</f>
        <v>0</v>
      </c>
      <c r="I138" s="105">
        <f>+H138*(1+$M$9)</f>
        <v>0</v>
      </c>
      <c r="J138" s="123">
        <f>IF(E138=0,0,+E138*1/$C$8)</f>
        <v>0</v>
      </c>
      <c r="K138" s="212"/>
      <c r="L138" s="77">
        <f>+K138*(1+'1'!$C$16)</f>
        <v>0</v>
      </c>
      <c r="M138" s="77">
        <f>+L138*(1+'1'!$D$16)</f>
        <v>0</v>
      </c>
      <c r="N138" s="77">
        <f>+M138*(1+'1'!$E$16)</f>
        <v>0</v>
      </c>
      <c r="O138" s="77">
        <f>N138*(1+'1'!$F$16)</f>
        <v>0</v>
      </c>
      <c r="P138" s="124">
        <f>J138*K138*$C$8</f>
        <v>0</v>
      </c>
      <c r="Q138" s="124">
        <f>J138*L138*$D$8</f>
        <v>0</v>
      </c>
      <c r="R138" s="124">
        <f>J138*M138*$E$8</f>
        <v>0</v>
      </c>
      <c r="S138" s="124">
        <f>J138*N138*$F$8</f>
        <v>0</v>
      </c>
      <c r="T138" s="124">
        <f>J138*O138*$G$8</f>
        <v>0</v>
      </c>
    </row>
    <row r="139" spans="2:20" ht="14.25" customHeight="1">
      <c r="B139" s="726"/>
      <c r="C139" s="209"/>
      <c r="D139" s="210"/>
      <c r="E139" s="211"/>
      <c r="F139" s="105">
        <f t="shared" ref="F139:F157" si="90">+E139*(1+$J$9)</f>
        <v>0</v>
      </c>
      <c r="G139" s="105">
        <f t="shared" ref="G139:G157" si="91">+F139*(1+$K$9)</f>
        <v>0</v>
      </c>
      <c r="H139" s="105">
        <f t="shared" ref="H139:H157" si="92">+G139*(1+$L$9)</f>
        <v>0</v>
      </c>
      <c r="I139" s="105">
        <f t="shared" ref="I139:I157" si="93">+H139*(1+$M$9)</f>
        <v>0</v>
      </c>
      <c r="J139" s="123">
        <f t="shared" ref="J139:J157" si="94">IF(E139=0,0,+E139*1/$C$8)</f>
        <v>0</v>
      </c>
      <c r="K139" s="212"/>
      <c r="L139" s="77">
        <f>+K139*(1+'1'!$C$16)</f>
        <v>0</v>
      </c>
      <c r="M139" s="77">
        <f>+L139*(1+'1'!$D$16)</f>
        <v>0</v>
      </c>
      <c r="N139" s="77">
        <f>+M139*(1+'1'!$E$16)</f>
        <v>0</v>
      </c>
      <c r="O139" s="77">
        <f>N139*(1+'1'!$F$16)</f>
        <v>0</v>
      </c>
      <c r="P139" s="124">
        <f t="shared" ref="P139:P157" si="95">J139*K139*$C$8</f>
        <v>0</v>
      </c>
      <c r="Q139" s="124">
        <f t="shared" ref="Q139:Q157" si="96">J139*L139*$D$8</f>
        <v>0</v>
      </c>
      <c r="R139" s="124">
        <f t="shared" ref="R139:R157" si="97">J139*M139*$E$8</f>
        <v>0</v>
      </c>
      <c r="S139" s="124">
        <f t="shared" ref="S139:S157" si="98">J139*N139*$F$8</f>
        <v>0</v>
      </c>
      <c r="T139" s="124">
        <f t="shared" ref="T139:T157" si="99">J139*O139*$G$8</f>
        <v>0</v>
      </c>
    </row>
    <row r="140" spans="2:20" ht="14.25" customHeight="1">
      <c r="B140" s="726"/>
      <c r="C140" s="209"/>
      <c r="D140" s="210"/>
      <c r="E140" s="211"/>
      <c r="F140" s="105">
        <f t="shared" si="90"/>
        <v>0</v>
      </c>
      <c r="G140" s="105">
        <f t="shared" si="91"/>
        <v>0</v>
      </c>
      <c r="H140" s="105">
        <f t="shared" si="92"/>
        <v>0</v>
      </c>
      <c r="I140" s="105">
        <f t="shared" si="93"/>
        <v>0</v>
      </c>
      <c r="J140" s="123">
        <f t="shared" si="94"/>
        <v>0</v>
      </c>
      <c r="K140" s="212"/>
      <c r="L140" s="77">
        <f>+K140*(1+'1'!$C$16)</f>
        <v>0</v>
      </c>
      <c r="M140" s="77">
        <f>+L140*(1+'1'!$D$16)</f>
        <v>0</v>
      </c>
      <c r="N140" s="77">
        <f>+M140*(1+'1'!$E$16)</f>
        <v>0</v>
      </c>
      <c r="O140" s="77">
        <f>N140*(1+'1'!$F$16)</f>
        <v>0</v>
      </c>
      <c r="P140" s="124">
        <f t="shared" si="95"/>
        <v>0</v>
      </c>
      <c r="Q140" s="124">
        <f t="shared" si="96"/>
        <v>0</v>
      </c>
      <c r="R140" s="124">
        <f t="shared" si="97"/>
        <v>0</v>
      </c>
      <c r="S140" s="124">
        <f t="shared" si="98"/>
        <v>0</v>
      </c>
      <c r="T140" s="124">
        <f t="shared" si="99"/>
        <v>0</v>
      </c>
    </row>
    <row r="141" spans="2:20" ht="14.25" customHeight="1">
      <c r="B141" s="726"/>
      <c r="C141" s="209"/>
      <c r="D141" s="210"/>
      <c r="E141" s="211"/>
      <c r="F141" s="105">
        <f t="shared" si="90"/>
        <v>0</v>
      </c>
      <c r="G141" s="105">
        <f t="shared" si="91"/>
        <v>0</v>
      </c>
      <c r="H141" s="105">
        <f t="shared" si="92"/>
        <v>0</v>
      </c>
      <c r="I141" s="105">
        <f t="shared" si="93"/>
        <v>0</v>
      </c>
      <c r="J141" s="123">
        <f t="shared" si="94"/>
        <v>0</v>
      </c>
      <c r="K141" s="212"/>
      <c r="L141" s="77">
        <f>+K141*(1+'1'!$C$16)</f>
        <v>0</v>
      </c>
      <c r="M141" s="77">
        <f>+L141*(1+'1'!$D$16)</f>
        <v>0</v>
      </c>
      <c r="N141" s="77">
        <f>+M141*(1+'1'!$E$16)</f>
        <v>0</v>
      </c>
      <c r="O141" s="77">
        <f>N141*(1+'1'!$F$16)</f>
        <v>0</v>
      </c>
      <c r="P141" s="124">
        <f t="shared" si="95"/>
        <v>0</v>
      </c>
      <c r="Q141" s="124">
        <f t="shared" si="96"/>
        <v>0</v>
      </c>
      <c r="R141" s="124">
        <f t="shared" si="97"/>
        <v>0</v>
      </c>
      <c r="S141" s="124">
        <f t="shared" si="98"/>
        <v>0</v>
      </c>
      <c r="T141" s="124">
        <f t="shared" si="99"/>
        <v>0</v>
      </c>
    </row>
    <row r="142" spans="2:20" ht="14.25" customHeight="1">
      <c r="B142" s="726"/>
      <c r="C142" s="209"/>
      <c r="D142" s="210"/>
      <c r="E142" s="211"/>
      <c r="F142" s="105">
        <f t="shared" si="90"/>
        <v>0</v>
      </c>
      <c r="G142" s="105">
        <f t="shared" si="91"/>
        <v>0</v>
      </c>
      <c r="H142" s="105">
        <f t="shared" si="92"/>
        <v>0</v>
      </c>
      <c r="I142" s="105">
        <f t="shared" si="93"/>
        <v>0</v>
      </c>
      <c r="J142" s="123">
        <f t="shared" si="94"/>
        <v>0</v>
      </c>
      <c r="K142" s="212"/>
      <c r="L142" s="77">
        <f>+K142*(1+'1'!$C$16)</f>
        <v>0</v>
      </c>
      <c r="M142" s="77">
        <f>+L142*(1+'1'!$D$16)</f>
        <v>0</v>
      </c>
      <c r="N142" s="77">
        <f>+M142*(1+'1'!$E$16)</f>
        <v>0</v>
      </c>
      <c r="O142" s="77">
        <f>N142*(1+'1'!$F$16)</f>
        <v>0</v>
      </c>
      <c r="P142" s="124">
        <f t="shared" si="95"/>
        <v>0</v>
      </c>
      <c r="Q142" s="124">
        <f t="shared" si="96"/>
        <v>0</v>
      </c>
      <c r="R142" s="124">
        <f t="shared" si="97"/>
        <v>0</v>
      </c>
      <c r="S142" s="124">
        <f t="shared" si="98"/>
        <v>0</v>
      </c>
      <c r="T142" s="124">
        <f t="shared" si="99"/>
        <v>0</v>
      </c>
    </row>
    <row r="143" spans="2:20" ht="14.25" customHeight="1">
      <c r="B143" s="726"/>
      <c r="C143" s="209"/>
      <c r="D143" s="210"/>
      <c r="E143" s="211"/>
      <c r="F143" s="105">
        <f t="shared" si="90"/>
        <v>0</v>
      </c>
      <c r="G143" s="105">
        <f t="shared" si="91"/>
        <v>0</v>
      </c>
      <c r="H143" s="105">
        <f t="shared" si="92"/>
        <v>0</v>
      </c>
      <c r="I143" s="105">
        <f t="shared" si="93"/>
        <v>0</v>
      </c>
      <c r="J143" s="123">
        <f t="shared" si="94"/>
        <v>0</v>
      </c>
      <c r="K143" s="212"/>
      <c r="L143" s="77">
        <f>+K143*(1+'1'!$C$16)</f>
        <v>0</v>
      </c>
      <c r="M143" s="77">
        <f>+L143*(1+'1'!$D$16)</f>
        <v>0</v>
      </c>
      <c r="N143" s="77">
        <f>+M143*(1+'1'!$E$16)</f>
        <v>0</v>
      </c>
      <c r="O143" s="77">
        <f>N143*(1+'1'!$F$16)</f>
        <v>0</v>
      </c>
      <c r="P143" s="124">
        <f t="shared" si="95"/>
        <v>0</v>
      </c>
      <c r="Q143" s="124">
        <f t="shared" si="96"/>
        <v>0</v>
      </c>
      <c r="R143" s="124">
        <f t="shared" si="97"/>
        <v>0</v>
      </c>
      <c r="S143" s="124">
        <f t="shared" si="98"/>
        <v>0</v>
      </c>
      <c r="T143" s="124">
        <f t="shared" si="99"/>
        <v>0</v>
      </c>
    </row>
    <row r="144" spans="2:20" ht="14.25" customHeight="1">
      <c r="B144" s="726"/>
      <c r="C144" s="209"/>
      <c r="D144" s="210"/>
      <c r="E144" s="211"/>
      <c r="F144" s="105">
        <f t="shared" si="90"/>
        <v>0</v>
      </c>
      <c r="G144" s="105">
        <f t="shared" si="91"/>
        <v>0</v>
      </c>
      <c r="H144" s="105">
        <f t="shared" si="92"/>
        <v>0</v>
      </c>
      <c r="I144" s="105">
        <f t="shared" si="93"/>
        <v>0</v>
      </c>
      <c r="J144" s="123">
        <f t="shared" si="94"/>
        <v>0</v>
      </c>
      <c r="K144" s="212"/>
      <c r="L144" s="77">
        <f>+K144*(1+'1'!$C$16)</f>
        <v>0</v>
      </c>
      <c r="M144" s="77">
        <f>+L144*(1+'1'!$D$16)</f>
        <v>0</v>
      </c>
      <c r="N144" s="77">
        <f>+M144*(1+'1'!$E$16)</f>
        <v>0</v>
      </c>
      <c r="O144" s="77">
        <f>N144*(1+'1'!$F$16)</f>
        <v>0</v>
      </c>
      <c r="P144" s="124">
        <f t="shared" si="95"/>
        <v>0</v>
      </c>
      <c r="Q144" s="124">
        <f t="shared" si="96"/>
        <v>0</v>
      </c>
      <c r="R144" s="124">
        <f t="shared" si="97"/>
        <v>0</v>
      </c>
      <c r="S144" s="124">
        <f t="shared" si="98"/>
        <v>0</v>
      </c>
      <c r="T144" s="124">
        <f t="shared" si="99"/>
        <v>0</v>
      </c>
    </row>
    <row r="145" spans="2:20" ht="14.25" customHeight="1">
      <c r="B145" s="726"/>
      <c r="C145" s="209"/>
      <c r="D145" s="210"/>
      <c r="E145" s="211"/>
      <c r="F145" s="105">
        <f t="shared" si="90"/>
        <v>0</v>
      </c>
      <c r="G145" s="105">
        <f t="shared" si="91"/>
        <v>0</v>
      </c>
      <c r="H145" s="105">
        <f t="shared" si="92"/>
        <v>0</v>
      </c>
      <c r="I145" s="105">
        <f t="shared" si="93"/>
        <v>0</v>
      </c>
      <c r="J145" s="123">
        <f t="shared" si="94"/>
        <v>0</v>
      </c>
      <c r="K145" s="212"/>
      <c r="L145" s="77">
        <f>+K145*(1+'1'!$C$16)</f>
        <v>0</v>
      </c>
      <c r="M145" s="77">
        <f>+L145*(1+'1'!$D$16)</f>
        <v>0</v>
      </c>
      <c r="N145" s="77">
        <f>+M145*(1+'1'!$E$16)</f>
        <v>0</v>
      </c>
      <c r="O145" s="77">
        <f>N145*(1+'1'!$F$16)</f>
        <v>0</v>
      </c>
      <c r="P145" s="124">
        <f t="shared" si="95"/>
        <v>0</v>
      </c>
      <c r="Q145" s="124">
        <f t="shared" si="96"/>
        <v>0</v>
      </c>
      <c r="R145" s="124">
        <f t="shared" si="97"/>
        <v>0</v>
      </c>
      <c r="S145" s="124">
        <f t="shared" si="98"/>
        <v>0</v>
      </c>
      <c r="T145" s="124">
        <f t="shared" si="99"/>
        <v>0</v>
      </c>
    </row>
    <row r="146" spans="2:20" ht="14.25" customHeight="1">
      <c r="B146" s="726"/>
      <c r="C146" s="209"/>
      <c r="D146" s="210"/>
      <c r="E146" s="211"/>
      <c r="F146" s="105">
        <f t="shared" si="90"/>
        <v>0</v>
      </c>
      <c r="G146" s="105">
        <f t="shared" si="91"/>
        <v>0</v>
      </c>
      <c r="H146" s="105">
        <f t="shared" si="92"/>
        <v>0</v>
      </c>
      <c r="I146" s="105">
        <f t="shared" si="93"/>
        <v>0</v>
      </c>
      <c r="J146" s="123">
        <f t="shared" si="94"/>
        <v>0</v>
      </c>
      <c r="K146" s="212"/>
      <c r="L146" s="77">
        <f>+K146*(1+'1'!$C$16)</f>
        <v>0</v>
      </c>
      <c r="M146" s="77">
        <f>+L146*(1+'1'!$D$16)</f>
        <v>0</v>
      </c>
      <c r="N146" s="77">
        <f>+M146*(1+'1'!$E$16)</f>
        <v>0</v>
      </c>
      <c r="O146" s="77">
        <f>N146*(1+'1'!$F$16)</f>
        <v>0</v>
      </c>
      <c r="P146" s="124">
        <f t="shared" si="95"/>
        <v>0</v>
      </c>
      <c r="Q146" s="124">
        <f t="shared" si="96"/>
        <v>0</v>
      </c>
      <c r="R146" s="124">
        <f t="shared" si="97"/>
        <v>0</v>
      </c>
      <c r="S146" s="124">
        <f t="shared" si="98"/>
        <v>0</v>
      </c>
      <c r="T146" s="124">
        <f t="shared" si="99"/>
        <v>0</v>
      </c>
    </row>
    <row r="147" spans="2:20" ht="14.25" customHeight="1">
      <c r="B147" s="726"/>
      <c r="C147" s="209"/>
      <c r="D147" s="210"/>
      <c r="E147" s="211"/>
      <c r="F147" s="105">
        <f t="shared" si="90"/>
        <v>0</v>
      </c>
      <c r="G147" s="105">
        <f t="shared" si="91"/>
        <v>0</v>
      </c>
      <c r="H147" s="105">
        <f t="shared" si="92"/>
        <v>0</v>
      </c>
      <c r="I147" s="105">
        <f t="shared" si="93"/>
        <v>0</v>
      </c>
      <c r="J147" s="123">
        <f t="shared" si="94"/>
        <v>0</v>
      </c>
      <c r="K147" s="212"/>
      <c r="L147" s="77">
        <f>+K147*(1+'1'!$C$16)</f>
        <v>0</v>
      </c>
      <c r="M147" s="77">
        <f>+L147*(1+'1'!$D$16)</f>
        <v>0</v>
      </c>
      <c r="N147" s="77">
        <f>+M147*(1+'1'!$E$16)</f>
        <v>0</v>
      </c>
      <c r="O147" s="77">
        <f>N147*(1+'1'!$F$16)</f>
        <v>0</v>
      </c>
      <c r="P147" s="124">
        <f t="shared" si="95"/>
        <v>0</v>
      </c>
      <c r="Q147" s="124">
        <f t="shared" si="96"/>
        <v>0</v>
      </c>
      <c r="R147" s="124">
        <f t="shared" si="97"/>
        <v>0</v>
      </c>
      <c r="S147" s="124">
        <f t="shared" si="98"/>
        <v>0</v>
      </c>
      <c r="T147" s="124">
        <f t="shared" si="99"/>
        <v>0</v>
      </c>
    </row>
    <row r="148" spans="2:20" ht="14.25" customHeight="1">
      <c r="B148" s="726"/>
      <c r="C148" s="209"/>
      <c r="D148" s="210"/>
      <c r="E148" s="211"/>
      <c r="F148" s="105">
        <f t="shared" si="90"/>
        <v>0</v>
      </c>
      <c r="G148" s="105">
        <f t="shared" si="91"/>
        <v>0</v>
      </c>
      <c r="H148" s="105">
        <f t="shared" si="92"/>
        <v>0</v>
      </c>
      <c r="I148" s="105">
        <f t="shared" si="93"/>
        <v>0</v>
      </c>
      <c r="J148" s="123">
        <f t="shared" si="94"/>
        <v>0</v>
      </c>
      <c r="K148" s="212"/>
      <c r="L148" s="77">
        <f>+K148*(1+'1'!$C$16)</f>
        <v>0</v>
      </c>
      <c r="M148" s="77">
        <f>+L148*(1+'1'!$D$16)</f>
        <v>0</v>
      </c>
      <c r="N148" s="77">
        <f>+M148*(1+'1'!$E$16)</f>
        <v>0</v>
      </c>
      <c r="O148" s="77">
        <f>N148*(1+'1'!$F$16)</f>
        <v>0</v>
      </c>
      <c r="P148" s="124">
        <f t="shared" si="95"/>
        <v>0</v>
      </c>
      <c r="Q148" s="124">
        <f t="shared" si="96"/>
        <v>0</v>
      </c>
      <c r="R148" s="124">
        <f t="shared" si="97"/>
        <v>0</v>
      </c>
      <c r="S148" s="124">
        <f t="shared" si="98"/>
        <v>0</v>
      </c>
      <c r="T148" s="124">
        <f t="shared" si="99"/>
        <v>0</v>
      </c>
    </row>
    <row r="149" spans="2:20" ht="14.25" customHeight="1">
      <c r="B149" s="726"/>
      <c r="C149" s="209"/>
      <c r="D149" s="210"/>
      <c r="E149" s="211"/>
      <c r="F149" s="105">
        <f t="shared" si="90"/>
        <v>0</v>
      </c>
      <c r="G149" s="105">
        <f t="shared" si="91"/>
        <v>0</v>
      </c>
      <c r="H149" s="105">
        <f t="shared" si="92"/>
        <v>0</v>
      </c>
      <c r="I149" s="105">
        <f t="shared" si="93"/>
        <v>0</v>
      </c>
      <c r="J149" s="123">
        <f t="shared" si="94"/>
        <v>0</v>
      </c>
      <c r="K149" s="212"/>
      <c r="L149" s="77">
        <f>+K149*(1+'1'!$C$16)</f>
        <v>0</v>
      </c>
      <c r="M149" s="77">
        <f>+L149*(1+'1'!$D$16)</f>
        <v>0</v>
      </c>
      <c r="N149" s="77">
        <f>+M149*(1+'1'!$E$16)</f>
        <v>0</v>
      </c>
      <c r="O149" s="77">
        <f>N149*(1+'1'!$F$16)</f>
        <v>0</v>
      </c>
      <c r="P149" s="124">
        <f t="shared" si="95"/>
        <v>0</v>
      </c>
      <c r="Q149" s="124">
        <f t="shared" si="96"/>
        <v>0</v>
      </c>
      <c r="R149" s="124">
        <f t="shared" si="97"/>
        <v>0</v>
      </c>
      <c r="S149" s="124">
        <f t="shared" si="98"/>
        <v>0</v>
      </c>
      <c r="T149" s="124">
        <f t="shared" si="99"/>
        <v>0</v>
      </c>
    </row>
    <row r="150" spans="2:20" ht="14.25" customHeight="1">
      <c r="B150" s="726"/>
      <c r="C150" s="209"/>
      <c r="D150" s="210"/>
      <c r="E150" s="211"/>
      <c r="F150" s="105">
        <f t="shared" si="90"/>
        <v>0</v>
      </c>
      <c r="G150" s="105">
        <f t="shared" si="91"/>
        <v>0</v>
      </c>
      <c r="H150" s="105">
        <f t="shared" si="92"/>
        <v>0</v>
      </c>
      <c r="I150" s="105">
        <f t="shared" si="93"/>
        <v>0</v>
      </c>
      <c r="J150" s="123">
        <f t="shared" si="94"/>
        <v>0</v>
      </c>
      <c r="K150" s="212"/>
      <c r="L150" s="77">
        <f>+K150*(1+'1'!$C$16)</f>
        <v>0</v>
      </c>
      <c r="M150" s="77">
        <f>+L150*(1+'1'!$D$16)</f>
        <v>0</v>
      </c>
      <c r="N150" s="77">
        <f>+M150*(1+'1'!$E$16)</f>
        <v>0</v>
      </c>
      <c r="O150" s="77">
        <f>N150*(1+'1'!$F$16)</f>
        <v>0</v>
      </c>
      <c r="P150" s="124">
        <f t="shared" si="95"/>
        <v>0</v>
      </c>
      <c r="Q150" s="124">
        <f t="shared" si="96"/>
        <v>0</v>
      </c>
      <c r="R150" s="124">
        <f t="shared" si="97"/>
        <v>0</v>
      </c>
      <c r="S150" s="124">
        <f t="shared" si="98"/>
        <v>0</v>
      </c>
      <c r="T150" s="124">
        <f t="shared" si="99"/>
        <v>0</v>
      </c>
    </row>
    <row r="151" spans="2:20" ht="14.25" customHeight="1">
      <c r="B151" s="726"/>
      <c r="C151" s="209"/>
      <c r="D151" s="210"/>
      <c r="E151" s="211"/>
      <c r="F151" s="105">
        <f t="shared" si="90"/>
        <v>0</v>
      </c>
      <c r="G151" s="105">
        <f t="shared" si="91"/>
        <v>0</v>
      </c>
      <c r="H151" s="105">
        <f t="shared" si="92"/>
        <v>0</v>
      </c>
      <c r="I151" s="105">
        <f t="shared" si="93"/>
        <v>0</v>
      </c>
      <c r="J151" s="123">
        <f t="shared" si="94"/>
        <v>0</v>
      </c>
      <c r="K151" s="212"/>
      <c r="L151" s="77">
        <f>+K151*(1+'1'!$C$16)</f>
        <v>0</v>
      </c>
      <c r="M151" s="77">
        <f>+L151*(1+'1'!$D$16)</f>
        <v>0</v>
      </c>
      <c r="N151" s="77">
        <f>+M151*(1+'1'!$E$16)</f>
        <v>0</v>
      </c>
      <c r="O151" s="77">
        <f>N151*(1+'1'!$F$16)</f>
        <v>0</v>
      </c>
      <c r="P151" s="124">
        <f t="shared" si="95"/>
        <v>0</v>
      </c>
      <c r="Q151" s="124">
        <f t="shared" si="96"/>
        <v>0</v>
      </c>
      <c r="R151" s="124">
        <f t="shared" si="97"/>
        <v>0</v>
      </c>
      <c r="S151" s="124">
        <f t="shared" si="98"/>
        <v>0</v>
      </c>
      <c r="T151" s="124">
        <f t="shared" si="99"/>
        <v>0</v>
      </c>
    </row>
    <row r="152" spans="2:20" ht="14.25" customHeight="1">
      <c r="B152" s="726"/>
      <c r="C152" s="209"/>
      <c r="D152" s="210"/>
      <c r="E152" s="211"/>
      <c r="F152" s="105">
        <f t="shared" si="90"/>
        <v>0</v>
      </c>
      <c r="G152" s="105">
        <f t="shared" si="91"/>
        <v>0</v>
      </c>
      <c r="H152" s="105">
        <f t="shared" si="92"/>
        <v>0</v>
      </c>
      <c r="I152" s="105">
        <f t="shared" si="93"/>
        <v>0</v>
      </c>
      <c r="J152" s="123">
        <f t="shared" si="94"/>
        <v>0</v>
      </c>
      <c r="K152" s="212"/>
      <c r="L152" s="77">
        <f>+K152*(1+'1'!$C$16)</f>
        <v>0</v>
      </c>
      <c r="M152" s="77">
        <f>+L152*(1+'1'!$D$16)</f>
        <v>0</v>
      </c>
      <c r="N152" s="77">
        <f>+M152*(1+'1'!$E$16)</f>
        <v>0</v>
      </c>
      <c r="O152" s="77">
        <f>N152*(1+'1'!$F$16)</f>
        <v>0</v>
      </c>
      <c r="P152" s="124">
        <f t="shared" si="95"/>
        <v>0</v>
      </c>
      <c r="Q152" s="124">
        <f t="shared" si="96"/>
        <v>0</v>
      </c>
      <c r="R152" s="124">
        <f t="shared" si="97"/>
        <v>0</v>
      </c>
      <c r="S152" s="124">
        <f t="shared" si="98"/>
        <v>0</v>
      </c>
      <c r="T152" s="124">
        <f t="shared" si="99"/>
        <v>0</v>
      </c>
    </row>
    <row r="153" spans="2:20" ht="14.25" customHeight="1">
      <c r="B153" s="726"/>
      <c r="C153" s="209"/>
      <c r="D153" s="210"/>
      <c r="E153" s="211"/>
      <c r="F153" s="105">
        <f t="shared" si="90"/>
        <v>0</v>
      </c>
      <c r="G153" s="105">
        <f t="shared" si="91"/>
        <v>0</v>
      </c>
      <c r="H153" s="105">
        <f t="shared" si="92"/>
        <v>0</v>
      </c>
      <c r="I153" s="105">
        <f t="shared" si="93"/>
        <v>0</v>
      </c>
      <c r="J153" s="123">
        <f t="shared" si="94"/>
        <v>0</v>
      </c>
      <c r="K153" s="212"/>
      <c r="L153" s="77">
        <f>+K153*(1+'1'!$C$16)</f>
        <v>0</v>
      </c>
      <c r="M153" s="77">
        <f>+L153*(1+'1'!$D$16)</f>
        <v>0</v>
      </c>
      <c r="N153" s="77">
        <f>+M153*(1+'1'!$E$16)</f>
        <v>0</v>
      </c>
      <c r="O153" s="77">
        <f>N153*(1+'1'!$F$16)</f>
        <v>0</v>
      </c>
      <c r="P153" s="124">
        <f t="shared" si="95"/>
        <v>0</v>
      </c>
      <c r="Q153" s="124">
        <f t="shared" si="96"/>
        <v>0</v>
      </c>
      <c r="R153" s="124">
        <f t="shared" si="97"/>
        <v>0</v>
      </c>
      <c r="S153" s="124">
        <f t="shared" si="98"/>
        <v>0</v>
      </c>
      <c r="T153" s="124">
        <f t="shared" si="99"/>
        <v>0</v>
      </c>
    </row>
    <row r="154" spans="2:20" ht="14.25" customHeight="1">
      <c r="B154" s="726"/>
      <c r="C154" s="209"/>
      <c r="D154" s="210"/>
      <c r="E154" s="211"/>
      <c r="F154" s="105">
        <f t="shared" si="90"/>
        <v>0</v>
      </c>
      <c r="G154" s="105">
        <f t="shared" si="91"/>
        <v>0</v>
      </c>
      <c r="H154" s="105">
        <f t="shared" si="92"/>
        <v>0</v>
      </c>
      <c r="I154" s="105">
        <f t="shared" si="93"/>
        <v>0</v>
      </c>
      <c r="J154" s="123">
        <f t="shared" si="94"/>
        <v>0</v>
      </c>
      <c r="K154" s="212"/>
      <c r="L154" s="77">
        <f>+K154*(1+'1'!$C$16)</f>
        <v>0</v>
      </c>
      <c r="M154" s="77">
        <f>+L154*(1+'1'!$D$16)</f>
        <v>0</v>
      </c>
      <c r="N154" s="77">
        <f>+M154*(1+'1'!$E$16)</f>
        <v>0</v>
      </c>
      <c r="O154" s="77">
        <f>N154*(1+'1'!$F$16)</f>
        <v>0</v>
      </c>
      <c r="P154" s="124">
        <f t="shared" si="95"/>
        <v>0</v>
      </c>
      <c r="Q154" s="124">
        <f t="shared" si="96"/>
        <v>0</v>
      </c>
      <c r="R154" s="124">
        <f t="shared" si="97"/>
        <v>0</v>
      </c>
      <c r="S154" s="124">
        <f t="shared" si="98"/>
        <v>0</v>
      </c>
      <c r="T154" s="124">
        <f t="shared" si="99"/>
        <v>0</v>
      </c>
    </row>
    <row r="155" spans="2:20" ht="14.25" customHeight="1">
      <c r="B155" s="726"/>
      <c r="C155" s="209"/>
      <c r="D155" s="210"/>
      <c r="E155" s="211"/>
      <c r="F155" s="105">
        <f t="shared" si="90"/>
        <v>0</v>
      </c>
      <c r="G155" s="105">
        <f t="shared" si="91"/>
        <v>0</v>
      </c>
      <c r="H155" s="105">
        <f t="shared" si="92"/>
        <v>0</v>
      </c>
      <c r="I155" s="105">
        <f t="shared" si="93"/>
        <v>0</v>
      </c>
      <c r="J155" s="123">
        <f t="shared" si="94"/>
        <v>0</v>
      </c>
      <c r="K155" s="212"/>
      <c r="L155" s="77">
        <f>+K155*(1+'1'!$C$16)</f>
        <v>0</v>
      </c>
      <c r="M155" s="77">
        <f>+L155*(1+'1'!$D$16)</f>
        <v>0</v>
      </c>
      <c r="N155" s="77">
        <f>+M155*(1+'1'!$E$16)</f>
        <v>0</v>
      </c>
      <c r="O155" s="77">
        <f>N155*(1+'1'!$F$16)</f>
        <v>0</v>
      </c>
      <c r="P155" s="124">
        <f t="shared" si="95"/>
        <v>0</v>
      </c>
      <c r="Q155" s="124">
        <f t="shared" si="96"/>
        <v>0</v>
      </c>
      <c r="R155" s="124">
        <f t="shared" si="97"/>
        <v>0</v>
      </c>
      <c r="S155" s="124">
        <f t="shared" si="98"/>
        <v>0</v>
      </c>
      <c r="T155" s="124">
        <f t="shared" si="99"/>
        <v>0</v>
      </c>
    </row>
    <row r="156" spans="2:20" ht="14.25" customHeight="1">
      <c r="B156" s="726"/>
      <c r="C156" s="209"/>
      <c r="D156" s="210"/>
      <c r="E156" s="211"/>
      <c r="F156" s="105">
        <f t="shared" si="90"/>
        <v>0</v>
      </c>
      <c r="G156" s="105">
        <f t="shared" si="91"/>
        <v>0</v>
      </c>
      <c r="H156" s="105">
        <f t="shared" si="92"/>
        <v>0</v>
      </c>
      <c r="I156" s="105">
        <f t="shared" si="93"/>
        <v>0</v>
      </c>
      <c r="J156" s="123">
        <f t="shared" si="94"/>
        <v>0</v>
      </c>
      <c r="K156" s="212"/>
      <c r="L156" s="77">
        <f>+K156*(1+'1'!$C$16)</f>
        <v>0</v>
      </c>
      <c r="M156" s="77">
        <f>+L156*(1+'1'!$D$16)</f>
        <v>0</v>
      </c>
      <c r="N156" s="77">
        <f>+M156*(1+'1'!$E$16)</f>
        <v>0</v>
      </c>
      <c r="O156" s="77">
        <f>N156*(1+'1'!$F$16)</f>
        <v>0</v>
      </c>
      <c r="P156" s="124">
        <f t="shared" si="95"/>
        <v>0</v>
      </c>
      <c r="Q156" s="124">
        <f t="shared" si="96"/>
        <v>0</v>
      </c>
      <c r="R156" s="124">
        <f t="shared" si="97"/>
        <v>0</v>
      </c>
      <c r="S156" s="124">
        <f t="shared" si="98"/>
        <v>0</v>
      </c>
      <c r="T156" s="124">
        <f t="shared" si="99"/>
        <v>0</v>
      </c>
    </row>
    <row r="157" spans="2:20" ht="14.25" customHeight="1">
      <c r="B157" s="726"/>
      <c r="C157" s="209"/>
      <c r="D157" s="210"/>
      <c r="E157" s="211"/>
      <c r="F157" s="105">
        <f t="shared" si="90"/>
        <v>0</v>
      </c>
      <c r="G157" s="105">
        <f t="shared" si="91"/>
        <v>0</v>
      </c>
      <c r="H157" s="105">
        <f t="shared" si="92"/>
        <v>0</v>
      </c>
      <c r="I157" s="105">
        <f t="shared" si="93"/>
        <v>0</v>
      </c>
      <c r="J157" s="123">
        <f t="shared" si="94"/>
        <v>0</v>
      </c>
      <c r="K157" s="212"/>
      <c r="L157" s="77">
        <f>+K157*(1+'1'!$C$16)</f>
        <v>0</v>
      </c>
      <c r="M157" s="77">
        <f>+L157*(1+'1'!$D$16)</f>
        <v>0</v>
      </c>
      <c r="N157" s="77">
        <f>+M157*(1+'1'!$E$16)</f>
        <v>0</v>
      </c>
      <c r="O157" s="77">
        <f>N157*(1+'1'!$F$16)</f>
        <v>0</v>
      </c>
      <c r="P157" s="124">
        <f t="shared" si="95"/>
        <v>0</v>
      </c>
      <c r="Q157" s="124">
        <f t="shared" si="96"/>
        <v>0</v>
      </c>
      <c r="R157" s="124">
        <f t="shared" si="97"/>
        <v>0</v>
      </c>
      <c r="S157" s="124">
        <f t="shared" si="98"/>
        <v>0</v>
      </c>
      <c r="T157" s="124">
        <f t="shared" si="99"/>
        <v>0</v>
      </c>
    </row>
    <row r="158" spans="2:20" ht="13.5" customHeight="1" thickBot="1">
      <c r="B158" s="726"/>
      <c r="C158" s="707" t="s">
        <v>13</v>
      </c>
      <c r="D158" s="707"/>
      <c r="E158" s="707"/>
      <c r="F158" s="707"/>
      <c r="G158" s="707"/>
      <c r="H158" s="707"/>
      <c r="I158" s="707"/>
      <c r="J158" s="707"/>
      <c r="K158" s="707"/>
      <c r="L158" s="707"/>
      <c r="M158" s="707"/>
      <c r="N158" s="707"/>
      <c r="O158" s="707"/>
      <c r="P158" s="137">
        <f>SUM(P138:P157)</f>
        <v>0</v>
      </c>
      <c r="Q158" s="124">
        <f>SUM(Q138:Q157)</f>
        <v>0</v>
      </c>
      <c r="R158" s="124">
        <f>SUM(R138:R157)</f>
        <v>0</v>
      </c>
      <c r="S158" s="124">
        <f>SUM(S138:S157)</f>
        <v>0</v>
      </c>
      <c r="T158" s="124">
        <f>SUM(T138:T157)</f>
        <v>0</v>
      </c>
    </row>
    <row r="159" spans="2:20" ht="12.75" customHeight="1">
      <c r="B159" s="726"/>
      <c r="C159" s="114" t="s">
        <v>12</v>
      </c>
      <c r="D159" s="79"/>
      <c r="E159" s="79"/>
      <c r="F159" s="79"/>
      <c r="G159" s="79"/>
      <c r="H159" s="79"/>
      <c r="I159" s="79"/>
      <c r="J159" s="79"/>
      <c r="K159" s="79"/>
      <c r="L159" s="79"/>
      <c r="M159" s="79"/>
      <c r="N159" s="79"/>
      <c r="O159" s="79"/>
      <c r="P159" s="79"/>
      <c r="Q159" s="79"/>
      <c r="R159" s="79"/>
      <c r="S159" s="79"/>
      <c r="T159" s="80"/>
    </row>
    <row r="160" spans="2:20" ht="14.25" customHeight="1">
      <c r="B160" s="726"/>
      <c r="C160" s="109"/>
      <c r="D160" s="109"/>
      <c r="E160" s="109"/>
      <c r="F160" s="105">
        <f t="shared" ref="F160:F167" si="100">+E160*(1+$J$9)</f>
        <v>0</v>
      </c>
      <c r="G160" s="105">
        <f t="shared" ref="G160:G167" si="101">+F160*(1+$K$9)</f>
        <v>0</v>
      </c>
      <c r="H160" s="105">
        <f t="shared" ref="H160:H167" si="102">+G160*(1+$L$9)</f>
        <v>0</v>
      </c>
      <c r="I160" s="105">
        <f t="shared" ref="I160:I166" si="103">+H160*(1+$M$9)</f>
        <v>0</v>
      </c>
      <c r="J160" s="123">
        <f t="shared" ref="J160:J167" si="104">IF(E160=0,0,+E160*1/$C$8)</f>
        <v>0</v>
      </c>
      <c r="K160" s="107"/>
      <c r="L160" s="77">
        <f>+K160*(1+'1'!$C$16)</f>
        <v>0</v>
      </c>
      <c r="M160" s="77">
        <f>+L160*(1+'1'!$D$16)</f>
        <v>0</v>
      </c>
      <c r="N160" s="77">
        <f>+M160*(1+'1'!$E$16)</f>
        <v>0</v>
      </c>
      <c r="O160" s="77">
        <f>N160*(1+'1'!$F$16)</f>
        <v>0</v>
      </c>
      <c r="P160" s="124">
        <f>J160*K160*$C$8</f>
        <v>0</v>
      </c>
      <c r="Q160" s="124">
        <f>J160*L160*$D$8</f>
        <v>0</v>
      </c>
      <c r="R160" s="124">
        <f>J160*M160*$E$8</f>
        <v>0</v>
      </c>
      <c r="S160" s="124">
        <f>J160*N160*$F$8</f>
        <v>0</v>
      </c>
      <c r="T160" s="124">
        <f>J160*O160*$G$8</f>
        <v>0</v>
      </c>
    </row>
    <row r="161" spans="2:20" ht="14.25" customHeight="1">
      <c r="B161" s="726"/>
      <c r="C161" s="109"/>
      <c r="D161" s="109"/>
      <c r="E161" s="109"/>
      <c r="F161" s="105">
        <f t="shared" si="100"/>
        <v>0</v>
      </c>
      <c r="G161" s="105">
        <f t="shared" si="101"/>
        <v>0</v>
      </c>
      <c r="H161" s="105">
        <f t="shared" si="102"/>
        <v>0</v>
      </c>
      <c r="I161" s="105">
        <f t="shared" si="103"/>
        <v>0</v>
      </c>
      <c r="J161" s="123">
        <f t="shared" si="104"/>
        <v>0</v>
      </c>
      <c r="K161" s="107"/>
      <c r="L161" s="77">
        <f>+K161*(1+'1'!$C$16)</f>
        <v>0</v>
      </c>
      <c r="M161" s="77">
        <f>+L161*(1+'1'!$D$16)</f>
        <v>0</v>
      </c>
      <c r="N161" s="77">
        <f>+M161*(1+'1'!$E$16)</f>
        <v>0</v>
      </c>
      <c r="O161" s="77">
        <f>N161*(1+'1'!$F$16)</f>
        <v>0</v>
      </c>
      <c r="P161" s="124">
        <f t="shared" ref="P161:P167" si="105">J161*K161*$C$8</f>
        <v>0</v>
      </c>
      <c r="Q161" s="124">
        <f t="shared" ref="Q161:Q167" si="106">J161*L161*$D$8</f>
        <v>0</v>
      </c>
      <c r="R161" s="124">
        <f t="shared" ref="R161:R167" si="107">J161*M161*$E$8</f>
        <v>0</v>
      </c>
      <c r="S161" s="124">
        <f t="shared" ref="S161:S167" si="108">J161*N161*$F$8</f>
        <v>0</v>
      </c>
      <c r="T161" s="124">
        <f t="shared" ref="T161:T167" si="109">J161*O161*$G$8</f>
        <v>0</v>
      </c>
    </row>
    <row r="162" spans="2:20" ht="14.25" customHeight="1">
      <c r="B162" s="726"/>
      <c r="C162" s="109"/>
      <c r="D162" s="109"/>
      <c r="E162" s="109"/>
      <c r="F162" s="105">
        <f t="shared" si="100"/>
        <v>0</v>
      </c>
      <c r="G162" s="105">
        <f t="shared" si="101"/>
        <v>0</v>
      </c>
      <c r="H162" s="105">
        <f t="shared" si="102"/>
        <v>0</v>
      </c>
      <c r="I162" s="105">
        <f t="shared" si="103"/>
        <v>0</v>
      </c>
      <c r="J162" s="123">
        <f t="shared" si="104"/>
        <v>0</v>
      </c>
      <c r="K162" s="107"/>
      <c r="L162" s="77">
        <f>+K162*(1+'1'!$C$16)</f>
        <v>0</v>
      </c>
      <c r="M162" s="77">
        <f>+L162*(1+'1'!$D$16)</f>
        <v>0</v>
      </c>
      <c r="N162" s="77">
        <f>+M162*(1+'1'!$E$16)</f>
        <v>0</v>
      </c>
      <c r="O162" s="77">
        <f>N162*(1+'1'!$F$16)</f>
        <v>0</v>
      </c>
      <c r="P162" s="124">
        <f t="shared" si="105"/>
        <v>0</v>
      </c>
      <c r="Q162" s="124">
        <f t="shared" si="106"/>
        <v>0</v>
      </c>
      <c r="R162" s="124">
        <f t="shared" si="107"/>
        <v>0</v>
      </c>
      <c r="S162" s="124">
        <f t="shared" si="108"/>
        <v>0</v>
      </c>
      <c r="T162" s="124">
        <f t="shared" si="109"/>
        <v>0</v>
      </c>
    </row>
    <row r="163" spans="2:20" ht="14.25" customHeight="1">
      <c r="B163" s="726"/>
      <c r="C163" s="109"/>
      <c r="D163" s="109"/>
      <c r="E163" s="109"/>
      <c r="F163" s="105">
        <f t="shared" si="100"/>
        <v>0</v>
      </c>
      <c r="G163" s="105">
        <f t="shared" si="101"/>
        <v>0</v>
      </c>
      <c r="H163" s="105">
        <f t="shared" si="102"/>
        <v>0</v>
      </c>
      <c r="I163" s="105">
        <f t="shared" si="103"/>
        <v>0</v>
      </c>
      <c r="J163" s="123">
        <f t="shared" si="104"/>
        <v>0</v>
      </c>
      <c r="K163" s="107"/>
      <c r="L163" s="77">
        <f>+K163*(1+'1'!$C$16)</f>
        <v>0</v>
      </c>
      <c r="M163" s="77">
        <f>+L163*(1+'1'!$D$16)</f>
        <v>0</v>
      </c>
      <c r="N163" s="77">
        <f>+M163*(1+'1'!$E$16)</f>
        <v>0</v>
      </c>
      <c r="O163" s="77">
        <f>N163*(1+'1'!$F$16)</f>
        <v>0</v>
      </c>
      <c r="P163" s="124">
        <f t="shared" si="105"/>
        <v>0</v>
      </c>
      <c r="Q163" s="124">
        <f t="shared" si="106"/>
        <v>0</v>
      </c>
      <c r="R163" s="124">
        <f t="shared" si="107"/>
        <v>0</v>
      </c>
      <c r="S163" s="124">
        <f t="shared" si="108"/>
        <v>0</v>
      </c>
      <c r="T163" s="124">
        <f t="shared" si="109"/>
        <v>0</v>
      </c>
    </row>
    <row r="164" spans="2:20" ht="14.25" customHeight="1">
      <c r="B164" s="726"/>
      <c r="C164" s="109"/>
      <c r="D164" s="109"/>
      <c r="E164" s="109"/>
      <c r="F164" s="105">
        <f t="shared" si="100"/>
        <v>0</v>
      </c>
      <c r="G164" s="105">
        <f t="shared" si="101"/>
        <v>0</v>
      </c>
      <c r="H164" s="105">
        <f t="shared" si="102"/>
        <v>0</v>
      </c>
      <c r="I164" s="105">
        <f t="shared" si="103"/>
        <v>0</v>
      </c>
      <c r="J164" s="123">
        <f t="shared" si="104"/>
        <v>0</v>
      </c>
      <c r="K164" s="107"/>
      <c r="L164" s="77">
        <f>+K164*(1+'1'!$C$16)</f>
        <v>0</v>
      </c>
      <c r="M164" s="77">
        <f>+L164*(1+'1'!$D$16)</f>
        <v>0</v>
      </c>
      <c r="N164" s="77">
        <f>+M164*(1+'1'!$E$16)</f>
        <v>0</v>
      </c>
      <c r="O164" s="77">
        <f>N164*(1+'1'!$F$16)</f>
        <v>0</v>
      </c>
      <c r="P164" s="124">
        <f t="shared" si="105"/>
        <v>0</v>
      </c>
      <c r="Q164" s="124">
        <f t="shared" si="106"/>
        <v>0</v>
      </c>
      <c r="R164" s="124">
        <f t="shared" si="107"/>
        <v>0</v>
      </c>
      <c r="S164" s="124">
        <f t="shared" si="108"/>
        <v>0</v>
      </c>
      <c r="T164" s="124">
        <f t="shared" si="109"/>
        <v>0</v>
      </c>
    </row>
    <row r="165" spans="2:20" ht="14.25" customHeight="1">
      <c r="B165" s="726"/>
      <c r="C165" s="109"/>
      <c r="D165" s="109"/>
      <c r="E165" s="109"/>
      <c r="F165" s="105">
        <f t="shared" si="100"/>
        <v>0</v>
      </c>
      <c r="G165" s="105">
        <f t="shared" si="101"/>
        <v>0</v>
      </c>
      <c r="H165" s="105">
        <f t="shared" si="102"/>
        <v>0</v>
      </c>
      <c r="I165" s="105">
        <f t="shared" si="103"/>
        <v>0</v>
      </c>
      <c r="J165" s="123">
        <f t="shared" si="104"/>
        <v>0</v>
      </c>
      <c r="K165" s="107"/>
      <c r="L165" s="77">
        <f>+K165*(1+'1'!$C$16)</f>
        <v>0</v>
      </c>
      <c r="M165" s="77">
        <f>+L165*(1+'1'!$D$16)</f>
        <v>0</v>
      </c>
      <c r="N165" s="77">
        <f>+M165*(1+'1'!$E$16)</f>
        <v>0</v>
      </c>
      <c r="O165" s="77">
        <f>N165*(1+'1'!$F$16)</f>
        <v>0</v>
      </c>
      <c r="P165" s="124">
        <f t="shared" si="105"/>
        <v>0</v>
      </c>
      <c r="Q165" s="124">
        <f t="shared" si="106"/>
        <v>0</v>
      </c>
      <c r="R165" s="124">
        <f t="shared" si="107"/>
        <v>0</v>
      </c>
      <c r="S165" s="124">
        <f t="shared" si="108"/>
        <v>0</v>
      </c>
      <c r="T165" s="124">
        <f t="shared" si="109"/>
        <v>0</v>
      </c>
    </row>
    <row r="166" spans="2:20" ht="14.25" customHeight="1">
      <c r="B166" s="726"/>
      <c r="C166" s="109"/>
      <c r="D166" s="109"/>
      <c r="E166" s="109"/>
      <c r="F166" s="105">
        <f t="shared" si="100"/>
        <v>0</v>
      </c>
      <c r="G166" s="105">
        <f t="shared" si="101"/>
        <v>0</v>
      </c>
      <c r="H166" s="105">
        <f t="shared" si="102"/>
        <v>0</v>
      </c>
      <c r="I166" s="105">
        <f t="shared" si="103"/>
        <v>0</v>
      </c>
      <c r="J166" s="123">
        <f t="shared" si="104"/>
        <v>0</v>
      </c>
      <c r="K166" s="107"/>
      <c r="L166" s="77">
        <f>+K166*(1+'1'!$C$16)</f>
        <v>0</v>
      </c>
      <c r="M166" s="77">
        <f>+L166*(1+'1'!$D$16)</f>
        <v>0</v>
      </c>
      <c r="N166" s="77">
        <f>+M166*(1+'1'!$E$16)</f>
        <v>0</v>
      </c>
      <c r="O166" s="77">
        <f>N166*(1+'1'!$F$16)</f>
        <v>0</v>
      </c>
      <c r="P166" s="124">
        <f t="shared" si="105"/>
        <v>0</v>
      </c>
      <c r="Q166" s="124">
        <f t="shared" si="106"/>
        <v>0</v>
      </c>
      <c r="R166" s="124">
        <f t="shared" si="107"/>
        <v>0</v>
      </c>
      <c r="S166" s="124">
        <f t="shared" si="108"/>
        <v>0</v>
      </c>
      <c r="T166" s="124">
        <f t="shared" si="109"/>
        <v>0</v>
      </c>
    </row>
    <row r="167" spans="2:20" ht="14.25" customHeight="1">
      <c r="B167" s="726"/>
      <c r="C167" s="109"/>
      <c r="D167" s="109"/>
      <c r="E167" s="109"/>
      <c r="F167" s="105">
        <f t="shared" si="100"/>
        <v>0</v>
      </c>
      <c r="G167" s="105">
        <f t="shared" si="101"/>
        <v>0</v>
      </c>
      <c r="H167" s="105">
        <f t="shared" si="102"/>
        <v>0</v>
      </c>
      <c r="I167" s="105">
        <f>+H167*(1+$M$9)</f>
        <v>0</v>
      </c>
      <c r="J167" s="123">
        <f t="shared" si="104"/>
        <v>0</v>
      </c>
      <c r="K167" s="107"/>
      <c r="L167" s="77">
        <f>+K167*(1+'1'!$C$16)</f>
        <v>0</v>
      </c>
      <c r="M167" s="77">
        <f>+L167*(1+'1'!$D$16)</f>
        <v>0</v>
      </c>
      <c r="N167" s="77">
        <f>+M167*(1+'1'!$E$16)</f>
        <v>0</v>
      </c>
      <c r="O167" s="77">
        <f>N167*(1+'1'!$F$16)</f>
        <v>0</v>
      </c>
      <c r="P167" s="124">
        <f t="shared" si="105"/>
        <v>0</v>
      </c>
      <c r="Q167" s="124">
        <f t="shared" si="106"/>
        <v>0</v>
      </c>
      <c r="R167" s="124">
        <f t="shared" si="107"/>
        <v>0</v>
      </c>
      <c r="S167" s="124">
        <f t="shared" si="108"/>
        <v>0</v>
      </c>
      <c r="T167" s="124">
        <f t="shared" si="109"/>
        <v>0</v>
      </c>
    </row>
    <row r="168" spans="2:20" ht="13.5" customHeight="1" thickBot="1">
      <c r="B168" s="726"/>
      <c r="C168" s="130" t="s">
        <v>13</v>
      </c>
      <c r="D168" s="130"/>
      <c r="E168" s="130"/>
      <c r="F168" s="130"/>
      <c r="G168" s="130"/>
      <c r="H168" s="130"/>
      <c r="I168" s="130"/>
      <c r="J168" s="130"/>
      <c r="K168" s="130"/>
      <c r="L168" s="130"/>
      <c r="M168" s="130"/>
      <c r="N168" s="130"/>
      <c r="O168" s="131"/>
      <c r="P168" s="128">
        <f>SUM(P166)</f>
        <v>0</v>
      </c>
      <c r="Q168" s="128">
        <f>SUM(Q160:Q167)</f>
        <v>0</v>
      </c>
      <c r="R168" s="128">
        <f>SUM(R160:R167)</f>
        <v>0</v>
      </c>
      <c r="S168" s="128">
        <f>SUM(S160:S167)</f>
        <v>0</v>
      </c>
      <c r="T168" s="128">
        <f>SUM(T160:T167)</f>
        <v>0</v>
      </c>
    </row>
    <row r="169" spans="2:20" ht="12.75" customHeight="1">
      <c r="B169" s="726"/>
      <c r="C169" s="114" t="s">
        <v>132</v>
      </c>
      <c r="D169" s="79"/>
      <c r="E169" s="79"/>
      <c r="F169" s="79"/>
      <c r="G169" s="79"/>
      <c r="H169" s="79"/>
      <c r="I169" s="79"/>
      <c r="J169" s="79"/>
      <c r="K169" s="79"/>
      <c r="L169" s="79"/>
      <c r="M169" s="79"/>
      <c r="N169" s="79"/>
      <c r="O169" s="79"/>
      <c r="P169" s="79"/>
      <c r="Q169" s="79"/>
      <c r="R169" s="79"/>
      <c r="S169" s="79"/>
      <c r="T169" s="80"/>
    </row>
    <row r="170" spans="2:20" ht="14.25" customHeight="1">
      <c r="B170" s="726"/>
      <c r="C170" s="109"/>
      <c r="D170" s="107"/>
      <c r="E170" s="136"/>
      <c r="F170" s="105">
        <f t="shared" ref="F170:F176" si="110">+E170*(1+$J$9)</f>
        <v>0</v>
      </c>
      <c r="G170" s="105">
        <f t="shared" ref="G170:G176" si="111">+F170*(1+$K$9)</f>
        <v>0</v>
      </c>
      <c r="H170" s="105">
        <f t="shared" ref="H170:H176" si="112">+G170*(1+$L$9)</f>
        <v>0</v>
      </c>
      <c r="I170" s="105">
        <f t="shared" ref="I170:I176" si="113">+H170*(1+$M$9)</f>
        <v>0</v>
      </c>
      <c r="J170" s="123">
        <f t="shared" ref="J170:J176" si="114">IF(E170=0,0,+E170*1/$C$8)</f>
        <v>0</v>
      </c>
      <c r="K170" s="107"/>
      <c r="L170" s="77">
        <f>+K170*(1+'1'!$C$16)</f>
        <v>0</v>
      </c>
      <c r="M170" s="77">
        <f>+L170*(1+'1'!$D$16)</f>
        <v>0</v>
      </c>
      <c r="N170" s="77">
        <f>+M170*(1+'1'!$E$16)</f>
        <v>0</v>
      </c>
      <c r="O170" s="77">
        <f>N170*(1+'1'!$F$16)</f>
        <v>0</v>
      </c>
      <c r="P170" s="124">
        <f>J170*K170*$C$8</f>
        <v>0</v>
      </c>
      <c r="Q170" s="124">
        <f>J170*L170*$D$8</f>
        <v>0</v>
      </c>
      <c r="R170" s="124">
        <f>J170*M170*$E$8</f>
        <v>0</v>
      </c>
      <c r="S170" s="124">
        <f>J170*N170*$F$8</f>
        <v>0</v>
      </c>
      <c r="T170" s="124">
        <f>J170*O170*$G$8</f>
        <v>0</v>
      </c>
    </row>
    <row r="171" spans="2:20" ht="14.25" customHeight="1">
      <c r="B171" s="726"/>
      <c r="C171" s="109"/>
      <c r="D171" s="107"/>
      <c r="E171" s="136"/>
      <c r="F171" s="105">
        <f t="shared" si="110"/>
        <v>0</v>
      </c>
      <c r="G171" s="105">
        <f t="shared" si="111"/>
        <v>0</v>
      </c>
      <c r="H171" s="105">
        <f t="shared" si="112"/>
        <v>0</v>
      </c>
      <c r="I171" s="105">
        <f t="shared" si="113"/>
        <v>0</v>
      </c>
      <c r="J171" s="123">
        <f t="shared" si="114"/>
        <v>0</v>
      </c>
      <c r="K171" s="107"/>
      <c r="L171" s="77">
        <f>+K171*(1+'1'!$C$16)</f>
        <v>0</v>
      </c>
      <c r="M171" s="77">
        <f>+L171*(1+'1'!$D$16)</f>
        <v>0</v>
      </c>
      <c r="N171" s="77">
        <f>+M171*(1+'1'!$E$16)</f>
        <v>0</v>
      </c>
      <c r="O171" s="77">
        <f>N171*(1+'1'!$F$16)</f>
        <v>0</v>
      </c>
      <c r="P171" s="124">
        <f t="shared" ref="P171:P176" si="115">J171*K171*$C$8</f>
        <v>0</v>
      </c>
      <c r="Q171" s="124">
        <f t="shared" ref="Q171:Q176" si="116">J171*L171*$D$8</f>
        <v>0</v>
      </c>
      <c r="R171" s="124">
        <f t="shared" ref="R171:R176" si="117">J171*M171*$E$8</f>
        <v>0</v>
      </c>
      <c r="S171" s="124">
        <f t="shared" ref="S171:S176" si="118">J171*N171*$F$8</f>
        <v>0</v>
      </c>
      <c r="T171" s="124">
        <f t="shared" ref="T171:T176" si="119">J171*O171*$G$8</f>
        <v>0</v>
      </c>
    </row>
    <row r="172" spans="2:20" ht="14.25" customHeight="1">
      <c r="B172" s="726"/>
      <c r="C172" s="109"/>
      <c r="D172" s="107"/>
      <c r="E172" s="136"/>
      <c r="F172" s="105">
        <f t="shared" si="110"/>
        <v>0</v>
      </c>
      <c r="G172" s="105">
        <f t="shared" si="111"/>
        <v>0</v>
      </c>
      <c r="H172" s="105">
        <f t="shared" si="112"/>
        <v>0</v>
      </c>
      <c r="I172" s="105">
        <f t="shared" si="113"/>
        <v>0</v>
      </c>
      <c r="J172" s="123">
        <f t="shared" si="114"/>
        <v>0</v>
      </c>
      <c r="K172" s="107"/>
      <c r="L172" s="77">
        <f>+K172*(1+'1'!$C$16)</f>
        <v>0</v>
      </c>
      <c r="M172" s="77">
        <f>+L172*(1+'1'!$D$16)</f>
        <v>0</v>
      </c>
      <c r="N172" s="77">
        <f>+M172*(1+'1'!$E$16)</f>
        <v>0</v>
      </c>
      <c r="O172" s="77">
        <f>N172*(1+'1'!$F$16)</f>
        <v>0</v>
      </c>
      <c r="P172" s="124">
        <f t="shared" si="115"/>
        <v>0</v>
      </c>
      <c r="Q172" s="124">
        <f t="shared" si="116"/>
        <v>0</v>
      </c>
      <c r="R172" s="124">
        <f t="shared" si="117"/>
        <v>0</v>
      </c>
      <c r="S172" s="124">
        <f t="shared" si="118"/>
        <v>0</v>
      </c>
      <c r="T172" s="124">
        <f t="shared" si="119"/>
        <v>0</v>
      </c>
    </row>
    <row r="173" spans="2:20" ht="14.25" customHeight="1">
      <c r="B173" s="726"/>
      <c r="C173" s="109"/>
      <c r="D173" s="107"/>
      <c r="E173" s="136"/>
      <c r="F173" s="105">
        <f t="shared" si="110"/>
        <v>0</v>
      </c>
      <c r="G173" s="105">
        <f t="shared" si="111"/>
        <v>0</v>
      </c>
      <c r="H173" s="105">
        <f t="shared" si="112"/>
        <v>0</v>
      </c>
      <c r="I173" s="105">
        <f t="shared" si="113"/>
        <v>0</v>
      </c>
      <c r="J173" s="123">
        <f t="shared" si="114"/>
        <v>0</v>
      </c>
      <c r="K173" s="107"/>
      <c r="L173" s="77">
        <f>+K173*(1+'1'!$C$16)</f>
        <v>0</v>
      </c>
      <c r="M173" s="77">
        <f>+L173*(1+'1'!$D$16)</f>
        <v>0</v>
      </c>
      <c r="N173" s="77">
        <f>+M173*(1+'1'!$E$16)</f>
        <v>0</v>
      </c>
      <c r="O173" s="77">
        <f>N173*(1+'1'!$F$16)</f>
        <v>0</v>
      </c>
      <c r="P173" s="124">
        <f t="shared" si="115"/>
        <v>0</v>
      </c>
      <c r="Q173" s="124">
        <f t="shared" si="116"/>
        <v>0</v>
      </c>
      <c r="R173" s="124">
        <f t="shared" si="117"/>
        <v>0</v>
      </c>
      <c r="S173" s="124">
        <f t="shared" si="118"/>
        <v>0</v>
      </c>
      <c r="T173" s="124">
        <f t="shared" si="119"/>
        <v>0</v>
      </c>
    </row>
    <row r="174" spans="2:20" ht="14.25" customHeight="1">
      <c r="B174" s="726"/>
      <c r="C174" s="109"/>
      <c r="D174" s="107"/>
      <c r="E174" s="136"/>
      <c r="F174" s="105">
        <f t="shared" si="110"/>
        <v>0</v>
      </c>
      <c r="G174" s="105">
        <f t="shared" si="111"/>
        <v>0</v>
      </c>
      <c r="H174" s="105">
        <f t="shared" si="112"/>
        <v>0</v>
      </c>
      <c r="I174" s="105">
        <f t="shared" si="113"/>
        <v>0</v>
      </c>
      <c r="J174" s="123">
        <f t="shared" si="114"/>
        <v>0</v>
      </c>
      <c r="K174" s="107"/>
      <c r="L174" s="77">
        <f>+K174*(1+'1'!$C$16)</f>
        <v>0</v>
      </c>
      <c r="M174" s="77">
        <f>+L174*(1+'1'!$D$16)</f>
        <v>0</v>
      </c>
      <c r="N174" s="77">
        <f>+M174*(1+'1'!$E$16)</f>
        <v>0</v>
      </c>
      <c r="O174" s="77">
        <f>N174*(1+'1'!$F$16)</f>
        <v>0</v>
      </c>
      <c r="P174" s="124">
        <f t="shared" si="115"/>
        <v>0</v>
      </c>
      <c r="Q174" s="124">
        <f t="shared" si="116"/>
        <v>0</v>
      </c>
      <c r="R174" s="124">
        <f t="shared" si="117"/>
        <v>0</v>
      </c>
      <c r="S174" s="124">
        <f t="shared" si="118"/>
        <v>0</v>
      </c>
      <c r="T174" s="124">
        <f t="shared" si="119"/>
        <v>0</v>
      </c>
    </row>
    <row r="175" spans="2:20" ht="14.25" customHeight="1">
      <c r="B175" s="726"/>
      <c r="C175" s="110"/>
      <c r="D175" s="107"/>
      <c r="E175" s="107"/>
      <c r="F175" s="105">
        <f t="shared" si="110"/>
        <v>0</v>
      </c>
      <c r="G175" s="105">
        <f t="shared" si="111"/>
        <v>0</v>
      </c>
      <c r="H175" s="105">
        <f t="shared" si="112"/>
        <v>0</v>
      </c>
      <c r="I175" s="105">
        <f t="shared" si="113"/>
        <v>0</v>
      </c>
      <c r="J175" s="123">
        <f t="shared" si="114"/>
        <v>0</v>
      </c>
      <c r="K175" s="107"/>
      <c r="L175" s="77">
        <f>+K175*(1+'1'!$C$16)</f>
        <v>0</v>
      </c>
      <c r="M175" s="77">
        <f>+L175*(1+'1'!$D$16)</f>
        <v>0</v>
      </c>
      <c r="N175" s="77">
        <f>+M175*(1+'1'!$E$16)</f>
        <v>0</v>
      </c>
      <c r="O175" s="77">
        <f>N175*(1+'1'!$F$16)</f>
        <v>0</v>
      </c>
      <c r="P175" s="124">
        <f t="shared" si="115"/>
        <v>0</v>
      </c>
      <c r="Q175" s="124">
        <f t="shared" si="116"/>
        <v>0</v>
      </c>
      <c r="R175" s="124">
        <f t="shared" si="117"/>
        <v>0</v>
      </c>
      <c r="S175" s="124">
        <f t="shared" si="118"/>
        <v>0</v>
      </c>
      <c r="T175" s="124">
        <f t="shared" si="119"/>
        <v>0</v>
      </c>
    </row>
    <row r="176" spans="2:20" ht="14.25" customHeight="1">
      <c r="B176" s="726"/>
      <c r="C176" s="110"/>
      <c r="D176" s="107"/>
      <c r="E176" s="107"/>
      <c r="F176" s="105">
        <f t="shared" si="110"/>
        <v>0</v>
      </c>
      <c r="G176" s="105">
        <f t="shared" si="111"/>
        <v>0</v>
      </c>
      <c r="H176" s="105">
        <f t="shared" si="112"/>
        <v>0</v>
      </c>
      <c r="I176" s="105">
        <f t="shared" si="113"/>
        <v>0</v>
      </c>
      <c r="J176" s="123">
        <f t="shared" si="114"/>
        <v>0</v>
      </c>
      <c r="K176" s="107"/>
      <c r="L176" s="77">
        <f>+K176*(1+'1'!$C$16)</f>
        <v>0</v>
      </c>
      <c r="M176" s="77">
        <f>+L176*(1+'1'!$D$16)</f>
        <v>0</v>
      </c>
      <c r="N176" s="77">
        <f>+M176*(1+'1'!$E$16)</f>
        <v>0</v>
      </c>
      <c r="O176" s="77">
        <f>N176*(1+'1'!$F$16)</f>
        <v>0</v>
      </c>
      <c r="P176" s="124">
        <f t="shared" si="115"/>
        <v>0</v>
      </c>
      <c r="Q176" s="124">
        <f t="shared" si="116"/>
        <v>0</v>
      </c>
      <c r="R176" s="124">
        <f t="shared" si="117"/>
        <v>0</v>
      </c>
      <c r="S176" s="124">
        <f t="shared" si="118"/>
        <v>0</v>
      </c>
      <c r="T176" s="124">
        <f t="shared" si="119"/>
        <v>0</v>
      </c>
    </row>
    <row r="177" spans="2:20" ht="13.5" customHeight="1" thickBot="1">
      <c r="B177" s="727"/>
      <c r="C177" s="130" t="s">
        <v>13</v>
      </c>
      <c r="D177" s="133"/>
      <c r="E177" s="133"/>
      <c r="F177" s="133"/>
      <c r="G177" s="133"/>
      <c r="H177" s="133"/>
      <c r="I177" s="133"/>
      <c r="J177" s="133"/>
      <c r="K177" s="133"/>
      <c r="L177" s="133"/>
      <c r="M177" s="133"/>
      <c r="N177" s="133"/>
      <c r="O177" s="134"/>
      <c r="P177" s="126">
        <f>SUM(P170:P176)</f>
        <v>0</v>
      </c>
      <c r="Q177" s="126">
        <f>SUM(Q170:Q176)</f>
        <v>0</v>
      </c>
      <c r="R177" s="126">
        <f>SUM(R170:R176)</f>
        <v>0</v>
      </c>
      <c r="S177" s="126">
        <f>SUM(S170:S176)</f>
        <v>0</v>
      </c>
      <c r="T177" s="126">
        <f>SUM(T170:T176)</f>
        <v>0</v>
      </c>
    </row>
    <row r="178" spans="2:20">
      <c r="B178" s="725" t="str">
        <f>'CTOS VS ING OPER - INV INFRAEST'!B12</f>
        <v>Nombre del producto 5</v>
      </c>
      <c r="C178" s="114" t="s">
        <v>3</v>
      </c>
      <c r="D178" s="132"/>
      <c r="E178" s="132"/>
      <c r="F178" s="132"/>
      <c r="G178" s="132"/>
      <c r="H178" s="132"/>
      <c r="I178" s="132"/>
      <c r="J178" s="132"/>
      <c r="K178" s="132"/>
      <c r="L178" s="132"/>
      <c r="M178" s="132"/>
      <c r="N178" s="132"/>
      <c r="O178" s="132"/>
      <c r="P178" s="132"/>
      <c r="Q178" s="132"/>
      <c r="R178" s="132"/>
      <c r="S178" s="132"/>
      <c r="T178" s="135"/>
    </row>
    <row r="179" spans="2:20" ht="14.25">
      <c r="B179" s="726"/>
      <c r="C179" s="209"/>
      <c r="D179" s="210"/>
      <c r="E179" s="211"/>
      <c r="F179" s="105">
        <f>+E179*(1+$J$10)</f>
        <v>0</v>
      </c>
      <c r="G179" s="105">
        <f>+F179*(1+$K$10)</f>
        <v>0</v>
      </c>
      <c r="H179" s="105">
        <f>+G179*(1+$L$10)</f>
        <v>0</v>
      </c>
      <c r="I179" s="105">
        <f>+H179*(1+$M$10)</f>
        <v>0</v>
      </c>
      <c r="J179" s="123">
        <f>IF(E179=0,0,+E179*1/$C$9)</f>
        <v>0</v>
      </c>
      <c r="K179" s="212"/>
      <c r="L179" s="77">
        <f>+K179*(1+'1'!$C$16)</f>
        <v>0</v>
      </c>
      <c r="M179" s="77">
        <f>+L179*(1+'1'!$D$16)</f>
        <v>0</v>
      </c>
      <c r="N179" s="77">
        <f>+M179*(1+'1'!$E$16)</f>
        <v>0</v>
      </c>
      <c r="O179" s="77">
        <f>N179*(1+'1'!$F$16)</f>
        <v>0</v>
      </c>
      <c r="P179" s="124">
        <f>J179*K179*$C$9</f>
        <v>0</v>
      </c>
      <c r="Q179" s="124">
        <f>J179*L179*$D$9</f>
        <v>0</v>
      </c>
      <c r="R179" s="124">
        <f>J179*M179*$E$9</f>
        <v>0</v>
      </c>
      <c r="S179" s="124">
        <f>J179*N179*$F$9</f>
        <v>0</v>
      </c>
      <c r="T179" s="124">
        <f>J179*O179*$G$9</f>
        <v>0</v>
      </c>
    </row>
    <row r="180" spans="2:20" ht="14.25">
      <c r="B180" s="726"/>
      <c r="C180" s="209"/>
      <c r="D180" s="210"/>
      <c r="E180" s="211"/>
      <c r="F180" s="105">
        <f t="shared" ref="F180:F198" si="120">+E180*(1+$J$10)</f>
        <v>0</v>
      </c>
      <c r="G180" s="105">
        <f t="shared" ref="G180:G198" si="121">+F180*(1+$K$10)</f>
        <v>0</v>
      </c>
      <c r="H180" s="105">
        <f t="shared" ref="H180:H198" si="122">+G180*(1+$L$10)</f>
        <v>0</v>
      </c>
      <c r="I180" s="105">
        <f t="shared" ref="I180:I198" si="123">+H180*(1+$M$10)</f>
        <v>0</v>
      </c>
      <c r="J180" s="123">
        <f t="shared" ref="J180:J198" si="124">IF(E180=0,0,+E180*1/$C$9)</f>
        <v>0</v>
      </c>
      <c r="K180" s="212"/>
      <c r="L180" s="77">
        <f>+K180*(1+'1'!$C$16)</f>
        <v>0</v>
      </c>
      <c r="M180" s="77">
        <f>+L180*(1+'1'!$D$16)</f>
        <v>0</v>
      </c>
      <c r="N180" s="77">
        <f>+M180*(1+'1'!$E$16)</f>
        <v>0</v>
      </c>
      <c r="O180" s="77">
        <f>N180*(1+'1'!$F$16)</f>
        <v>0</v>
      </c>
      <c r="P180" s="124">
        <f t="shared" ref="P180:P198" si="125">J180*K180*$C$9</f>
        <v>0</v>
      </c>
      <c r="Q180" s="124">
        <f t="shared" ref="Q180:Q198" si="126">J180*L180*$D$9</f>
        <v>0</v>
      </c>
      <c r="R180" s="124">
        <f t="shared" ref="R180:R198" si="127">J180*M180*$E$9</f>
        <v>0</v>
      </c>
      <c r="S180" s="124">
        <f t="shared" ref="S180:S198" si="128">J180*N180*$F$9</f>
        <v>0</v>
      </c>
      <c r="T180" s="124">
        <f t="shared" ref="T180:T198" si="129">J180*O180*$G$9</f>
        <v>0</v>
      </c>
    </row>
    <row r="181" spans="2:20" ht="14.25">
      <c r="B181" s="726"/>
      <c r="C181" s="209"/>
      <c r="D181" s="210"/>
      <c r="E181" s="211"/>
      <c r="F181" s="105">
        <f t="shared" si="120"/>
        <v>0</v>
      </c>
      <c r="G181" s="105">
        <f t="shared" si="121"/>
        <v>0</v>
      </c>
      <c r="H181" s="105">
        <f t="shared" si="122"/>
        <v>0</v>
      </c>
      <c r="I181" s="105">
        <f t="shared" si="123"/>
        <v>0</v>
      </c>
      <c r="J181" s="123">
        <f t="shared" si="124"/>
        <v>0</v>
      </c>
      <c r="K181" s="212"/>
      <c r="L181" s="77">
        <f>+K181*(1+'1'!$C$16)</f>
        <v>0</v>
      </c>
      <c r="M181" s="77">
        <f>+L181*(1+'1'!$D$16)</f>
        <v>0</v>
      </c>
      <c r="N181" s="77">
        <f>+M181*(1+'1'!$E$16)</f>
        <v>0</v>
      </c>
      <c r="O181" s="77">
        <f>N181*(1+'1'!$F$16)</f>
        <v>0</v>
      </c>
      <c r="P181" s="124">
        <f t="shared" si="125"/>
        <v>0</v>
      </c>
      <c r="Q181" s="124">
        <f t="shared" si="126"/>
        <v>0</v>
      </c>
      <c r="R181" s="124">
        <f t="shared" si="127"/>
        <v>0</v>
      </c>
      <c r="S181" s="124">
        <f t="shared" si="128"/>
        <v>0</v>
      </c>
      <c r="T181" s="124">
        <f t="shared" si="129"/>
        <v>0</v>
      </c>
    </row>
    <row r="182" spans="2:20" ht="14.25">
      <c r="B182" s="726"/>
      <c r="C182" s="209"/>
      <c r="D182" s="210"/>
      <c r="E182" s="211"/>
      <c r="F182" s="105">
        <f t="shared" si="120"/>
        <v>0</v>
      </c>
      <c r="G182" s="105">
        <f t="shared" si="121"/>
        <v>0</v>
      </c>
      <c r="H182" s="105">
        <f t="shared" si="122"/>
        <v>0</v>
      </c>
      <c r="I182" s="105">
        <f t="shared" si="123"/>
        <v>0</v>
      </c>
      <c r="J182" s="123">
        <f t="shared" si="124"/>
        <v>0</v>
      </c>
      <c r="K182" s="212"/>
      <c r="L182" s="77">
        <f>+K182*(1+'1'!$C$16)</f>
        <v>0</v>
      </c>
      <c r="M182" s="77">
        <f>+L182*(1+'1'!$D$16)</f>
        <v>0</v>
      </c>
      <c r="N182" s="77">
        <f>+M182*(1+'1'!$E$16)</f>
        <v>0</v>
      </c>
      <c r="O182" s="77">
        <f>N182*(1+'1'!$F$16)</f>
        <v>0</v>
      </c>
      <c r="P182" s="124">
        <f t="shared" si="125"/>
        <v>0</v>
      </c>
      <c r="Q182" s="124">
        <f t="shared" si="126"/>
        <v>0</v>
      </c>
      <c r="R182" s="124">
        <f t="shared" si="127"/>
        <v>0</v>
      </c>
      <c r="S182" s="124">
        <f t="shared" si="128"/>
        <v>0</v>
      </c>
      <c r="T182" s="124">
        <f t="shared" si="129"/>
        <v>0</v>
      </c>
    </row>
    <row r="183" spans="2:20" ht="14.25">
      <c r="B183" s="726"/>
      <c r="C183" s="209"/>
      <c r="D183" s="210"/>
      <c r="E183" s="211"/>
      <c r="F183" s="105">
        <f t="shared" si="120"/>
        <v>0</v>
      </c>
      <c r="G183" s="105">
        <f t="shared" si="121"/>
        <v>0</v>
      </c>
      <c r="H183" s="105">
        <f t="shared" si="122"/>
        <v>0</v>
      </c>
      <c r="I183" s="105">
        <f t="shared" si="123"/>
        <v>0</v>
      </c>
      <c r="J183" s="123">
        <f t="shared" si="124"/>
        <v>0</v>
      </c>
      <c r="K183" s="212"/>
      <c r="L183" s="77">
        <f>+K183*(1+'1'!$C$16)</f>
        <v>0</v>
      </c>
      <c r="M183" s="77">
        <f>+L183*(1+'1'!$D$16)</f>
        <v>0</v>
      </c>
      <c r="N183" s="77">
        <f>+M183*(1+'1'!$E$16)</f>
        <v>0</v>
      </c>
      <c r="O183" s="77">
        <f>N183*(1+'1'!$F$16)</f>
        <v>0</v>
      </c>
      <c r="P183" s="124">
        <f t="shared" si="125"/>
        <v>0</v>
      </c>
      <c r="Q183" s="124">
        <f t="shared" si="126"/>
        <v>0</v>
      </c>
      <c r="R183" s="124">
        <f t="shared" si="127"/>
        <v>0</v>
      </c>
      <c r="S183" s="124">
        <f t="shared" si="128"/>
        <v>0</v>
      </c>
      <c r="T183" s="124">
        <f t="shared" si="129"/>
        <v>0</v>
      </c>
    </row>
    <row r="184" spans="2:20" ht="14.25">
      <c r="B184" s="726"/>
      <c r="C184" s="209"/>
      <c r="D184" s="210"/>
      <c r="E184" s="211"/>
      <c r="F184" s="105">
        <f t="shared" si="120"/>
        <v>0</v>
      </c>
      <c r="G184" s="105">
        <f t="shared" si="121"/>
        <v>0</v>
      </c>
      <c r="H184" s="105">
        <f t="shared" si="122"/>
        <v>0</v>
      </c>
      <c r="I184" s="105">
        <f t="shared" si="123"/>
        <v>0</v>
      </c>
      <c r="J184" s="123">
        <f t="shared" si="124"/>
        <v>0</v>
      </c>
      <c r="K184" s="212"/>
      <c r="L184" s="77">
        <f>+K184*(1+'1'!$C$16)</f>
        <v>0</v>
      </c>
      <c r="M184" s="77">
        <f>+L184*(1+'1'!$D$16)</f>
        <v>0</v>
      </c>
      <c r="N184" s="77">
        <f>+M184*(1+'1'!$E$16)</f>
        <v>0</v>
      </c>
      <c r="O184" s="77">
        <f>N184*(1+'1'!$F$16)</f>
        <v>0</v>
      </c>
      <c r="P184" s="124">
        <f t="shared" si="125"/>
        <v>0</v>
      </c>
      <c r="Q184" s="124">
        <f t="shared" si="126"/>
        <v>0</v>
      </c>
      <c r="R184" s="124">
        <f t="shared" si="127"/>
        <v>0</v>
      </c>
      <c r="S184" s="124">
        <f t="shared" si="128"/>
        <v>0</v>
      </c>
      <c r="T184" s="124">
        <f t="shared" si="129"/>
        <v>0</v>
      </c>
    </row>
    <row r="185" spans="2:20" ht="14.25">
      <c r="B185" s="726"/>
      <c r="C185" s="209"/>
      <c r="D185" s="210"/>
      <c r="E185" s="211"/>
      <c r="F185" s="105">
        <f t="shared" si="120"/>
        <v>0</v>
      </c>
      <c r="G185" s="105">
        <f t="shared" si="121"/>
        <v>0</v>
      </c>
      <c r="H185" s="105">
        <f t="shared" si="122"/>
        <v>0</v>
      </c>
      <c r="I185" s="105">
        <f t="shared" si="123"/>
        <v>0</v>
      </c>
      <c r="J185" s="123">
        <f t="shared" si="124"/>
        <v>0</v>
      </c>
      <c r="K185" s="212"/>
      <c r="L185" s="77">
        <f>+K185*(1+'1'!$C$16)</f>
        <v>0</v>
      </c>
      <c r="M185" s="77">
        <f>+L185*(1+'1'!$D$16)</f>
        <v>0</v>
      </c>
      <c r="N185" s="77">
        <f>+M185*(1+'1'!$E$16)</f>
        <v>0</v>
      </c>
      <c r="O185" s="77">
        <f>N185*(1+'1'!$F$16)</f>
        <v>0</v>
      </c>
      <c r="P185" s="124">
        <f t="shared" si="125"/>
        <v>0</v>
      </c>
      <c r="Q185" s="124">
        <f t="shared" si="126"/>
        <v>0</v>
      </c>
      <c r="R185" s="124">
        <f t="shared" si="127"/>
        <v>0</v>
      </c>
      <c r="S185" s="124">
        <f t="shared" si="128"/>
        <v>0</v>
      </c>
      <c r="T185" s="124">
        <f t="shared" si="129"/>
        <v>0</v>
      </c>
    </row>
    <row r="186" spans="2:20" ht="14.25">
      <c r="B186" s="726"/>
      <c r="C186" s="209"/>
      <c r="D186" s="210"/>
      <c r="E186" s="211"/>
      <c r="F186" s="105">
        <f t="shared" si="120"/>
        <v>0</v>
      </c>
      <c r="G186" s="105">
        <f t="shared" si="121"/>
        <v>0</v>
      </c>
      <c r="H186" s="105">
        <f t="shared" si="122"/>
        <v>0</v>
      </c>
      <c r="I186" s="105">
        <f t="shared" si="123"/>
        <v>0</v>
      </c>
      <c r="J186" s="123">
        <f t="shared" si="124"/>
        <v>0</v>
      </c>
      <c r="K186" s="212"/>
      <c r="L186" s="77">
        <f>+K186*(1+'1'!$C$16)</f>
        <v>0</v>
      </c>
      <c r="M186" s="77">
        <f>+L186*(1+'1'!$D$16)</f>
        <v>0</v>
      </c>
      <c r="N186" s="77">
        <f>+M186*(1+'1'!$E$16)</f>
        <v>0</v>
      </c>
      <c r="O186" s="77">
        <f>N186*(1+'1'!$F$16)</f>
        <v>0</v>
      </c>
      <c r="P186" s="124">
        <f t="shared" si="125"/>
        <v>0</v>
      </c>
      <c r="Q186" s="124">
        <f t="shared" si="126"/>
        <v>0</v>
      </c>
      <c r="R186" s="124">
        <f t="shared" si="127"/>
        <v>0</v>
      </c>
      <c r="S186" s="124">
        <f t="shared" si="128"/>
        <v>0</v>
      </c>
      <c r="T186" s="124">
        <f t="shared" si="129"/>
        <v>0</v>
      </c>
    </row>
    <row r="187" spans="2:20" ht="14.25">
      <c r="B187" s="726"/>
      <c r="C187" s="209"/>
      <c r="D187" s="210"/>
      <c r="E187" s="211"/>
      <c r="F187" s="105">
        <f t="shared" si="120"/>
        <v>0</v>
      </c>
      <c r="G187" s="105">
        <f t="shared" si="121"/>
        <v>0</v>
      </c>
      <c r="H187" s="105">
        <f t="shared" si="122"/>
        <v>0</v>
      </c>
      <c r="I187" s="105">
        <f t="shared" si="123"/>
        <v>0</v>
      </c>
      <c r="J187" s="123">
        <f t="shared" si="124"/>
        <v>0</v>
      </c>
      <c r="K187" s="212"/>
      <c r="L187" s="77">
        <f>+K187*(1+'1'!$C$16)</f>
        <v>0</v>
      </c>
      <c r="M187" s="77">
        <f>+L187*(1+'1'!$D$16)</f>
        <v>0</v>
      </c>
      <c r="N187" s="77">
        <f>+M187*(1+'1'!$E$16)</f>
        <v>0</v>
      </c>
      <c r="O187" s="77">
        <f>N187*(1+'1'!$F$16)</f>
        <v>0</v>
      </c>
      <c r="P187" s="124">
        <f t="shared" si="125"/>
        <v>0</v>
      </c>
      <c r="Q187" s="124">
        <f t="shared" si="126"/>
        <v>0</v>
      </c>
      <c r="R187" s="124">
        <f t="shared" si="127"/>
        <v>0</v>
      </c>
      <c r="S187" s="124">
        <f t="shared" si="128"/>
        <v>0</v>
      </c>
      <c r="T187" s="124">
        <f t="shared" si="129"/>
        <v>0</v>
      </c>
    </row>
    <row r="188" spans="2:20" ht="14.25">
      <c r="B188" s="726"/>
      <c r="C188" s="209"/>
      <c r="D188" s="210"/>
      <c r="E188" s="211"/>
      <c r="F188" s="105">
        <f t="shared" si="120"/>
        <v>0</v>
      </c>
      <c r="G188" s="105">
        <f t="shared" si="121"/>
        <v>0</v>
      </c>
      <c r="H188" s="105">
        <f t="shared" si="122"/>
        <v>0</v>
      </c>
      <c r="I188" s="105">
        <f t="shared" si="123"/>
        <v>0</v>
      </c>
      <c r="J188" s="123">
        <f t="shared" si="124"/>
        <v>0</v>
      </c>
      <c r="K188" s="212"/>
      <c r="L188" s="77">
        <f>+K188*(1+'1'!$C$16)</f>
        <v>0</v>
      </c>
      <c r="M188" s="77">
        <f>+L188*(1+'1'!$D$16)</f>
        <v>0</v>
      </c>
      <c r="N188" s="77">
        <f>+M188*(1+'1'!$E$16)</f>
        <v>0</v>
      </c>
      <c r="O188" s="77">
        <f>N188*(1+'1'!$F$16)</f>
        <v>0</v>
      </c>
      <c r="P188" s="124">
        <f t="shared" si="125"/>
        <v>0</v>
      </c>
      <c r="Q188" s="124">
        <f t="shared" si="126"/>
        <v>0</v>
      </c>
      <c r="R188" s="124">
        <f t="shared" si="127"/>
        <v>0</v>
      </c>
      <c r="S188" s="124">
        <f t="shared" si="128"/>
        <v>0</v>
      </c>
      <c r="T188" s="124">
        <f t="shared" si="129"/>
        <v>0</v>
      </c>
    </row>
    <row r="189" spans="2:20" ht="14.25">
      <c r="B189" s="726"/>
      <c r="C189" s="209"/>
      <c r="D189" s="210"/>
      <c r="E189" s="211"/>
      <c r="F189" s="105">
        <f t="shared" si="120"/>
        <v>0</v>
      </c>
      <c r="G189" s="105">
        <f t="shared" si="121"/>
        <v>0</v>
      </c>
      <c r="H189" s="105">
        <f t="shared" si="122"/>
        <v>0</v>
      </c>
      <c r="I189" s="105">
        <f t="shared" si="123"/>
        <v>0</v>
      </c>
      <c r="J189" s="123">
        <f t="shared" si="124"/>
        <v>0</v>
      </c>
      <c r="K189" s="212"/>
      <c r="L189" s="77">
        <f>+K189*(1+'1'!$C$16)</f>
        <v>0</v>
      </c>
      <c r="M189" s="77">
        <f>+L189*(1+'1'!$D$16)</f>
        <v>0</v>
      </c>
      <c r="N189" s="77">
        <f>+M189*(1+'1'!$E$16)</f>
        <v>0</v>
      </c>
      <c r="O189" s="77">
        <f>N189*(1+'1'!$F$16)</f>
        <v>0</v>
      </c>
      <c r="P189" s="124">
        <f t="shared" si="125"/>
        <v>0</v>
      </c>
      <c r="Q189" s="124">
        <f t="shared" si="126"/>
        <v>0</v>
      </c>
      <c r="R189" s="124">
        <f t="shared" si="127"/>
        <v>0</v>
      </c>
      <c r="S189" s="124">
        <f t="shared" si="128"/>
        <v>0</v>
      </c>
      <c r="T189" s="124">
        <f t="shared" si="129"/>
        <v>0</v>
      </c>
    </row>
    <row r="190" spans="2:20" ht="14.25">
      <c r="B190" s="726"/>
      <c r="C190" s="209"/>
      <c r="D190" s="210"/>
      <c r="E190" s="211"/>
      <c r="F190" s="105">
        <f t="shared" si="120"/>
        <v>0</v>
      </c>
      <c r="G190" s="105">
        <f t="shared" si="121"/>
        <v>0</v>
      </c>
      <c r="H190" s="105">
        <f t="shared" si="122"/>
        <v>0</v>
      </c>
      <c r="I190" s="105">
        <f t="shared" si="123"/>
        <v>0</v>
      </c>
      <c r="J190" s="123">
        <f t="shared" si="124"/>
        <v>0</v>
      </c>
      <c r="K190" s="212"/>
      <c r="L190" s="77">
        <f>+K190*(1+'1'!$C$16)</f>
        <v>0</v>
      </c>
      <c r="M190" s="77">
        <f>+L190*(1+'1'!$D$16)</f>
        <v>0</v>
      </c>
      <c r="N190" s="77">
        <f>+M190*(1+'1'!$E$16)</f>
        <v>0</v>
      </c>
      <c r="O190" s="77">
        <f>N190*(1+'1'!$F$16)</f>
        <v>0</v>
      </c>
      <c r="P190" s="124">
        <f t="shared" si="125"/>
        <v>0</v>
      </c>
      <c r="Q190" s="124">
        <f t="shared" si="126"/>
        <v>0</v>
      </c>
      <c r="R190" s="124">
        <f t="shared" si="127"/>
        <v>0</v>
      </c>
      <c r="S190" s="124">
        <f t="shared" si="128"/>
        <v>0</v>
      </c>
      <c r="T190" s="124">
        <f t="shared" si="129"/>
        <v>0</v>
      </c>
    </row>
    <row r="191" spans="2:20" ht="14.25">
      <c r="B191" s="726"/>
      <c r="C191" s="209"/>
      <c r="D191" s="210"/>
      <c r="E191" s="211"/>
      <c r="F191" s="105">
        <f t="shared" si="120"/>
        <v>0</v>
      </c>
      <c r="G191" s="105">
        <f t="shared" si="121"/>
        <v>0</v>
      </c>
      <c r="H191" s="105">
        <f t="shared" si="122"/>
        <v>0</v>
      </c>
      <c r="I191" s="105">
        <f t="shared" si="123"/>
        <v>0</v>
      </c>
      <c r="J191" s="123">
        <f t="shared" si="124"/>
        <v>0</v>
      </c>
      <c r="K191" s="212"/>
      <c r="L191" s="77">
        <f>+K191*(1+'1'!$C$16)</f>
        <v>0</v>
      </c>
      <c r="M191" s="77">
        <f>+L191*(1+'1'!$D$16)</f>
        <v>0</v>
      </c>
      <c r="N191" s="77">
        <f>+M191*(1+'1'!$E$16)</f>
        <v>0</v>
      </c>
      <c r="O191" s="77">
        <f>N191*(1+'1'!$F$16)</f>
        <v>0</v>
      </c>
      <c r="P191" s="124">
        <f t="shared" si="125"/>
        <v>0</v>
      </c>
      <c r="Q191" s="124">
        <f t="shared" si="126"/>
        <v>0</v>
      </c>
      <c r="R191" s="124">
        <f t="shared" si="127"/>
        <v>0</v>
      </c>
      <c r="S191" s="124">
        <f t="shared" si="128"/>
        <v>0</v>
      </c>
      <c r="T191" s="124">
        <f t="shared" si="129"/>
        <v>0</v>
      </c>
    </row>
    <row r="192" spans="2:20" ht="14.25">
      <c r="B192" s="726"/>
      <c r="C192" s="209"/>
      <c r="D192" s="210"/>
      <c r="E192" s="211"/>
      <c r="F192" s="105">
        <f t="shared" si="120"/>
        <v>0</v>
      </c>
      <c r="G192" s="105">
        <f t="shared" si="121"/>
        <v>0</v>
      </c>
      <c r="H192" s="105">
        <f t="shared" si="122"/>
        <v>0</v>
      </c>
      <c r="I192" s="105">
        <f t="shared" si="123"/>
        <v>0</v>
      </c>
      <c r="J192" s="123">
        <f t="shared" si="124"/>
        <v>0</v>
      </c>
      <c r="K192" s="212"/>
      <c r="L192" s="77">
        <f>+K192*(1+'1'!$C$16)</f>
        <v>0</v>
      </c>
      <c r="M192" s="77">
        <f>+L192*(1+'1'!$D$16)</f>
        <v>0</v>
      </c>
      <c r="N192" s="77">
        <f>+M192*(1+'1'!$E$16)</f>
        <v>0</v>
      </c>
      <c r="O192" s="77">
        <f>N192*(1+'1'!$F$16)</f>
        <v>0</v>
      </c>
      <c r="P192" s="124">
        <f t="shared" si="125"/>
        <v>0</v>
      </c>
      <c r="Q192" s="124">
        <f t="shared" si="126"/>
        <v>0</v>
      </c>
      <c r="R192" s="124">
        <f t="shared" si="127"/>
        <v>0</v>
      </c>
      <c r="S192" s="124">
        <f t="shared" si="128"/>
        <v>0</v>
      </c>
      <c r="T192" s="124">
        <f t="shared" si="129"/>
        <v>0</v>
      </c>
    </row>
    <row r="193" spans="2:20" ht="14.25">
      <c r="B193" s="726"/>
      <c r="C193" s="209"/>
      <c r="D193" s="210"/>
      <c r="E193" s="211"/>
      <c r="F193" s="105">
        <f t="shared" si="120"/>
        <v>0</v>
      </c>
      <c r="G193" s="105">
        <f t="shared" si="121"/>
        <v>0</v>
      </c>
      <c r="H193" s="105">
        <f t="shared" si="122"/>
        <v>0</v>
      </c>
      <c r="I193" s="105">
        <f t="shared" si="123"/>
        <v>0</v>
      </c>
      <c r="J193" s="123">
        <f t="shared" si="124"/>
        <v>0</v>
      </c>
      <c r="K193" s="212"/>
      <c r="L193" s="77">
        <f>+K193*(1+'1'!$C$16)</f>
        <v>0</v>
      </c>
      <c r="M193" s="77">
        <f>+L193*(1+'1'!$D$16)</f>
        <v>0</v>
      </c>
      <c r="N193" s="77">
        <f>+M193*(1+'1'!$E$16)</f>
        <v>0</v>
      </c>
      <c r="O193" s="77">
        <f>N193*(1+'1'!$F$16)</f>
        <v>0</v>
      </c>
      <c r="P193" s="124">
        <f t="shared" si="125"/>
        <v>0</v>
      </c>
      <c r="Q193" s="124">
        <f t="shared" si="126"/>
        <v>0</v>
      </c>
      <c r="R193" s="124">
        <f t="shared" si="127"/>
        <v>0</v>
      </c>
      <c r="S193" s="124">
        <f t="shared" si="128"/>
        <v>0</v>
      </c>
      <c r="T193" s="124">
        <f t="shared" si="129"/>
        <v>0</v>
      </c>
    </row>
    <row r="194" spans="2:20" ht="14.25">
      <c r="B194" s="726"/>
      <c r="C194" s="209"/>
      <c r="D194" s="210"/>
      <c r="E194" s="211"/>
      <c r="F194" s="105">
        <f t="shared" si="120"/>
        <v>0</v>
      </c>
      <c r="G194" s="105">
        <f t="shared" si="121"/>
        <v>0</v>
      </c>
      <c r="H194" s="105">
        <f t="shared" si="122"/>
        <v>0</v>
      </c>
      <c r="I194" s="105">
        <f t="shared" si="123"/>
        <v>0</v>
      </c>
      <c r="J194" s="123">
        <f t="shared" si="124"/>
        <v>0</v>
      </c>
      <c r="K194" s="212"/>
      <c r="L194" s="77">
        <f>+K194*(1+'1'!$C$16)</f>
        <v>0</v>
      </c>
      <c r="M194" s="77">
        <f>+L194*(1+'1'!$D$16)</f>
        <v>0</v>
      </c>
      <c r="N194" s="77">
        <f>+M194*(1+'1'!$E$16)</f>
        <v>0</v>
      </c>
      <c r="O194" s="77">
        <f>N194*(1+'1'!$F$16)</f>
        <v>0</v>
      </c>
      <c r="P194" s="124">
        <f t="shared" si="125"/>
        <v>0</v>
      </c>
      <c r="Q194" s="124">
        <f t="shared" si="126"/>
        <v>0</v>
      </c>
      <c r="R194" s="124">
        <f t="shared" si="127"/>
        <v>0</v>
      </c>
      <c r="S194" s="124">
        <f t="shared" si="128"/>
        <v>0</v>
      </c>
      <c r="T194" s="124">
        <f t="shared" si="129"/>
        <v>0</v>
      </c>
    </row>
    <row r="195" spans="2:20" ht="14.25">
      <c r="B195" s="726"/>
      <c r="C195" s="209"/>
      <c r="D195" s="210"/>
      <c r="E195" s="211"/>
      <c r="F195" s="105">
        <f t="shared" si="120"/>
        <v>0</v>
      </c>
      <c r="G195" s="105">
        <f t="shared" si="121"/>
        <v>0</v>
      </c>
      <c r="H195" s="105">
        <f t="shared" si="122"/>
        <v>0</v>
      </c>
      <c r="I195" s="105">
        <f t="shared" si="123"/>
        <v>0</v>
      </c>
      <c r="J195" s="123">
        <f t="shared" si="124"/>
        <v>0</v>
      </c>
      <c r="K195" s="212"/>
      <c r="L195" s="77">
        <f>+K195*(1+'1'!$C$16)</f>
        <v>0</v>
      </c>
      <c r="M195" s="77">
        <f>+L195*(1+'1'!$D$16)</f>
        <v>0</v>
      </c>
      <c r="N195" s="77">
        <f>+M195*(1+'1'!$E$16)</f>
        <v>0</v>
      </c>
      <c r="O195" s="77">
        <f>N195*(1+'1'!$F$16)</f>
        <v>0</v>
      </c>
      <c r="P195" s="124">
        <f t="shared" si="125"/>
        <v>0</v>
      </c>
      <c r="Q195" s="124">
        <f t="shared" si="126"/>
        <v>0</v>
      </c>
      <c r="R195" s="124">
        <f t="shared" si="127"/>
        <v>0</v>
      </c>
      <c r="S195" s="124">
        <f t="shared" si="128"/>
        <v>0</v>
      </c>
      <c r="T195" s="124">
        <f t="shared" si="129"/>
        <v>0</v>
      </c>
    </row>
    <row r="196" spans="2:20" ht="14.25">
      <c r="B196" s="726"/>
      <c r="C196" s="209"/>
      <c r="D196" s="210"/>
      <c r="E196" s="211"/>
      <c r="F196" s="105">
        <f t="shared" si="120"/>
        <v>0</v>
      </c>
      <c r="G196" s="105">
        <f t="shared" si="121"/>
        <v>0</v>
      </c>
      <c r="H196" s="105">
        <f t="shared" si="122"/>
        <v>0</v>
      </c>
      <c r="I196" s="105">
        <f t="shared" si="123"/>
        <v>0</v>
      </c>
      <c r="J196" s="123">
        <f t="shared" si="124"/>
        <v>0</v>
      </c>
      <c r="K196" s="212"/>
      <c r="L196" s="77">
        <f>+K196*(1+'1'!$C$16)</f>
        <v>0</v>
      </c>
      <c r="M196" s="77">
        <f>+L196*(1+'1'!$D$16)</f>
        <v>0</v>
      </c>
      <c r="N196" s="77">
        <f>+M196*(1+'1'!$E$16)</f>
        <v>0</v>
      </c>
      <c r="O196" s="77">
        <f>N196*(1+'1'!$F$16)</f>
        <v>0</v>
      </c>
      <c r="P196" s="124">
        <f t="shared" si="125"/>
        <v>0</v>
      </c>
      <c r="Q196" s="124">
        <f t="shared" si="126"/>
        <v>0</v>
      </c>
      <c r="R196" s="124">
        <f t="shared" si="127"/>
        <v>0</v>
      </c>
      <c r="S196" s="124">
        <f t="shared" si="128"/>
        <v>0</v>
      </c>
      <c r="T196" s="124">
        <f t="shared" si="129"/>
        <v>0</v>
      </c>
    </row>
    <row r="197" spans="2:20" ht="14.25">
      <c r="B197" s="726"/>
      <c r="C197" s="209"/>
      <c r="D197" s="210"/>
      <c r="E197" s="211"/>
      <c r="F197" s="105">
        <f t="shared" si="120"/>
        <v>0</v>
      </c>
      <c r="G197" s="105">
        <f t="shared" si="121"/>
        <v>0</v>
      </c>
      <c r="H197" s="105">
        <f t="shared" si="122"/>
        <v>0</v>
      </c>
      <c r="I197" s="105">
        <f t="shared" si="123"/>
        <v>0</v>
      </c>
      <c r="J197" s="123">
        <f t="shared" si="124"/>
        <v>0</v>
      </c>
      <c r="K197" s="212"/>
      <c r="L197" s="77">
        <f>+K197*(1+'1'!$C$16)</f>
        <v>0</v>
      </c>
      <c r="M197" s="77">
        <f>+L197*(1+'1'!$D$16)</f>
        <v>0</v>
      </c>
      <c r="N197" s="77">
        <f>+M197*(1+'1'!$E$16)</f>
        <v>0</v>
      </c>
      <c r="O197" s="77">
        <f>N197*(1+'1'!$F$16)</f>
        <v>0</v>
      </c>
      <c r="P197" s="124">
        <f t="shared" si="125"/>
        <v>0</v>
      </c>
      <c r="Q197" s="124">
        <f t="shared" si="126"/>
        <v>0</v>
      </c>
      <c r="R197" s="124">
        <f t="shared" si="127"/>
        <v>0</v>
      </c>
      <c r="S197" s="124">
        <f t="shared" si="128"/>
        <v>0</v>
      </c>
      <c r="T197" s="124">
        <f t="shared" si="129"/>
        <v>0</v>
      </c>
    </row>
    <row r="198" spans="2:20" ht="14.25">
      <c r="B198" s="726"/>
      <c r="C198" s="209"/>
      <c r="D198" s="210"/>
      <c r="E198" s="211"/>
      <c r="F198" s="105">
        <f t="shared" si="120"/>
        <v>0</v>
      </c>
      <c r="G198" s="105">
        <f t="shared" si="121"/>
        <v>0</v>
      </c>
      <c r="H198" s="105">
        <f t="shared" si="122"/>
        <v>0</v>
      </c>
      <c r="I198" s="105">
        <f t="shared" si="123"/>
        <v>0</v>
      </c>
      <c r="J198" s="123">
        <f t="shared" si="124"/>
        <v>0</v>
      </c>
      <c r="K198" s="212"/>
      <c r="L198" s="77">
        <f>+K198*(1+'1'!$C$16)</f>
        <v>0</v>
      </c>
      <c r="M198" s="77">
        <f>+L198*(1+'1'!$D$16)</f>
        <v>0</v>
      </c>
      <c r="N198" s="77">
        <f>+M198*(1+'1'!$E$16)</f>
        <v>0</v>
      </c>
      <c r="O198" s="77">
        <f>N198*(1+'1'!$F$16)</f>
        <v>0</v>
      </c>
      <c r="P198" s="124">
        <f t="shared" si="125"/>
        <v>0</v>
      </c>
      <c r="Q198" s="124">
        <f t="shared" si="126"/>
        <v>0</v>
      </c>
      <c r="R198" s="124">
        <f t="shared" si="127"/>
        <v>0</v>
      </c>
      <c r="S198" s="124">
        <f t="shared" si="128"/>
        <v>0</v>
      </c>
      <c r="T198" s="124">
        <f t="shared" si="129"/>
        <v>0</v>
      </c>
    </row>
    <row r="199" spans="2:20" ht="13.5" thickBot="1">
      <c r="B199" s="726"/>
      <c r="C199" s="707" t="s">
        <v>13</v>
      </c>
      <c r="D199" s="707"/>
      <c r="E199" s="707"/>
      <c r="F199" s="707"/>
      <c r="G199" s="707"/>
      <c r="H199" s="707"/>
      <c r="I199" s="707"/>
      <c r="J199" s="707"/>
      <c r="K199" s="707"/>
      <c r="L199" s="707"/>
      <c r="M199" s="707"/>
      <c r="N199" s="707"/>
      <c r="O199" s="707"/>
      <c r="P199" s="137">
        <f>SUM(P179:P198)</f>
        <v>0</v>
      </c>
      <c r="Q199" s="124">
        <f>SUM(Q179:Q198)</f>
        <v>0</v>
      </c>
      <c r="R199" s="124">
        <f>SUM(R179:R198)</f>
        <v>0</v>
      </c>
      <c r="S199" s="124">
        <f>SUM(S179:S198)</f>
        <v>0</v>
      </c>
      <c r="T199" s="124">
        <f>SUM(T179:T198)</f>
        <v>0</v>
      </c>
    </row>
    <row r="200" spans="2:20">
      <c r="B200" s="726"/>
      <c r="C200" s="114" t="s">
        <v>12</v>
      </c>
      <c r="D200" s="79"/>
      <c r="E200" s="79"/>
      <c r="F200" s="79"/>
      <c r="G200" s="79"/>
      <c r="H200" s="79"/>
      <c r="I200" s="79"/>
      <c r="J200" s="79"/>
      <c r="K200" s="79"/>
      <c r="L200" s="79"/>
      <c r="M200" s="79"/>
      <c r="N200" s="79"/>
      <c r="O200" s="79"/>
      <c r="P200" s="79"/>
      <c r="Q200" s="79"/>
      <c r="R200" s="79"/>
      <c r="S200" s="79"/>
      <c r="T200" s="80"/>
    </row>
    <row r="201" spans="2:20" ht="14.25">
      <c r="B201" s="726"/>
      <c r="C201" s="109"/>
      <c r="D201" s="109"/>
      <c r="E201" s="109"/>
      <c r="F201" s="105">
        <f t="shared" ref="F201:F208" si="130">+E201*(1+$J$10)</f>
        <v>0</v>
      </c>
      <c r="G201" s="105">
        <f t="shared" ref="G201:G208" si="131">+F201*(1+$K$10)</f>
        <v>0</v>
      </c>
      <c r="H201" s="105">
        <f t="shared" ref="H201:H208" si="132">+G201*(1+$L$10)</f>
        <v>0</v>
      </c>
      <c r="I201" s="105">
        <f t="shared" ref="I201:I208" si="133">+H201*(1+$M$10)</f>
        <v>0</v>
      </c>
      <c r="J201" s="123">
        <f t="shared" ref="J201:J208" si="134">IF(E201=0,0,+E201*1/$C$9)</f>
        <v>0</v>
      </c>
      <c r="K201" s="107"/>
      <c r="L201" s="77">
        <f>+K201*(1+'1'!$C$16)</f>
        <v>0</v>
      </c>
      <c r="M201" s="77">
        <f>+L201*(1+'1'!$D$16)</f>
        <v>0</v>
      </c>
      <c r="N201" s="77">
        <f>+M201*(1+'1'!$E$16)</f>
        <v>0</v>
      </c>
      <c r="O201" s="77">
        <f>N201*(1+'1'!$F$16)</f>
        <v>0</v>
      </c>
      <c r="P201" s="124">
        <f>J201*K201*$C$9</f>
        <v>0</v>
      </c>
      <c r="Q201" s="124">
        <f>J201*L201*$D$9</f>
        <v>0</v>
      </c>
      <c r="R201" s="124">
        <f>J201*M201*$E$9</f>
        <v>0</v>
      </c>
      <c r="S201" s="124">
        <f>J201*N201*$F$9</f>
        <v>0</v>
      </c>
      <c r="T201" s="124">
        <f>J201*O201*$G$9</f>
        <v>0</v>
      </c>
    </row>
    <row r="202" spans="2:20" ht="14.25">
      <c r="B202" s="726"/>
      <c r="C202" s="109"/>
      <c r="D202" s="109"/>
      <c r="E202" s="109"/>
      <c r="F202" s="105">
        <f t="shared" si="130"/>
        <v>0</v>
      </c>
      <c r="G202" s="105">
        <f t="shared" si="131"/>
        <v>0</v>
      </c>
      <c r="H202" s="105">
        <f t="shared" si="132"/>
        <v>0</v>
      </c>
      <c r="I202" s="105">
        <f t="shared" si="133"/>
        <v>0</v>
      </c>
      <c r="J202" s="123">
        <f t="shared" si="134"/>
        <v>0</v>
      </c>
      <c r="K202" s="107"/>
      <c r="L202" s="77">
        <f>+K202*(1+'1'!$C$16)</f>
        <v>0</v>
      </c>
      <c r="M202" s="77">
        <f>+L202*(1+'1'!$D$16)</f>
        <v>0</v>
      </c>
      <c r="N202" s="77">
        <f>+M202*(1+'1'!$E$16)</f>
        <v>0</v>
      </c>
      <c r="O202" s="77">
        <f>N202*(1+'1'!$F$16)</f>
        <v>0</v>
      </c>
      <c r="P202" s="124">
        <f t="shared" ref="P202:P208" si="135">J202*K202*$C$9</f>
        <v>0</v>
      </c>
      <c r="Q202" s="124">
        <f t="shared" ref="Q202:Q208" si="136">J202*L202*$D$9</f>
        <v>0</v>
      </c>
      <c r="R202" s="124">
        <f t="shared" ref="R202:R208" si="137">J202*M202*$E$9</f>
        <v>0</v>
      </c>
      <c r="S202" s="124">
        <f t="shared" ref="S202:S208" si="138">J202*N202*$F$9</f>
        <v>0</v>
      </c>
      <c r="T202" s="124">
        <f t="shared" ref="T202:T208" si="139">J202*O202*$G$9</f>
        <v>0</v>
      </c>
    </row>
    <row r="203" spans="2:20" ht="14.25">
      <c r="B203" s="726"/>
      <c r="C203" s="109"/>
      <c r="D203" s="109"/>
      <c r="E203" s="109"/>
      <c r="F203" s="105">
        <f t="shared" si="130"/>
        <v>0</v>
      </c>
      <c r="G203" s="105">
        <f t="shared" si="131"/>
        <v>0</v>
      </c>
      <c r="H203" s="105">
        <f t="shared" si="132"/>
        <v>0</v>
      </c>
      <c r="I203" s="105">
        <f t="shared" si="133"/>
        <v>0</v>
      </c>
      <c r="J203" s="123">
        <f t="shared" si="134"/>
        <v>0</v>
      </c>
      <c r="K203" s="107"/>
      <c r="L203" s="77">
        <f>+K203*(1+'1'!$C$16)</f>
        <v>0</v>
      </c>
      <c r="M203" s="77">
        <f>+L203*(1+'1'!$D$16)</f>
        <v>0</v>
      </c>
      <c r="N203" s="77">
        <f>+M203*(1+'1'!$E$16)</f>
        <v>0</v>
      </c>
      <c r="O203" s="77">
        <f>N203*(1+'1'!$F$16)</f>
        <v>0</v>
      </c>
      <c r="P203" s="124">
        <f t="shared" si="135"/>
        <v>0</v>
      </c>
      <c r="Q203" s="124">
        <f t="shared" si="136"/>
        <v>0</v>
      </c>
      <c r="R203" s="124">
        <f t="shared" si="137"/>
        <v>0</v>
      </c>
      <c r="S203" s="124">
        <f t="shared" si="138"/>
        <v>0</v>
      </c>
      <c r="T203" s="124">
        <f t="shared" si="139"/>
        <v>0</v>
      </c>
    </row>
    <row r="204" spans="2:20" ht="14.25">
      <c r="B204" s="726"/>
      <c r="C204" s="109"/>
      <c r="D204" s="109"/>
      <c r="E204" s="109"/>
      <c r="F204" s="105">
        <f t="shared" si="130"/>
        <v>0</v>
      </c>
      <c r="G204" s="105">
        <f t="shared" si="131"/>
        <v>0</v>
      </c>
      <c r="H204" s="105">
        <f t="shared" si="132"/>
        <v>0</v>
      </c>
      <c r="I204" s="105">
        <f t="shared" si="133"/>
        <v>0</v>
      </c>
      <c r="J204" s="123">
        <f t="shared" si="134"/>
        <v>0</v>
      </c>
      <c r="K204" s="107"/>
      <c r="L204" s="77">
        <f>+K204*(1+'1'!$C$16)</f>
        <v>0</v>
      </c>
      <c r="M204" s="77">
        <f>+L204*(1+'1'!$D$16)</f>
        <v>0</v>
      </c>
      <c r="N204" s="77">
        <f>+M204*(1+'1'!$E$16)</f>
        <v>0</v>
      </c>
      <c r="O204" s="77">
        <f>N204*(1+'1'!$F$16)</f>
        <v>0</v>
      </c>
      <c r="P204" s="124">
        <f t="shared" si="135"/>
        <v>0</v>
      </c>
      <c r="Q204" s="124">
        <f t="shared" si="136"/>
        <v>0</v>
      </c>
      <c r="R204" s="124">
        <f t="shared" si="137"/>
        <v>0</v>
      </c>
      <c r="S204" s="124">
        <f t="shared" si="138"/>
        <v>0</v>
      </c>
      <c r="T204" s="124">
        <f t="shared" si="139"/>
        <v>0</v>
      </c>
    </row>
    <row r="205" spans="2:20" ht="14.25">
      <c r="B205" s="726"/>
      <c r="C205" s="109"/>
      <c r="D205" s="109"/>
      <c r="E205" s="109"/>
      <c r="F205" s="105">
        <f t="shared" si="130"/>
        <v>0</v>
      </c>
      <c r="G205" s="105">
        <f t="shared" si="131"/>
        <v>0</v>
      </c>
      <c r="H205" s="105">
        <f t="shared" si="132"/>
        <v>0</v>
      </c>
      <c r="I205" s="105">
        <f t="shared" si="133"/>
        <v>0</v>
      </c>
      <c r="J205" s="123">
        <f t="shared" si="134"/>
        <v>0</v>
      </c>
      <c r="K205" s="107"/>
      <c r="L205" s="77">
        <f>+K205*(1+'1'!$C$16)</f>
        <v>0</v>
      </c>
      <c r="M205" s="77">
        <f>+L205*(1+'1'!$D$16)</f>
        <v>0</v>
      </c>
      <c r="N205" s="77">
        <f>+M205*(1+'1'!$E$16)</f>
        <v>0</v>
      </c>
      <c r="O205" s="77">
        <f>N205*(1+'1'!$F$16)</f>
        <v>0</v>
      </c>
      <c r="P205" s="124">
        <f t="shared" si="135"/>
        <v>0</v>
      </c>
      <c r="Q205" s="124">
        <f t="shared" si="136"/>
        <v>0</v>
      </c>
      <c r="R205" s="124">
        <f t="shared" si="137"/>
        <v>0</v>
      </c>
      <c r="S205" s="124">
        <f t="shared" si="138"/>
        <v>0</v>
      </c>
      <c r="T205" s="124">
        <f t="shared" si="139"/>
        <v>0</v>
      </c>
    </row>
    <row r="206" spans="2:20" ht="14.25">
      <c r="B206" s="726"/>
      <c r="C206" s="109"/>
      <c r="D206" s="109"/>
      <c r="E206" s="109"/>
      <c r="F206" s="105">
        <f t="shared" si="130"/>
        <v>0</v>
      </c>
      <c r="G206" s="105">
        <f t="shared" si="131"/>
        <v>0</v>
      </c>
      <c r="H206" s="105">
        <f t="shared" si="132"/>
        <v>0</v>
      </c>
      <c r="I206" s="105">
        <f t="shared" si="133"/>
        <v>0</v>
      </c>
      <c r="J206" s="123">
        <f t="shared" si="134"/>
        <v>0</v>
      </c>
      <c r="K206" s="107"/>
      <c r="L206" s="77">
        <f>+K206*(1+'1'!$C$16)</f>
        <v>0</v>
      </c>
      <c r="M206" s="77">
        <f>+L206*(1+'1'!$D$16)</f>
        <v>0</v>
      </c>
      <c r="N206" s="77">
        <f>+M206*(1+'1'!$E$16)</f>
        <v>0</v>
      </c>
      <c r="O206" s="77">
        <f>N206*(1+'1'!$F$16)</f>
        <v>0</v>
      </c>
      <c r="P206" s="124">
        <f t="shared" si="135"/>
        <v>0</v>
      </c>
      <c r="Q206" s="124">
        <f t="shared" si="136"/>
        <v>0</v>
      </c>
      <c r="R206" s="124">
        <f t="shared" si="137"/>
        <v>0</v>
      </c>
      <c r="S206" s="124">
        <f t="shared" si="138"/>
        <v>0</v>
      </c>
      <c r="T206" s="124">
        <f t="shared" si="139"/>
        <v>0</v>
      </c>
    </row>
    <row r="207" spans="2:20" ht="14.25">
      <c r="B207" s="726"/>
      <c r="C207" s="109"/>
      <c r="D207" s="109"/>
      <c r="E207" s="109"/>
      <c r="F207" s="105">
        <f t="shared" si="130"/>
        <v>0</v>
      </c>
      <c r="G207" s="105">
        <f t="shared" si="131"/>
        <v>0</v>
      </c>
      <c r="H207" s="105">
        <f t="shared" si="132"/>
        <v>0</v>
      </c>
      <c r="I207" s="105">
        <f t="shared" si="133"/>
        <v>0</v>
      </c>
      <c r="J207" s="123">
        <f t="shared" si="134"/>
        <v>0</v>
      </c>
      <c r="K207" s="107"/>
      <c r="L207" s="77">
        <f>+K207*(1+'1'!$C$16)</f>
        <v>0</v>
      </c>
      <c r="M207" s="77">
        <f>+L207*(1+'1'!$D$16)</f>
        <v>0</v>
      </c>
      <c r="N207" s="77">
        <f>+M207*(1+'1'!$E$16)</f>
        <v>0</v>
      </c>
      <c r="O207" s="77">
        <f>N207*(1+'1'!$F$16)</f>
        <v>0</v>
      </c>
      <c r="P207" s="124">
        <f t="shared" si="135"/>
        <v>0</v>
      </c>
      <c r="Q207" s="124">
        <f t="shared" si="136"/>
        <v>0</v>
      </c>
      <c r="R207" s="124">
        <f t="shared" si="137"/>
        <v>0</v>
      </c>
      <c r="S207" s="124">
        <f t="shared" si="138"/>
        <v>0</v>
      </c>
      <c r="T207" s="124">
        <f t="shared" si="139"/>
        <v>0</v>
      </c>
    </row>
    <row r="208" spans="2:20" ht="14.25">
      <c r="B208" s="726"/>
      <c r="C208" s="109"/>
      <c r="D208" s="109"/>
      <c r="E208" s="109"/>
      <c r="F208" s="105">
        <f t="shared" si="130"/>
        <v>0</v>
      </c>
      <c r="G208" s="105">
        <f t="shared" si="131"/>
        <v>0</v>
      </c>
      <c r="H208" s="105">
        <f t="shared" si="132"/>
        <v>0</v>
      </c>
      <c r="I208" s="105">
        <f t="shared" si="133"/>
        <v>0</v>
      </c>
      <c r="J208" s="123">
        <f t="shared" si="134"/>
        <v>0</v>
      </c>
      <c r="K208" s="107"/>
      <c r="L208" s="77">
        <f>+K208*(1+'1'!$C$16)</f>
        <v>0</v>
      </c>
      <c r="M208" s="77">
        <f>+L208*(1+'1'!$D$16)</f>
        <v>0</v>
      </c>
      <c r="N208" s="77">
        <f>+M208*(1+'1'!$E$16)</f>
        <v>0</v>
      </c>
      <c r="O208" s="77">
        <f>N208*(1+'1'!$F$16)</f>
        <v>0</v>
      </c>
      <c r="P208" s="124">
        <f t="shared" si="135"/>
        <v>0</v>
      </c>
      <c r="Q208" s="124">
        <f t="shared" si="136"/>
        <v>0</v>
      </c>
      <c r="R208" s="124">
        <f t="shared" si="137"/>
        <v>0</v>
      </c>
      <c r="S208" s="124">
        <f t="shared" si="138"/>
        <v>0</v>
      </c>
      <c r="T208" s="124">
        <f t="shared" si="139"/>
        <v>0</v>
      </c>
    </row>
    <row r="209" spans="2:20" ht="13.5" thickBot="1">
      <c r="B209" s="726"/>
      <c r="C209" s="130" t="s">
        <v>13</v>
      </c>
      <c r="D209" s="130"/>
      <c r="E209" s="130"/>
      <c r="F209" s="130"/>
      <c r="G209" s="130"/>
      <c r="H209" s="130"/>
      <c r="I209" s="130"/>
      <c r="J209" s="130"/>
      <c r="K209" s="130"/>
      <c r="L209" s="130"/>
      <c r="M209" s="130"/>
      <c r="N209" s="130"/>
      <c r="O209" s="131"/>
      <c r="P209" s="128">
        <f>SUM(P207)</f>
        <v>0</v>
      </c>
      <c r="Q209" s="128">
        <f>SUM(Q201:Q208)</f>
        <v>0</v>
      </c>
      <c r="R209" s="128">
        <f>SUM(R201:R208)</f>
        <v>0</v>
      </c>
      <c r="S209" s="128">
        <f>SUM(S201:S208)</f>
        <v>0</v>
      </c>
      <c r="T209" s="128">
        <f>SUM(T201:T208)</f>
        <v>0</v>
      </c>
    </row>
    <row r="210" spans="2:20">
      <c r="B210" s="726"/>
      <c r="C210" s="114" t="s">
        <v>132</v>
      </c>
      <c r="D210" s="79"/>
      <c r="E210" s="79"/>
      <c r="F210" s="79"/>
      <c r="G210" s="79"/>
      <c r="H210" s="79"/>
      <c r="I210" s="79"/>
      <c r="J210" s="79"/>
      <c r="K210" s="79"/>
      <c r="L210" s="79"/>
      <c r="M210" s="79"/>
      <c r="N210" s="79"/>
      <c r="O210" s="79"/>
      <c r="P210" s="79"/>
      <c r="Q210" s="79"/>
      <c r="R210" s="79"/>
      <c r="S210" s="79"/>
      <c r="T210" s="80"/>
    </row>
    <row r="211" spans="2:20" ht="14.25">
      <c r="B211" s="726"/>
      <c r="C211" s="109"/>
      <c r="D211" s="107"/>
      <c r="E211" s="136"/>
      <c r="F211" s="105">
        <f t="shared" ref="F211:F217" si="140">+E211*(1+$J$10)</f>
        <v>0</v>
      </c>
      <c r="G211" s="105">
        <f t="shared" ref="G211:G217" si="141">+F211*(1+$K$10)</f>
        <v>0</v>
      </c>
      <c r="H211" s="105">
        <f t="shared" ref="H211:H217" si="142">+G211*(1+$L$10)</f>
        <v>0</v>
      </c>
      <c r="I211" s="105">
        <f t="shared" ref="I211:I217" si="143">+H211*(1+$M$10)</f>
        <v>0</v>
      </c>
      <c r="J211" s="123">
        <f t="shared" ref="J211:J217" si="144">IF(E211=0,0,+E211*1/$C$9)</f>
        <v>0</v>
      </c>
      <c r="K211" s="107"/>
      <c r="L211" s="77">
        <f>+K211*(1+'1'!$C$16)</f>
        <v>0</v>
      </c>
      <c r="M211" s="77">
        <f>+L211*(1+'1'!$D$16)</f>
        <v>0</v>
      </c>
      <c r="N211" s="77">
        <f>+M211*(1+'1'!$E$16)</f>
        <v>0</v>
      </c>
      <c r="O211" s="77">
        <f>N211*(1+'1'!$F$16)</f>
        <v>0</v>
      </c>
      <c r="P211" s="124">
        <f>J211*K211*$C$9</f>
        <v>0</v>
      </c>
      <c r="Q211" s="124">
        <f>J211*L211*$D$9</f>
        <v>0</v>
      </c>
      <c r="R211" s="124">
        <f>J211*M211*$E$9</f>
        <v>0</v>
      </c>
      <c r="S211" s="124">
        <f>J211*N211*$F$9</f>
        <v>0</v>
      </c>
      <c r="T211" s="124">
        <f>J211*O211*$G$9</f>
        <v>0</v>
      </c>
    </row>
    <row r="212" spans="2:20" ht="14.25">
      <c r="B212" s="726"/>
      <c r="C212" s="109"/>
      <c r="D212" s="107"/>
      <c r="E212" s="136"/>
      <c r="F212" s="105">
        <f t="shared" si="140"/>
        <v>0</v>
      </c>
      <c r="G212" s="105">
        <f t="shared" si="141"/>
        <v>0</v>
      </c>
      <c r="H212" s="105">
        <f t="shared" si="142"/>
        <v>0</v>
      </c>
      <c r="I212" s="105">
        <f t="shared" si="143"/>
        <v>0</v>
      </c>
      <c r="J212" s="123">
        <f t="shared" si="144"/>
        <v>0</v>
      </c>
      <c r="K212" s="107"/>
      <c r="L212" s="77">
        <f>+K212*(1+'1'!$C$16)</f>
        <v>0</v>
      </c>
      <c r="M212" s="77">
        <f>+L212*(1+'1'!$D$16)</f>
        <v>0</v>
      </c>
      <c r="N212" s="77">
        <f>+M212*(1+'1'!$E$16)</f>
        <v>0</v>
      </c>
      <c r="O212" s="77">
        <f>N212*(1+'1'!$F$16)</f>
        <v>0</v>
      </c>
      <c r="P212" s="124">
        <f t="shared" ref="P212:P217" si="145">J212*K212*$C$9</f>
        <v>0</v>
      </c>
      <c r="Q212" s="124">
        <f t="shared" ref="Q212:Q217" si="146">J212*L212*$D$9</f>
        <v>0</v>
      </c>
      <c r="R212" s="124">
        <f t="shared" ref="R212:R217" si="147">J212*M212*$E$9</f>
        <v>0</v>
      </c>
      <c r="S212" s="124">
        <f t="shared" ref="S212:S217" si="148">J212*N212*$F$9</f>
        <v>0</v>
      </c>
      <c r="T212" s="124">
        <f t="shared" ref="T212:T217" si="149">J212*O212*$G$9</f>
        <v>0</v>
      </c>
    </row>
    <row r="213" spans="2:20" ht="14.25">
      <c r="B213" s="726"/>
      <c r="C213" s="109"/>
      <c r="D213" s="107"/>
      <c r="E213" s="136"/>
      <c r="F213" s="105">
        <f t="shared" si="140"/>
        <v>0</v>
      </c>
      <c r="G213" s="105">
        <f t="shared" si="141"/>
        <v>0</v>
      </c>
      <c r="H213" s="105">
        <f t="shared" si="142"/>
        <v>0</v>
      </c>
      <c r="I213" s="105">
        <f t="shared" si="143"/>
        <v>0</v>
      </c>
      <c r="J213" s="123">
        <f t="shared" si="144"/>
        <v>0</v>
      </c>
      <c r="K213" s="107"/>
      <c r="L213" s="77">
        <f>+K213*(1+'1'!$C$16)</f>
        <v>0</v>
      </c>
      <c r="M213" s="77">
        <f>+L213*(1+'1'!$D$16)</f>
        <v>0</v>
      </c>
      <c r="N213" s="77">
        <f>+M213*(1+'1'!$E$16)</f>
        <v>0</v>
      </c>
      <c r="O213" s="77">
        <f>N213*(1+'1'!$F$16)</f>
        <v>0</v>
      </c>
      <c r="P213" s="124">
        <f t="shared" si="145"/>
        <v>0</v>
      </c>
      <c r="Q213" s="124">
        <f t="shared" si="146"/>
        <v>0</v>
      </c>
      <c r="R213" s="124">
        <f t="shared" si="147"/>
        <v>0</v>
      </c>
      <c r="S213" s="124">
        <f t="shared" si="148"/>
        <v>0</v>
      </c>
      <c r="T213" s="124">
        <f t="shared" si="149"/>
        <v>0</v>
      </c>
    </row>
    <row r="214" spans="2:20" ht="14.25">
      <c r="B214" s="726"/>
      <c r="C214" s="109"/>
      <c r="D214" s="107"/>
      <c r="E214" s="136"/>
      <c r="F214" s="105">
        <f t="shared" si="140"/>
        <v>0</v>
      </c>
      <c r="G214" s="105">
        <f t="shared" si="141"/>
        <v>0</v>
      </c>
      <c r="H214" s="105">
        <f t="shared" si="142"/>
        <v>0</v>
      </c>
      <c r="I214" s="105">
        <f t="shared" si="143"/>
        <v>0</v>
      </c>
      <c r="J214" s="123">
        <f t="shared" si="144"/>
        <v>0</v>
      </c>
      <c r="K214" s="107"/>
      <c r="L214" s="77">
        <f>+K214*(1+'1'!$C$16)</f>
        <v>0</v>
      </c>
      <c r="M214" s="77">
        <f>+L214*(1+'1'!$D$16)</f>
        <v>0</v>
      </c>
      <c r="N214" s="77">
        <f>+M214*(1+'1'!$E$16)</f>
        <v>0</v>
      </c>
      <c r="O214" s="77">
        <f>N214*(1+'1'!$F$16)</f>
        <v>0</v>
      </c>
      <c r="P214" s="124">
        <f t="shared" si="145"/>
        <v>0</v>
      </c>
      <c r="Q214" s="124">
        <f t="shared" si="146"/>
        <v>0</v>
      </c>
      <c r="R214" s="124">
        <f t="shared" si="147"/>
        <v>0</v>
      </c>
      <c r="S214" s="124">
        <f t="shared" si="148"/>
        <v>0</v>
      </c>
      <c r="T214" s="124">
        <f t="shared" si="149"/>
        <v>0</v>
      </c>
    </row>
    <row r="215" spans="2:20" ht="14.25">
      <c r="B215" s="726"/>
      <c r="C215" s="109"/>
      <c r="D215" s="107"/>
      <c r="E215" s="136"/>
      <c r="F215" s="105">
        <f t="shared" si="140"/>
        <v>0</v>
      </c>
      <c r="G215" s="105">
        <f t="shared" si="141"/>
        <v>0</v>
      </c>
      <c r="H215" s="105">
        <f t="shared" si="142"/>
        <v>0</v>
      </c>
      <c r="I215" s="105">
        <f t="shared" si="143"/>
        <v>0</v>
      </c>
      <c r="J215" s="123">
        <f t="shared" si="144"/>
        <v>0</v>
      </c>
      <c r="K215" s="107"/>
      <c r="L215" s="77">
        <f>+K215*(1+'1'!$C$16)</f>
        <v>0</v>
      </c>
      <c r="M215" s="77">
        <f>+L215*(1+'1'!$D$16)</f>
        <v>0</v>
      </c>
      <c r="N215" s="77">
        <f>+M215*(1+'1'!$E$16)</f>
        <v>0</v>
      </c>
      <c r="O215" s="77">
        <f>N215*(1+'1'!$F$16)</f>
        <v>0</v>
      </c>
      <c r="P215" s="124">
        <f t="shared" si="145"/>
        <v>0</v>
      </c>
      <c r="Q215" s="124">
        <f t="shared" si="146"/>
        <v>0</v>
      </c>
      <c r="R215" s="124">
        <f t="shared" si="147"/>
        <v>0</v>
      </c>
      <c r="S215" s="124">
        <f t="shared" si="148"/>
        <v>0</v>
      </c>
      <c r="T215" s="124">
        <f t="shared" si="149"/>
        <v>0</v>
      </c>
    </row>
    <row r="216" spans="2:20" ht="14.25">
      <c r="B216" s="726"/>
      <c r="C216" s="110"/>
      <c r="D216" s="107"/>
      <c r="E216" s="107"/>
      <c r="F216" s="105">
        <f t="shared" si="140"/>
        <v>0</v>
      </c>
      <c r="G216" s="105">
        <f t="shared" si="141"/>
        <v>0</v>
      </c>
      <c r="H216" s="105">
        <f t="shared" si="142"/>
        <v>0</v>
      </c>
      <c r="I216" s="105">
        <f t="shared" si="143"/>
        <v>0</v>
      </c>
      <c r="J216" s="123">
        <f t="shared" si="144"/>
        <v>0</v>
      </c>
      <c r="K216" s="107"/>
      <c r="L216" s="77">
        <f>+K216*(1+'1'!$C$16)</f>
        <v>0</v>
      </c>
      <c r="M216" s="77">
        <f>+L216*(1+'1'!$D$16)</f>
        <v>0</v>
      </c>
      <c r="N216" s="77">
        <f>+M216*(1+'1'!$E$16)</f>
        <v>0</v>
      </c>
      <c r="O216" s="77">
        <f>N216*(1+'1'!$F$16)</f>
        <v>0</v>
      </c>
      <c r="P216" s="124">
        <f t="shared" si="145"/>
        <v>0</v>
      </c>
      <c r="Q216" s="124">
        <f t="shared" si="146"/>
        <v>0</v>
      </c>
      <c r="R216" s="124">
        <f t="shared" si="147"/>
        <v>0</v>
      </c>
      <c r="S216" s="124">
        <f t="shared" si="148"/>
        <v>0</v>
      </c>
      <c r="T216" s="124">
        <f t="shared" si="149"/>
        <v>0</v>
      </c>
    </row>
    <row r="217" spans="2:20" ht="14.25">
      <c r="B217" s="726"/>
      <c r="C217" s="110"/>
      <c r="D217" s="107"/>
      <c r="E217" s="107"/>
      <c r="F217" s="105">
        <f t="shared" si="140"/>
        <v>0</v>
      </c>
      <c r="G217" s="105">
        <f t="shared" si="141"/>
        <v>0</v>
      </c>
      <c r="H217" s="105">
        <f t="shared" si="142"/>
        <v>0</v>
      </c>
      <c r="I217" s="105">
        <f t="shared" si="143"/>
        <v>0</v>
      </c>
      <c r="J217" s="123">
        <f t="shared" si="144"/>
        <v>0</v>
      </c>
      <c r="K217" s="107"/>
      <c r="L217" s="77">
        <f>+K217*(1+'1'!$C$16)</f>
        <v>0</v>
      </c>
      <c r="M217" s="77">
        <f>+L217*(1+'1'!$D$16)</f>
        <v>0</v>
      </c>
      <c r="N217" s="77">
        <f>+M217*(1+'1'!$E$16)</f>
        <v>0</v>
      </c>
      <c r="O217" s="77">
        <f>N217*(1+'1'!$F$16)</f>
        <v>0</v>
      </c>
      <c r="P217" s="124">
        <f t="shared" si="145"/>
        <v>0</v>
      </c>
      <c r="Q217" s="124">
        <f t="shared" si="146"/>
        <v>0</v>
      </c>
      <c r="R217" s="124">
        <f t="shared" si="147"/>
        <v>0</v>
      </c>
      <c r="S217" s="124">
        <f t="shared" si="148"/>
        <v>0</v>
      </c>
      <c r="T217" s="124">
        <f t="shared" si="149"/>
        <v>0</v>
      </c>
    </row>
    <row r="218" spans="2:20" ht="13.5" thickBot="1">
      <c r="B218" s="727"/>
      <c r="C218" s="130" t="s">
        <v>13</v>
      </c>
      <c r="D218" s="133"/>
      <c r="E218" s="133"/>
      <c r="F218" s="133"/>
      <c r="G218" s="133"/>
      <c r="H218" s="133"/>
      <c r="I218" s="133"/>
      <c r="J218" s="133"/>
      <c r="K218" s="133"/>
      <c r="L218" s="133"/>
      <c r="M218" s="133"/>
      <c r="N218" s="133"/>
      <c r="O218" s="134"/>
      <c r="P218" s="126">
        <f>SUM(P211:P217)</f>
        <v>0</v>
      </c>
      <c r="Q218" s="126">
        <f>SUM(Q211:Q217)</f>
        <v>0</v>
      </c>
      <c r="R218" s="126">
        <f>SUM(R211:R217)</f>
        <v>0</v>
      </c>
      <c r="S218" s="126">
        <f>SUM(S211:S217)</f>
        <v>0</v>
      </c>
      <c r="T218" s="126">
        <f>SUM(T211:T217)</f>
        <v>0</v>
      </c>
    </row>
    <row r="219" spans="2:20">
      <c r="B219" s="7"/>
      <c r="C219" s="83"/>
      <c r="D219" s="83"/>
      <c r="E219" s="83"/>
      <c r="F219" s="83"/>
      <c r="G219" s="83"/>
      <c r="H219" s="83"/>
      <c r="I219" s="83"/>
      <c r="L219" s="83"/>
      <c r="M219" s="83"/>
      <c r="N219" s="84" t="s">
        <v>22</v>
      </c>
      <c r="O219" s="85"/>
      <c r="P219" s="86">
        <f>P35+P76+P117+P158+P199</f>
        <v>0</v>
      </c>
      <c r="Q219" s="86">
        <f>Q35+Q76+Q117+Q158+Q199</f>
        <v>0</v>
      </c>
      <c r="R219" s="86">
        <f>R35+R76+R117+R158+R199</f>
        <v>0</v>
      </c>
      <c r="S219" s="86">
        <f>S35+S76+S117+S158+S199</f>
        <v>0</v>
      </c>
      <c r="T219" s="86">
        <f>T35+T76+T117+T158+T199</f>
        <v>0</v>
      </c>
    </row>
    <row r="220" spans="2:20">
      <c r="B220" s="7"/>
      <c r="C220" s="83"/>
      <c r="D220" s="83"/>
      <c r="E220" s="83"/>
      <c r="F220" s="83"/>
      <c r="G220" s="83"/>
      <c r="H220" s="83"/>
      <c r="I220" s="83"/>
      <c r="L220" s="83"/>
      <c r="M220" s="83"/>
      <c r="N220" s="87" t="s">
        <v>23</v>
      </c>
      <c r="O220" s="88"/>
      <c r="P220" s="89">
        <f>P45+P86+P127+P168+P209</f>
        <v>8400000</v>
      </c>
      <c r="Q220" s="89">
        <f>Q45+Q86+Q127+Q168+Q209</f>
        <v>17646770.831882399</v>
      </c>
      <c r="R220" s="89">
        <f>R45+R86+R127+R168+R209</f>
        <v>18719748.421077024</v>
      </c>
      <c r="S220" s="89">
        <f>S45+S86+S127+S168+S209</f>
        <v>20052652.270730536</v>
      </c>
      <c r="T220" s="89">
        <f>T45+T86+T127+T168+T209</f>
        <v>21689011.171660088</v>
      </c>
    </row>
    <row r="221" spans="2:20">
      <c r="B221" s="7"/>
      <c r="C221" s="83"/>
      <c r="D221" s="83"/>
      <c r="E221" s="83"/>
      <c r="F221" s="83"/>
      <c r="G221" s="83"/>
      <c r="H221" s="83"/>
      <c r="I221" s="83"/>
      <c r="L221" s="83"/>
      <c r="M221" s="83"/>
      <c r="N221" s="87" t="s">
        <v>135</v>
      </c>
      <c r="O221" s="88"/>
      <c r="P221" s="89">
        <f>P54+P95+P136+P177+P218</f>
        <v>0</v>
      </c>
      <c r="Q221" s="89">
        <f>Q54+Q95+Q136+Q177+Q218</f>
        <v>0</v>
      </c>
      <c r="R221" s="89">
        <f>R54+R95+R136+R177+R218</f>
        <v>0</v>
      </c>
      <c r="S221" s="89">
        <f>S54+S95+S136+S177+S218</f>
        <v>0</v>
      </c>
      <c r="T221" s="89">
        <f>T54+T95+T136+T177+T218</f>
        <v>0</v>
      </c>
    </row>
    <row r="222" spans="2:20" ht="13.5" thickBot="1">
      <c r="N222" s="90" t="s">
        <v>24</v>
      </c>
      <c r="O222" s="91"/>
      <c r="P222" s="138">
        <f>SUM(P219:P221)</f>
        <v>8400000</v>
      </c>
      <c r="Q222" s="138">
        <f>SUM(Q219:Q221)</f>
        <v>17646770.831882399</v>
      </c>
      <c r="R222" s="138">
        <f>SUM(R219:R221)</f>
        <v>18719748.421077024</v>
      </c>
      <c r="S222" s="138">
        <f>SUM(S219:S221)</f>
        <v>20052652.270730536</v>
      </c>
      <c r="T222" s="138">
        <f>SUM(T219:T221)</f>
        <v>21689011.171660088</v>
      </c>
    </row>
    <row r="223" spans="2:20">
      <c r="B223" s="717" t="s">
        <v>2</v>
      </c>
      <c r="C223" s="719" t="s">
        <v>36</v>
      </c>
      <c r="D223" s="720"/>
      <c r="E223" s="720"/>
      <c r="F223" s="720"/>
      <c r="G223" s="720"/>
      <c r="H223" s="721"/>
    </row>
    <row r="224" spans="2:20" ht="13.5" thickBot="1">
      <c r="B224" s="718"/>
      <c r="C224" s="104" t="s">
        <v>3</v>
      </c>
      <c r="D224" s="121" t="s">
        <v>17</v>
      </c>
      <c r="E224" s="121" t="s">
        <v>18</v>
      </c>
      <c r="F224" s="121" t="s">
        <v>19</v>
      </c>
      <c r="G224" s="121" t="s">
        <v>20</v>
      </c>
      <c r="H224" s="122" t="s">
        <v>21</v>
      </c>
    </row>
    <row r="225" spans="2:8">
      <c r="B225" s="722" t="str">
        <f>B5</f>
        <v>TRAMITES</v>
      </c>
      <c r="C225" s="119" t="s">
        <v>16</v>
      </c>
      <c r="D225" s="120">
        <f>IF(C$5=0,0,P35/C$5)</f>
        <v>0</v>
      </c>
      <c r="E225" s="120">
        <f>IF(D$5=0,0,Q35/D$5)</f>
        <v>0</v>
      </c>
      <c r="F225" s="120">
        <f>IF(E$5=0,0,R35/E$5)</f>
        <v>0</v>
      </c>
      <c r="G225" s="120">
        <f>IF(F$5=0,0,S35/F$5)</f>
        <v>0</v>
      </c>
      <c r="H225" s="120">
        <f>IF(G$5=0,0,T35/G$5)</f>
        <v>0</v>
      </c>
    </row>
    <row r="226" spans="2:8">
      <c r="B226" s="715"/>
      <c r="C226" s="92" t="s">
        <v>14</v>
      </c>
      <c r="D226" s="78">
        <f>IF($C$5=0,0,P45/$C$5)</f>
        <v>486.11111111111109</v>
      </c>
      <c r="E226" s="78">
        <f>IF($C$5=0,0,Q45/$C$5)</f>
        <v>510.61258194104164</v>
      </c>
      <c r="F226" s="78">
        <f>IF($C$5=0,0,R45/$C$5)</f>
        <v>541.6593871839417</v>
      </c>
      <c r="G226" s="78">
        <f>IF($C$5=0,0,S45/$C$5)</f>
        <v>580.22720690771223</v>
      </c>
      <c r="H226" s="78">
        <f>IF($C$5=0,0,T45/$C$5)</f>
        <v>627.57555473553498</v>
      </c>
    </row>
    <row r="227" spans="2:8">
      <c r="B227" s="715"/>
      <c r="C227" s="117" t="s">
        <v>133</v>
      </c>
      <c r="D227" s="78">
        <f>IF(C5=0,0,P54/C5)</f>
        <v>0</v>
      </c>
      <c r="E227" s="78">
        <f>IF(D5=0,0,Q54/D5)</f>
        <v>0</v>
      </c>
      <c r="F227" s="78">
        <f>IF(E5=0,0,R54/E5)</f>
        <v>0</v>
      </c>
      <c r="G227" s="78">
        <f>IF(F5=0,0,S54/F5)</f>
        <v>0</v>
      </c>
      <c r="H227" s="78">
        <f>IF(G5=0,0,T54/G5)</f>
        <v>0</v>
      </c>
    </row>
    <row r="228" spans="2:8" ht="15.75" thickBot="1">
      <c r="B228" s="723"/>
      <c r="C228" s="216" t="s">
        <v>25</v>
      </c>
      <c r="D228" s="217">
        <f>SUM(D225:D227)</f>
        <v>486.11111111111109</v>
      </c>
      <c r="E228" s="217">
        <f>SUM(E225:E227)</f>
        <v>510.61258194104164</v>
      </c>
      <c r="F228" s="217">
        <f>SUM(F225:F227)</f>
        <v>541.6593871839417</v>
      </c>
      <c r="G228" s="217">
        <f>SUM(G225:G227)</f>
        <v>580.22720690771223</v>
      </c>
      <c r="H228" s="217">
        <f>SUM(H225:H227)</f>
        <v>627.57555473553498</v>
      </c>
    </row>
    <row r="229" spans="2:8">
      <c r="B229" s="722" t="str">
        <f>B6</f>
        <v>DILIGENCIAS</v>
      </c>
      <c r="C229" s="119" t="s">
        <v>16</v>
      </c>
      <c r="D229" s="120">
        <f>IF(C6=0,0,P76/C6)</f>
        <v>0</v>
      </c>
      <c r="E229" s="120">
        <f>IF(D6=0,0,Q76/D6)</f>
        <v>0</v>
      </c>
      <c r="F229" s="120">
        <f>IF(E6=0,0,R76/E6)</f>
        <v>0</v>
      </c>
      <c r="G229" s="120">
        <f>IF(F6=0,0,S76/F6)</f>
        <v>0</v>
      </c>
      <c r="H229" s="120">
        <f>IF(G6=0,0,T76/G6)</f>
        <v>0</v>
      </c>
    </row>
    <row r="230" spans="2:8">
      <c r="B230" s="715"/>
      <c r="C230" s="92" t="s">
        <v>14</v>
      </c>
      <c r="D230" s="78">
        <f>IF(C6=0,0,P86/C6)</f>
        <v>0</v>
      </c>
      <c r="E230" s="78">
        <f>IF(D6=0,0,Q86/D6)</f>
        <v>505.55701182281354</v>
      </c>
      <c r="F230" s="78">
        <f>IF(E6=0,0,R86/E6)</f>
        <v>525.78080681803692</v>
      </c>
      <c r="G230" s="78">
        <f>IF(F6=0,0,S86/F6)</f>
        <v>546.81361419849884</v>
      </c>
      <c r="H230" s="78">
        <f>IF(G6=0,0,T86/G6)</f>
        <v>568.68779688320762</v>
      </c>
    </row>
    <row r="231" spans="2:8">
      <c r="B231" s="715"/>
      <c r="C231" s="117" t="s">
        <v>133</v>
      </c>
      <c r="D231" s="78">
        <f>IF(C6=0,0,P95/C6)</f>
        <v>0</v>
      </c>
      <c r="E231" s="78">
        <f>IF(D6=0,0,Q95/D6)</f>
        <v>0</v>
      </c>
      <c r="F231" s="78">
        <f>IF(E6=0,0,R95/E6)</f>
        <v>0</v>
      </c>
      <c r="G231" s="78">
        <f>IF(F6=0,0,S95/F6)</f>
        <v>0</v>
      </c>
      <c r="H231" s="78">
        <f>IF(G6=0,0,T95/G6)</f>
        <v>0</v>
      </c>
    </row>
    <row r="232" spans="2:8" ht="15.75" thickBot="1">
      <c r="B232" s="723"/>
      <c r="C232" s="216" t="s">
        <v>25</v>
      </c>
      <c r="D232" s="217">
        <f>SUM(D229:D231)</f>
        <v>0</v>
      </c>
      <c r="E232" s="217">
        <f>SUM(E229:E231)</f>
        <v>505.55701182281354</v>
      </c>
      <c r="F232" s="217">
        <f>SUM(F229:F231)</f>
        <v>525.78080681803692</v>
      </c>
      <c r="G232" s="217">
        <f>SUM(G229:G231)</f>
        <v>546.81361419849884</v>
      </c>
      <c r="H232" s="217">
        <f>SUM(H229:H231)</f>
        <v>568.68779688320762</v>
      </c>
    </row>
    <row r="233" spans="2:8">
      <c r="B233" s="722" t="str">
        <f>B7</f>
        <v>Nombre del producto 3</v>
      </c>
      <c r="C233" s="119" t="s">
        <v>16</v>
      </c>
      <c r="D233" s="120">
        <f>IF(C7=0,0,P117/C7)</f>
        <v>0</v>
      </c>
      <c r="E233" s="120">
        <f>IF(D7=0,0,Q117/D7)</f>
        <v>0</v>
      </c>
      <c r="F233" s="120">
        <f>IF(E7=0,0,R117/E7)</f>
        <v>0</v>
      </c>
      <c r="G233" s="120">
        <f>IF(F7=0,0,S117/F7)</f>
        <v>0</v>
      </c>
      <c r="H233" s="120">
        <f>IF(G7=0,0,T117/G7)</f>
        <v>0</v>
      </c>
    </row>
    <row r="234" spans="2:8">
      <c r="B234" s="715"/>
      <c r="C234" s="92" t="s">
        <v>14</v>
      </c>
      <c r="D234" s="118">
        <f>IF(C7=0,0,P127/C7)</f>
        <v>0</v>
      </c>
      <c r="E234" s="118">
        <f>IF(D7=0,0,Q127/D7)</f>
        <v>0</v>
      </c>
      <c r="F234" s="118">
        <f>IF(E7=0,0,R127/E7)</f>
        <v>0</v>
      </c>
      <c r="G234" s="118">
        <f>IF(F7=0,0,S127/F7)</f>
        <v>0</v>
      </c>
      <c r="H234" s="118">
        <f>IF(G7=0,0,T127/G7)</f>
        <v>0</v>
      </c>
    </row>
    <row r="235" spans="2:8">
      <c r="B235" s="715"/>
      <c r="C235" s="117" t="s">
        <v>133</v>
      </c>
      <c r="D235" s="78">
        <f>IF(C7=0,0,P136/C7)</f>
        <v>0</v>
      </c>
      <c r="E235" s="78">
        <f>IF(D7=0,0,Q136/D7)</f>
        <v>0</v>
      </c>
      <c r="F235" s="78">
        <f>IF(E7=0,0,R136/E7)</f>
        <v>0</v>
      </c>
      <c r="G235" s="78">
        <f>IF(F7=0,0,S136/F7)</f>
        <v>0</v>
      </c>
      <c r="H235" s="78">
        <f>IF(G7=0,0,T136/G7)</f>
        <v>0</v>
      </c>
    </row>
    <row r="236" spans="2:8" ht="15.75" thickBot="1">
      <c r="B236" s="723"/>
      <c r="C236" s="216" t="s">
        <v>25</v>
      </c>
      <c r="D236" s="217">
        <f>SUM(D233:D235)</f>
        <v>0</v>
      </c>
      <c r="E236" s="217">
        <f>SUM(E233:E235)</f>
        <v>0</v>
      </c>
      <c r="F236" s="217">
        <f>SUM(F233:F235)</f>
        <v>0</v>
      </c>
      <c r="G236" s="217">
        <f>SUM(G233:G235)</f>
        <v>0</v>
      </c>
      <c r="H236" s="217">
        <f>SUM(H233:H235)</f>
        <v>0</v>
      </c>
    </row>
    <row r="237" spans="2:8">
      <c r="B237" s="715" t="str">
        <f>B8</f>
        <v>Nombre del producto 4</v>
      </c>
      <c r="C237" s="119" t="s">
        <v>16</v>
      </c>
      <c r="D237" s="118">
        <f>IF(C8=0,0,P158/C8)</f>
        <v>0</v>
      </c>
      <c r="E237" s="118">
        <f>IF(D8=0,0,Q158/D8)</f>
        <v>0</v>
      </c>
      <c r="F237" s="118">
        <f>IF(E8=0,0,R158/E8)</f>
        <v>0</v>
      </c>
      <c r="G237" s="118">
        <f>IF(F8=0,0,S158/F8)</f>
        <v>0</v>
      </c>
      <c r="H237" s="118">
        <f>IF(G8=0,0,T158/G8)</f>
        <v>0</v>
      </c>
    </row>
    <row r="238" spans="2:8">
      <c r="B238" s="715"/>
      <c r="C238" s="92" t="s">
        <v>14</v>
      </c>
      <c r="D238" s="78">
        <f>IF(C8=0,0,P168/C8)</f>
        <v>0</v>
      </c>
      <c r="E238" s="78">
        <f>IF(D8=0,0,Q168/D8)</f>
        <v>0</v>
      </c>
      <c r="F238" s="78">
        <f>IF(E8=0,0,R168/E8)</f>
        <v>0</v>
      </c>
      <c r="G238" s="78">
        <f>IF(F8=0,0,S168/F8)</f>
        <v>0</v>
      </c>
      <c r="H238" s="78">
        <f>IF(G8=0,0,T168/G8)</f>
        <v>0</v>
      </c>
    </row>
    <row r="239" spans="2:8">
      <c r="B239" s="715"/>
      <c r="C239" s="117" t="s">
        <v>133</v>
      </c>
      <c r="D239" s="78">
        <f>IF(C8=0,0,P177/C8)</f>
        <v>0</v>
      </c>
      <c r="E239" s="78">
        <f>IF(D8=0,0,Q177/D8)</f>
        <v>0</v>
      </c>
      <c r="F239" s="78">
        <f>IF(E8=0,0,R177/E8)</f>
        <v>0</v>
      </c>
      <c r="G239" s="78">
        <f>IF(F8=0,0,S177/F8)</f>
        <v>0</v>
      </c>
      <c r="H239" s="78">
        <f>IF(G8=0,0,T177/G8)</f>
        <v>0</v>
      </c>
    </row>
    <row r="240" spans="2:8" ht="15.75" thickBot="1">
      <c r="B240" s="716"/>
      <c r="C240" s="216" t="s">
        <v>25</v>
      </c>
      <c r="D240" s="217">
        <f>SUM(D237:D239)</f>
        <v>0</v>
      </c>
      <c r="E240" s="217">
        <f>SUM(E237:E239)</f>
        <v>0</v>
      </c>
      <c r="F240" s="217">
        <f>SUM(F237:F239)</f>
        <v>0</v>
      </c>
      <c r="G240" s="217">
        <f>SUM(G237:G239)</f>
        <v>0</v>
      </c>
      <c r="H240" s="217">
        <f>SUM(H237:H239)</f>
        <v>0</v>
      </c>
    </row>
    <row r="241" spans="2:8">
      <c r="B241" s="714" t="str">
        <f>B9</f>
        <v>Nombre del producto 5</v>
      </c>
      <c r="C241" s="119" t="s">
        <v>16</v>
      </c>
      <c r="D241" s="93">
        <f>IF(C9=0,0,P199/C9)</f>
        <v>0</v>
      </c>
      <c r="E241" s="93">
        <f>IF(D9=0,0,Q199/D9)</f>
        <v>0</v>
      </c>
      <c r="F241" s="93">
        <f>IF(E9=0,0,R199/E9)</f>
        <v>0</v>
      </c>
      <c r="G241" s="93">
        <f>IF(F9=0,0,S199/F9)</f>
        <v>0</v>
      </c>
      <c r="H241" s="93">
        <f>IF(G9=0,0,T199/G9)</f>
        <v>0</v>
      </c>
    </row>
    <row r="242" spans="2:8">
      <c r="B242" s="715"/>
      <c r="C242" s="92" t="s">
        <v>14</v>
      </c>
      <c r="D242" s="93">
        <f>IF(C9=0,0,P209/C9)</f>
        <v>0</v>
      </c>
      <c r="E242" s="93">
        <f>IF(D9=0,0,Q209/D9)</f>
        <v>0</v>
      </c>
      <c r="F242" s="93">
        <f>IF(E9=0,0,R209/E9)</f>
        <v>0</v>
      </c>
      <c r="G242" s="93">
        <f>IF(F9=0,0,S209/F9)</f>
        <v>0</v>
      </c>
      <c r="H242" s="93">
        <f>IF(G9=0,0,T209/G9)</f>
        <v>0</v>
      </c>
    </row>
    <row r="243" spans="2:8">
      <c r="B243" s="715"/>
      <c r="C243" s="117" t="s">
        <v>133</v>
      </c>
      <c r="D243" s="78">
        <f>IF(C9=0,0,P218/C9)</f>
        <v>0</v>
      </c>
      <c r="E243" s="78">
        <f>IF(D9=0,0,Q218/D9)</f>
        <v>0</v>
      </c>
      <c r="F243" s="78">
        <f>IF(E9=0,0,R218/E9)</f>
        <v>0</v>
      </c>
      <c r="G243" s="78">
        <f>IF(F9=0,0,S218/F9)</f>
        <v>0</v>
      </c>
      <c r="H243" s="78">
        <f>IF(G9=0,0,T218/G9)</f>
        <v>0</v>
      </c>
    </row>
    <row r="244" spans="2:8" ht="15.75" thickBot="1">
      <c r="B244" s="716"/>
      <c r="C244" s="216" t="s">
        <v>25</v>
      </c>
      <c r="D244" s="217">
        <f>SUM(D241:D243)</f>
        <v>0</v>
      </c>
      <c r="E244" s="217">
        <f>SUM(E241:E243)</f>
        <v>0</v>
      </c>
      <c r="F244" s="217">
        <f>SUM(F241:F243)</f>
        <v>0</v>
      </c>
      <c r="G244" s="217">
        <f>SUM(G241:G243)</f>
        <v>0</v>
      </c>
      <c r="H244" s="217">
        <f>SUM(H241:H243)</f>
        <v>0</v>
      </c>
    </row>
  </sheetData>
  <sheetProtection password="909C" sheet="1" formatCells="0" formatColumns="0" insertRows="0" selectLockedCells="1" autoFilter="0"/>
  <mergeCells count="43">
    <mergeCell ref="B137:B177"/>
    <mergeCell ref="C117:O117"/>
    <mergeCell ref="B178:B218"/>
    <mergeCell ref="Q12:Q13"/>
    <mergeCell ref="J12:J13"/>
    <mergeCell ref="N11:N13"/>
    <mergeCell ref="P12:P13"/>
    <mergeCell ref="C199:O199"/>
    <mergeCell ref="B96:B136"/>
    <mergeCell ref="B10:G10"/>
    <mergeCell ref="B55:B95"/>
    <mergeCell ref="K11:K13"/>
    <mergeCell ref="M11:M13"/>
    <mergeCell ref="C76:O76"/>
    <mergeCell ref="D12:D13"/>
    <mergeCell ref="O11:O13"/>
    <mergeCell ref="B1:H1"/>
    <mergeCell ref="B14:B54"/>
    <mergeCell ref="B11:B13"/>
    <mergeCell ref="B3:B4"/>
    <mergeCell ref="C2:G2"/>
    <mergeCell ref="C3:G3"/>
    <mergeCell ref="C35:O35"/>
    <mergeCell ref="C45:O45"/>
    <mergeCell ref="C12:C13"/>
    <mergeCell ref="L11:L13"/>
    <mergeCell ref="B241:B244"/>
    <mergeCell ref="B223:B224"/>
    <mergeCell ref="C223:H223"/>
    <mergeCell ref="B225:B228"/>
    <mergeCell ref="B229:B232"/>
    <mergeCell ref="B237:B240"/>
    <mergeCell ref="B233:B236"/>
    <mergeCell ref="R12:R13"/>
    <mergeCell ref="C11:I11"/>
    <mergeCell ref="C158:O158"/>
    <mergeCell ref="J4:M4"/>
    <mergeCell ref="C54:O54"/>
    <mergeCell ref="D46:T46"/>
    <mergeCell ref="I4:I5"/>
    <mergeCell ref="S12:S13"/>
    <mergeCell ref="P11:T11"/>
    <mergeCell ref="T12:T13"/>
  </mergeCells>
  <phoneticPr fontId="0" type="noConversion"/>
  <pageMargins left="0.39370078740157483" right="0.75" top="1" bottom="1" header="0" footer="0"/>
  <pageSetup scale="75" orientation="landscape" horizontalDpi="300"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sheetPr codeName="Hoja9"/>
  <dimension ref="A1:AV998"/>
  <sheetViews>
    <sheetView showGridLines="0" topLeftCell="A37" zoomScale="90" zoomScaleNormal="90" workbookViewId="0">
      <selection activeCell="C59" sqref="C59"/>
    </sheetView>
  </sheetViews>
  <sheetFormatPr baseColWidth="10" defaultRowHeight="12.75"/>
  <cols>
    <col min="1" max="1" width="38.42578125" customWidth="1"/>
    <col min="2" max="2" width="34.5703125" customWidth="1"/>
    <col min="3" max="6" width="20.7109375" customWidth="1"/>
    <col min="7" max="7" width="18.7109375" customWidth="1"/>
    <col min="8" max="9" width="16" customWidth="1"/>
    <col min="10" max="10" width="16.7109375" customWidth="1"/>
    <col min="11" max="11" width="16.28515625" customWidth="1"/>
    <col min="12" max="12" width="15.7109375" customWidth="1"/>
    <col min="13" max="13" width="18" customWidth="1"/>
    <col min="14" max="14" width="14" customWidth="1"/>
    <col min="15" max="15" width="16.28515625" customWidth="1"/>
    <col min="16" max="16" width="15.7109375" customWidth="1"/>
    <col min="17" max="17" width="15.140625" customWidth="1"/>
    <col min="18" max="18" width="15.7109375" customWidth="1"/>
    <col min="19" max="19" width="16.85546875" customWidth="1"/>
  </cols>
  <sheetData>
    <row r="1" spans="1:48" ht="13.5" thickBot="1">
      <c r="A1" s="259"/>
      <c r="B1" s="259"/>
      <c r="C1" s="259"/>
      <c r="D1" s="259"/>
      <c r="E1" s="259"/>
      <c r="F1" s="259"/>
      <c r="G1" s="259"/>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row>
    <row r="2" spans="1:48" ht="13.5" thickBot="1">
      <c r="A2" s="259"/>
      <c r="B2" s="770" t="s">
        <v>139</v>
      </c>
      <c r="C2" s="771"/>
      <c r="D2" s="771"/>
      <c r="E2" s="771"/>
      <c r="F2" s="771"/>
      <c r="G2" s="772"/>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row>
    <row r="3" spans="1:48" ht="13.5" thickBot="1">
      <c r="A3" s="259"/>
      <c r="B3" s="383" t="s">
        <v>2</v>
      </c>
      <c r="C3" s="384">
        <f>'COSTOS DE PRODUCCION'!C4</f>
        <v>2012</v>
      </c>
      <c r="D3" s="385">
        <f>'COSTOS DE PRODUCCION'!D4</f>
        <v>2013</v>
      </c>
      <c r="E3" s="385">
        <f>'COSTOS DE PRODUCCION'!E4</f>
        <v>2014</v>
      </c>
      <c r="F3" s="385">
        <f>'COSTOS DE PRODUCCION'!F4</f>
        <v>2015</v>
      </c>
      <c r="G3" s="386">
        <f>'COSTOS DE PRODUCCION'!G4</f>
        <v>2016</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48" hidden="1">
      <c r="A4" s="259"/>
      <c r="B4" s="774" t="str">
        <f>'COSTOS DE PRODUCCION'!B5</f>
        <v>TRAMITES</v>
      </c>
      <c r="C4" s="387">
        <f>'PROYECCIÓN DE VENTAS'!B16</f>
        <v>14000</v>
      </c>
      <c r="D4" s="387">
        <f>'PROYECCIÓN DE VENTAS'!C16</f>
        <v>14634.199999999999</v>
      </c>
      <c r="E4" s="387">
        <f>'PROYECCIÓN DE VENTAS'!D16</f>
        <v>15196</v>
      </c>
      <c r="F4" s="387">
        <f>'PROYECCIÓN DE VENTAS'!E16</f>
        <v>15755</v>
      </c>
      <c r="G4" s="388">
        <f>'PROYECCIÓN DE VENTAS'!F16</f>
        <v>16311</v>
      </c>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c r="A5" s="259"/>
      <c r="B5" s="775"/>
      <c r="C5" s="389">
        <f>+C4*'COSTOS DE PRODUCCION'!C5</f>
        <v>241920000</v>
      </c>
      <c r="D5" s="389">
        <f>+D4*'COSTOS DE PRODUCCION'!D5</f>
        <v>255407765.75999996</v>
      </c>
      <c r="E5" s="389">
        <f>+E4*'COSTOS DE PRODUCCION'!E5</f>
        <v>270517003.77600002</v>
      </c>
      <c r="F5" s="389">
        <f>+F4*'COSTOS DE PRODUCCION'!F5</f>
        <v>288882288.51839995</v>
      </c>
      <c r="G5" s="390">
        <f>+G4*'COSTOS DE PRODUCCION'!G5</f>
        <v>311040137.62897915</v>
      </c>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row>
    <row r="6" spans="1:48" hidden="1">
      <c r="A6" s="259"/>
      <c r="B6" s="773" t="str">
        <f>'COSTOS DE PRODUCCION'!B6</f>
        <v>DILIGENCIAS</v>
      </c>
      <c r="C6" s="387">
        <f>'PROYECCIÓN DE VENTAS'!B27</f>
        <v>14000</v>
      </c>
      <c r="D6" s="387">
        <f>'PROYECCIÓN DE VENTAS'!C27</f>
        <v>14634</v>
      </c>
      <c r="E6" s="387">
        <f>'PROYECCIÓN DE VENTAS'!D27</f>
        <v>15196</v>
      </c>
      <c r="F6" s="387">
        <f>'PROYECCIÓN DE VENTAS'!E27</f>
        <v>15755</v>
      </c>
      <c r="G6" s="388">
        <f>'PROYECCIÓN DE VENTAS'!F27</f>
        <v>16311</v>
      </c>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c r="A7" s="259"/>
      <c r="B7" s="775"/>
      <c r="C7" s="389">
        <f>+C6*'COSTOS DE PRODUCCION'!C6</f>
        <v>241920000</v>
      </c>
      <c r="D7" s="389">
        <f>+D6*'COSTOS DE PRODUCCION'!D6</f>
        <v>255404275.19999999</v>
      </c>
      <c r="E7" s="389">
        <f>+E6*'COSTOS DE PRODUCCION'!E6</f>
        <v>270517003.77600002</v>
      </c>
      <c r="F7" s="389">
        <f>+F6*'COSTOS DE PRODUCCION'!F6</f>
        <v>288882288.51839995</v>
      </c>
      <c r="G7" s="390">
        <f>+G6*'COSTOS DE PRODUCCION'!G6</f>
        <v>311040137.62897915</v>
      </c>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row>
    <row r="8" spans="1:48" hidden="1">
      <c r="A8" s="259"/>
      <c r="B8" s="773" t="str">
        <f>'COSTOS DE PRODUCCION'!B7</f>
        <v>Nombre del producto 3</v>
      </c>
      <c r="C8" s="387">
        <f>'PROYECCIÓN DE VENTAS'!B37</f>
        <v>0</v>
      </c>
      <c r="D8" s="387">
        <f>'PROYECCIÓN DE VENTAS'!C37</f>
        <v>0</v>
      </c>
      <c r="E8" s="387">
        <f>'PROYECCIÓN DE VENTAS'!D37</f>
        <v>0</v>
      </c>
      <c r="F8" s="387">
        <f>'PROYECCIÓN DE VENTAS'!E37</f>
        <v>0</v>
      </c>
      <c r="G8" s="388">
        <f>'PROYECCIÓN DE VENTAS'!F37</f>
        <v>0</v>
      </c>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row>
    <row r="9" spans="1:48">
      <c r="A9" s="259"/>
      <c r="B9" s="775"/>
      <c r="C9" s="389">
        <f>+C8*'COSTOS DE PRODUCCION'!C7</f>
        <v>0</v>
      </c>
      <c r="D9" s="389">
        <f>+D8*'COSTOS DE PRODUCCION'!D7</f>
        <v>0</v>
      </c>
      <c r="E9" s="389">
        <f>+E8*'COSTOS DE PRODUCCION'!E7</f>
        <v>0</v>
      </c>
      <c r="F9" s="389">
        <f>+F8*'COSTOS DE PRODUCCION'!F7</f>
        <v>0</v>
      </c>
      <c r="G9" s="390">
        <f>+G8*'COSTOS DE PRODUCCION'!G7</f>
        <v>0</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row>
    <row r="10" spans="1:48" hidden="1">
      <c r="A10" s="259"/>
      <c r="B10" s="773" t="str">
        <f>'COSTOS DE PRODUCCION'!B8</f>
        <v>Nombre del producto 4</v>
      </c>
      <c r="C10" s="387">
        <f>'PROYECCIÓN DE VENTAS'!B47</f>
        <v>0</v>
      </c>
      <c r="D10" s="387">
        <f>'PROYECCIÓN DE VENTAS'!C47</f>
        <v>0</v>
      </c>
      <c r="E10" s="387">
        <f>'PROYECCIÓN DE VENTAS'!D47</f>
        <v>0</v>
      </c>
      <c r="F10" s="387">
        <f>'PROYECCIÓN DE VENTAS'!E47</f>
        <v>0</v>
      </c>
      <c r="G10" s="388">
        <f>'PROYECCIÓN DE VENTAS'!F47</f>
        <v>0</v>
      </c>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row>
    <row r="11" spans="1:48">
      <c r="A11" s="259"/>
      <c r="B11" s="775"/>
      <c r="C11" s="389">
        <f>+C10*'COSTOS DE PRODUCCION'!C8</f>
        <v>0</v>
      </c>
      <c r="D11" s="389">
        <f>+D10*'COSTOS DE PRODUCCION'!D8</f>
        <v>0</v>
      </c>
      <c r="E11" s="389">
        <f>+E10*'COSTOS DE PRODUCCION'!E8</f>
        <v>0</v>
      </c>
      <c r="F11" s="389">
        <f>+F10*'COSTOS DE PRODUCCION'!F8</f>
        <v>0</v>
      </c>
      <c r="G11" s="390">
        <f>+G10*'COSTOS DE PRODUCCION'!G8</f>
        <v>0</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row>
    <row r="12" spans="1:48" hidden="1">
      <c r="A12" s="259"/>
      <c r="B12" s="773" t="str">
        <f>'COSTOS DE PRODUCCION'!B9</f>
        <v>Nombre del producto 5</v>
      </c>
      <c r="C12" s="387">
        <f>'PROYECCIÓN DE VENTAS'!B57</f>
        <v>0</v>
      </c>
      <c r="D12" s="387">
        <f>'PROYECCIÓN DE VENTAS'!C57</f>
        <v>0</v>
      </c>
      <c r="E12" s="387">
        <f>'PROYECCIÓN DE VENTAS'!D57</f>
        <v>0</v>
      </c>
      <c r="F12" s="387">
        <f>'PROYECCIÓN DE VENTAS'!E57</f>
        <v>0</v>
      </c>
      <c r="G12" s="388">
        <f>'PROYECCIÓN DE VENTAS'!F57</f>
        <v>0</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row>
    <row r="13" spans="1:48" ht="13.5" thickBot="1">
      <c r="A13" s="259"/>
      <c r="B13" s="774"/>
      <c r="C13" s="391">
        <f>+C12*'COSTOS DE PRODUCCION'!C9</f>
        <v>0</v>
      </c>
      <c r="D13" s="391">
        <f>+D12*'COSTOS DE PRODUCCION'!D9</f>
        <v>0</v>
      </c>
      <c r="E13" s="391">
        <f>+E12*'COSTOS DE PRODUCCION'!E9</f>
        <v>0</v>
      </c>
      <c r="F13" s="391">
        <f>+F12*'COSTOS DE PRODUCCION'!F9</f>
        <v>0</v>
      </c>
      <c r="G13" s="392">
        <f>+G12*'COSTOS DE PRODUCCION'!G9</f>
        <v>0</v>
      </c>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row>
    <row r="14" spans="1:48" ht="13.5" thickBot="1">
      <c r="A14" s="259"/>
      <c r="B14" s="393" t="s">
        <v>99</v>
      </c>
      <c r="C14" s="394">
        <f>C5+C7+C9+C11+C13</f>
        <v>483840000</v>
      </c>
      <c r="D14" s="394">
        <f>D5+D7+D9+D11+D13</f>
        <v>510812040.95999992</v>
      </c>
      <c r="E14" s="394">
        <f>E5+E7+E9+E11+E13</f>
        <v>541034007.55200005</v>
      </c>
      <c r="F14" s="394">
        <f>F5+F7+F9+F11+F13</f>
        <v>577764577.03679991</v>
      </c>
      <c r="G14" s="395">
        <f>G5+G7+G9+G11+G13</f>
        <v>622080275.25795829</v>
      </c>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row>
    <row r="15" spans="1:48" ht="13.5" thickBot="1">
      <c r="A15" s="259"/>
      <c r="B15" s="396" t="s">
        <v>137</v>
      </c>
      <c r="C15" s="397">
        <f>'COSTOS DE PRODUCCION'!P222</f>
        <v>8400000</v>
      </c>
      <c r="D15" s="397">
        <f>'COSTOS DE PRODUCCION'!Q222</f>
        <v>17646770.831882399</v>
      </c>
      <c r="E15" s="397">
        <f>'COSTOS DE PRODUCCION'!R222</f>
        <v>18719748.421077024</v>
      </c>
      <c r="F15" s="397">
        <f>'COSTOS DE PRODUCCION'!S222</f>
        <v>20052652.270730536</v>
      </c>
      <c r="G15" s="398">
        <f>'COSTOS DE PRODUCCION'!T222</f>
        <v>21689011.171660088</v>
      </c>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48" ht="13.5" thickBot="1">
      <c r="A16" s="259"/>
      <c r="B16" s="399" t="s">
        <v>138</v>
      </c>
      <c r="C16" s="400">
        <f>C14-C15</f>
        <v>475440000</v>
      </c>
      <c r="D16" s="400">
        <f>D14-D15</f>
        <v>493165270.1281175</v>
      </c>
      <c r="E16" s="400">
        <f>E14-E15</f>
        <v>522314259.13092303</v>
      </c>
      <c r="F16" s="400">
        <f>F14-F15</f>
        <v>557711924.76606941</v>
      </c>
      <c r="G16" s="401">
        <f>G14-G15</f>
        <v>600391264.08629823</v>
      </c>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row>
    <row r="17" spans="1:48" ht="13.5" thickBot="1">
      <c r="A17" s="438"/>
      <c r="B17" s="259"/>
      <c r="C17" s="259"/>
      <c r="D17" s="259"/>
      <c r="E17" s="259"/>
      <c r="F17" s="259"/>
      <c r="G17" s="259"/>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row>
    <row r="18" spans="1:48">
      <c r="A18" s="259"/>
      <c r="B18" s="750" t="s">
        <v>129</v>
      </c>
      <c r="C18" s="751"/>
      <c r="D18" s="751"/>
      <c r="E18" s="751"/>
      <c r="F18" s="751"/>
      <c r="G18" s="752"/>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1:48" ht="13.5" thickBot="1">
      <c r="A19" s="259"/>
      <c r="B19" s="402" t="s">
        <v>101</v>
      </c>
      <c r="C19" s="403">
        <f t="shared" ref="C19:G20" si="0">C3</f>
        <v>2012</v>
      </c>
      <c r="D19" s="403">
        <f t="shared" si="0"/>
        <v>2013</v>
      </c>
      <c r="E19" s="403">
        <f t="shared" si="0"/>
        <v>2014</v>
      </c>
      <c r="F19" s="403">
        <f t="shared" si="0"/>
        <v>2015</v>
      </c>
      <c r="G19" s="404">
        <f t="shared" si="0"/>
        <v>2016</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row>
    <row r="20" spans="1:48">
      <c r="A20" s="753" t="str">
        <f>B4</f>
        <v>TRAMITES</v>
      </c>
      <c r="B20" s="213" t="s">
        <v>130</v>
      </c>
      <c r="C20" s="382">
        <f t="shared" si="0"/>
        <v>14000</v>
      </c>
      <c r="D20" s="381">
        <f t="shared" si="0"/>
        <v>14634.199999999999</v>
      </c>
      <c r="E20" s="381">
        <f t="shared" si="0"/>
        <v>15196</v>
      </c>
      <c r="F20" s="381">
        <f t="shared" si="0"/>
        <v>15755</v>
      </c>
      <c r="G20" s="380">
        <f t="shared" si="0"/>
        <v>16311</v>
      </c>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row>
    <row r="21" spans="1:48">
      <c r="A21" s="754"/>
      <c r="B21" s="214" t="s">
        <v>140</v>
      </c>
      <c r="C21" s="379">
        <f>'COSTOS DE PRODUCCION'!D228</f>
        <v>486.11111111111109</v>
      </c>
      <c r="D21" s="378">
        <f>'COSTOS DE PRODUCCION'!E228</f>
        <v>510.61258194104164</v>
      </c>
      <c r="E21" s="378">
        <f>'COSTOS DE PRODUCCION'!F228</f>
        <v>541.6593871839417</v>
      </c>
      <c r="F21" s="378">
        <f>'COSTOS DE PRODUCCION'!G228</f>
        <v>580.22720690771223</v>
      </c>
      <c r="G21" s="377">
        <f>'COSTOS DE PRODUCCION'!H228</f>
        <v>627.57555473553498</v>
      </c>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row>
    <row r="22" spans="1:48" ht="13.5" thickBot="1">
      <c r="A22" s="755"/>
      <c r="B22" s="215" t="s">
        <v>131</v>
      </c>
      <c r="C22" s="376">
        <f>C20-C21</f>
        <v>13513.888888888889</v>
      </c>
      <c r="D22" s="375">
        <f>D20-D21</f>
        <v>14123.587418058958</v>
      </c>
      <c r="E22" s="375">
        <f>E20-E21</f>
        <v>14654.340612816059</v>
      </c>
      <c r="F22" s="375">
        <f>F20-F21</f>
        <v>15174.772793092288</v>
      </c>
      <c r="G22" s="374">
        <f>G20-G21</f>
        <v>15683.424445264465</v>
      </c>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row>
    <row r="23" spans="1:48">
      <c r="A23" s="753" t="str">
        <f>B6</f>
        <v>DILIGENCIAS</v>
      </c>
      <c r="B23" s="213" t="s">
        <v>130</v>
      </c>
      <c r="C23" s="382">
        <f>C6</f>
        <v>14000</v>
      </c>
      <c r="D23" s="381">
        <f>D6</f>
        <v>14634</v>
      </c>
      <c r="E23" s="381">
        <f>E6</f>
        <v>15196</v>
      </c>
      <c r="F23" s="381">
        <f>F6</f>
        <v>15755</v>
      </c>
      <c r="G23" s="380">
        <f>G6</f>
        <v>16311</v>
      </c>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row>
    <row r="24" spans="1:48">
      <c r="A24" s="754"/>
      <c r="B24" s="214" t="s">
        <v>140</v>
      </c>
      <c r="C24" s="379">
        <f>'COSTOS DE PRODUCCION'!D232</f>
        <v>0</v>
      </c>
      <c r="D24" s="378">
        <f>'COSTOS DE PRODUCCION'!E232</f>
        <v>505.55701182281354</v>
      </c>
      <c r="E24" s="378">
        <f>'COSTOS DE PRODUCCION'!F232</f>
        <v>525.78080681803692</v>
      </c>
      <c r="F24" s="378">
        <f>'COSTOS DE PRODUCCION'!G232</f>
        <v>546.81361419849884</v>
      </c>
      <c r="G24" s="377">
        <f>'COSTOS DE PRODUCCION'!H232</f>
        <v>568.68779688320762</v>
      </c>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row>
    <row r="25" spans="1:48" ht="13.5" thickBot="1">
      <c r="A25" s="755"/>
      <c r="B25" s="215" t="s">
        <v>131</v>
      </c>
      <c r="C25" s="376">
        <f>C23-C24</f>
        <v>14000</v>
      </c>
      <c r="D25" s="375">
        <f>D23-D24</f>
        <v>14128.442988177187</v>
      </c>
      <c r="E25" s="375">
        <f>E23-E24</f>
        <v>14670.219193181963</v>
      </c>
      <c r="F25" s="375">
        <f>F23-F24</f>
        <v>15208.1863858015</v>
      </c>
      <c r="G25" s="374">
        <f>G23-G24</f>
        <v>15742.312203116793</v>
      </c>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row>
    <row r="26" spans="1:48">
      <c r="A26" s="753" t="str">
        <f>B8</f>
        <v>Nombre del producto 3</v>
      </c>
      <c r="B26" s="213" t="s">
        <v>130</v>
      </c>
      <c r="C26" s="382">
        <f>C8</f>
        <v>0</v>
      </c>
      <c r="D26" s="381">
        <f>D8</f>
        <v>0</v>
      </c>
      <c r="E26" s="381">
        <f>E8</f>
        <v>0</v>
      </c>
      <c r="F26" s="381">
        <f>F8</f>
        <v>0</v>
      </c>
      <c r="G26" s="380">
        <f>G8</f>
        <v>0</v>
      </c>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row>
    <row r="27" spans="1:48">
      <c r="A27" s="754"/>
      <c r="B27" s="214" t="s">
        <v>140</v>
      </c>
      <c r="C27" s="379">
        <f>'COSTOS DE PRODUCCION'!D236</f>
        <v>0</v>
      </c>
      <c r="D27" s="378">
        <f>'COSTOS DE PRODUCCION'!E236</f>
        <v>0</v>
      </c>
      <c r="E27" s="378">
        <f>'COSTOS DE PRODUCCION'!F236</f>
        <v>0</v>
      </c>
      <c r="F27" s="378">
        <f>'COSTOS DE PRODUCCION'!G236</f>
        <v>0</v>
      </c>
      <c r="G27" s="377">
        <f>'COSTOS DE PRODUCCION'!H236</f>
        <v>0</v>
      </c>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row>
    <row r="28" spans="1:48" ht="13.5" thickBot="1">
      <c r="A28" s="755"/>
      <c r="B28" s="215" t="s">
        <v>131</v>
      </c>
      <c r="C28" s="376">
        <f>C26-C27</f>
        <v>0</v>
      </c>
      <c r="D28" s="375">
        <f>D26-D27</f>
        <v>0</v>
      </c>
      <c r="E28" s="375">
        <f>E26-E27</f>
        <v>0</v>
      </c>
      <c r="F28" s="375">
        <f>F26-F27</f>
        <v>0</v>
      </c>
      <c r="G28" s="374">
        <f>G26-G27</f>
        <v>0</v>
      </c>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row>
    <row r="29" spans="1:48">
      <c r="A29" s="753" t="str">
        <f>B10</f>
        <v>Nombre del producto 4</v>
      </c>
      <c r="B29" s="213" t="s">
        <v>130</v>
      </c>
      <c r="C29" s="382">
        <f>C10</f>
        <v>0</v>
      </c>
      <c r="D29" s="381">
        <f>D10</f>
        <v>0</v>
      </c>
      <c r="E29" s="381">
        <f>E10</f>
        <v>0</v>
      </c>
      <c r="F29" s="381">
        <f>F10</f>
        <v>0</v>
      </c>
      <c r="G29" s="380">
        <f>G10</f>
        <v>0</v>
      </c>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row>
    <row r="30" spans="1:48">
      <c r="A30" s="754">
        <f>'COSTOS DE PRODUCCION'!A21</f>
        <v>0</v>
      </c>
      <c r="B30" s="214" t="s">
        <v>140</v>
      </c>
      <c r="C30" s="379">
        <f>'COSTOS DE PRODUCCION'!D240</f>
        <v>0</v>
      </c>
      <c r="D30" s="378">
        <f>'COSTOS DE PRODUCCION'!E240</f>
        <v>0</v>
      </c>
      <c r="E30" s="378">
        <f>'COSTOS DE PRODUCCION'!F240</f>
        <v>0</v>
      </c>
      <c r="F30" s="378">
        <f>'COSTOS DE PRODUCCION'!G240</f>
        <v>0</v>
      </c>
      <c r="G30" s="377">
        <f>'COSTOS DE PRODUCCION'!H240</f>
        <v>0</v>
      </c>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row>
    <row r="31" spans="1:48" ht="13.5" thickBot="1">
      <c r="A31" s="755"/>
      <c r="B31" s="215" t="s">
        <v>131</v>
      </c>
      <c r="C31" s="376">
        <f>C29-C30</f>
        <v>0</v>
      </c>
      <c r="D31" s="375">
        <f>D29-D30</f>
        <v>0</v>
      </c>
      <c r="E31" s="375">
        <f>E29-E30</f>
        <v>0</v>
      </c>
      <c r="F31" s="375">
        <f>F29-F30</f>
        <v>0</v>
      </c>
      <c r="G31" s="374">
        <f>G29-G30</f>
        <v>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row>
    <row r="32" spans="1:48">
      <c r="A32" s="753" t="str">
        <f>B12</f>
        <v>Nombre del producto 5</v>
      </c>
      <c r="B32" s="213" t="s">
        <v>130</v>
      </c>
      <c r="C32" s="382">
        <f>C12</f>
        <v>0</v>
      </c>
      <c r="D32" s="381">
        <f>D12</f>
        <v>0</v>
      </c>
      <c r="E32" s="381">
        <f>E12</f>
        <v>0</v>
      </c>
      <c r="F32" s="381">
        <f>F12</f>
        <v>0</v>
      </c>
      <c r="G32" s="380">
        <f>G12</f>
        <v>0</v>
      </c>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row>
    <row r="33" spans="1:48">
      <c r="A33" s="754"/>
      <c r="B33" s="214" t="s">
        <v>140</v>
      </c>
      <c r="C33" s="379">
        <f>'COSTOS DE PRODUCCION'!D244</f>
        <v>0</v>
      </c>
      <c r="D33" s="378">
        <f>'COSTOS DE PRODUCCION'!E244</f>
        <v>0</v>
      </c>
      <c r="E33" s="378">
        <f>'COSTOS DE PRODUCCION'!F244</f>
        <v>0</v>
      </c>
      <c r="F33" s="378">
        <f>'COSTOS DE PRODUCCION'!G244</f>
        <v>0</v>
      </c>
      <c r="G33" s="377">
        <f>'COSTOS DE PRODUCCION'!H244</f>
        <v>0</v>
      </c>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row>
    <row r="34" spans="1:48" ht="13.5" thickBot="1">
      <c r="A34" s="755"/>
      <c r="B34" s="215" t="s">
        <v>131</v>
      </c>
      <c r="C34" s="376">
        <f>C32-C33</f>
        <v>0</v>
      </c>
      <c r="D34" s="375">
        <f>D32-D33</f>
        <v>0</v>
      </c>
      <c r="E34" s="375">
        <f>E32-E33</f>
        <v>0</v>
      </c>
      <c r="F34" s="375">
        <f>F32-F33</f>
        <v>0</v>
      </c>
      <c r="G34" s="374">
        <f>G32-G33</f>
        <v>0</v>
      </c>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row>
    <row r="35" spans="1:48" s="3" customFormat="1" ht="13.5" thickBot="1"/>
    <row r="36" spans="1:48" s="3" customFormat="1">
      <c r="E36" s="756" t="s">
        <v>212</v>
      </c>
      <c r="F36" s="757"/>
      <c r="G36" s="758"/>
    </row>
    <row r="37" spans="1:48" s="3" customFormat="1">
      <c r="E37" s="759"/>
      <c r="F37" s="760"/>
      <c r="G37" s="761"/>
    </row>
    <row r="38" spans="1:48" s="3" customFormat="1">
      <c r="E38" s="759"/>
      <c r="F38" s="760"/>
      <c r="G38" s="761"/>
    </row>
    <row r="39" spans="1:48" s="3" customFormat="1">
      <c r="E39" s="759"/>
      <c r="F39" s="760"/>
      <c r="G39" s="761"/>
    </row>
    <row r="40" spans="1:48" s="3" customFormat="1" ht="13.5" thickBot="1">
      <c r="E40" s="762"/>
      <c r="F40" s="763"/>
      <c r="G40" s="764"/>
    </row>
    <row r="41" spans="1:48" s="3" customFormat="1" ht="13.5" thickBot="1">
      <c r="G41" s="265"/>
    </row>
    <row r="42" spans="1:48" s="3" customFormat="1" ht="15">
      <c r="A42" s="405" t="s">
        <v>317</v>
      </c>
      <c r="B42" s="406" t="s">
        <v>318</v>
      </c>
      <c r="C42" s="406">
        <f>C19</f>
        <v>2012</v>
      </c>
      <c r="D42" s="406">
        <f>D19</f>
        <v>2013</v>
      </c>
      <c r="E42" s="406">
        <f>E19</f>
        <v>2014</v>
      </c>
      <c r="F42" s="406">
        <f>F19</f>
        <v>2015</v>
      </c>
      <c r="G42" s="406">
        <f>G19</f>
        <v>2016</v>
      </c>
    </row>
    <row r="43" spans="1:48" s="3" customFormat="1" ht="15.75" thickBot="1">
      <c r="A43" s="407" t="s">
        <v>316</v>
      </c>
      <c r="B43" s="516"/>
      <c r="C43" s="516"/>
      <c r="D43" s="516"/>
      <c r="E43" s="516"/>
      <c r="F43" s="517"/>
      <c r="G43" s="517"/>
    </row>
    <row r="44" spans="1:48" s="3" customFormat="1"/>
    <row r="45" spans="1:48" s="3" customFormat="1">
      <c r="A45" s="306" t="s">
        <v>213</v>
      </c>
      <c r="B45" s="306"/>
      <c r="C45" s="306"/>
      <c r="D45" s="306"/>
      <c r="E45" s="306"/>
      <c r="F45" s="306"/>
      <c r="G45" s="306"/>
      <c r="H45" s="306"/>
      <c r="I45" s="306"/>
      <c r="J45" s="306"/>
      <c r="K45" s="306"/>
      <c r="L45" s="306"/>
      <c r="M45" s="306"/>
      <c r="N45" s="306"/>
      <c r="O45" s="306"/>
      <c r="P45" s="306"/>
      <c r="Q45" s="306"/>
      <c r="R45" s="306"/>
      <c r="S45" s="306"/>
      <c r="T45" s="306"/>
      <c r="U45" s="271"/>
    </row>
    <row r="46" spans="1:48" s="3" customFormat="1" ht="15">
      <c r="A46" s="272" t="s">
        <v>214</v>
      </c>
      <c r="B46" s="765" t="s">
        <v>257</v>
      </c>
      <c r="C46" s="766"/>
      <c r="D46" s="766"/>
      <c r="E46" s="767">
        <f>C19</f>
        <v>2012</v>
      </c>
      <c r="F46" s="768"/>
      <c r="G46" s="769"/>
      <c r="H46" s="767">
        <f>D19</f>
        <v>2013</v>
      </c>
      <c r="I46" s="768"/>
      <c r="J46" s="769"/>
      <c r="K46" s="767">
        <f>E19</f>
        <v>2014</v>
      </c>
      <c r="L46" s="768"/>
      <c r="M46" s="769"/>
      <c r="N46" s="767">
        <f>F19</f>
        <v>2015</v>
      </c>
      <c r="O46" s="768"/>
      <c r="P46" s="769"/>
      <c r="Q46" s="767">
        <f>G19</f>
        <v>2016</v>
      </c>
      <c r="R46" s="768"/>
      <c r="S46" s="769"/>
      <c r="T46" s="332" t="s">
        <v>215</v>
      </c>
      <c r="U46" s="271"/>
    </row>
    <row r="47" spans="1:48" s="3" customFormat="1">
      <c r="A47" s="234" t="s">
        <v>216</v>
      </c>
      <c r="B47" s="272" t="s">
        <v>217</v>
      </c>
      <c r="C47" s="272" t="s">
        <v>218</v>
      </c>
      <c r="D47" s="272" t="s">
        <v>219</v>
      </c>
      <c r="E47" s="272" t="s">
        <v>217</v>
      </c>
      <c r="F47" s="272" t="s">
        <v>218</v>
      </c>
      <c r="G47" s="272" t="s">
        <v>219</v>
      </c>
      <c r="H47" s="272" t="s">
        <v>217</v>
      </c>
      <c r="I47" s="272" t="s">
        <v>218</v>
      </c>
      <c r="J47" s="272" t="s">
        <v>219</v>
      </c>
      <c r="K47" s="272" t="s">
        <v>217</v>
      </c>
      <c r="L47" s="272" t="s">
        <v>218</v>
      </c>
      <c r="M47" s="272" t="s">
        <v>219</v>
      </c>
      <c r="N47" s="272" t="s">
        <v>217</v>
      </c>
      <c r="O47" s="272" t="s">
        <v>218</v>
      </c>
      <c r="P47" s="272" t="s">
        <v>219</v>
      </c>
      <c r="Q47" s="272" t="s">
        <v>217</v>
      </c>
      <c r="R47" s="272" t="s">
        <v>218</v>
      </c>
      <c r="S47" s="272" t="s">
        <v>219</v>
      </c>
      <c r="T47" s="273"/>
      <c r="U47" s="271"/>
    </row>
    <row r="48" spans="1:48" s="3" customFormat="1">
      <c r="A48" s="274" t="s">
        <v>460</v>
      </c>
      <c r="B48" s="274">
        <v>1</v>
      </c>
      <c r="C48" s="274">
        <v>1500000</v>
      </c>
      <c r="D48" s="275">
        <f>B48*C48</f>
        <v>1500000</v>
      </c>
      <c r="E48" s="274"/>
      <c r="F48" s="274"/>
      <c r="G48" s="275">
        <f>E48*F48</f>
        <v>0</v>
      </c>
      <c r="H48" s="274"/>
      <c r="I48" s="274"/>
      <c r="J48" s="275">
        <f>H48*I48</f>
        <v>0</v>
      </c>
      <c r="K48" s="274"/>
      <c r="L48" s="274"/>
      <c r="M48" s="275">
        <f>K48*L48</f>
        <v>0</v>
      </c>
      <c r="N48" s="274"/>
      <c r="O48" s="274"/>
      <c r="P48" s="275">
        <f>N48*O48</f>
        <v>0</v>
      </c>
      <c r="Q48" s="274"/>
      <c r="R48" s="274"/>
      <c r="S48" s="275">
        <f>Q48*R48</f>
        <v>0</v>
      </c>
      <c r="T48" s="276">
        <f>'1'!F31</f>
        <v>20</v>
      </c>
      <c r="U48" s="271"/>
    </row>
    <row r="49" spans="1:21" s="3" customFormat="1">
      <c r="A49" s="274"/>
      <c r="B49" s="274"/>
      <c r="C49" s="274"/>
      <c r="D49" s="275">
        <f>B49*C49</f>
        <v>0</v>
      </c>
      <c r="E49" s="274"/>
      <c r="F49" s="274"/>
      <c r="G49" s="275">
        <f>E49*F49</f>
        <v>0</v>
      </c>
      <c r="H49" s="274"/>
      <c r="I49" s="274"/>
      <c r="J49" s="275">
        <f>H49*I49</f>
        <v>0</v>
      </c>
      <c r="K49" s="274"/>
      <c r="L49" s="274"/>
      <c r="M49" s="275">
        <f>K49*L49</f>
        <v>0</v>
      </c>
      <c r="N49" s="274"/>
      <c r="O49" s="274"/>
      <c r="P49" s="275">
        <f>N49*O49</f>
        <v>0</v>
      </c>
      <c r="Q49" s="274"/>
      <c r="R49" s="274"/>
      <c r="S49" s="275">
        <f>Q49*R49</f>
        <v>0</v>
      </c>
      <c r="T49" s="276">
        <f>T48</f>
        <v>20</v>
      </c>
      <c r="U49" s="271"/>
    </row>
    <row r="50" spans="1:21" s="3" customFormat="1">
      <c r="A50" s="274"/>
      <c r="B50" s="274"/>
      <c r="C50" s="274"/>
      <c r="D50" s="275">
        <f>B50*C50</f>
        <v>0</v>
      </c>
      <c r="E50" s="274"/>
      <c r="F50" s="274"/>
      <c r="G50" s="275">
        <f>E50*F50</f>
        <v>0</v>
      </c>
      <c r="H50" s="274"/>
      <c r="I50" s="274"/>
      <c r="J50" s="275">
        <f>H50*I50</f>
        <v>0</v>
      </c>
      <c r="K50" s="274"/>
      <c r="L50" s="274"/>
      <c r="M50" s="275">
        <f>K50*L50</f>
        <v>0</v>
      </c>
      <c r="N50" s="274"/>
      <c r="O50" s="274"/>
      <c r="P50" s="275">
        <f>N50*O50</f>
        <v>0</v>
      </c>
      <c r="Q50" s="274"/>
      <c r="R50" s="274"/>
      <c r="S50" s="275">
        <f>Q50*R50</f>
        <v>0</v>
      </c>
      <c r="T50" s="276">
        <f>T49</f>
        <v>20</v>
      </c>
      <c r="U50" s="271"/>
    </row>
    <row r="51" spans="1:21" s="3" customFormat="1">
      <c r="A51" s="274"/>
      <c r="B51" s="274"/>
      <c r="C51" s="274"/>
      <c r="D51" s="275">
        <f>B51*C51</f>
        <v>0</v>
      </c>
      <c r="E51" s="274"/>
      <c r="F51" s="274"/>
      <c r="G51" s="275">
        <f>E51*F51</f>
        <v>0</v>
      </c>
      <c r="H51" s="274"/>
      <c r="I51" s="274"/>
      <c r="J51" s="275">
        <f>H51*I51</f>
        <v>0</v>
      </c>
      <c r="K51" s="274"/>
      <c r="L51" s="274"/>
      <c r="M51" s="275">
        <f>K51*L51</f>
        <v>0</v>
      </c>
      <c r="N51" s="274"/>
      <c r="O51" s="274"/>
      <c r="P51" s="275">
        <f>N51*O51</f>
        <v>0</v>
      </c>
      <c r="Q51" s="274"/>
      <c r="R51" s="274"/>
      <c r="S51" s="275">
        <f>Q51*R51</f>
        <v>0</v>
      </c>
      <c r="T51" s="276">
        <f>T50</f>
        <v>20</v>
      </c>
      <c r="U51" s="271"/>
    </row>
    <row r="52" spans="1:21" s="3" customFormat="1">
      <c r="A52" s="274"/>
      <c r="B52" s="274"/>
      <c r="C52" s="274"/>
      <c r="D52" s="275">
        <f>B52*C52</f>
        <v>0</v>
      </c>
      <c r="E52" s="274"/>
      <c r="F52" s="274"/>
      <c r="G52" s="275">
        <f>E52*F52</f>
        <v>0</v>
      </c>
      <c r="H52" s="274"/>
      <c r="I52" s="274"/>
      <c r="J52" s="275">
        <f>H52*I52</f>
        <v>0</v>
      </c>
      <c r="K52" s="274"/>
      <c r="L52" s="274"/>
      <c r="M52" s="275">
        <f>K52*L52</f>
        <v>0</v>
      </c>
      <c r="N52" s="274"/>
      <c r="O52" s="274"/>
      <c r="P52" s="275">
        <f>N52*O52</f>
        <v>0</v>
      </c>
      <c r="Q52" s="274"/>
      <c r="R52" s="274"/>
      <c r="S52" s="275">
        <f>Q52*R52</f>
        <v>0</v>
      </c>
      <c r="T52" s="276">
        <f>T51</f>
        <v>20</v>
      </c>
      <c r="U52" s="271"/>
    </row>
    <row r="53" spans="1:21" s="3" customFormat="1">
      <c r="A53" s="307" t="s">
        <v>220</v>
      </c>
      <c r="B53" s="308">
        <f>SUM(B48:B52)</f>
        <v>1</v>
      </c>
      <c r="C53" s="308">
        <f>SUM(C48:C52)</f>
        <v>1500000</v>
      </c>
      <c r="D53" s="333">
        <f>SUM(D48:D52)</f>
        <v>1500000</v>
      </c>
      <c r="E53" s="308"/>
      <c r="F53" s="308"/>
      <c r="G53" s="333">
        <f>SUM(G48:G52)</f>
        <v>0</v>
      </c>
      <c r="H53" s="308"/>
      <c r="I53" s="308"/>
      <c r="J53" s="333">
        <f>SUM(J48:J52)</f>
        <v>0</v>
      </c>
      <c r="K53" s="308"/>
      <c r="L53" s="308"/>
      <c r="M53" s="333">
        <f>SUM(M48:M52)</f>
        <v>0</v>
      </c>
      <c r="N53" s="308"/>
      <c r="O53" s="308"/>
      <c r="P53" s="333">
        <f>SUM(P48:P52)</f>
        <v>0</v>
      </c>
      <c r="Q53" s="308"/>
      <c r="R53" s="308"/>
      <c r="S53" s="333">
        <f>SUM(S48:S52)</f>
        <v>0</v>
      </c>
      <c r="T53" s="310"/>
      <c r="U53" s="271"/>
    </row>
    <row r="54" spans="1:21" s="3" customFormat="1">
      <c r="A54" s="234" t="s">
        <v>221</v>
      </c>
      <c r="B54" s="554" t="str">
        <f>B47</f>
        <v>Cantidad</v>
      </c>
      <c r="C54" s="554" t="str">
        <f>C47</f>
        <v>Valor unitario</v>
      </c>
      <c r="D54" s="554" t="str">
        <f t="shared" ref="D54:S54" si="1">D47</f>
        <v>Valor total</v>
      </c>
      <c r="E54" s="554" t="str">
        <f t="shared" si="1"/>
        <v>Cantidad</v>
      </c>
      <c r="F54" s="554" t="str">
        <f t="shared" si="1"/>
        <v>Valor unitario</v>
      </c>
      <c r="G54" s="554" t="str">
        <f t="shared" si="1"/>
        <v>Valor total</v>
      </c>
      <c r="H54" s="554" t="str">
        <f t="shared" si="1"/>
        <v>Cantidad</v>
      </c>
      <c r="I54" s="554" t="str">
        <f t="shared" si="1"/>
        <v>Valor unitario</v>
      </c>
      <c r="J54" s="554" t="str">
        <f t="shared" si="1"/>
        <v>Valor total</v>
      </c>
      <c r="K54" s="554" t="str">
        <f t="shared" si="1"/>
        <v>Cantidad</v>
      </c>
      <c r="L54" s="554" t="str">
        <f t="shared" si="1"/>
        <v>Valor unitario</v>
      </c>
      <c r="M54" s="554" t="str">
        <f t="shared" si="1"/>
        <v>Valor total</v>
      </c>
      <c r="N54" s="554" t="str">
        <f t="shared" si="1"/>
        <v>Cantidad</v>
      </c>
      <c r="O54" s="554" t="str">
        <f t="shared" si="1"/>
        <v>Valor unitario</v>
      </c>
      <c r="P54" s="554" t="str">
        <f t="shared" si="1"/>
        <v>Valor total</v>
      </c>
      <c r="Q54" s="554" t="str">
        <f t="shared" si="1"/>
        <v>Cantidad</v>
      </c>
      <c r="R54" s="554" t="str">
        <f t="shared" si="1"/>
        <v>Valor unitario</v>
      </c>
      <c r="S54" s="554" t="str">
        <f t="shared" si="1"/>
        <v>Valor total</v>
      </c>
      <c r="T54" s="273"/>
      <c r="U54" s="271"/>
    </row>
    <row r="55" spans="1:21" s="3" customFormat="1">
      <c r="A55" s="267" t="s">
        <v>456</v>
      </c>
      <c r="B55" s="278">
        <v>1</v>
      </c>
      <c r="C55" s="279">
        <v>1600000</v>
      </c>
      <c r="D55" s="280">
        <f>B55*C55</f>
        <v>1600000</v>
      </c>
      <c r="E55" s="274">
        <v>1</v>
      </c>
      <c r="F55" s="281">
        <v>1700000</v>
      </c>
      <c r="G55" s="280">
        <f>E55*F55</f>
        <v>1700000</v>
      </c>
      <c r="H55" s="274">
        <v>1</v>
      </c>
      <c r="I55" s="281">
        <v>1800000</v>
      </c>
      <c r="J55" s="280">
        <f>H55*I55</f>
        <v>1800000</v>
      </c>
      <c r="K55" s="274"/>
      <c r="L55" s="281"/>
      <c r="M55" s="280">
        <f>K55*L55</f>
        <v>0</v>
      </c>
      <c r="N55" s="274"/>
      <c r="O55" s="281"/>
      <c r="P55" s="280">
        <f>N55*O55</f>
        <v>0</v>
      </c>
      <c r="Q55" s="274"/>
      <c r="R55" s="281"/>
      <c r="S55" s="280">
        <f>Q55*R55</f>
        <v>0</v>
      </c>
      <c r="T55" s="282">
        <f>'1'!F32</f>
        <v>10</v>
      </c>
      <c r="U55" s="271"/>
    </row>
    <row r="56" spans="1:21" s="3" customFormat="1">
      <c r="A56" s="267" t="s">
        <v>457</v>
      </c>
      <c r="B56" s="278">
        <v>1</v>
      </c>
      <c r="C56" s="279">
        <v>200000</v>
      </c>
      <c r="D56" s="280">
        <f t="shared" ref="D56:D94" si="2">B56*C56</f>
        <v>200000</v>
      </c>
      <c r="E56" s="274">
        <v>1</v>
      </c>
      <c r="F56" s="281">
        <v>250000</v>
      </c>
      <c r="G56" s="280">
        <f t="shared" ref="G56:G94" si="3">E56*F56</f>
        <v>250000</v>
      </c>
      <c r="H56" s="274"/>
      <c r="I56" s="281"/>
      <c r="J56" s="280">
        <f t="shared" ref="J56:J94" si="4">H56*I56</f>
        <v>0</v>
      </c>
      <c r="K56" s="274"/>
      <c r="L56" s="281"/>
      <c r="M56" s="280">
        <f t="shared" ref="M56:M94" si="5">K56*L56</f>
        <v>0</v>
      </c>
      <c r="N56" s="274"/>
      <c r="O56" s="281"/>
      <c r="P56" s="280">
        <f t="shared" ref="P56:P94" si="6">N56*O56</f>
        <v>0</v>
      </c>
      <c r="Q56" s="274"/>
      <c r="R56" s="281"/>
      <c r="S56" s="280">
        <f t="shared" ref="S56:S94" si="7">Q56*R56</f>
        <v>0</v>
      </c>
      <c r="T56" s="282">
        <f>T55</f>
        <v>10</v>
      </c>
      <c r="U56" s="271"/>
    </row>
    <row r="57" spans="1:21" s="3" customFormat="1">
      <c r="A57" s="267" t="s">
        <v>458</v>
      </c>
      <c r="B57" s="278">
        <v>1</v>
      </c>
      <c r="C57" s="279">
        <v>300000</v>
      </c>
      <c r="D57" s="280">
        <f t="shared" si="2"/>
        <v>300000</v>
      </c>
      <c r="E57" s="274"/>
      <c r="F57" s="281"/>
      <c r="G57" s="280">
        <f t="shared" si="3"/>
        <v>0</v>
      </c>
      <c r="H57" s="274"/>
      <c r="I57" s="281"/>
      <c r="J57" s="280">
        <f t="shared" si="4"/>
        <v>0</v>
      </c>
      <c r="K57" s="274"/>
      <c r="L57" s="281"/>
      <c r="M57" s="280">
        <f t="shared" si="5"/>
        <v>0</v>
      </c>
      <c r="N57" s="274"/>
      <c r="O57" s="281"/>
      <c r="P57" s="280">
        <f t="shared" si="6"/>
        <v>0</v>
      </c>
      <c r="Q57" s="274"/>
      <c r="R57" s="281"/>
      <c r="S57" s="280">
        <f t="shared" si="7"/>
        <v>0</v>
      </c>
      <c r="T57" s="282">
        <f t="shared" ref="T57:T94" si="8">T56</f>
        <v>10</v>
      </c>
      <c r="U57" s="271"/>
    </row>
    <row r="58" spans="1:21" s="3" customFormat="1">
      <c r="A58" s="267" t="s">
        <v>459</v>
      </c>
      <c r="B58" s="278">
        <v>1</v>
      </c>
      <c r="C58" s="279">
        <v>200000</v>
      </c>
      <c r="D58" s="280">
        <f t="shared" si="2"/>
        <v>200000</v>
      </c>
      <c r="E58" s="274"/>
      <c r="F58" s="281"/>
      <c r="G58" s="280">
        <f t="shared" si="3"/>
        <v>0</v>
      </c>
      <c r="H58" s="274"/>
      <c r="I58" s="281"/>
      <c r="J58" s="280">
        <f t="shared" si="4"/>
        <v>0</v>
      </c>
      <c r="K58" s="274"/>
      <c r="L58" s="281"/>
      <c r="M58" s="280">
        <f t="shared" si="5"/>
        <v>0</v>
      </c>
      <c r="N58" s="274"/>
      <c r="O58" s="281"/>
      <c r="P58" s="280">
        <f t="shared" si="6"/>
        <v>0</v>
      </c>
      <c r="Q58" s="274"/>
      <c r="R58" s="281"/>
      <c r="S58" s="280">
        <f t="shared" si="7"/>
        <v>0</v>
      </c>
      <c r="T58" s="282">
        <f t="shared" si="8"/>
        <v>10</v>
      </c>
      <c r="U58" s="271"/>
    </row>
    <row r="59" spans="1:21" s="3" customFormat="1">
      <c r="A59" s="267"/>
      <c r="B59" s="278"/>
      <c r="C59" s="279"/>
      <c r="D59" s="280">
        <f t="shared" si="2"/>
        <v>0</v>
      </c>
      <c r="E59" s="274"/>
      <c r="F59" s="281"/>
      <c r="G59" s="280">
        <f t="shared" si="3"/>
        <v>0</v>
      </c>
      <c r="H59" s="274"/>
      <c r="I59" s="281"/>
      <c r="J59" s="280">
        <f t="shared" si="4"/>
        <v>0</v>
      </c>
      <c r="K59" s="274"/>
      <c r="L59" s="281"/>
      <c r="M59" s="280">
        <f t="shared" si="5"/>
        <v>0</v>
      </c>
      <c r="N59" s="274"/>
      <c r="O59" s="281"/>
      <c r="P59" s="280">
        <f t="shared" si="6"/>
        <v>0</v>
      </c>
      <c r="Q59" s="274"/>
      <c r="R59" s="281"/>
      <c r="S59" s="280">
        <f t="shared" si="7"/>
        <v>0</v>
      </c>
      <c r="T59" s="282">
        <f t="shared" si="8"/>
        <v>10</v>
      </c>
      <c r="U59" s="271"/>
    </row>
    <row r="60" spans="1:21" s="3" customFormat="1">
      <c r="A60" s="267"/>
      <c r="B60" s="278"/>
      <c r="C60" s="279"/>
      <c r="D60" s="280">
        <f t="shared" si="2"/>
        <v>0</v>
      </c>
      <c r="E60" s="274"/>
      <c r="F60" s="281"/>
      <c r="G60" s="280">
        <f t="shared" si="3"/>
        <v>0</v>
      </c>
      <c r="H60" s="274"/>
      <c r="I60" s="281"/>
      <c r="J60" s="280">
        <f t="shared" si="4"/>
        <v>0</v>
      </c>
      <c r="K60" s="274"/>
      <c r="L60" s="281"/>
      <c r="M60" s="280">
        <f t="shared" si="5"/>
        <v>0</v>
      </c>
      <c r="N60" s="274"/>
      <c r="O60" s="281"/>
      <c r="P60" s="280">
        <f t="shared" si="6"/>
        <v>0</v>
      </c>
      <c r="Q60" s="274"/>
      <c r="R60" s="281"/>
      <c r="S60" s="280">
        <f t="shared" si="7"/>
        <v>0</v>
      </c>
      <c r="T60" s="282">
        <f t="shared" si="8"/>
        <v>10</v>
      </c>
      <c r="U60" s="271"/>
    </row>
    <row r="61" spans="1:21" s="3" customFormat="1">
      <c r="A61" s="267"/>
      <c r="B61" s="278"/>
      <c r="C61" s="279"/>
      <c r="D61" s="280">
        <f t="shared" si="2"/>
        <v>0</v>
      </c>
      <c r="E61" s="274"/>
      <c r="F61" s="274"/>
      <c r="G61" s="280">
        <f t="shared" si="3"/>
        <v>0</v>
      </c>
      <c r="H61" s="274"/>
      <c r="I61" s="274"/>
      <c r="J61" s="280">
        <f t="shared" si="4"/>
        <v>0</v>
      </c>
      <c r="K61" s="274"/>
      <c r="L61" s="274"/>
      <c r="M61" s="280">
        <f t="shared" si="5"/>
        <v>0</v>
      </c>
      <c r="N61" s="274"/>
      <c r="O61" s="274"/>
      <c r="P61" s="280">
        <f t="shared" si="6"/>
        <v>0</v>
      </c>
      <c r="Q61" s="274"/>
      <c r="R61" s="274"/>
      <c r="S61" s="280">
        <f t="shared" si="7"/>
        <v>0</v>
      </c>
      <c r="T61" s="282">
        <f t="shared" si="8"/>
        <v>10</v>
      </c>
      <c r="U61" s="271"/>
    </row>
    <row r="62" spans="1:21" s="3" customFormat="1">
      <c r="A62" s="267"/>
      <c r="B62" s="278"/>
      <c r="C62" s="279"/>
      <c r="D62" s="280">
        <f t="shared" si="2"/>
        <v>0</v>
      </c>
      <c r="E62" s="274"/>
      <c r="F62" s="281"/>
      <c r="G62" s="280">
        <f t="shared" si="3"/>
        <v>0</v>
      </c>
      <c r="H62" s="274"/>
      <c r="I62" s="281"/>
      <c r="J62" s="280">
        <f t="shared" si="4"/>
        <v>0</v>
      </c>
      <c r="K62" s="274"/>
      <c r="L62" s="281"/>
      <c r="M62" s="280">
        <f t="shared" si="5"/>
        <v>0</v>
      </c>
      <c r="N62" s="274"/>
      <c r="O62" s="281"/>
      <c r="P62" s="280">
        <f t="shared" si="6"/>
        <v>0</v>
      </c>
      <c r="Q62" s="274"/>
      <c r="R62" s="281"/>
      <c r="S62" s="280">
        <f t="shared" si="7"/>
        <v>0</v>
      </c>
      <c r="T62" s="282">
        <f t="shared" si="8"/>
        <v>10</v>
      </c>
      <c r="U62" s="271"/>
    </row>
    <row r="63" spans="1:21" s="3" customFormat="1">
      <c r="A63" s="267"/>
      <c r="B63" s="278"/>
      <c r="C63" s="279"/>
      <c r="D63" s="280">
        <f t="shared" si="2"/>
        <v>0</v>
      </c>
      <c r="E63" s="274"/>
      <c r="F63" s="274"/>
      <c r="G63" s="280">
        <f t="shared" si="3"/>
        <v>0</v>
      </c>
      <c r="H63" s="274"/>
      <c r="I63" s="274"/>
      <c r="J63" s="280">
        <f t="shared" si="4"/>
        <v>0</v>
      </c>
      <c r="K63" s="274"/>
      <c r="L63" s="274"/>
      <c r="M63" s="280">
        <f t="shared" si="5"/>
        <v>0</v>
      </c>
      <c r="N63" s="274"/>
      <c r="O63" s="274"/>
      <c r="P63" s="280">
        <f t="shared" si="6"/>
        <v>0</v>
      </c>
      <c r="Q63" s="274"/>
      <c r="R63" s="274"/>
      <c r="S63" s="280">
        <f t="shared" si="7"/>
        <v>0</v>
      </c>
      <c r="T63" s="282">
        <f t="shared" si="8"/>
        <v>10</v>
      </c>
      <c r="U63" s="271"/>
    </row>
    <row r="64" spans="1:21" s="3" customFormat="1">
      <c r="A64" s="268"/>
      <c r="B64" s="283"/>
      <c r="C64" s="284"/>
      <c r="D64" s="280">
        <f t="shared" si="2"/>
        <v>0</v>
      </c>
      <c r="E64" s="274"/>
      <c r="F64" s="274"/>
      <c r="G64" s="280">
        <f t="shared" si="3"/>
        <v>0</v>
      </c>
      <c r="H64" s="274"/>
      <c r="I64" s="274"/>
      <c r="J64" s="280">
        <f t="shared" si="4"/>
        <v>0</v>
      </c>
      <c r="K64" s="274"/>
      <c r="L64" s="274"/>
      <c r="M64" s="280">
        <f t="shared" si="5"/>
        <v>0</v>
      </c>
      <c r="N64" s="274"/>
      <c r="O64" s="274"/>
      <c r="P64" s="280">
        <f t="shared" si="6"/>
        <v>0</v>
      </c>
      <c r="Q64" s="274"/>
      <c r="R64" s="274"/>
      <c r="S64" s="280">
        <f t="shared" si="7"/>
        <v>0</v>
      </c>
      <c r="T64" s="282">
        <f t="shared" si="8"/>
        <v>10</v>
      </c>
      <c r="U64" s="271"/>
    </row>
    <row r="65" spans="1:21" s="3" customFormat="1">
      <c r="A65" s="267"/>
      <c r="B65" s="278"/>
      <c r="C65" s="279"/>
      <c r="D65" s="280">
        <f t="shared" si="2"/>
        <v>0</v>
      </c>
      <c r="E65" s="274"/>
      <c r="F65" s="274"/>
      <c r="G65" s="280">
        <f t="shared" si="3"/>
        <v>0</v>
      </c>
      <c r="H65" s="274"/>
      <c r="I65" s="274"/>
      <c r="J65" s="280">
        <f t="shared" si="4"/>
        <v>0</v>
      </c>
      <c r="K65" s="274"/>
      <c r="L65" s="274"/>
      <c r="M65" s="280">
        <f t="shared" si="5"/>
        <v>0</v>
      </c>
      <c r="N65" s="274"/>
      <c r="O65" s="274"/>
      <c r="P65" s="280">
        <f t="shared" si="6"/>
        <v>0</v>
      </c>
      <c r="Q65" s="274"/>
      <c r="R65" s="274"/>
      <c r="S65" s="280">
        <f t="shared" si="7"/>
        <v>0</v>
      </c>
      <c r="T65" s="282">
        <f t="shared" si="8"/>
        <v>10</v>
      </c>
      <c r="U65" s="271"/>
    </row>
    <row r="66" spans="1:21" s="3" customFormat="1">
      <c r="A66" s="269"/>
      <c r="B66" s="278"/>
      <c r="C66" s="279"/>
      <c r="D66" s="280">
        <f t="shared" si="2"/>
        <v>0</v>
      </c>
      <c r="E66" s="274"/>
      <c r="F66" s="274"/>
      <c r="G66" s="280">
        <f t="shared" si="3"/>
        <v>0</v>
      </c>
      <c r="H66" s="274"/>
      <c r="I66" s="274"/>
      <c r="J66" s="280">
        <f t="shared" si="4"/>
        <v>0</v>
      </c>
      <c r="K66" s="274"/>
      <c r="L66" s="274"/>
      <c r="M66" s="280">
        <f t="shared" si="5"/>
        <v>0</v>
      </c>
      <c r="N66" s="274"/>
      <c r="O66" s="274"/>
      <c r="P66" s="280">
        <f t="shared" si="6"/>
        <v>0</v>
      </c>
      <c r="Q66" s="274"/>
      <c r="R66" s="274"/>
      <c r="S66" s="280">
        <f t="shared" si="7"/>
        <v>0</v>
      </c>
      <c r="T66" s="282">
        <f t="shared" si="8"/>
        <v>10</v>
      </c>
      <c r="U66" s="271"/>
    </row>
    <row r="67" spans="1:21" s="3" customFormat="1">
      <c r="A67" s="269"/>
      <c r="B67" s="278"/>
      <c r="C67" s="279"/>
      <c r="D67" s="280">
        <f t="shared" si="2"/>
        <v>0</v>
      </c>
      <c r="E67" s="274"/>
      <c r="F67" s="274"/>
      <c r="G67" s="280">
        <f t="shared" si="3"/>
        <v>0</v>
      </c>
      <c r="H67" s="274"/>
      <c r="I67" s="274"/>
      <c r="J67" s="280">
        <f t="shared" si="4"/>
        <v>0</v>
      </c>
      <c r="K67" s="274"/>
      <c r="L67" s="274"/>
      <c r="M67" s="280">
        <f t="shared" si="5"/>
        <v>0</v>
      </c>
      <c r="N67" s="274"/>
      <c r="O67" s="274"/>
      <c r="P67" s="280">
        <f t="shared" si="6"/>
        <v>0</v>
      </c>
      <c r="Q67" s="274"/>
      <c r="R67" s="274"/>
      <c r="S67" s="280">
        <f t="shared" si="7"/>
        <v>0</v>
      </c>
      <c r="T67" s="282">
        <f t="shared" si="8"/>
        <v>10</v>
      </c>
      <c r="U67" s="271"/>
    </row>
    <row r="68" spans="1:21" s="3" customFormat="1">
      <c r="A68" s="269"/>
      <c r="B68" s="278"/>
      <c r="C68" s="279"/>
      <c r="D68" s="280">
        <f t="shared" si="2"/>
        <v>0</v>
      </c>
      <c r="E68" s="274"/>
      <c r="F68" s="274"/>
      <c r="G68" s="280">
        <f t="shared" si="3"/>
        <v>0</v>
      </c>
      <c r="H68" s="274"/>
      <c r="I68" s="274"/>
      <c r="J68" s="280">
        <f t="shared" si="4"/>
        <v>0</v>
      </c>
      <c r="K68" s="274"/>
      <c r="L68" s="274"/>
      <c r="M68" s="280">
        <f t="shared" si="5"/>
        <v>0</v>
      </c>
      <c r="N68" s="274"/>
      <c r="O68" s="274"/>
      <c r="P68" s="280">
        <f t="shared" si="6"/>
        <v>0</v>
      </c>
      <c r="Q68" s="274"/>
      <c r="R68" s="274"/>
      <c r="S68" s="280">
        <f t="shared" si="7"/>
        <v>0</v>
      </c>
      <c r="T68" s="282">
        <f t="shared" si="8"/>
        <v>10</v>
      </c>
      <c r="U68" s="271"/>
    </row>
    <row r="69" spans="1:21" s="3" customFormat="1">
      <c r="A69" s="269"/>
      <c r="B69" s="278"/>
      <c r="C69" s="279"/>
      <c r="D69" s="280">
        <f t="shared" si="2"/>
        <v>0</v>
      </c>
      <c r="E69" s="274"/>
      <c r="F69" s="274"/>
      <c r="G69" s="280">
        <f t="shared" si="3"/>
        <v>0</v>
      </c>
      <c r="H69" s="274"/>
      <c r="I69" s="274"/>
      <c r="J69" s="280">
        <f t="shared" si="4"/>
        <v>0</v>
      </c>
      <c r="K69" s="274"/>
      <c r="L69" s="274"/>
      <c r="M69" s="280">
        <f t="shared" si="5"/>
        <v>0</v>
      </c>
      <c r="N69" s="274"/>
      <c r="O69" s="274"/>
      <c r="P69" s="280">
        <f t="shared" si="6"/>
        <v>0</v>
      </c>
      <c r="Q69" s="274"/>
      <c r="R69" s="274"/>
      <c r="S69" s="280">
        <f t="shared" si="7"/>
        <v>0</v>
      </c>
      <c r="T69" s="282">
        <f t="shared" si="8"/>
        <v>10</v>
      </c>
      <c r="U69" s="271"/>
    </row>
    <row r="70" spans="1:21" s="3" customFormat="1">
      <c r="A70" s="269"/>
      <c r="B70" s="278"/>
      <c r="C70" s="279"/>
      <c r="D70" s="280">
        <f t="shared" si="2"/>
        <v>0</v>
      </c>
      <c r="E70" s="274"/>
      <c r="F70" s="281"/>
      <c r="G70" s="280">
        <f t="shared" si="3"/>
        <v>0</v>
      </c>
      <c r="H70" s="274"/>
      <c r="I70" s="281"/>
      <c r="J70" s="280">
        <f t="shared" si="4"/>
        <v>0</v>
      </c>
      <c r="K70" s="274"/>
      <c r="L70" s="281"/>
      <c r="M70" s="280">
        <f t="shared" si="5"/>
        <v>0</v>
      </c>
      <c r="N70" s="274"/>
      <c r="O70" s="281"/>
      <c r="P70" s="280">
        <f t="shared" si="6"/>
        <v>0</v>
      </c>
      <c r="Q70" s="274"/>
      <c r="R70" s="281"/>
      <c r="S70" s="280">
        <f t="shared" si="7"/>
        <v>0</v>
      </c>
      <c r="T70" s="282">
        <f t="shared" si="8"/>
        <v>10</v>
      </c>
      <c r="U70" s="271"/>
    </row>
    <row r="71" spans="1:21" s="3" customFormat="1">
      <c r="A71" s="269"/>
      <c r="B71" s="278"/>
      <c r="C71" s="279"/>
      <c r="D71" s="280">
        <f t="shared" si="2"/>
        <v>0</v>
      </c>
      <c r="E71" s="274"/>
      <c r="F71" s="281"/>
      <c r="G71" s="280">
        <f t="shared" si="3"/>
        <v>0</v>
      </c>
      <c r="H71" s="274"/>
      <c r="I71" s="281"/>
      <c r="J71" s="280">
        <f t="shared" si="4"/>
        <v>0</v>
      </c>
      <c r="K71" s="274"/>
      <c r="L71" s="281"/>
      <c r="M71" s="280">
        <f t="shared" si="5"/>
        <v>0</v>
      </c>
      <c r="N71" s="274"/>
      <c r="O71" s="281"/>
      <c r="P71" s="280">
        <f t="shared" si="6"/>
        <v>0</v>
      </c>
      <c r="Q71" s="274"/>
      <c r="R71" s="281"/>
      <c r="S71" s="280">
        <f t="shared" si="7"/>
        <v>0</v>
      </c>
      <c r="T71" s="282">
        <f t="shared" si="8"/>
        <v>10</v>
      </c>
      <c r="U71" s="271"/>
    </row>
    <row r="72" spans="1:21" s="3" customFormat="1">
      <c r="A72" s="269"/>
      <c r="B72" s="278"/>
      <c r="C72" s="279"/>
      <c r="D72" s="280">
        <f t="shared" si="2"/>
        <v>0</v>
      </c>
      <c r="E72" s="274"/>
      <c r="F72" s="281"/>
      <c r="G72" s="280">
        <f t="shared" si="3"/>
        <v>0</v>
      </c>
      <c r="H72" s="274"/>
      <c r="I72" s="281"/>
      <c r="J72" s="280">
        <f t="shared" si="4"/>
        <v>0</v>
      </c>
      <c r="K72" s="274"/>
      <c r="L72" s="281"/>
      <c r="M72" s="280">
        <f t="shared" si="5"/>
        <v>0</v>
      </c>
      <c r="N72" s="274"/>
      <c r="O72" s="281"/>
      <c r="P72" s="280">
        <f t="shared" si="6"/>
        <v>0</v>
      </c>
      <c r="Q72" s="274"/>
      <c r="R72" s="281"/>
      <c r="S72" s="280">
        <f t="shared" si="7"/>
        <v>0</v>
      </c>
      <c r="T72" s="282">
        <f t="shared" si="8"/>
        <v>10</v>
      </c>
      <c r="U72" s="271"/>
    </row>
    <row r="73" spans="1:21" s="3" customFormat="1">
      <c r="A73" s="269"/>
      <c r="B73" s="278"/>
      <c r="C73" s="279"/>
      <c r="D73" s="280">
        <f t="shared" si="2"/>
        <v>0</v>
      </c>
      <c r="E73" s="274"/>
      <c r="F73" s="274"/>
      <c r="G73" s="280">
        <f t="shared" si="3"/>
        <v>0</v>
      </c>
      <c r="H73" s="274"/>
      <c r="I73" s="274"/>
      <c r="J73" s="280">
        <f t="shared" si="4"/>
        <v>0</v>
      </c>
      <c r="K73" s="274"/>
      <c r="L73" s="274"/>
      <c r="M73" s="280">
        <f t="shared" si="5"/>
        <v>0</v>
      </c>
      <c r="N73" s="274"/>
      <c r="O73" s="274"/>
      <c r="P73" s="280">
        <f t="shared" si="6"/>
        <v>0</v>
      </c>
      <c r="Q73" s="274"/>
      <c r="R73" s="274"/>
      <c r="S73" s="280">
        <f t="shared" si="7"/>
        <v>0</v>
      </c>
      <c r="T73" s="282">
        <f t="shared" si="8"/>
        <v>10</v>
      </c>
      <c r="U73" s="271"/>
    </row>
    <row r="74" spans="1:21" s="3" customFormat="1">
      <c r="A74" s="269"/>
      <c r="B74" s="278"/>
      <c r="C74" s="279"/>
      <c r="D74" s="280">
        <f t="shared" si="2"/>
        <v>0</v>
      </c>
      <c r="E74" s="274"/>
      <c r="F74" s="274"/>
      <c r="G74" s="280">
        <f t="shared" si="3"/>
        <v>0</v>
      </c>
      <c r="H74" s="274"/>
      <c r="I74" s="274"/>
      <c r="J74" s="280">
        <f t="shared" si="4"/>
        <v>0</v>
      </c>
      <c r="K74" s="274"/>
      <c r="L74" s="274"/>
      <c r="M74" s="280">
        <f t="shared" si="5"/>
        <v>0</v>
      </c>
      <c r="N74" s="274"/>
      <c r="O74" s="274"/>
      <c r="P74" s="280">
        <f t="shared" si="6"/>
        <v>0</v>
      </c>
      <c r="Q74" s="274"/>
      <c r="R74" s="274"/>
      <c r="S74" s="280">
        <f t="shared" si="7"/>
        <v>0</v>
      </c>
      <c r="T74" s="282">
        <f t="shared" si="8"/>
        <v>10</v>
      </c>
      <c r="U74" s="271"/>
    </row>
    <row r="75" spans="1:21" s="3" customFormat="1">
      <c r="A75" s="269"/>
      <c r="B75" s="278"/>
      <c r="C75" s="279"/>
      <c r="D75" s="280">
        <f t="shared" si="2"/>
        <v>0</v>
      </c>
      <c r="E75" s="274"/>
      <c r="F75" s="274"/>
      <c r="G75" s="280">
        <f t="shared" si="3"/>
        <v>0</v>
      </c>
      <c r="H75" s="274"/>
      <c r="I75" s="274"/>
      <c r="J75" s="280">
        <f t="shared" si="4"/>
        <v>0</v>
      </c>
      <c r="K75" s="274"/>
      <c r="L75" s="274"/>
      <c r="M75" s="280">
        <f t="shared" si="5"/>
        <v>0</v>
      </c>
      <c r="N75" s="274"/>
      <c r="O75" s="274"/>
      <c r="P75" s="280">
        <f t="shared" si="6"/>
        <v>0</v>
      </c>
      <c r="Q75" s="274"/>
      <c r="R75" s="274"/>
      <c r="S75" s="280">
        <f t="shared" si="7"/>
        <v>0</v>
      </c>
      <c r="T75" s="282">
        <f t="shared" si="8"/>
        <v>10</v>
      </c>
      <c r="U75" s="271"/>
    </row>
    <row r="76" spans="1:21" s="3" customFormat="1">
      <c r="A76" s="269"/>
      <c r="B76" s="278"/>
      <c r="C76" s="279"/>
      <c r="D76" s="280">
        <f t="shared" si="2"/>
        <v>0</v>
      </c>
      <c r="E76" s="274"/>
      <c r="F76" s="274"/>
      <c r="G76" s="280">
        <f t="shared" si="3"/>
        <v>0</v>
      </c>
      <c r="H76" s="274"/>
      <c r="I76" s="274"/>
      <c r="J76" s="280">
        <f t="shared" si="4"/>
        <v>0</v>
      </c>
      <c r="K76" s="274"/>
      <c r="L76" s="274"/>
      <c r="M76" s="280">
        <f t="shared" si="5"/>
        <v>0</v>
      </c>
      <c r="N76" s="274"/>
      <c r="O76" s="274"/>
      <c r="P76" s="280">
        <f t="shared" si="6"/>
        <v>0</v>
      </c>
      <c r="Q76" s="274"/>
      <c r="R76" s="274"/>
      <c r="S76" s="280">
        <f t="shared" si="7"/>
        <v>0</v>
      </c>
      <c r="T76" s="282">
        <f t="shared" si="8"/>
        <v>10</v>
      </c>
      <c r="U76" s="271"/>
    </row>
    <row r="77" spans="1:21" s="3" customFormat="1">
      <c r="A77" s="269"/>
      <c r="B77" s="278"/>
      <c r="C77" s="279"/>
      <c r="D77" s="280">
        <f t="shared" si="2"/>
        <v>0</v>
      </c>
      <c r="E77" s="274"/>
      <c r="F77" s="274"/>
      <c r="G77" s="280">
        <f t="shared" si="3"/>
        <v>0</v>
      </c>
      <c r="H77" s="274"/>
      <c r="I77" s="274"/>
      <c r="J77" s="280">
        <f t="shared" si="4"/>
        <v>0</v>
      </c>
      <c r="K77" s="274"/>
      <c r="L77" s="274"/>
      <c r="M77" s="280">
        <f t="shared" si="5"/>
        <v>0</v>
      </c>
      <c r="N77" s="274"/>
      <c r="O77" s="274"/>
      <c r="P77" s="280">
        <f t="shared" si="6"/>
        <v>0</v>
      </c>
      <c r="Q77" s="274"/>
      <c r="R77" s="274"/>
      <c r="S77" s="280">
        <f t="shared" si="7"/>
        <v>0</v>
      </c>
      <c r="T77" s="282">
        <f t="shared" si="8"/>
        <v>10</v>
      </c>
      <c r="U77" s="271"/>
    </row>
    <row r="78" spans="1:21" s="3" customFormat="1">
      <c r="A78" s="269"/>
      <c r="B78" s="278"/>
      <c r="C78" s="279"/>
      <c r="D78" s="280">
        <f t="shared" si="2"/>
        <v>0</v>
      </c>
      <c r="E78" s="274"/>
      <c r="F78" s="274"/>
      <c r="G78" s="280">
        <f t="shared" si="3"/>
        <v>0</v>
      </c>
      <c r="H78" s="274"/>
      <c r="I78" s="274"/>
      <c r="J78" s="280">
        <f t="shared" si="4"/>
        <v>0</v>
      </c>
      <c r="K78" s="274"/>
      <c r="L78" s="274"/>
      <c r="M78" s="280">
        <f t="shared" si="5"/>
        <v>0</v>
      </c>
      <c r="N78" s="274"/>
      <c r="O78" s="274"/>
      <c r="P78" s="280">
        <f t="shared" si="6"/>
        <v>0</v>
      </c>
      <c r="Q78" s="274"/>
      <c r="R78" s="274"/>
      <c r="S78" s="280">
        <f t="shared" si="7"/>
        <v>0</v>
      </c>
      <c r="T78" s="282">
        <f t="shared" si="8"/>
        <v>10</v>
      </c>
      <c r="U78" s="271"/>
    </row>
    <row r="79" spans="1:21" s="3" customFormat="1">
      <c r="A79" s="269"/>
      <c r="B79" s="278"/>
      <c r="C79" s="279"/>
      <c r="D79" s="280">
        <f t="shared" si="2"/>
        <v>0</v>
      </c>
      <c r="E79" s="274"/>
      <c r="F79" s="281"/>
      <c r="G79" s="280">
        <f t="shared" si="3"/>
        <v>0</v>
      </c>
      <c r="H79" s="274"/>
      <c r="I79" s="281"/>
      <c r="J79" s="280">
        <f t="shared" si="4"/>
        <v>0</v>
      </c>
      <c r="K79" s="274"/>
      <c r="L79" s="281"/>
      <c r="M79" s="280">
        <f t="shared" si="5"/>
        <v>0</v>
      </c>
      <c r="N79" s="274"/>
      <c r="O79" s="281"/>
      <c r="P79" s="280">
        <f t="shared" si="6"/>
        <v>0</v>
      </c>
      <c r="Q79" s="274"/>
      <c r="R79" s="281"/>
      <c r="S79" s="280">
        <f t="shared" si="7"/>
        <v>0</v>
      </c>
      <c r="T79" s="282">
        <f t="shared" si="8"/>
        <v>10</v>
      </c>
      <c r="U79" s="271"/>
    </row>
    <row r="80" spans="1:21" s="3" customFormat="1">
      <c r="A80" s="269"/>
      <c r="B80" s="278"/>
      <c r="C80" s="279"/>
      <c r="D80" s="280">
        <f t="shared" si="2"/>
        <v>0</v>
      </c>
      <c r="E80" s="274"/>
      <c r="F80" s="281"/>
      <c r="G80" s="280">
        <f t="shared" si="3"/>
        <v>0</v>
      </c>
      <c r="H80" s="274"/>
      <c r="I80" s="281"/>
      <c r="J80" s="280">
        <f t="shared" si="4"/>
        <v>0</v>
      </c>
      <c r="K80" s="274"/>
      <c r="L80" s="281"/>
      <c r="M80" s="280">
        <f t="shared" si="5"/>
        <v>0</v>
      </c>
      <c r="N80" s="274"/>
      <c r="O80" s="281"/>
      <c r="P80" s="280">
        <f t="shared" si="6"/>
        <v>0</v>
      </c>
      <c r="Q80" s="274"/>
      <c r="R80" s="281"/>
      <c r="S80" s="280">
        <f t="shared" si="7"/>
        <v>0</v>
      </c>
      <c r="T80" s="282">
        <f t="shared" si="8"/>
        <v>10</v>
      </c>
      <c r="U80" s="271"/>
    </row>
    <row r="81" spans="1:21" s="3" customFormat="1">
      <c r="A81" s="269"/>
      <c r="B81" s="278"/>
      <c r="C81" s="279"/>
      <c r="D81" s="280">
        <f t="shared" si="2"/>
        <v>0</v>
      </c>
      <c r="E81" s="274"/>
      <c r="F81" s="281"/>
      <c r="G81" s="280">
        <f t="shared" si="3"/>
        <v>0</v>
      </c>
      <c r="H81" s="274"/>
      <c r="I81" s="281"/>
      <c r="J81" s="280">
        <f t="shared" si="4"/>
        <v>0</v>
      </c>
      <c r="K81" s="274"/>
      <c r="L81" s="281"/>
      <c r="M81" s="280">
        <f t="shared" si="5"/>
        <v>0</v>
      </c>
      <c r="N81" s="274"/>
      <c r="O81" s="281"/>
      <c r="P81" s="280">
        <f t="shared" si="6"/>
        <v>0</v>
      </c>
      <c r="Q81" s="274"/>
      <c r="R81" s="281"/>
      <c r="S81" s="280">
        <f t="shared" si="7"/>
        <v>0</v>
      </c>
      <c r="T81" s="282">
        <f t="shared" si="8"/>
        <v>10</v>
      </c>
      <c r="U81" s="271"/>
    </row>
    <row r="82" spans="1:21" s="3" customFormat="1">
      <c r="A82" s="269"/>
      <c r="B82" s="278"/>
      <c r="C82" s="279"/>
      <c r="D82" s="280">
        <f t="shared" si="2"/>
        <v>0</v>
      </c>
      <c r="E82" s="274">
        <v>0</v>
      </c>
      <c r="F82" s="274"/>
      <c r="G82" s="280">
        <f t="shared" si="3"/>
        <v>0</v>
      </c>
      <c r="H82" s="274"/>
      <c r="I82" s="274"/>
      <c r="J82" s="280">
        <f t="shared" si="4"/>
        <v>0</v>
      </c>
      <c r="K82" s="274">
        <v>1</v>
      </c>
      <c r="L82" s="274"/>
      <c r="M82" s="280">
        <f t="shared" si="5"/>
        <v>0</v>
      </c>
      <c r="N82" s="274">
        <v>1</v>
      </c>
      <c r="O82" s="274"/>
      <c r="P82" s="280">
        <f t="shared" si="6"/>
        <v>0</v>
      </c>
      <c r="Q82" s="274">
        <v>1</v>
      </c>
      <c r="R82" s="274"/>
      <c r="S82" s="280">
        <f t="shared" si="7"/>
        <v>0</v>
      </c>
      <c r="T82" s="282">
        <f t="shared" si="8"/>
        <v>10</v>
      </c>
      <c r="U82" s="271"/>
    </row>
    <row r="83" spans="1:21" s="3" customFormat="1">
      <c r="A83" s="269"/>
      <c r="B83" s="278"/>
      <c r="C83" s="279"/>
      <c r="D83" s="280">
        <f t="shared" si="2"/>
        <v>0</v>
      </c>
      <c r="E83" s="274"/>
      <c r="F83" s="274"/>
      <c r="G83" s="280">
        <f t="shared" si="3"/>
        <v>0</v>
      </c>
      <c r="H83" s="274"/>
      <c r="I83" s="274"/>
      <c r="J83" s="280">
        <f t="shared" si="4"/>
        <v>0</v>
      </c>
      <c r="K83" s="274"/>
      <c r="L83" s="274"/>
      <c r="M83" s="280">
        <f t="shared" si="5"/>
        <v>0</v>
      </c>
      <c r="N83" s="274"/>
      <c r="O83" s="274"/>
      <c r="P83" s="280">
        <f t="shared" si="6"/>
        <v>0</v>
      </c>
      <c r="Q83" s="274"/>
      <c r="R83" s="274"/>
      <c r="S83" s="280">
        <f t="shared" si="7"/>
        <v>0</v>
      </c>
      <c r="T83" s="282">
        <f t="shared" si="8"/>
        <v>10</v>
      </c>
      <c r="U83" s="271"/>
    </row>
    <row r="84" spans="1:21" s="3" customFormat="1">
      <c r="A84" s="269"/>
      <c r="B84" s="278"/>
      <c r="C84" s="279"/>
      <c r="D84" s="280">
        <f t="shared" si="2"/>
        <v>0</v>
      </c>
      <c r="E84" s="274"/>
      <c r="F84" s="274"/>
      <c r="G84" s="280">
        <f t="shared" si="3"/>
        <v>0</v>
      </c>
      <c r="H84" s="274"/>
      <c r="I84" s="274"/>
      <c r="J84" s="280">
        <f t="shared" si="4"/>
        <v>0</v>
      </c>
      <c r="K84" s="274"/>
      <c r="L84" s="274"/>
      <c r="M84" s="280">
        <f t="shared" si="5"/>
        <v>0</v>
      </c>
      <c r="N84" s="274"/>
      <c r="O84" s="274"/>
      <c r="P84" s="280">
        <f t="shared" si="6"/>
        <v>0</v>
      </c>
      <c r="Q84" s="274"/>
      <c r="R84" s="274"/>
      <c r="S84" s="280">
        <f t="shared" si="7"/>
        <v>0</v>
      </c>
      <c r="T84" s="282">
        <f t="shared" si="8"/>
        <v>10</v>
      </c>
      <c r="U84" s="271"/>
    </row>
    <row r="85" spans="1:21" s="3" customFormat="1">
      <c r="A85" s="269"/>
      <c r="B85" s="278"/>
      <c r="C85" s="279"/>
      <c r="D85" s="280">
        <f t="shared" si="2"/>
        <v>0</v>
      </c>
      <c r="E85" s="274"/>
      <c r="F85" s="274"/>
      <c r="G85" s="280">
        <f t="shared" si="3"/>
        <v>0</v>
      </c>
      <c r="H85" s="274"/>
      <c r="I85" s="274"/>
      <c r="J85" s="280">
        <f t="shared" si="4"/>
        <v>0</v>
      </c>
      <c r="K85" s="274"/>
      <c r="L85" s="274"/>
      <c r="M85" s="280">
        <f t="shared" si="5"/>
        <v>0</v>
      </c>
      <c r="N85" s="274"/>
      <c r="O85" s="274"/>
      <c r="P85" s="280">
        <f t="shared" si="6"/>
        <v>0</v>
      </c>
      <c r="Q85" s="274"/>
      <c r="R85" s="274"/>
      <c r="S85" s="280">
        <f t="shared" si="7"/>
        <v>0</v>
      </c>
      <c r="T85" s="282">
        <f t="shared" si="8"/>
        <v>10</v>
      </c>
      <c r="U85" s="271"/>
    </row>
    <row r="86" spans="1:21" s="3" customFormat="1">
      <c r="A86" s="269"/>
      <c r="B86" s="278"/>
      <c r="C86" s="279"/>
      <c r="D86" s="280">
        <f t="shared" si="2"/>
        <v>0</v>
      </c>
      <c r="E86" s="274"/>
      <c r="F86" s="274"/>
      <c r="G86" s="280">
        <f t="shared" si="3"/>
        <v>0</v>
      </c>
      <c r="H86" s="274"/>
      <c r="I86" s="274"/>
      <c r="J86" s="280">
        <f t="shared" si="4"/>
        <v>0</v>
      </c>
      <c r="K86" s="274"/>
      <c r="L86" s="274"/>
      <c r="M86" s="280">
        <f t="shared" si="5"/>
        <v>0</v>
      </c>
      <c r="N86" s="274"/>
      <c r="O86" s="274"/>
      <c r="P86" s="280">
        <f t="shared" si="6"/>
        <v>0</v>
      </c>
      <c r="Q86" s="274"/>
      <c r="R86" s="274"/>
      <c r="S86" s="280">
        <f t="shared" si="7"/>
        <v>0</v>
      </c>
      <c r="T86" s="282">
        <f t="shared" si="8"/>
        <v>10</v>
      </c>
      <c r="U86" s="271"/>
    </row>
    <row r="87" spans="1:21" s="3" customFormat="1">
      <c r="A87" s="269"/>
      <c r="B87" s="278"/>
      <c r="C87" s="279"/>
      <c r="D87" s="280">
        <f t="shared" si="2"/>
        <v>0</v>
      </c>
      <c r="E87" s="274"/>
      <c r="F87" s="274"/>
      <c r="G87" s="280">
        <f t="shared" si="3"/>
        <v>0</v>
      </c>
      <c r="H87" s="274"/>
      <c r="I87" s="274"/>
      <c r="J87" s="280">
        <f t="shared" si="4"/>
        <v>0</v>
      </c>
      <c r="K87" s="274"/>
      <c r="L87" s="274"/>
      <c r="M87" s="280">
        <f t="shared" si="5"/>
        <v>0</v>
      </c>
      <c r="N87" s="274"/>
      <c r="O87" s="274"/>
      <c r="P87" s="280">
        <f t="shared" si="6"/>
        <v>0</v>
      </c>
      <c r="Q87" s="274"/>
      <c r="R87" s="274"/>
      <c r="S87" s="280">
        <f t="shared" si="7"/>
        <v>0</v>
      </c>
      <c r="T87" s="282">
        <f t="shared" si="8"/>
        <v>10</v>
      </c>
      <c r="U87" s="271"/>
    </row>
    <row r="88" spans="1:21" s="3" customFormat="1">
      <c r="A88" s="269"/>
      <c r="B88" s="278"/>
      <c r="C88" s="279"/>
      <c r="D88" s="280">
        <f t="shared" si="2"/>
        <v>0</v>
      </c>
      <c r="E88" s="274"/>
      <c r="F88" s="274"/>
      <c r="G88" s="280">
        <f t="shared" si="3"/>
        <v>0</v>
      </c>
      <c r="H88" s="274"/>
      <c r="I88" s="274"/>
      <c r="J88" s="280">
        <f t="shared" si="4"/>
        <v>0</v>
      </c>
      <c r="K88" s="274"/>
      <c r="L88" s="274"/>
      <c r="M88" s="280">
        <f t="shared" si="5"/>
        <v>0</v>
      </c>
      <c r="N88" s="274"/>
      <c r="O88" s="274"/>
      <c r="P88" s="280">
        <f t="shared" si="6"/>
        <v>0</v>
      </c>
      <c r="Q88" s="274"/>
      <c r="R88" s="274"/>
      <c r="S88" s="280">
        <f t="shared" si="7"/>
        <v>0</v>
      </c>
      <c r="T88" s="282">
        <f t="shared" si="8"/>
        <v>10</v>
      </c>
      <c r="U88" s="271"/>
    </row>
    <row r="89" spans="1:21" s="3" customFormat="1">
      <c r="A89" s="269"/>
      <c r="B89" s="278"/>
      <c r="C89" s="279"/>
      <c r="D89" s="280">
        <f t="shared" si="2"/>
        <v>0</v>
      </c>
      <c r="E89" s="274"/>
      <c r="F89" s="274"/>
      <c r="G89" s="280">
        <f t="shared" si="3"/>
        <v>0</v>
      </c>
      <c r="H89" s="274"/>
      <c r="I89" s="274"/>
      <c r="J89" s="280">
        <f t="shared" si="4"/>
        <v>0</v>
      </c>
      <c r="K89" s="274"/>
      <c r="L89" s="274"/>
      <c r="M89" s="280">
        <f t="shared" si="5"/>
        <v>0</v>
      </c>
      <c r="N89" s="274"/>
      <c r="O89" s="274"/>
      <c r="P89" s="280">
        <f t="shared" si="6"/>
        <v>0</v>
      </c>
      <c r="Q89" s="274"/>
      <c r="R89" s="274"/>
      <c r="S89" s="280">
        <f t="shared" si="7"/>
        <v>0</v>
      </c>
      <c r="T89" s="282">
        <f t="shared" si="8"/>
        <v>10</v>
      </c>
      <c r="U89" s="271"/>
    </row>
    <row r="90" spans="1:21" s="3" customFormat="1">
      <c r="A90" s="269"/>
      <c r="B90" s="278"/>
      <c r="C90" s="279"/>
      <c r="D90" s="280">
        <f t="shared" si="2"/>
        <v>0</v>
      </c>
      <c r="E90" s="274"/>
      <c r="F90" s="274"/>
      <c r="G90" s="280">
        <f t="shared" si="3"/>
        <v>0</v>
      </c>
      <c r="H90" s="274"/>
      <c r="I90" s="274"/>
      <c r="J90" s="280">
        <f t="shared" si="4"/>
        <v>0</v>
      </c>
      <c r="K90" s="274"/>
      <c r="L90" s="274"/>
      <c r="M90" s="280">
        <f t="shared" si="5"/>
        <v>0</v>
      </c>
      <c r="N90" s="274"/>
      <c r="O90" s="274"/>
      <c r="P90" s="280">
        <f t="shared" si="6"/>
        <v>0</v>
      </c>
      <c r="Q90" s="274"/>
      <c r="R90" s="274"/>
      <c r="S90" s="280">
        <f t="shared" si="7"/>
        <v>0</v>
      </c>
      <c r="T90" s="282">
        <f t="shared" si="8"/>
        <v>10</v>
      </c>
      <c r="U90" s="271"/>
    </row>
    <row r="91" spans="1:21" s="3" customFormat="1">
      <c r="A91" s="269"/>
      <c r="B91" s="278"/>
      <c r="C91" s="279"/>
      <c r="D91" s="280">
        <f t="shared" si="2"/>
        <v>0</v>
      </c>
      <c r="E91" s="274"/>
      <c r="F91" s="274"/>
      <c r="G91" s="280">
        <f t="shared" si="3"/>
        <v>0</v>
      </c>
      <c r="H91" s="274"/>
      <c r="I91" s="274"/>
      <c r="J91" s="280">
        <f t="shared" si="4"/>
        <v>0</v>
      </c>
      <c r="K91" s="274"/>
      <c r="L91" s="274"/>
      <c r="M91" s="280">
        <f t="shared" si="5"/>
        <v>0</v>
      </c>
      <c r="N91" s="274"/>
      <c r="O91" s="274"/>
      <c r="P91" s="280">
        <f t="shared" si="6"/>
        <v>0</v>
      </c>
      <c r="Q91" s="274"/>
      <c r="R91" s="274"/>
      <c r="S91" s="280">
        <f t="shared" si="7"/>
        <v>0</v>
      </c>
      <c r="T91" s="282">
        <f t="shared" si="8"/>
        <v>10</v>
      </c>
      <c r="U91" s="271"/>
    </row>
    <row r="92" spans="1:21" s="3" customFormat="1">
      <c r="A92" s="269"/>
      <c r="B92" s="278"/>
      <c r="C92" s="279"/>
      <c r="D92" s="280">
        <f t="shared" si="2"/>
        <v>0</v>
      </c>
      <c r="E92" s="274"/>
      <c r="F92" s="274"/>
      <c r="G92" s="280">
        <f t="shared" si="3"/>
        <v>0</v>
      </c>
      <c r="H92" s="274"/>
      <c r="I92" s="274"/>
      <c r="J92" s="280">
        <f t="shared" si="4"/>
        <v>0</v>
      </c>
      <c r="K92" s="274"/>
      <c r="L92" s="274"/>
      <c r="M92" s="280">
        <f t="shared" si="5"/>
        <v>0</v>
      </c>
      <c r="N92" s="274"/>
      <c r="O92" s="274"/>
      <c r="P92" s="280">
        <f t="shared" si="6"/>
        <v>0</v>
      </c>
      <c r="Q92" s="274"/>
      <c r="R92" s="274"/>
      <c r="S92" s="280">
        <f t="shared" si="7"/>
        <v>0</v>
      </c>
      <c r="T92" s="282">
        <f t="shared" si="8"/>
        <v>10</v>
      </c>
      <c r="U92" s="271"/>
    </row>
    <row r="93" spans="1:21" s="3" customFormat="1">
      <c r="A93" s="269"/>
      <c r="B93" s="278"/>
      <c r="C93" s="279"/>
      <c r="D93" s="280">
        <f t="shared" si="2"/>
        <v>0</v>
      </c>
      <c r="E93" s="274"/>
      <c r="F93" s="274"/>
      <c r="G93" s="280">
        <f t="shared" si="3"/>
        <v>0</v>
      </c>
      <c r="H93" s="274"/>
      <c r="I93" s="274"/>
      <c r="J93" s="280">
        <f t="shared" si="4"/>
        <v>0</v>
      </c>
      <c r="K93" s="274"/>
      <c r="L93" s="274"/>
      <c r="M93" s="280">
        <f t="shared" si="5"/>
        <v>0</v>
      </c>
      <c r="N93" s="274"/>
      <c r="O93" s="274"/>
      <c r="P93" s="280">
        <f t="shared" si="6"/>
        <v>0</v>
      </c>
      <c r="Q93" s="274"/>
      <c r="R93" s="274"/>
      <c r="S93" s="280">
        <f t="shared" si="7"/>
        <v>0</v>
      </c>
      <c r="T93" s="282">
        <f t="shared" si="8"/>
        <v>10</v>
      </c>
      <c r="U93" s="271"/>
    </row>
    <row r="94" spans="1:21" s="3" customFormat="1">
      <c r="A94" s="269"/>
      <c r="B94" s="278"/>
      <c r="C94" s="279"/>
      <c r="D94" s="280">
        <f t="shared" si="2"/>
        <v>0</v>
      </c>
      <c r="E94" s="274"/>
      <c r="F94" s="274"/>
      <c r="G94" s="280">
        <f t="shared" si="3"/>
        <v>0</v>
      </c>
      <c r="H94" s="274"/>
      <c r="I94" s="274"/>
      <c r="J94" s="280">
        <f t="shared" si="4"/>
        <v>0</v>
      </c>
      <c r="K94" s="274"/>
      <c r="L94" s="274"/>
      <c r="M94" s="280">
        <f t="shared" si="5"/>
        <v>0</v>
      </c>
      <c r="N94" s="274"/>
      <c r="O94" s="274"/>
      <c r="P94" s="280">
        <f t="shared" si="6"/>
        <v>0</v>
      </c>
      <c r="Q94" s="274"/>
      <c r="R94" s="274"/>
      <c r="S94" s="280">
        <f t="shared" si="7"/>
        <v>0</v>
      </c>
      <c r="T94" s="282">
        <f t="shared" si="8"/>
        <v>10</v>
      </c>
      <c r="U94" s="271"/>
    </row>
    <row r="95" spans="1:21" s="3" customFormat="1">
      <c r="A95" s="307" t="s">
        <v>222</v>
      </c>
      <c r="B95" s="308"/>
      <c r="C95" s="308"/>
      <c r="D95" s="333">
        <f>SUM(D55:D94)</f>
        <v>2300000</v>
      </c>
      <c r="E95" s="308"/>
      <c r="F95" s="308"/>
      <c r="G95" s="333">
        <f>SUM(G55:G94)</f>
        <v>1950000</v>
      </c>
      <c r="H95" s="308"/>
      <c r="I95" s="308"/>
      <c r="J95" s="333">
        <f>SUM(J55:J94)</f>
        <v>1800000</v>
      </c>
      <c r="K95" s="308"/>
      <c r="L95" s="308"/>
      <c r="M95" s="333">
        <f>SUM(M55:M94)</f>
        <v>0</v>
      </c>
      <c r="N95" s="308"/>
      <c r="O95" s="308"/>
      <c r="P95" s="333">
        <f>SUM(P55:P94)</f>
        <v>0</v>
      </c>
      <c r="Q95" s="308"/>
      <c r="R95" s="308"/>
      <c r="S95" s="333">
        <f>SUM(S55:S94)</f>
        <v>0</v>
      </c>
      <c r="T95" s="310"/>
      <c r="U95" s="271"/>
    </row>
    <row r="96" spans="1:21" s="3" customFormat="1">
      <c r="A96" s="234" t="s">
        <v>223</v>
      </c>
      <c r="B96" s="554" t="str">
        <f>B54</f>
        <v>Cantidad</v>
      </c>
      <c r="C96" s="554" t="str">
        <f t="shared" ref="C96:S96" si="9">C54</f>
        <v>Valor unitario</v>
      </c>
      <c r="D96" s="554" t="str">
        <f t="shared" si="9"/>
        <v>Valor total</v>
      </c>
      <c r="E96" s="554" t="str">
        <f t="shared" si="9"/>
        <v>Cantidad</v>
      </c>
      <c r="F96" s="554" t="str">
        <f t="shared" si="9"/>
        <v>Valor unitario</v>
      </c>
      <c r="G96" s="554" t="str">
        <f t="shared" si="9"/>
        <v>Valor total</v>
      </c>
      <c r="H96" s="554" t="str">
        <f t="shared" si="9"/>
        <v>Cantidad</v>
      </c>
      <c r="I96" s="554" t="str">
        <f t="shared" si="9"/>
        <v>Valor unitario</v>
      </c>
      <c r="J96" s="554" t="str">
        <f t="shared" si="9"/>
        <v>Valor total</v>
      </c>
      <c r="K96" s="554" t="str">
        <f t="shared" si="9"/>
        <v>Cantidad</v>
      </c>
      <c r="L96" s="554" t="str">
        <f t="shared" si="9"/>
        <v>Valor unitario</v>
      </c>
      <c r="M96" s="554" t="str">
        <f t="shared" si="9"/>
        <v>Valor total</v>
      </c>
      <c r="N96" s="554" t="str">
        <f t="shared" si="9"/>
        <v>Cantidad</v>
      </c>
      <c r="O96" s="554" t="str">
        <f t="shared" si="9"/>
        <v>Valor unitario</v>
      </c>
      <c r="P96" s="554" t="str">
        <f t="shared" si="9"/>
        <v>Valor total</v>
      </c>
      <c r="Q96" s="554" t="str">
        <f t="shared" si="9"/>
        <v>Cantidad</v>
      </c>
      <c r="R96" s="554" t="str">
        <f t="shared" si="9"/>
        <v>Valor unitario</v>
      </c>
      <c r="S96" s="554" t="str">
        <f t="shared" si="9"/>
        <v>Valor total</v>
      </c>
      <c r="T96" s="273"/>
      <c r="U96" s="271"/>
    </row>
    <row r="97" spans="1:21" s="3" customFormat="1">
      <c r="A97" s="267" t="s">
        <v>461</v>
      </c>
      <c r="B97" s="278">
        <v>3</v>
      </c>
      <c r="C97" s="279">
        <v>300000</v>
      </c>
      <c r="D97" s="280">
        <f t="shared" ref="D97:D138" si="10">B97*C97</f>
        <v>900000</v>
      </c>
      <c r="E97" s="274"/>
      <c r="F97" s="274">
        <v>0</v>
      </c>
      <c r="G97" s="280">
        <f t="shared" ref="G97:G138" si="11">E97*F97</f>
        <v>0</v>
      </c>
      <c r="H97" s="274"/>
      <c r="I97" s="274"/>
      <c r="J97" s="280">
        <f t="shared" ref="J97:J138" si="12">H97*I97</f>
        <v>0</v>
      </c>
      <c r="K97" s="274"/>
      <c r="L97" s="274"/>
      <c r="M97" s="280">
        <f t="shared" ref="M97:M138" si="13">K97*L97</f>
        <v>0</v>
      </c>
      <c r="N97" s="274"/>
      <c r="O97" s="274"/>
      <c r="P97" s="280">
        <f t="shared" ref="P97:P138" si="14">N97*O97</f>
        <v>0</v>
      </c>
      <c r="Q97" s="274">
        <v>1</v>
      </c>
      <c r="R97" s="274"/>
      <c r="S97" s="280">
        <f t="shared" ref="S97:S138" si="15">Q97*R97</f>
        <v>0</v>
      </c>
      <c r="T97" s="282">
        <f>'1'!F33</f>
        <v>5</v>
      </c>
      <c r="U97" s="271"/>
    </row>
    <row r="98" spans="1:21" s="3" customFormat="1">
      <c r="A98" s="267" t="s">
        <v>462</v>
      </c>
      <c r="B98" s="278">
        <v>3</v>
      </c>
      <c r="C98" s="279">
        <v>150000</v>
      </c>
      <c r="D98" s="280">
        <f t="shared" si="10"/>
        <v>450000</v>
      </c>
      <c r="E98" s="274"/>
      <c r="F98" s="274">
        <v>0</v>
      </c>
      <c r="G98" s="280">
        <f t="shared" si="11"/>
        <v>0</v>
      </c>
      <c r="H98" s="274"/>
      <c r="I98" s="274"/>
      <c r="J98" s="280">
        <f t="shared" si="12"/>
        <v>0</v>
      </c>
      <c r="K98" s="274"/>
      <c r="L98" s="274"/>
      <c r="M98" s="280">
        <f t="shared" si="13"/>
        <v>0</v>
      </c>
      <c r="N98" s="274"/>
      <c r="O98" s="274"/>
      <c r="P98" s="280">
        <f t="shared" si="14"/>
        <v>0</v>
      </c>
      <c r="Q98" s="274"/>
      <c r="R98" s="274"/>
      <c r="S98" s="280">
        <f t="shared" si="15"/>
        <v>0</v>
      </c>
      <c r="T98" s="282">
        <f>T97</f>
        <v>5</v>
      </c>
      <c r="U98" s="271"/>
    </row>
    <row r="99" spans="1:21" s="3" customFormat="1">
      <c r="A99" s="267" t="s">
        <v>463</v>
      </c>
      <c r="B99" s="278">
        <v>1</v>
      </c>
      <c r="C99" s="279">
        <v>700000</v>
      </c>
      <c r="D99" s="280">
        <f t="shared" si="10"/>
        <v>700000</v>
      </c>
      <c r="E99" s="274"/>
      <c r="F99" s="274"/>
      <c r="G99" s="280">
        <f t="shared" si="11"/>
        <v>0</v>
      </c>
      <c r="H99" s="274"/>
      <c r="I99" s="274"/>
      <c r="J99" s="280">
        <f t="shared" si="12"/>
        <v>0</v>
      </c>
      <c r="K99" s="274"/>
      <c r="L99" s="274"/>
      <c r="M99" s="280">
        <f t="shared" si="13"/>
        <v>0</v>
      </c>
      <c r="N99" s="274"/>
      <c r="O99" s="274"/>
      <c r="P99" s="280">
        <f t="shared" si="14"/>
        <v>0</v>
      </c>
      <c r="Q99" s="274"/>
      <c r="R99" s="274"/>
      <c r="S99" s="280">
        <f t="shared" si="15"/>
        <v>0</v>
      </c>
      <c r="T99" s="282">
        <f t="shared" ref="T99:T138" si="16">T98</f>
        <v>5</v>
      </c>
      <c r="U99" s="271"/>
    </row>
    <row r="100" spans="1:21" s="3" customFormat="1">
      <c r="A100" s="267"/>
      <c r="B100" s="278"/>
      <c r="C100" s="279"/>
      <c r="D100" s="280">
        <f t="shared" si="10"/>
        <v>0</v>
      </c>
      <c r="E100" s="274"/>
      <c r="F100" s="274"/>
      <c r="G100" s="280">
        <f t="shared" si="11"/>
        <v>0</v>
      </c>
      <c r="H100" s="274"/>
      <c r="I100" s="274"/>
      <c r="J100" s="280">
        <f t="shared" si="12"/>
        <v>0</v>
      </c>
      <c r="K100" s="274"/>
      <c r="L100" s="274"/>
      <c r="M100" s="280">
        <f t="shared" si="13"/>
        <v>0</v>
      </c>
      <c r="N100" s="274"/>
      <c r="O100" s="274"/>
      <c r="P100" s="280">
        <f t="shared" si="14"/>
        <v>0</v>
      </c>
      <c r="Q100" s="274"/>
      <c r="R100" s="274"/>
      <c r="S100" s="280">
        <f t="shared" si="15"/>
        <v>0</v>
      </c>
      <c r="T100" s="282">
        <f t="shared" si="16"/>
        <v>5</v>
      </c>
      <c r="U100" s="271"/>
    </row>
    <row r="101" spans="1:21" s="3" customFormat="1">
      <c r="A101" s="267"/>
      <c r="B101" s="278"/>
      <c r="C101" s="279"/>
      <c r="D101" s="280">
        <f t="shared" si="10"/>
        <v>0</v>
      </c>
      <c r="E101" s="274"/>
      <c r="F101" s="274"/>
      <c r="G101" s="280">
        <f t="shared" si="11"/>
        <v>0</v>
      </c>
      <c r="H101" s="274"/>
      <c r="I101" s="274"/>
      <c r="J101" s="280">
        <f t="shared" si="12"/>
        <v>0</v>
      </c>
      <c r="K101" s="274"/>
      <c r="L101" s="274"/>
      <c r="M101" s="280">
        <f t="shared" si="13"/>
        <v>0</v>
      </c>
      <c r="N101" s="274"/>
      <c r="O101" s="274"/>
      <c r="P101" s="280">
        <f t="shared" si="14"/>
        <v>0</v>
      </c>
      <c r="Q101" s="274"/>
      <c r="R101" s="274"/>
      <c r="S101" s="280">
        <f t="shared" si="15"/>
        <v>0</v>
      </c>
      <c r="T101" s="282">
        <f t="shared" si="16"/>
        <v>5</v>
      </c>
      <c r="U101" s="271"/>
    </row>
    <row r="102" spans="1:21" s="3" customFormat="1">
      <c r="A102" s="267"/>
      <c r="B102" s="278"/>
      <c r="C102" s="279"/>
      <c r="D102" s="280">
        <f t="shared" si="10"/>
        <v>0</v>
      </c>
      <c r="E102" s="274"/>
      <c r="F102" s="281"/>
      <c r="G102" s="280">
        <f t="shared" si="11"/>
        <v>0</v>
      </c>
      <c r="H102" s="274"/>
      <c r="I102" s="281"/>
      <c r="J102" s="280">
        <f t="shared" si="12"/>
        <v>0</v>
      </c>
      <c r="K102" s="274"/>
      <c r="L102" s="281"/>
      <c r="M102" s="280">
        <f t="shared" si="13"/>
        <v>0</v>
      </c>
      <c r="N102" s="274"/>
      <c r="O102" s="281"/>
      <c r="P102" s="280">
        <f t="shared" si="14"/>
        <v>0</v>
      </c>
      <c r="Q102" s="274"/>
      <c r="R102" s="281"/>
      <c r="S102" s="280">
        <f t="shared" si="15"/>
        <v>0</v>
      </c>
      <c r="T102" s="282">
        <f t="shared" si="16"/>
        <v>5</v>
      </c>
      <c r="U102" s="271"/>
    </row>
    <row r="103" spans="1:21" s="3" customFormat="1">
      <c r="A103" s="267"/>
      <c r="B103" s="278"/>
      <c r="C103" s="279"/>
      <c r="D103" s="280">
        <f t="shared" si="10"/>
        <v>0</v>
      </c>
      <c r="E103" s="274"/>
      <c r="F103" s="274"/>
      <c r="G103" s="280">
        <f t="shared" si="11"/>
        <v>0</v>
      </c>
      <c r="H103" s="274"/>
      <c r="I103" s="274"/>
      <c r="J103" s="280">
        <f t="shared" si="12"/>
        <v>0</v>
      </c>
      <c r="K103" s="274"/>
      <c r="L103" s="274"/>
      <c r="M103" s="280">
        <f t="shared" si="13"/>
        <v>0</v>
      </c>
      <c r="N103" s="274"/>
      <c r="O103" s="274"/>
      <c r="P103" s="280">
        <f t="shared" si="14"/>
        <v>0</v>
      </c>
      <c r="Q103" s="274"/>
      <c r="R103" s="274"/>
      <c r="S103" s="280">
        <f t="shared" si="15"/>
        <v>0</v>
      </c>
      <c r="T103" s="282">
        <f t="shared" si="16"/>
        <v>5</v>
      </c>
      <c r="U103" s="271"/>
    </row>
    <row r="104" spans="1:21" s="3" customFormat="1">
      <c r="A104" s="270"/>
      <c r="B104" s="278"/>
      <c r="C104" s="279"/>
      <c r="D104" s="280">
        <f t="shared" si="10"/>
        <v>0</v>
      </c>
      <c r="E104" s="274"/>
      <c r="F104" s="274"/>
      <c r="G104" s="280">
        <f t="shared" si="11"/>
        <v>0</v>
      </c>
      <c r="H104" s="274"/>
      <c r="I104" s="274"/>
      <c r="J104" s="280">
        <f t="shared" si="12"/>
        <v>0</v>
      </c>
      <c r="K104" s="274"/>
      <c r="L104" s="274"/>
      <c r="M104" s="280">
        <f t="shared" si="13"/>
        <v>0</v>
      </c>
      <c r="N104" s="274"/>
      <c r="O104" s="274"/>
      <c r="P104" s="280">
        <f t="shared" si="14"/>
        <v>0</v>
      </c>
      <c r="Q104" s="274"/>
      <c r="R104" s="274"/>
      <c r="S104" s="280">
        <f t="shared" si="15"/>
        <v>0</v>
      </c>
      <c r="T104" s="282">
        <f t="shared" si="16"/>
        <v>5</v>
      </c>
      <c r="U104" s="271"/>
    </row>
    <row r="105" spans="1:21" s="3" customFormat="1">
      <c r="A105" s="267"/>
      <c r="B105" s="278"/>
      <c r="C105" s="279"/>
      <c r="D105" s="280">
        <f t="shared" si="10"/>
        <v>0</v>
      </c>
      <c r="E105" s="274"/>
      <c r="F105" s="274"/>
      <c r="G105" s="280">
        <f t="shared" si="11"/>
        <v>0</v>
      </c>
      <c r="H105" s="274"/>
      <c r="I105" s="274"/>
      <c r="J105" s="280">
        <f t="shared" si="12"/>
        <v>0</v>
      </c>
      <c r="K105" s="274"/>
      <c r="L105" s="274"/>
      <c r="M105" s="280">
        <f t="shared" si="13"/>
        <v>0</v>
      </c>
      <c r="N105" s="274"/>
      <c r="O105" s="274"/>
      <c r="P105" s="280">
        <f t="shared" si="14"/>
        <v>0</v>
      </c>
      <c r="Q105" s="274"/>
      <c r="R105" s="274"/>
      <c r="S105" s="280">
        <f t="shared" si="15"/>
        <v>0</v>
      </c>
      <c r="T105" s="282">
        <f t="shared" si="16"/>
        <v>5</v>
      </c>
      <c r="U105" s="271"/>
    </row>
    <row r="106" spans="1:21" s="3" customFormat="1">
      <c r="A106" s="269"/>
      <c r="B106" s="278"/>
      <c r="C106" s="279"/>
      <c r="D106" s="280">
        <f t="shared" si="10"/>
        <v>0</v>
      </c>
      <c r="E106" s="274"/>
      <c r="F106" s="274"/>
      <c r="G106" s="280">
        <f t="shared" si="11"/>
        <v>0</v>
      </c>
      <c r="H106" s="274"/>
      <c r="I106" s="274"/>
      <c r="J106" s="280">
        <f t="shared" si="12"/>
        <v>0</v>
      </c>
      <c r="K106" s="274"/>
      <c r="L106" s="274"/>
      <c r="M106" s="280">
        <f t="shared" si="13"/>
        <v>0</v>
      </c>
      <c r="N106" s="274"/>
      <c r="O106" s="274"/>
      <c r="P106" s="280">
        <f t="shared" si="14"/>
        <v>0</v>
      </c>
      <c r="Q106" s="274"/>
      <c r="R106" s="274"/>
      <c r="S106" s="280">
        <f t="shared" si="15"/>
        <v>0</v>
      </c>
      <c r="T106" s="282">
        <f t="shared" si="16"/>
        <v>5</v>
      </c>
      <c r="U106" s="271"/>
    </row>
    <row r="107" spans="1:21" s="3" customFormat="1">
      <c r="A107" s="269"/>
      <c r="B107" s="278"/>
      <c r="C107" s="279"/>
      <c r="D107" s="280">
        <f t="shared" si="10"/>
        <v>0</v>
      </c>
      <c r="E107" s="274"/>
      <c r="F107" s="274"/>
      <c r="G107" s="280">
        <f t="shared" si="11"/>
        <v>0</v>
      </c>
      <c r="H107" s="274"/>
      <c r="I107" s="274"/>
      <c r="J107" s="280">
        <f t="shared" si="12"/>
        <v>0</v>
      </c>
      <c r="K107" s="274"/>
      <c r="L107" s="274"/>
      <c r="M107" s="280">
        <f t="shared" si="13"/>
        <v>0</v>
      </c>
      <c r="N107" s="274"/>
      <c r="O107" s="274"/>
      <c r="P107" s="280">
        <f t="shared" si="14"/>
        <v>0</v>
      </c>
      <c r="Q107" s="274"/>
      <c r="R107" s="274"/>
      <c r="S107" s="280">
        <f t="shared" si="15"/>
        <v>0</v>
      </c>
      <c r="T107" s="282">
        <f t="shared" si="16"/>
        <v>5</v>
      </c>
      <c r="U107" s="271"/>
    </row>
    <row r="108" spans="1:21" s="3" customFormat="1">
      <c r="A108" s="269"/>
      <c r="B108" s="278"/>
      <c r="C108" s="279"/>
      <c r="D108" s="280">
        <f t="shared" si="10"/>
        <v>0</v>
      </c>
      <c r="E108" s="274"/>
      <c r="F108" s="274"/>
      <c r="G108" s="280">
        <f t="shared" si="11"/>
        <v>0</v>
      </c>
      <c r="H108" s="274"/>
      <c r="I108" s="274"/>
      <c r="J108" s="280">
        <f t="shared" si="12"/>
        <v>0</v>
      </c>
      <c r="K108" s="274"/>
      <c r="L108" s="274"/>
      <c r="M108" s="280">
        <f t="shared" si="13"/>
        <v>0</v>
      </c>
      <c r="N108" s="274"/>
      <c r="O108" s="274"/>
      <c r="P108" s="280">
        <f t="shared" si="14"/>
        <v>0</v>
      </c>
      <c r="Q108" s="274"/>
      <c r="R108" s="274"/>
      <c r="S108" s="280">
        <f t="shared" si="15"/>
        <v>0</v>
      </c>
      <c r="T108" s="282">
        <f t="shared" si="16"/>
        <v>5</v>
      </c>
      <c r="U108" s="271"/>
    </row>
    <row r="109" spans="1:21" s="3" customFormat="1">
      <c r="A109" s="269"/>
      <c r="B109" s="278"/>
      <c r="C109" s="279"/>
      <c r="D109" s="280">
        <f t="shared" si="10"/>
        <v>0</v>
      </c>
      <c r="E109" s="274"/>
      <c r="F109" s="274"/>
      <c r="G109" s="280">
        <f t="shared" si="11"/>
        <v>0</v>
      </c>
      <c r="H109" s="274"/>
      <c r="I109" s="274"/>
      <c r="J109" s="280">
        <f t="shared" si="12"/>
        <v>0</v>
      </c>
      <c r="K109" s="274"/>
      <c r="L109" s="274"/>
      <c r="M109" s="280">
        <f t="shared" si="13"/>
        <v>0</v>
      </c>
      <c r="N109" s="274"/>
      <c r="O109" s="274"/>
      <c r="P109" s="280">
        <f t="shared" si="14"/>
        <v>0</v>
      </c>
      <c r="Q109" s="274"/>
      <c r="R109" s="274"/>
      <c r="S109" s="280">
        <f t="shared" si="15"/>
        <v>0</v>
      </c>
      <c r="T109" s="282">
        <f t="shared" si="16"/>
        <v>5</v>
      </c>
      <c r="U109" s="271"/>
    </row>
    <row r="110" spans="1:21" s="3" customFormat="1">
      <c r="A110" s="269"/>
      <c r="B110" s="278"/>
      <c r="C110" s="279"/>
      <c r="D110" s="280">
        <f t="shared" si="10"/>
        <v>0</v>
      </c>
      <c r="E110" s="274"/>
      <c r="F110" s="274"/>
      <c r="G110" s="280">
        <f t="shared" si="11"/>
        <v>0</v>
      </c>
      <c r="H110" s="274"/>
      <c r="I110" s="274"/>
      <c r="J110" s="280">
        <f t="shared" si="12"/>
        <v>0</v>
      </c>
      <c r="K110" s="274"/>
      <c r="L110" s="274"/>
      <c r="M110" s="280">
        <f t="shared" si="13"/>
        <v>0</v>
      </c>
      <c r="N110" s="274"/>
      <c r="O110" s="274"/>
      <c r="P110" s="280">
        <f t="shared" si="14"/>
        <v>0</v>
      </c>
      <c r="Q110" s="274"/>
      <c r="R110" s="274"/>
      <c r="S110" s="280">
        <f t="shared" si="15"/>
        <v>0</v>
      </c>
      <c r="T110" s="282">
        <f t="shared" si="16"/>
        <v>5</v>
      </c>
      <c r="U110" s="271"/>
    </row>
    <row r="111" spans="1:21" s="3" customFormat="1">
      <c r="A111" s="269"/>
      <c r="B111" s="278"/>
      <c r="C111" s="279"/>
      <c r="D111" s="280">
        <f t="shared" si="10"/>
        <v>0</v>
      </c>
      <c r="E111" s="274"/>
      <c r="F111" s="274"/>
      <c r="G111" s="280">
        <f t="shared" si="11"/>
        <v>0</v>
      </c>
      <c r="H111" s="274"/>
      <c r="I111" s="274"/>
      <c r="J111" s="280">
        <f t="shared" si="12"/>
        <v>0</v>
      </c>
      <c r="K111" s="274"/>
      <c r="L111" s="274"/>
      <c r="M111" s="280">
        <f t="shared" si="13"/>
        <v>0</v>
      </c>
      <c r="N111" s="274"/>
      <c r="O111" s="274"/>
      <c r="P111" s="280">
        <f t="shared" si="14"/>
        <v>0</v>
      </c>
      <c r="Q111" s="274"/>
      <c r="R111" s="274"/>
      <c r="S111" s="280">
        <f t="shared" si="15"/>
        <v>0</v>
      </c>
      <c r="T111" s="282">
        <f t="shared" si="16"/>
        <v>5</v>
      </c>
      <c r="U111" s="271"/>
    </row>
    <row r="112" spans="1:21" s="3" customFormat="1">
      <c r="A112" s="269"/>
      <c r="B112" s="278"/>
      <c r="C112" s="279"/>
      <c r="D112" s="280">
        <f t="shared" si="10"/>
        <v>0</v>
      </c>
      <c r="E112" s="274"/>
      <c r="F112" s="274"/>
      <c r="G112" s="280">
        <f t="shared" si="11"/>
        <v>0</v>
      </c>
      <c r="H112" s="274"/>
      <c r="I112" s="274"/>
      <c r="J112" s="280">
        <f t="shared" si="12"/>
        <v>0</v>
      </c>
      <c r="K112" s="274"/>
      <c r="L112" s="274"/>
      <c r="M112" s="280">
        <f t="shared" si="13"/>
        <v>0</v>
      </c>
      <c r="N112" s="274"/>
      <c r="O112" s="274"/>
      <c r="P112" s="280">
        <f t="shared" si="14"/>
        <v>0</v>
      </c>
      <c r="Q112" s="274"/>
      <c r="R112" s="274"/>
      <c r="S112" s="280">
        <f t="shared" si="15"/>
        <v>0</v>
      </c>
      <c r="T112" s="282">
        <f t="shared" si="16"/>
        <v>5</v>
      </c>
      <c r="U112" s="271"/>
    </row>
    <row r="113" spans="1:21" s="3" customFormat="1">
      <c r="A113" s="269"/>
      <c r="B113" s="278"/>
      <c r="C113" s="279"/>
      <c r="D113" s="280">
        <f t="shared" si="10"/>
        <v>0</v>
      </c>
      <c r="E113" s="274"/>
      <c r="F113" s="274"/>
      <c r="G113" s="280">
        <f t="shared" si="11"/>
        <v>0</v>
      </c>
      <c r="H113" s="274"/>
      <c r="I113" s="274"/>
      <c r="J113" s="280">
        <f t="shared" si="12"/>
        <v>0</v>
      </c>
      <c r="K113" s="274"/>
      <c r="L113" s="274"/>
      <c r="M113" s="280">
        <f t="shared" si="13"/>
        <v>0</v>
      </c>
      <c r="N113" s="274"/>
      <c r="O113" s="274"/>
      <c r="P113" s="280">
        <f t="shared" si="14"/>
        <v>0</v>
      </c>
      <c r="Q113" s="274"/>
      <c r="R113" s="274"/>
      <c r="S113" s="280">
        <f t="shared" si="15"/>
        <v>0</v>
      </c>
      <c r="T113" s="282">
        <f t="shared" si="16"/>
        <v>5</v>
      </c>
      <c r="U113" s="271"/>
    </row>
    <row r="114" spans="1:21" s="3" customFormat="1">
      <c r="A114" s="269"/>
      <c r="B114" s="278"/>
      <c r="C114" s="279"/>
      <c r="D114" s="280">
        <f t="shared" si="10"/>
        <v>0</v>
      </c>
      <c r="E114" s="274"/>
      <c r="F114" s="274"/>
      <c r="G114" s="280">
        <f t="shared" si="11"/>
        <v>0</v>
      </c>
      <c r="H114" s="274"/>
      <c r="I114" s="274"/>
      <c r="J114" s="280">
        <f t="shared" si="12"/>
        <v>0</v>
      </c>
      <c r="K114" s="274"/>
      <c r="L114" s="274"/>
      <c r="M114" s="280">
        <f t="shared" si="13"/>
        <v>0</v>
      </c>
      <c r="N114" s="274"/>
      <c r="O114" s="274"/>
      <c r="P114" s="280">
        <f t="shared" si="14"/>
        <v>0</v>
      </c>
      <c r="Q114" s="274"/>
      <c r="R114" s="274"/>
      <c r="S114" s="280">
        <f t="shared" si="15"/>
        <v>0</v>
      </c>
      <c r="T114" s="282">
        <f t="shared" si="16"/>
        <v>5</v>
      </c>
      <c r="U114" s="271"/>
    </row>
    <row r="115" spans="1:21" s="3" customFormat="1">
      <c r="A115" s="269"/>
      <c r="B115" s="278"/>
      <c r="C115" s="279"/>
      <c r="D115" s="280">
        <f t="shared" si="10"/>
        <v>0</v>
      </c>
      <c r="E115" s="274"/>
      <c r="F115" s="274"/>
      <c r="G115" s="280">
        <f t="shared" si="11"/>
        <v>0</v>
      </c>
      <c r="H115" s="274"/>
      <c r="I115" s="274"/>
      <c r="J115" s="280">
        <f t="shared" si="12"/>
        <v>0</v>
      </c>
      <c r="K115" s="274"/>
      <c r="L115" s="274"/>
      <c r="M115" s="280">
        <f t="shared" si="13"/>
        <v>0</v>
      </c>
      <c r="N115" s="274"/>
      <c r="O115" s="274"/>
      <c r="P115" s="280">
        <f t="shared" si="14"/>
        <v>0</v>
      </c>
      <c r="Q115" s="274"/>
      <c r="R115" s="274"/>
      <c r="S115" s="280">
        <f t="shared" si="15"/>
        <v>0</v>
      </c>
      <c r="T115" s="282">
        <f t="shared" si="16"/>
        <v>5</v>
      </c>
      <c r="U115" s="271"/>
    </row>
    <row r="116" spans="1:21" s="3" customFormat="1">
      <c r="A116" s="269"/>
      <c r="B116" s="278"/>
      <c r="C116" s="279"/>
      <c r="D116" s="280">
        <f t="shared" si="10"/>
        <v>0</v>
      </c>
      <c r="E116" s="274"/>
      <c r="F116" s="274"/>
      <c r="G116" s="280">
        <f t="shared" si="11"/>
        <v>0</v>
      </c>
      <c r="H116" s="274"/>
      <c r="I116" s="274"/>
      <c r="J116" s="280">
        <f t="shared" si="12"/>
        <v>0</v>
      </c>
      <c r="K116" s="274"/>
      <c r="L116" s="274"/>
      <c r="M116" s="280">
        <f t="shared" si="13"/>
        <v>0</v>
      </c>
      <c r="N116" s="274"/>
      <c r="O116" s="274"/>
      <c r="P116" s="280">
        <f t="shared" si="14"/>
        <v>0</v>
      </c>
      <c r="Q116" s="274"/>
      <c r="R116" s="274"/>
      <c r="S116" s="280">
        <f t="shared" si="15"/>
        <v>0</v>
      </c>
      <c r="T116" s="282">
        <f t="shared" si="16"/>
        <v>5</v>
      </c>
      <c r="U116" s="271"/>
    </row>
    <row r="117" spans="1:21" s="3" customFormat="1">
      <c r="A117" s="269"/>
      <c r="B117" s="278"/>
      <c r="C117" s="279"/>
      <c r="D117" s="280">
        <f t="shared" si="10"/>
        <v>0</v>
      </c>
      <c r="E117" s="274"/>
      <c r="F117" s="274"/>
      <c r="G117" s="280">
        <f t="shared" si="11"/>
        <v>0</v>
      </c>
      <c r="H117" s="274"/>
      <c r="I117" s="274"/>
      <c r="J117" s="280">
        <f t="shared" si="12"/>
        <v>0</v>
      </c>
      <c r="K117" s="274"/>
      <c r="L117" s="274"/>
      <c r="M117" s="280">
        <f t="shared" si="13"/>
        <v>0</v>
      </c>
      <c r="N117" s="274"/>
      <c r="O117" s="274"/>
      <c r="P117" s="280">
        <f t="shared" si="14"/>
        <v>0</v>
      </c>
      <c r="Q117" s="274"/>
      <c r="R117" s="274"/>
      <c r="S117" s="280">
        <f t="shared" si="15"/>
        <v>0</v>
      </c>
      <c r="T117" s="282">
        <f t="shared" si="16"/>
        <v>5</v>
      </c>
      <c r="U117" s="271"/>
    </row>
    <row r="118" spans="1:21" s="3" customFormat="1">
      <c r="A118" s="269"/>
      <c r="B118" s="278"/>
      <c r="C118" s="279"/>
      <c r="D118" s="280">
        <f t="shared" si="10"/>
        <v>0</v>
      </c>
      <c r="E118" s="274"/>
      <c r="F118" s="274"/>
      <c r="G118" s="280">
        <f t="shared" si="11"/>
        <v>0</v>
      </c>
      <c r="H118" s="274"/>
      <c r="I118" s="274"/>
      <c r="J118" s="280">
        <f t="shared" si="12"/>
        <v>0</v>
      </c>
      <c r="K118" s="274"/>
      <c r="L118" s="274"/>
      <c r="M118" s="280">
        <f t="shared" si="13"/>
        <v>0</v>
      </c>
      <c r="N118" s="274"/>
      <c r="O118" s="274"/>
      <c r="P118" s="280">
        <f t="shared" si="14"/>
        <v>0</v>
      </c>
      <c r="Q118" s="274"/>
      <c r="R118" s="274"/>
      <c r="S118" s="280">
        <f t="shared" si="15"/>
        <v>0</v>
      </c>
      <c r="T118" s="282">
        <f t="shared" si="16"/>
        <v>5</v>
      </c>
      <c r="U118" s="271"/>
    </row>
    <row r="119" spans="1:21" s="3" customFormat="1">
      <c r="A119" s="269"/>
      <c r="B119" s="278"/>
      <c r="C119" s="279"/>
      <c r="D119" s="280">
        <f t="shared" si="10"/>
        <v>0</v>
      </c>
      <c r="E119" s="274"/>
      <c r="F119" s="274"/>
      <c r="G119" s="280">
        <f t="shared" si="11"/>
        <v>0</v>
      </c>
      <c r="H119" s="274"/>
      <c r="I119" s="274"/>
      <c r="J119" s="280">
        <f t="shared" si="12"/>
        <v>0</v>
      </c>
      <c r="K119" s="274"/>
      <c r="L119" s="274"/>
      <c r="M119" s="280">
        <f t="shared" si="13"/>
        <v>0</v>
      </c>
      <c r="N119" s="274"/>
      <c r="O119" s="274"/>
      <c r="P119" s="280">
        <f t="shared" si="14"/>
        <v>0</v>
      </c>
      <c r="Q119" s="274"/>
      <c r="R119" s="274"/>
      <c r="S119" s="280">
        <f t="shared" si="15"/>
        <v>0</v>
      </c>
      <c r="T119" s="282">
        <f t="shared" si="16"/>
        <v>5</v>
      </c>
      <c r="U119" s="271"/>
    </row>
    <row r="120" spans="1:21" s="3" customFormat="1">
      <c r="A120" s="269"/>
      <c r="B120" s="278"/>
      <c r="C120" s="279"/>
      <c r="D120" s="280">
        <f t="shared" si="10"/>
        <v>0</v>
      </c>
      <c r="E120" s="274"/>
      <c r="F120" s="274"/>
      <c r="G120" s="280">
        <f t="shared" si="11"/>
        <v>0</v>
      </c>
      <c r="H120" s="274"/>
      <c r="I120" s="274"/>
      <c r="J120" s="280">
        <f t="shared" si="12"/>
        <v>0</v>
      </c>
      <c r="K120" s="274"/>
      <c r="L120" s="274"/>
      <c r="M120" s="280">
        <f t="shared" si="13"/>
        <v>0</v>
      </c>
      <c r="N120" s="274"/>
      <c r="O120" s="274"/>
      <c r="P120" s="280">
        <f t="shared" si="14"/>
        <v>0</v>
      </c>
      <c r="Q120" s="274"/>
      <c r="R120" s="274"/>
      <c r="S120" s="280">
        <f t="shared" si="15"/>
        <v>0</v>
      </c>
      <c r="T120" s="282">
        <f t="shared" si="16"/>
        <v>5</v>
      </c>
      <c r="U120" s="271"/>
    </row>
    <row r="121" spans="1:21" s="3" customFormat="1">
      <c r="A121" s="269"/>
      <c r="B121" s="278"/>
      <c r="C121" s="279"/>
      <c r="D121" s="280">
        <f t="shared" si="10"/>
        <v>0</v>
      </c>
      <c r="E121" s="274"/>
      <c r="F121" s="274"/>
      <c r="G121" s="280">
        <f t="shared" si="11"/>
        <v>0</v>
      </c>
      <c r="H121" s="274"/>
      <c r="I121" s="274"/>
      <c r="J121" s="280">
        <f t="shared" si="12"/>
        <v>0</v>
      </c>
      <c r="K121" s="274"/>
      <c r="L121" s="274"/>
      <c r="M121" s="280">
        <f t="shared" si="13"/>
        <v>0</v>
      </c>
      <c r="N121" s="274"/>
      <c r="O121" s="274"/>
      <c r="P121" s="280">
        <f t="shared" si="14"/>
        <v>0</v>
      </c>
      <c r="Q121" s="274"/>
      <c r="R121" s="274"/>
      <c r="S121" s="280">
        <f t="shared" si="15"/>
        <v>0</v>
      </c>
      <c r="T121" s="282">
        <f t="shared" si="16"/>
        <v>5</v>
      </c>
      <c r="U121" s="271"/>
    </row>
    <row r="122" spans="1:21" s="3" customFormat="1">
      <c r="A122" s="269"/>
      <c r="B122" s="278"/>
      <c r="C122" s="279"/>
      <c r="D122" s="280">
        <f t="shared" si="10"/>
        <v>0</v>
      </c>
      <c r="E122" s="274"/>
      <c r="F122" s="274"/>
      <c r="G122" s="280">
        <f t="shared" si="11"/>
        <v>0</v>
      </c>
      <c r="H122" s="274"/>
      <c r="I122" s="274"/>
      <c r="J122" s="280">
        <f t="shared" si="12"/>
        <v>0</v>
      </c>
      <c r="K122" s="274"/>
      <c r="L122" s="274"/>
      <c r="M122" s="280">
        <f t="shared" si="13"/>
        <v>0</v>
      </c>
      <c r="N122" s="274"/>
      <c r="O122" s="274"/>
      <c r="P122" s="280">
        <f t="shared" si="14"/>
        <v>0</v>
      </c>
      <c r="Q122" s="274"/>
      <c r="R122" s="274"/>
      <c r="S122" s="280">
        <f t="shared" si="15"/>
        <v>0</v>
      </c>
      <c r="T122" s="282">
        <f t="shared" si="16"/>
        <v>5</v>
      </c>
      <c r="U122" s="271"/>
    </row>
    <row r="123" spans="1:21" s="3" customFormat="1">
      <c r="A123" s="269"/>
      <c r="B123" s="278"/>
      <c r="C123" s="279"/>
      <c r="D123" s="280">
        <f t="shared" si="10"/>
        <v>0</v>
      </c>
      <c r="E123" s="274"/>
      <c r="F123" s="274"/>
      <c r="G123" s="280">
        <f t="shared" si="11"/>
        <v>0</v>
      </c>
      <c r="H123" s="274"/>
      <c r="I123" s="274"/>
      <c r="J123" s="280">
        <f t="shared" si="12"/>
        <v>0</v>
      </c>
      <c r="K123" s="274"/>
      <c r="L123" s="274"/>
      <c r="M123" s="280">
        <f t="shared" si="13"/>
        <v>0</v>
      </c>
      <c r="N123" s="274"/>
      <c r="O123" s="274"/>
      <c r="P123" s="280">
        <f t="shared" si="14"/>
        <v>0</v>
      </c>
      <c r="Q123" s="274"/>
      <c r="R123" s="274"/>
      <c r="S123" s="280">
        <f t="shared" si="15"/>
        <v>0</v>
      </c>
      <c r="T123" s="282">
        <f t="shared" si="16"/>
        <v>5</v>
      </c>
      <c r="U123" s="271"/>
    </row>
    <row r="124" spans="1:21" s="3" customFormat="1">
      <c r="A124" s="269"/>
      <c r="B124" s="278"/>
      <c r="C124" s="279"/>
      <c r="D124" s="280">
        <f t="shared" si="10"/>
        <v>0</v>
      </c>
      <c r="E124" s="274"/>
      <c r="F124" s="274"/>
      <c r="G124" s="280">
        <f t="shared" si="11"/>
        <v>0</v>
      </c>
      <c r="H124" s="274"/>
      <c r="I124" s="274"/>
      <c r="J124" s="280">
        <f t="shared" si="12"/>
        <v>0</v>
      </c>
      <c r="K124" s="274"/>
      <c r="L124" s="274"/>
      <c r="M124" s="280">
        <f t="shared" si="13"/>
        <v>0</v>
      </c>
      <c r="N124" s="274"/>
      <c r="O124" s="274"/>
      <c r="P124" s="280">
        <f t="shared" si="14"/>
        <v>0</v>
      </c>
      <c r="Q124" s="274"/>
      <c r="R124" s="274"/>
      <c r="S124" s="280">
        <f t="shared" si="15"/>
        <v>0</v>
      </c>
      <c r="T124" s="282">
        <f t="shared" si="16"/>
        <v>5</v>
      </c>
      <c r="U124" s="271"/>
    </row>
    <row r="125" spans="1:21" s="3" customFormat="1">
      <c r="A125" s="269"/>
      <c r="B125" s="278"/>
      <c r="C125" s="279"/>
      <c r="D125" s="280">
        <f t="shared" si="10"/>
        <v>0</v>
      </c>
      <c r="E125" s="274"/>
      <c r="F125" s="274"/>
      <c r="G125" s="280">
        <f t="shared" si="11"/>
        <v>0</v>
      </c>
      <c r="H125" s="274"/>
      <c r="I125" s="274"/>
      <c r="J125" s="280">
        <f t="shared" si="12"/>
        <v>0</v>
      </c>
      <c r="K125" s="274"/>
      <c r="L125" s="274"/>
      <c r="M125" s="280">
        <f t="shared" si="13"/>
        <v>0</v>
      </c>
      <c r="N125" s="274"/>
      <c r="O125" s="274"/>
      <c r="P125" s="280">
        <f t="shared" si="14"/>
        <v>0</v>
      </c>
      <c r="Q125" s="274"/>
      <c r="R125" s="274"/>
      <c r="S125" s="280">
        <f t="shared" si="15"/>
        <v>0</v>
      </c>
      <c r="T125" s="282">
        <f t="shared" si="16"/>
        <v>5</v>
      </c>
      <c r="U125" s="271"/>
    </row>
    <row r="126" spans="1:21" s="3" customFormat="1">
      <c r="A126" s="269"/>
      <c r="B126" s="278"/>
      <c r="C126" s="279"/>
      <c r="D126" s="280">
        <f t="shared" si="10"/>
        <v>0</v>
      </c>
      <c r="E126" s="274"/>
      <c r="F126" s="274"/>
      <c r="G126" s="280">
        <f t="shared" si="11"/>
        <v>0</v>
      </c>
      <c r="H126" s="274"/>
      <c r="I126" s="274"/>
      <c r="J126" s="280">
        <f t="shared" si="12"/>
        <v>0</v>
      </c>
      <c r="K126" s="274"/>
      <c r="L126" s="274"/>
      <c r="M126" s="280">
        <f t="shared" si="13"/>
        <v>0</v>
      </c>
      <c r="N126" s="274"/>
      <c r="O126" s="274"/>
      <c r="P126" s="280">
        <f t="shared" si="14"/>
        <v>0</v>
      </c>
      <c r="Q126" s="274"/>
      <c r="R126" s="274"/>
      <c r="S126" s="280">
        <f t="shared" si="15"/>
        <v>0</v>
      </c>
      <c r="T126" s="282">
        <f t="shared" si="16"/>
        <v>5</v>
      </c>
      <c r="U126" s="271"/>
    </row>
    <row r="127" spans="1:21" s="3" customFormat="1">
      <c r="A127" s="269"/>
      <c r="B127" s="278"/>
      <c r="C127" s="279"/>
      <c r="D127" s="280">
        <f t="shared" si="10"/>
        <v>0</v>
      </c>
      <c r="E127" s="274"/>
      <c r="F127" s="274"/>
      <c r="G127" s="280">
        <f t="shared" si="11"/>
        <v>0</v>
      </c>
      <c r="H127" s="274"/>
      <c r="I127" s="274"/>
      <c r="J127" s="280">
        <f t="shared" si="12"/>
        <v>0</v>
      </c>
      <c r="K127" s="274"/>
      <c r="L127" s="274"/>
      <c r="M127" s="280">
        <f t="shared" si="13"/>
        <v>0</v>
      </c>
      <c r="N127" s="274"/>
      <c r="O127" s="274"/>
      <c r="P127" s="280">
        <f t="shared" si="14"/>
        <v>0</v>
      </c>
      <c r="Q127" s="274"/>
      <c r="R127" s="274"/>
      <c r="S127" s="280">
        <f t="shared" si="15"/>
        <v>0</v>
      </c>
      <c r="T127" s="282">
        <f t="shared" si="16"/>
        <v>5</v>
      </c>
      <c r="U127" s="271"/>
    </row>
    <row r="128" spans="1:21" s="3" customFormat="1">
      <c r="A128" s="269"/>
      <c r="B128" s="278"/>
      <c r="C128" s="279"/>
      <c r="D128" s="280">
        <f t="shared" si="10"/>
        <v>0</v>
      </c>
      <c r="E128" s="274"/>
      <c r="F128" s="274"/>
      <c r="G128" s="280">
        <f t="shared" si="11"/>
        <v>0</v>
      </c>
      <c r="H128" s="274"/>
      <c r="I128" s="274"/>
      <c r="J128" s="280">
        <f t="shared" si="12"/>
        <v>0</v>
      </c>
      <c r="K128" s="274"/>
      <c r="L128" s="274"/>
      <c r="M128" s="280">
        <f t="shared" si="13"/>
        <v>0</v>
      </c>
      <c r="N128" s="274"/>
      <c r="O128" s="274"/>
      <c r="P128" s="280">
        <f t="shared" si="14"/>
        <v>0</v>
      </c>
      <c r="Q128" s="274"/>
      <c r="R128" s="274"/>
      <c r="S128" s="280">
        <f t="shared" si="15"/>
        <v>0</v>
      </c>
      <c r="T128" s="282">
        <f t="shared" si="16"/>
        <v>5</v>
      </c>
      <c r="U128" s="271"/>
    </row>
    <row r="129" spans="1:21" s="3" customFormat="1">
      <c r="A129" s="269"/>
      <c r="B129" s="278"/>
      <c r="C129" s="279"/>
      <c r="D129" s="280">
        <f t="shared" si="10"/>
        <v>0</v>
      </c>
      <c r="E129" s="274"/>
      <c r="F129" s="274"/>
      <c r="G129" s="280">
        <f t="shared" si="11"/>
        <v>0</v>
      </c>
      <c r="H129" s="274"/>
      <c r="I129" s="274"/>
      <c r="J129" s="280">
        <f t="shared" si="12"/>
        <v>0</v>
      </c>
      <c r="K129" s="274"/>
      <c r="L129" s="274"/>
      <c r="M129" s="280">
        <f t="shared" si="13"/>
        <v>0</v>
      </c>
      <c r="N129" s="274"/>
      <c r="O129" s="274"/>
      <c r="P129" s="280">
        <f t="shared" si="14"/>
        <v>0</v>
      </c>
      <c r="Q129" s="274"/>
      <c r="R129" s="274"/>
      <c r="S129" s="280">
        <f t="shared" si="15"/>
        <v>0</v>
      </c>
      <c r="T129" s="282">
        <f t="shared" si="16"/>
        <v>5</v>
      </c>
      <c r="U129" s="271"/>
    </row>
    <row r="130" spans="1:21" s="3" customFormat="1">
      <c r="A130" s="269"/>
      <c r="B130" s="278"/>
      <c r="C130" s="279"/>
      <c r="D130" s="280">
        <f t="shared" si="10"/>
        <v>0</v>
      </c>
      <c r="E130" s="274"/>
      <c r="F130" s="274"/>
      <c r="G130" s="280">
        <f t="shared" si="11"/>
        <v>0</v>
      </c>
      <c r="H130" s="274"/>
      <c r="I130" s="274"/>
      <c r="J130" s="280">
        <f t="shared" si="12"/>
        <v>0</v>
      </c>
      <c r="K130" s="274"/>
      <c r="L130" s="274"/>
      <c r="M130" s="280">
        <f t="shared" si="13"/>
        <v>0</v>
      </c>
      <c r="N130" s="274"/>
      <c r="O130" s="274"/>
      <c r="P130" s="280">
        <f t="shared" si="14"/>
        <v>0</v>
      </c>
      <c r="Q130" s="274"/>
      <c r="R130" s="274"/>
      <c r="S130" s="280">
        <f t="shared" si="15"/>
        <v>0</v>
      </c>
      <c r="T130" s="282">
        <f t="shared" si="16"/>
        <v>5</v>
      </c>
      <c r="U130" s="271"/>
    </row>
    <row r="131" spans="1:21" s="3" customFormat="1">
      <c r="A131" s="269"/>
      <c r="B131" s="278"/>
      <c r="C131" s="279"/>
      <c r="D131" s="280">
        <f t="shared" si="10"/>
        <v>0</v>
      </c>
      <c r="E131" s="274"/>
      <c r="F131" s="274"/>
      <c r="G131" s="280">
        <f t="shared" si="11"/>
        <v>0</v>
      </c>
      <c r="H131" s="274"/>
      <c r="I131" s="274"/>
      <c r="J131" s="280">
        <f t="shared" si="12"/>
        <v>0</v>
      </c>
      <c r="K131" s="274"/>
      <c r="L131" s="274"/>
      <c r="M131" s="280">
        <f t="shared" si="13"/>
        <v>0</v>
      </c>
      <c r="N131" s="274"/>
      <c r="O131" s="274"/>
      <c r="P131" s="280">
        <f t="shared" si="14"/>
        <v>0</v>
      </c>
      <c r="Q131" s="274"/>
      <c r="R131" s="274"/>
      <c r="S131" s="280">
        <f t="shared" si="15"/>
        <v>0</v>
      </c>
      <c r="T131" s="282">
        <f t="shared" si="16"/>
        <v>5</v>
      </c>
      <c r="U131" s="271"/>
    </row>
    <row r="132" spans="1:21" s="3" customFormat="1">
      <c r="A132" s="269"/>
      <c r="B132" s="278"/>
      <c r="C132" s="279"/>
      <c r="D132" s="280">
        <f t="shared" si="10"/>
        <v>0</v>
      </c>
      <c r="E132" s="274"/>
      <c r="F132" s="274"/>
      <c r="G132" s="280">
        <f t="shared" si="11"/>
        <v>0</v>
      </c>
      <c r="H132" s="274"/>
      <c r="I132" s="274"/>
      <c r="J132" s="280">
        <f t="shared" si="12"/>
        <v>0</v>
      </c>
      <c r="K132" s="274"/>
      <c r="L132" s="274"/>
      <c r="M132" s="280">
        <f t="shared" si="13"/>
        <v>0</v>
      </c>
      <c r="N132" s="274"/>
      <c r="O132" s="274"/>
      <c r="P132" s="280">
        <f t="shared" si="14"/>
        <v>0</v>
      </c>
      <c r="Q132" s="274"/>
      <c r="R132" s="274"/>
      <c r="S132" s="280">
        <f t="shared" si="15"/>
        <v>0</v>
      </c>
      <c r="T132" s="282">
        <f t="shared" si="16"/>
        <v>5</v>
      </c>
      <c r="U132" s="271"/>
    </row>
    <row r="133" spans="1:21" s="3" customFormat="1">
      <c r="A133" s="269"/>
      <c r="B133" s="278"/>
      <c r="C133" s="279"/>
      <c r="D133" s="280">
        <f t="shared" si="10"/>
        <v>0</v>
      </c>
      <c r="E133" s="274"/>
      <c r="F133" s="274"/>
      <c r="G133" s="280">
        <f t="shared" si="11"/>
        <v>0</v>
      </c>
      <c r="H133" s="274"/>
      <c r="I133" s="274"/>
      <c r="J133" s="280">
        <f t="shared" si="12"/>
        <v>0</v>
      </c>
      <c r="K133" s="274"/>
      <c r="L133" s="274"/>
      <c r="M133" s="280">
        <f t="shared" si="13"/>
        <v>0</v>
      </c>
      <c r="N133" s="274"/>
      <c r="O133" s="274"/>
      <c r="P133" s="280">
        <f t="shared" si="14"/>
        <v>0</v>
      </c>
      <c r="Q133" s="274"/>
      <c r="R133" s="274"/>
      <c r="S133" s="280">
        <f t="shared" si="15"/>
        <v>0</v>
      </c>
      <c r="T133" s="282">
        <f t="shared" si="16"/>
        <v>5</v>
      </c>
      <c r="U133" s="271"/>
    </row>
    <row r="134" spans="1:21" s="3" customFormat="1">
      <c r="A134" s="269"/>
      <c r="B134" s="278"/>
      <c r="C134" s="279"/>
      <c r="D134" s="280">
        <f t="shared" si="10"/>
        <v>0</v>
      </c>
      <c r="E134" s="274"/>
      <c r="F134" s="274"/>
      <c r="G134" s="280">
        <f t="shared" si="11"/>
        <v>0</v>
      </c>
      <c r="H134" s="274"/>
      <c r="I134" s="274"/>
      <c r="J134" s="280">
        <f t="shared" si="12"/>
        <v>0</v>
      </c>
      <c r="K134" s="274"/>
      <c r="L134" s="274"/>
      <c r="M134" s="280">
        <f t="shared" si="13"/>
        <v>0</v>
      </c>
      <c r="N134" s="274"/>
      <c r="O134" s="274"/>
      <c r="P134" s="280">
        <f t="shared" si="14"/>
        <v>0</v>
      </c>
      <c r="Q134" s="274"/>
      <c r="R134" s="274"/>
      <c r="S134" s="280">
        <f t="shared" si="15"/>
        <v>0</v>
      </c>
      <c r="T134" s="282">
        <f t="shared" si="16"/>
        <v>5</v>
      </c>
      <c r="U134" s="271"/>
    </row>
    <row r="135" spans="1:21" s="3" customFormat="1">
      <c r="A135" s="269"/>
      <c r="B135" s="278"/>
      <c r="C135" s="279"/>
      <c r="D135" s="280">
        <f t="shared" si="10"/>
        <v>0</v>
      </c>
      <c r="E135" s="274"/>
      <c r="F135" s="274"/>
      <c r="G135" s="280">
        <f t="shared" si="11"/>
        <v>0</v>
      </c>
      <c r="H135" s="274"/>
      <c r="I135" s="274"/>
      <c r="J135" s="280">
        <f t="shared" si="12"/>
        <v>0</v>
      </c>
      <c r="K135" s="274"/>
      <c r="L135" s="274"/>
      <c r="M135" s="280">
        <f t="shared" si="13"/>
        <v>0</v>
      </c>
      <c r="N135" s="274"/>
      <c r="O135" s="274"/>
      <c r="P135" s="280">
        <f t="shared" si="14"/>
        <v>0</v>
      </c>
      <c r="Q135" s="274"/>
      <c r="R135" s="274"/>
      <c r="S135" s="280">
        <f t="shared" si="15"/>
        <v>0</v>
      </c>
      <c r="T135" s="282">
        <f t="shared" si="16"/>
        <v>5</v>
      </c>
      <c r="U135" s="271"/>
    </row>
    <row r="136" spans="1:21" s="3" customFormat="1">
      <c r="A136" s="269"/>
      <c r="B136" s="278"/>
      <c r="C136" s="279"/>
      <c r="D136" s="280">
        <f t="shared" si="10"/>
        <v>0</v>
      </c>
      <c r="E136" s="274"/>
      <c r="F136" s="274"/>
      <c r="G136" s="280">
        <f t="shared" si="11"/>
        <v>0</v>
      </c>
      <c r="H136" s="274"/>
      <c r="I136" s="274"/>
      <c r="J136" s="280">
        <f t="shared" si="12"/>
        <v>0</v>
      </c>
      <c r="K136" s="274"/>
      <c r="L136" s="274"/>
      <c r="M136" s="280">
        <f t="shared" si="13"/>
        <v>0</v>
      </c>
      <c r="N136" s="274"/>
      <c r="O136" s="274"/>
      <c r="P136" s="280">
        <f t="shared" si="14"/>
        <v>0</v>
      </c>
      <c r="Q136" s="274"/>
      <c r="R136" s="274"/>
      <c r="S136" s="280">
        <f t="shared" si="15"/>
        <v>0</v>
      </c>
      <c r="T136" s="282">
        <f t="shared" si="16"/>
        <v>5</v>
      </c>
      <c r="U136" s="271"/>
    </row>
    <row r="137" spans="1:21" s="3" customFormat="1">
      <c r="A137" s="269"/>
      <c r="B137" s="278"/>
      <c r="C137" s="279"/>
      <c r="D137" s="280">
        <f t="shared" si="10"/>
        <v>0</v>
      </c>
      <c r="E137" s="274"/>
      <c r="F137" s="274"/>
      <c r="G137" s="280">
        <f t="shared" si="11"/>
        <v>0</v>
      </c>
      <c r="H137" s="274"/>
      <c r="I137" s="274"/>
      <c r="J137" s="280">
        <f t="shared" si="12"/>
        <v>0</v>
      </c>
      <c r="K137" s="274"/>
      <c r="L137" s="274"/>
      <c r="M137" s="280">
        <f t="shared" si="13"/>
        <v>0</v>
      </c>
      <c r="N137" s="274"/>
      <c r="O137" s="274"/>
      <c r="P137" s="280">
        <f t="shared" si="14"/>
        <v>0</v>
      </c>
      <c r="Q137" s="274"/>
      <c r="R137" s="274"/>
      <c r="S137" s="280">
        <f t="shared" si="15"/>
        <v>0</v>
      </c>
      <c r="T137" s="282">
        <f t="shared" si="16"/>
        <v>5</v>
      </c>
      <c r="U137" s="271"/>
    </row>
    <row r="138" spans="1:21" s="3" customFormat="1">
      <c r="A138" s="269"/>
      <c r="B138" s="278"/>
      <c r="C138" s="279"/>
      <c r="D138" s="280">
        <f t="shared" si="10"/>
        <v>0</v>
      </c>
      <c r="E138" s="274"/>
      <c r="F138" s="274"/>
      <c r="G138" s="280">
        <f t="shared" si="11"/>
        <v>0</v>
      </c>
      <c r="H138" s="274"/>
      <c r="I138" s="274"/>
      <c r="J138" s="280">
        <f t="shared" si="12"/>
        <v>0</v>
      </c>
      <c r="K138" s="274"/>
      <c r="L138" s="274"/>
      <c r="M138" s="280">
        <f t="shared" si="13"/>
        <v>0</v>
      </c>
      <c r="N138" s="274"/>
      <c r="O138" s="274"/>
      <c r="P138" s="280">
        <f t="shared" si="14"/>
        <v>0</v>
      </c>
      <c r="Q138" s="274"/>
      <c r="R138" s="274"/>
      <c r="S138" s="280">
        <f t="shared" si="15"/>
        <v>0</v>
      </c>
      <c r="T138" s="282">
        <f t="shared" si="16"/>
        <v>5</v>
      </c>
      <c r="U138" s="271"/>
    </row>
    <row r="139" spans="1:21" s="3" customFormat="1">
      <c r="A139" s="307" t="s">
        <v>224</v>
      </c>
      <c r="B139" s="308"/>
      <c r="C139" s="308"/>
      <c r="D139" s="333">
        <f>SUM(D97:D138)</f>
        <v>2050000</v>
      </c>
      <c r="E139" s="308"/>
      <c r="F139" s="308"/>
      <c r="G139" s="333">
        <f>SUM(G97:G138)</f>
        <v>0</v>
      </c>
      <c r="H139" s="308"/>
      <c r="I139" s="308"/>
      <c r="J139" s="333">
        <f>SUM(J97:J138)</f>
        <v>0</v>
      </c>
      <c r="K139" s="308"/>
      <c r="L139" s="308"/>
      <c r="M139" s="333">
        <f>SUM(M97:M138)</f>
        <v>0</v>
      </c>
      <c r="N139" s="308"/>
      <c r="O139" s="308"/>
      <c r="P139" s="333">
        <f>SUM(P97:P138)</f>
        <v>0</v>
      </c>
      <c r="Q139" s="308"/>
      <c r="R139" s="308"/>
      <c r="S139" s="333">
        <f>SUM(S97:S138)</f>
        <v>0</v>
      </c>
      <c r="T139" s="310"/>
      <c r="U139" s="271"/>
    </row>
    <row r="140" spans="1:21" s="3" customFormat="1">
      <c r="A140" s="234" t="s">
        <v>225</v>
      </c>
      <c r="B140" s="554" t="str">
        <f>B96</f>
        <v>Cantidad</v>
      </c>
      <c r="C140" s="554" t="str">
        <f t="shared" ref="C140:S140" si="17">C96</f>
        <v>Valor unitario</v>
      </c>
      <c r="D140" s="554" t="str">
        <f t="shared" si="17"/>
        <v>Valor total</v>
      </c>
      <c r="E140" s="554" t="str">
        <f t="shared" si="17"/>
        <v>Cantidad</v>
      </c>
      <c r="F140" s="554" t="str">
        <f t="shared" si="17"/>
        <v>Valor unitario</v>
      </c>
      <c r="G140" s="554" t="str">
        <f t="shared" si="17"/>
        <v>Valor total</v>
      </c>
      <c r="H140" s="554" t="str">
        <f t="shared" si="17"/>
        <v>Cantidad</v>
      </c>
      <c r="I140" s="554" t="str">
        <f t="shared" si="17"/>
        <v>Valor unitario</v>
      </c>
      <c r="J140" s="554" t="str">
        <f t="shared" si="17"/>
        <v>Valor total</v>
      </c>
      <c r="K140" s="554" t="str">
        <f t="shared" si="17"/>
        <v>Cantidad</v>
      </c>
      <c r="L140" s="554" t="str">
        <f t="shared" si="17"/>
        <v>Valor unitario</v>
      </c>
      <c r="M140" s="554" t="str">
        <f t="shared" si="17"/>
        <v>Valor total</v>
      </c>
      <c r="N140" s="554" t="str">
        <f t="shared" si="17"/>
        <v>Cantidad</v>
      </c>
      <c r="O140" s="554" t="str">
        <f t="shared" si="17"/>
        <v>Valor unitario</v>
      </c>
      <c r="P140" s="554" t="str">
        <f t="shared" si="17"/>
        <v>Valor total</v>
      </c>
      <c r="Q140" s="554" t="str">
        <f t="shared" si="17"/>
        <v>Cantidad</v>
      </c>
      <c r="R140" s="554" t="str">
        <f t="shared" si="17"/>
        <v>Valor unitario</v>
      </c>
      <c r="S140" s="554" t="str">
        <f t="shared" si="17"/>
        <v>Valor total</v>
      </c>
      <c r="T140" s="273"/>
      <c r="U140" s="271"/>
    </row>
    <row r="141" spans="1:21" s="3" customFormat="1">
      <c r="A141" s="266"/>
      <c r="B141" s="285"/>
      <c r="C141" s="279"/>
      <c r="D141" s="286">
        <f>B141*C141</f>
        <v>0</v>
      </c>
      <c r="E141" s="274"/>
      <c r="F141" s="274"/>
      <c r="G141" s="286">
        <f>E141*F141</f>
        <v>0</v>
      </c>
      <c r="H141" s="274"/>
      <c r="I141" s="274"/>
      <c r="J141" s="286">
        <f>H141*I141</f>
        <v>0</v>
      </c>
      <c r="K141" s="274"/>
      <c r="L141" s="274"/>
      <c r="M141" s="286">
        <f>K141*L141</f>
        <v>0</v>
      </c>
      <c r="N141" s="274"/>
      <c r="O141" s="274"/>
      <c r="P141" s="286">
        <f>N141*O141</f>
        <v>0</v>
      </c>
      <c r="Q141" s="274"/>
      <c r="R141" s="274"/>
      <c r="S141" s="286">
        <f>Q141*R141</f>
        <v>0</v>
      </c>
      <c r="T141" s="287">
        <f>'1'!F34</f>
        <v>5</v>
      </c>
      <c r="U141" s="271"/>
    </row>
    <row r="142" spans="1:21" s="3" customFormat="1">
      <c r="A142" s="266"/>
      <c r="B142" s="285"/>
      <c r="C142" s="279"/>
      <c r="D142" s="286">
        <f>B142*C142</f>
        <v>0</v>
      </c>
      <c r="E142" s="274"/>
      <c r="F142" s="274"/>
      <c r="G142" s="286">
        <f>E142*F142</f>
        <v>0</v>
      </c>
      <c r="H142" s="274"/>
      <c r="I142" s="274"/>
      <c r="J142" s="286">
        <f>H142*I142</f>
        <v>0</v>
      </c>
      <c r="K142" s="274"/>
      <c r="L142" s="274"/>
      <c r="M142" s="286">
        <f>K142*L142</f>
        <v>0</v>
      </c>
      <c r="N142" s="274"/>
      <c r="O142" s="274"/>
      <c r="P142" s="286">
        <f>N142*O142</f>
        <v>0</v>
      </c>
      <c r="Q142" s="274"/>
      <c r="R142" s="274"/>
      <c r="S142" s="286">
        <f>Q142*R142</f>
        <v>0</v>
      </c>
      <c r="T142" s="287">
        <f>T141</f>
        <v>5</v>
      </c>
      <c r="U142" s="271"/>
    </row>
    <row r="143" spans="1:21" s="3" customFormat="1">
      <c r="A143" s="266"/>
      <c r="B143" s="285"/>
      <c r="C143" s="279"/>
      <c r="D143" s="286">
        <f>B143*C143</f>
        <v>0</v>
      </c>
      <c r="E143" s="274"/>
      <c r="F143" s="274"/>
      <c r="G143" s="286">
        <f>E143*F143</f>
        <v>0</v>
      </c>
      <c r="H143" s="274"/>
      <c r="I143" s="274"/>
      <c r="J143" s="286">
        <f>H143*I143</f>
        <v>0</v>
      </c>
      <c r="K143" s="274"/>
      <c r="L143" s="274"/>
      <c r="M143" s="286">
        <f>K143*L143</f>
        <v>0</v>
      </c>
      <c r="N143" s="274"/>
      <c r="O143" s="274"/>
      <c r="P143" s="286">
        <f>N143*O143</f>
        <v>0</v>
      </c>
      <c r="Q143" s="274"/>
      <c r="R143" s="274"/>
      <c r="S143" s="286">
        <f>Q143*R143</f>
        <v>0</v>
      </c>
      <c r="T143" s="287">
        <f>T142</f>
        <v>5</v>
      </c>
      <c r="U143" s="271"/>
    </row>
    <row r="144" spans="1:21" s="3" customFormat="1">
      <c r="A144" s="266"/>
      <c r="B144" s="285"/>
      <c r="C144" s="279"/>
      <c r="D144" s="286">
        <f>B144*C144</f>
        <v>0</v>
      </c>
      <c r="E144" s="274"/>
      <c r="F144" s="274"/>
      <c r="G144" s="286">
        <f>E144*F144</f>
        <v>0</v>
      </c>
      <c r="H144" s="274"/>
      <c r="I144" s="274"/>
      <c r="J144" s="286">
        <f>H144*I144</f>
        <v>0</v>
      </c>
      <c r="K144" s="274"/>
      <c r="L144" s="274"/>
      <c r="M144" s="286">
        <f>K144*L144</f>
        <v>0</v>
      </c>
      <c r="N144" s="274"/>
      <c r="O144" s="274"/>
      <c r="P144" s="286">
        <f>N144*O144</f>
        <v>0</v>
      </c>
      <c r="Q144" s="274"/>
      <c r="R144" s="274"/>
      <c r="S144" s="286">
        <f>Q144*R144</f>
        <v>0</v>
      </c>
      <c r="T144" s="287">
        <f>T143</f>
        <v>5</v>
      </c>
      <c r="U144" s="271"/>
    </row>
    <row r="145" spans="1:21" s="3" customFormat="1">
      <c r="A145" s="266"/>
      <c r="B145" s="285"/>
      <c r="C145" s="279"/>
      <c r="D145" s="286">
        <f>B145*C145</f>
        <v>0</v>
      </c>
      <c r="E145" s="274"/>
      <c r="F145" s="274"/>
      <c r="G145" s="286">
        <f>E145*F145</f>
        <v>0</v>
      </c>
      <c r="H145" s="274"/>
      <c r="I145" s="274"/>
      <c r="J145" s="286">
        <f>H145*I145</f>
        <v>0</v>
      </c>
      <c r="K145" s="274"/>
      <c r="L145" s="274"/>
      <c r="M145" s="286">
        <f>K145*L145</f>
        <v>0</v>
      </c>
      <c r="N145" s="274"/>
      <c r="O145" s="274"/>
      <c r="P145" s="286">
        <f>N145*O145</f>
        <v>0</v>
      </c>
      <c r="Q145" s="274"/>
      <c r="R145" s="274"/>
      <c r="S145" s="286">
        <f>Q145*R145</f>
        <v>0</v>
      </c>
      <c r="T145" s="287">
        <f>T144</f>
        <v>5</v>
      </c>
      <c r="U145" s="271"/>
    </row>
    <row r="146" spans="1:21" s="3" customFormat="1">
      <c r="A146" s="307" t="s">
        <v>226</v>
      </c>
      <c r="B146" s="308"/>
      <c r="C146" s="308">
        <f>SUM(C141:C145)</f>
        <v>0</v>
      </c>
      <c r="D146" s="333">
        <f>SUM(D141:D145)</f>
        <v>0</v>
      </c>
      <c r="E146" s="308"/>
      <c r="F146" s="308"/>
      <c r="G146" s="333">
        <f>SUM(G141:G145)</f>
        <v>0</v>
      </c>
      <c r="H146" s="308"/>
      <c r="I146" s="308"/>
      <c r="J146" s="333">
        <f>SUM(J141:J145)</f>
        <v>0</v>
      </c>
      <c r="K146" s="308"/>
      <c r="L146" s="308"/>
      <c r="M146" s="333">
        <f>SUM(M141:M145)</f>
        <v>0</v>
      </c>
      <c r="N146" s="308"/>
      <c r="O146" s="308"/>
      <c r="P146" s="333">
        <f>SUM(P141:P145)</f>
        <v>0</v>
      </c>
      <c r="Q146" s="308"/>
      <c r="R146" s="308"/>
      <c r="S146" s="333">
        <f>SUM(S141:S145)</f>
        <v>0</v>
      </c>
      <c r="T146" s="310"/>
      <c r="U146" s="271"/>
    </row>
    <row r="147" spans="1:21" s="3" customFormat="1">
      <c r="A147" s="234" t="s">
        <v>227</v>
      </c>
      <c r="B147" s="554" t="str">
        <f>B140</f>
        <v>Cantidad</v>
      </c>
      <c r="C147" s="554" t="str">
        <f t="shared" ref="C147:S147" si="18">C140</f>
        <v>Valor unitario</v>
      </c>
      <c r="D147" s="554" t="str">
        <f t="shared" si="18"/>
        <v>Valor total</v>
      </c>
      <c r="E147" s="554" t="str">
        <f t="shared" si="18"/>
        <v>Cantidad</v>
      </c>
      <c r="F147" s="554" t="str">
        <f t="shared" si="18"/>
        <v>Valor unitario</v>
      </c>
      <c r="G147" s="554" t="str">
        <f t="shared" si="18"/>
        <v>Valor total</v>
      </c>
      <c r="H147" s="554" t="str">
        <f t="shared" si="18"/>
        <v>Cantidad</v>
      </c>
      <c r="I147" s="554" t="str">
        <f t="shared" si="18"/>
        <v>Valor unitario</v>
      </c>
      <c r="J147" s="554" t="str">
        <f t="shared" si="18"/>
        <v>Valor total</v>
      </c>
      <c r="K147" s="554" t="str">
        <f t="shared" si="18"/>
        <v>Cantidad</v>
      </c>
      <c r="L147" s="554" t="str">
        <f t="shared" si="18"/>
        <v>Valor unitario</v>
      </c>
      <c r="M147" s="554" t="str">
        <f t="shared" si="18"/>
        <v>Valor total</v>
      </c>
      <c r="N147" s="554" t="str">
        <f t="shared" si="18"/>
        <v>Cantidad</v>
      </c>
      <c r="O147" s="554" t="str">
        <f t="shared" si="18"/>
        <v>Valor unitario</v>
      </c>
      <c r="P147" s="554" t="str">
        <f t="shared" si="18"/>
        <v>Valor total</v>
      </c>
      <c r="Q147" s="554" t="str">
        <f t="shared" si="18"/>
        <v>Cantidad</v>
      </c>
      <c r="R147" s="554" t="str">
        <f t="shared" si="18"/>
        <v>Valor unitario</v>
      </c>
      <c r="S147" s="554" t="str">
        <f t="shared" si="18"/>
        <v>Valor total</v>
      </c>
      <c r="T147" s="273"/>
      <c r="U147" s="271"/>
    </row>
    <row r="148" spans="1:21" s="3" customFormat="1">
      <c r="A148" s="267" t="s">
        <v>456</v>
      </c>
      <c r="B148" s="278">
        <v>2</v>
      </c>
      <c r="C148" s="279">
        <v>1600000</v>
      </c>
      <c r="D148" s="280">
        <f>B148*C148</f>
        <v>3200000</v>
      </c>
      <c r="E148" s="274"/>
      <c r="F148" s="274"/>
      <c r="G148" s="280">
        <f>E148*F148</f>
        <v>0</v>
      </c>
      <c r="H148" s="274"/>
      <c r="I148" s="274"/>
      <c r="J148" s="280">
        <f>H148*I148</f>
        <v>0</v>
      </c>
      <c r="K148" s="274"/>
      <c r="L148" s="274"/>
      <c r="M148" s="280">
        <f>K148*L148</f>
        <v>0</v>
      </c>
      <c r="N148" s="274"/>
      <c r="O148" s="274"/>
      <c r="P148" s="280">
        <f>N148*O148</f>
        <v>0</v>
      </c>
      <c r="Q148" s="274"/>
      <c r="R148" s="274"/>
      <c r="S148" s="280">
        <f>Q148*R148</f>
        <v>0</v>
      </c>
      <c r="T148" s="282">
        <f>'1'!F35</f>
        <v>3</v>
      </c>
      <c r="U148" s="271"/>
    </row>
    <row r="149" spans="1:21" s="3" customFormat="1">
      <c r="A149" s="267" t="s">
        <v>457</v>
      </c>
      <c r="B149" s="278">
        <v>1</v>
      </c>
      <c r="C149" s="279">
        <v>200000</v>
      </c>
      <c r="D149" s="280">
        <f>B149*C149</f>
        <v>200000</v>
      </c>
      <c r="E149" s="274"/>
      <c r="F149" s="274"/>
      <c r="G149" s="280">
        <f>E149*F149</f>
        <v>0</v>
      </c>
      <c r="H149" s="274"/>
      <c r="I149" s="274"/>
      <c r="J149" s="280">
        <f>H149*I149</f>
        <v>0</v>
      </c>
      <c r="K149" s="274"/>
      <c r="L149" s="274"/>
      <c r="M149" s="280">
        <f>K149*L149</f>
        <v>0</v>
      </c>
      <c r="N149" s="274"/>
      <c r="O149" s="274"/>
      <c r="P149" s="280">
        <f>N149*O149</f>
        <v>0</v>
      </c>
      <c r="Q149" s="274"/>
      <c r="R149" s="274"/>
      <c r="S149" s="280">
        <f>Q149*R149</f>
        <v>0</v>
      </c>
      <c r="T149" s="282">
        <f>T148</f>
        <v>3</v>
      </c>
      <c r="U149" s="271"/>
    </row>
    <row r="150" spans="1:21" s="3" customFormat="1">
      <c r="A150" s="267"/>
      <c r="B150" s="278"/>
      <c r="C150" s="279"/>
      <c r="D150" s="280">
        <f>B150*C150</f>
        <v>0</v>
      </c>
      <c r="E150" s="274"/>
      <c r="F150" s="281"/>
      <c r="G150" s="280">
        <f>E150*F150</f>
        <v>0</v>
      </c>
      <c r="H150" s="274"/>
      <c r="I150" s="281"/>
      <c r="J150" s="280">
        <f>H150*I150</f>
        <v>0</v>
      </c>
      <c r="K150" s="274"/>
      <c r="L150" s="281"/>
      <c r="M150" s="280">
        <f>K150*L150</f>
        <v>0</v>
      </c>
      <c r="N150" s="274"/>
      <c r="O150" s="281"/>
      <c r="P150" s="280">
        <f>N150*O150</f>
        <v>0</v>
      </c>
      <c r="Q150" s="274"/>
      <c r="R150" s="281"/>
      <c r="S150" s="280">
        <f>Q150*R150</f>
        <v>0</v>
      </c>
      <c r="T150" s="282">
        <f t="shared" ref="T150:T170" si="19">T149</f>
        <v>3</v>
      </c>
      <c r="U150" s="271"/>
    </row>
    <row r="151" spans="1:21" s="3" customFormat="1">
      <c r="A151" s="267"/>
      <c r="B151" s="278"/>
      <c r="C151" s="279"/>
      <c r="D151" s="280">
        <f>B151*C151</f>
        <v>0</v>
      </c>
      <c r="E151" s="274"/>
      <c r="F151" s="281"/>
      <c r="G151" s="280">
        <f>E151*F151</f>
        <v>0</v>
      </c>
      <c r="H151" s="274"/>
      <c r="I151" s="281"/>
      <c r="J151" s="280">
        <f>H151*I151</f>
        <v>0</v>
      </c>
      <c r="K151" s="274"/>
      <c r="L151" s="281"/>
      <c r="M151" s="280">
        <f>K151*L151</f>
        <v>0</v>
      </c>
      <c r="N151" s="274"/>
      <c r="O151" s="281"/>
      <c r="P151" s="280">
        <f>N151*O151</f>
        <v>0</v>
      </c>
      <c r="Q151" s="274"/>
      <c r="R151" s="281"/>
      <c r="S151" s="280">
        <f>Q151*R151</f>
        <v>0</v>
      </c>
      <c r="T151" s="282">
        <f t="shared" si="19"/>
        <v>3</v>
      </c>
      <c r="U151" s="271"/>
    </row>
    <row r="152" spans="1:21" s="3" customFormat="1">
      <c r="A152" s="267"/>
      <c r="B152" s="278"/>
      <c r="C152" s="279"/>
      <c r="D152" s="280">
        <f>B152*C152</f>
        <v>0</v>
      </c>
      <c r="E152" s="274"/>
      <c r="F152" s="274"/>
      <c r="G152" s="280">
        <f>E152*F152</f>
        <v>0</v>
      </c>
      <c r="H152" s="274"/>
      <c r="I152" s="274"/>
      <c r="J152" s="280">
        <f>H152*I152</f>
        <v>0</v>
      </c>
      <c r="K152" s="274"/>
      <c r="L152" s="274"/>
      <c r="M152" s="280">
        <f>K152*L152</f>
        <v>0</v>
      </c>
      <c r="N152" s="274"/>
      <c r="O152" s="274"/>
      <c r="P152" s="280">
        <f>N152*O152</f>
        <v>0</v>
      </c>
      <c r="Q152" s="274"/>
      <c r="R152" s="274"/>
      <c r="S152" s="280">
        <f>Q152*R152</f>
        <v>0</v>
      </c>
      <c r="T152" s="282">
        <f t="shared" si="19"/>
        <v>3</v>
      </c>
      <c r="U152" s="271"/>
    </row>
    <row r="153" spans="1:21" s="3" customFormat="1">
      <c r="A153" s="269"/>
      <c r="B153" s="278"/>
      <c r="C153" s="279"/>
      <c r="D153" s="280">
        <f t="shared" ref="D153:D170" si="20">B153*C153</f>
        <v>0</v>
      </c>
      <c r="E153" s="274"/>
      <c r="F153" s="274"/>
      <c r="G153" s="280">
        <f t="shared" ref="G153:G170" si="21">E153*F153</f>
        <v>0</v>
      </c>
      <c r="H153" s="274"/>
      <c r="I153" s="274"/>
      <c r="J153" s="280">
        <f t="shared" ref="J153:J170" si="22">H153*I153</f>
        <v>0</v>
      </c>
      <c r="K153" s="274"/>
      <c r="L153" s="274"/>
      <c r="M153" s="280">
        <f t="shared" ref="M153:M170" si="23">K153*L153</f>
        <v>0</v>
      </c>
      <c r="N153" s="274"/>
      <c r="O153" s="274"/>
      <c r="P153" s="280">
        <f t="shared" ref="P153:P170" si="24">N153*O153</f>
        <v>0</v>
      </c>
      <c r="Q153" s="274"/>
      <c r="R153" s="274"/>
      <c r="S153" s="280">
        <f t="shared" ref="S153:S170" si="25">Q153*R153</f>
        <v>0</v>
      </c>
      <c r="T153" s="282">
        <f t="shared" si="19"/>
        <v>3</v>
      </c>
      <c r="U153" s="271"/>
    </row>
    <row r="154" spans="1:21" s="3" customFormat="1">
      <c r="A154" s="269"/>
      <c r="B154" s="278"/>
      <c r="C154" s="279"/>
      <c r="D154" s="280">
        <f t="shared" si="20"/>
        <v>0</v>
      </c>
      <c r="E154" s="274"/>
      <c r="F154" s="274"/>
      <c r="G154" s="280">
        <f t="shared" si="21"/>
        <v>0</v>
      </c>
      <c r="H154" s="274"/>
      <c r="I154" s="274"/>
      <c r="J154" s="280">
        <f t="shared" si="22"/>
        <v>0</v>
      </c>
      <c r="K154" s="274"/>
      <c r="L154" s="274"/>
      <c r="M154" s="280">
        <f t="shared" si="23"/>
        <v>0</v>
      </c>
      <c r="N154" s="274"/>
      <c r="O154" s="274"/>
      <c r="P154" s="280">
        <f t="shared" si="24"/>
        <v>0</v>
      </c>
      <c r="Q154" s="274"/>
      <c r="R154" s="274"/>
      <c r="S154" s="280">
        <f t="shared" si="25"/>
        <v>0</v>
      </c>
      <c r="T154" s="282">
        <f t="shared" si="19"/>
        <v>3</v>
      </c>
      <c r="U154" s="271"/>
    </row>
    <row r="155" spans="1:21" s="3" customFormat="1">
      <c r="A155" s="269"/>
      <c r="B155" s="278"/>
      <c r="C155" s="279"/>
      <c r="D155" s="280">
        <f t="shared" si="20"/>
        <v>0</v>
      </c>
      <c r="E155" s="274"/>
      <c r="F155" s="274"/>
      <c r="G155" s="280">
        <f t="shared" si="21"/>
        <v>0</v>
      </c>
      <c r="H155" s="274"/>
      <c r="I155" s="274"/>
      <c r="J155" s="280">
        <f t="shared" si="22"/>
        <v>0</v>
      </c>
      <c r="K155" s="274"/>
      <c r="L155" s="274"/>
      <c r="M155" s="280">
        <f t="shared" si="23"/>
        <v>0</v>
      </c>
      <c r="N155" s="274"/>
      <c r="O155" s="274"/>
      <c r="P155" s="280">
        <f t="shared" si="24"/>
        <v>0</v>
      </c>
      <c r="Q155" s="274"/>
      <c r="R155" s="274"/>
      <c r="S155" s="280">
        <f t="shared" si="25"/>
        <v>0</v>
      </c>
      <c r="T155" s="282">
        <f t="shared" si="19"/>
        <v>3</v>
      </c>
      <c r="U155" s="271"/>
    </row>
    <row r="156" spans="1:21" s="3" customFormat="1">
      <c r="A156" s="269"/>
      <c r="B156" s="278"/>
      <c r="C156" s="279"/>
      <c r="D156" s="280">
        <f t="shared" si="20"/>
        <v>0</v>
      </c>
      <c r="E156" s="274"/>
      <c r="F156" s="274"/>
      <c r="G156" s="280">
        <f t="shared" si="21"/>
        <v>0</v>
      </c>
      <c r="H156" s="274"/>
      <c r="I156" s="274"/>
      <c r="J156" s="280">
        <f t="shared" si="22"/>
        <v>0</v>
      </c>
      <c r="K156" s="274"/>
      <c r="L156" s="274"/>
      <c r="M156" s="280">
        <f t="shared" si="23"/>
        <v>0</v>
      </c>
      <c r="N156" s="274"/>
      <c r="O156" s="274"/>
      <c r="P156" s="280">
        <f t="shared" si="24"/>
        <v>0</v>
      </c>
      <c r="Q156" s="274"/>
      <c r="R156" s="274"/>
      <c r="S156" s="280">
        <f t="shared" si="25"/>
        <v>0</v>
      </c>
      <c r="T156" s="282">
        <f t="shared" si="19"/>
        <v>3</v>
      </c>
      <c r="U156" s="271"/>
    </row>
    <row r="157" spans="1:21" s="3" customFormat="1">
      <c r="A157" s="269"/>
      <c r="B157" s="278"/>
      <c r="C157" s="279"/>
      <c r="D157" s="280">
        <f t="shared" si="20"/>
        <v>0</v>
      </c>
      <c r="E157" s="274"/>
      <c r="F157" s="274"/>
      <c r="G157" s="280">
        <f t="shared" si="21"/>
        <v>0</v>
      </c>
      <c r="H157" s="274"/>
      <c r="I157" s="274"/>
      <c r="J157" s="280">
        <f t="shared" si="22"/>
        <v>0</v>
      </c>
      <c r="K157" s="274"/>
      <c r="L157" s="274"/>
      <c r="M157" s="280">
        <f t="shared" si="23"/>
        <v>0</v>
      </c>
      <c r="N157" s="274"/>
      <c r="O157" s="274"/>
      <c r="P157" s="280">
        <f t="shared" si="24"/>
        <v>0</v>
      </c>
      <c r="Q157" s="274"/>
      <c r="R157" s="274"/>
      <c r="S157" s="280">
        <f t="shared" si="25"/>
        <v>0</v>
      </c>
      <c r="T157" s="282">
        <f t="shared" si="19"/>
        <v>3</v>
      </c>
      <c r="U157" s="271"/>
    </row>
    <row r="158" spans="1:21" s="3" customFormat="1">
      <c r="A158" s="269"/>
      <c r="B158" s="278"/>
      <c r="C158" s="279"/>
      <c r="D158" s="280">
        <f t="shared" si="20"/>
        <v>0</v>
      </c>
      <c r="E158" s="274"/>
      <c r="F158" s="274"/>
      <c r="G158" s="280">
        <f t="shared" si="21"/>
        <v>0</v>
      </c>
      <c r="H158" s="274"/>
      <c r="I158" s="274"/>
      <c r="J158" s="280">
        <f t="shared" si="22"/>
        <v>0</v>
      </c>
      <c r="K158" s="274"/>
      <c r="L158" s="274"/>
      <c r="M158" s="280">
        <f t="shared" si="23"/>
        <v>0</v>
      </c>
      <c r="N158" s="274"/>
      <c r="O158" s="274"/>
      <c r="P158" s="280">
        <f t="shared" si="24"/>
        <v>0</v>
      </c>
      <c r="Q158" s="274"/>
      <c r="R158" s="274"/>
      <c r="S158" s="280">
        <f t="shared" si="25"/>
        <v>0</v>
      </c>
      <c r="T158" s="282">
        <f t="shared" si="19"/>
        <v>3</v>
      </c>
      <c r="U158" s="271"/>
    </row>
    <row r="159" spans="1:21" s="3" customFormat="1">
      <c r="A159" s="269"/>
      <c r="B159" s="278"/>
      <c r="C159" s="279"/>
      <c r="D159" s="280">
        <f t="shared" si="20"/>
        <v>0</v>
      </c>
      <c r="E159" s="274"/>
      <c r="F159" s="274"/>
      <c r="G159" s="280">
        <f t="shared" si="21"/>
        <v>0</v>
      </c>
      <c r="H159" s="274"/>
      <c r="I159" s="274"/>
      <c r="J159" s="280">
        <f t="shared" si="22"/>
        <v>0</v>
      </c>
      <c r="K159" s="274"/>
      <c r="L159" s="274"/>
      <c r="M159" s="280">
        <f t="shared" si="23"/>
        <v>0</v>
      </c>
      <c r="N159" s="274"/>
      <c r="O159" s="274"/>
      <c r="P159" s="280">
        <f t="shared" si="24"/>
        <v>0</v>
      </c>
      <c r="Q159" s="274"/>
      <c r="R159" s="274"/>
      <c r="S159" s="280">
        <f t="shared" si="25"/>
        <v>0</v>
      </c>
      <c r="T159" s="282">
        <f t="shared" si="19"/>
        <v>3</v>
      </c>
      <c r="U159" s="271"/>
    </row>
    <row r="160" spans="1:21" s="3" customFormat="1">
      <c r="A160" s="269"/>
      <c r="B160" s="278"/>
      <c r="C160" s="279"/>
      <c r="D160" s="280">
        <f t="shared" si="20"/>
        <v>0</v>
      </c>
      <c r="E160" s="274"/>
      <c r="F160" s="274"/>
      <c r="G160" s="280">
        <f t="shared" si="21"/>
        <v>0</v>
      </c>
      <c r="H160" s="274"/>
      <c r="I160" s="274"/>
      <c r="J160" s="280">
        <f t="shared" si="22"/>
        <v>0</v>
      </c>
      <c r="K160" s="274"/>
      <c r="L160" s="274"/>
      <c r="M160" s="280">
        <f t="shared" si="23"/>
        <v>0</v>
      </c>
      <c r="N160" s="274"/>
      <c r="O160" s="274"/>
      <c r="P160" s="280">
        <f t="shared" si="24"/>
        <v>0</v>
      </c>
      <c r="Q160" s="274"/>
      <c r="R160" s="274"/>
      <c r="S160" s="280">
        <f t="shared" si="25"/>
        <v>0</v>
      </c>
      <c r="T160" s="282">
        <f t="shared" si="19"/>
        <v>3</v>
      </c>
      <c r="U160" s="271"/>
    </row>
    <row r="161" spans="1:21" s="3" customFormat="1">
      <c r="A161" s="269"/>
      <c r="B161" s="278"/>
      <c r="C161" s="279"/>
      <c r="D161" s="280">
        <f t="shared" si="20"/>
        <v>0</v>
      </c>
      <c r="E161" s="274"/>
      <c r="F161" s="274"/>
      <c r="G161" s="280">
        <f t="shared" si="21"/>
        <v>0</v>
      </c>
      <c r="H161" s="274"/>
      <c r="I161" s="274"/>
      <c r="J161" s="280">
        <f t="shared" si="22"/>
        <v>0</v>
      </c>
      <c r="K161" s="274"/>
      <c r="L161" s="274"/>
      <c r="M161" s="280">
        <f t="shared" si="23"/>
        <v>0</v>
      </c>
      <c r="N161" s="274"/>
      <c r="O161" s="274"/>
      <c r="P161" s="280">
        <f t="shared" si="24"/>
        <v>0</v>
      </c>
      <c r="Q161" s="274"/>
      <c r="R161" s="274"/>
      <c r="S161" s="280">
        <f t="shared" si="25"/>
        <v>0</v>
      </c>
      <c r="T161" s="282">
        <f t="shared" si="19"/>
        <v>3</v>
      </c>
      <c r="U161" s="271"/>
    </row>
    <row r="162" spans="1:21" s="3" customFormat="1">
      <c r="A162" s="269"/>
      <c r="B162" s="278"/>
      <c r="C162" s="279"/>
      <c r="D162" s="280">
        <f t="shared" si="20"/>
        <v>0</v>
      </c>
      <c r="E162" s="274"/>
      <c r="F162" s="274"/>
      <c r="G162" s="280">
        <f t="shared" si="21"/>
        <v>0</v>
      </c>
      <c r="H162" s="274"/>
      <c r="I162" s="274"/>
      <c r="J162" s="280">
        <f t="shared" si="22"/>
        <v>0</v>
      </c>
      <c r="K162" s="274"/>
      <c r="L162" s="274"/>
      <c r="M162" s="280">
        <f t="shared" si="23"/>
        <v>0</v>
      </c>
      <c r="N162" s="274"/>
      <c r="O162" s="274"/>
      <c r="P162" s="280">
        <f t="shared" si="24"/>
        <v>0</v>
      </c>
      <c r="Q162" s="274"/>
      <c r="R162" s="274"/>
      <c r="S162" s="280">
        <f t="shared" si="25"/>
        <v>0</v>
      </c>
      <c r="T162" s="282">
        <f t="shared" si="19"/>
        <v>3</v>
      </c>
      <c r="U162" s="271"/>
    </row>
    <row r="163" spans="1:21" s="3" customFormat="1">
      <c r="A163" s="269"/>
      <c r="B163" s="278"/>
      <c r="C163" s="279"/>
      <c r="D163" s="280">
        <f t="shared" si="20"/>
        <v>0</v>
      </c>
      <c r="E163" s="274"/>
      <c r="F163" s="274"/>
      <c r="G163" s="280">
        <f t="shared" si="21"/>
        <v>0</v>
      </c>
      <c r="H163" s="274"/>
      <c r="I163" s="274"/>
      <c r="J163" s="280">
        <f t="shared" si="22"/>
        <v>0</v>
      </c>
      <c r="K163" s="274"/>
      <c r="L163" s="274"/>
      <c r="M163" s="280">
        <f t="shared" si="23"/>
        <v>0</v>
      </c>
      <c r="N163" s="274"/>
      <c r="O163" s="274"/>
      <c r="P163" s="280">
        <f t="shared" si="24"/>
        <v>0</v>
      </c>
      <c r="Q163" s="274"/>
      <c r="R163" s="274"/>
      <c r="S163" s="280">
        <f t="shared" si="25"/>
        <v>0</v>
      </c>
      <c r="T163" s="282">
        <f t="shared" si="19"/>
        <v>3</v>
      </c>
      <c r="U163" s="271"/>
    </row>
    <row r="164" spans="1:21" s="3" customFormat="1">
      <c r="A164" s="269"/>
      <c r="B164" s="278"/>
      <c r="C164" s="279"/>
      <c r="D164" s="280">
        <f t="shared" si="20"/>
        <v>0</v>
      </c>
      <c r="E164" s="274"/>
      <c r="F164" s="274"/>
      <c r="G164" s="280">
        <f t="shared" si="21"/>
        <v>0</v>
      </c>
      <c r="H164" s="274"/>
      <c r="I164" s="274"/>
      <c r="J164" s="280">
        <f t="shared" si="22"/>
        <v>0</v>
      </c>
      <c r="K164" s="274"/>
      <c r="L164" s="274"/>
      <c r="M164" s="280">
        <f t="shared" si="23"/>
        <v>0</v>
      </c>
      <c r="N164" s="274"/>
      <c r="O164" s="274"/>
      <c r="P164" s="280">
        <f t="shared" si="24"/>
        <v>0</v>
      </c>
      <c r="Q164" s="274"/>
      <c r="R164" s="274"/>
      <c r="S164" s="280">
        <f t="shared" si="25"/>
        <v>0</v>
      </c>
      <c r="T164" s="282">
        <f t="shared" si="19"/>
        <v>3</v>
      </c>
      <c r="U164" s="271"/>
    </row>
    <row r="165" spans="1:21" s="3" customFormat="1">
      <c r="A165" s="269"/>
      <c r="B165" s="278"/>
      <c r="C165" s="279"/>
      <c r="D165" s="280">
        <f t="shared" si="20"/>
        <v>0</v>
      </c>
      <c r="E165" s="274"/>
      <c r="F165" s="274"/>
      <c r="G165" s="280">
        <f t="shared" si="21"/>
        <v>0</v>
      </c>
      <c r="H165" s="274"/>
      <c r="I165" s="274"/>
      <c r="J165" s="280">
        <f t="shared" si="22"/>
        <v>0</v>
      </c>
      <c r="K165" s="274"/>
      <c r="L165" s="274"/>
      <c r="M165" s="280">
        <f t="shared" si="23"/>
        <v>0</v>
      </c>
      <c r="N165" s="274"/>
      <c r="O165" s="274"/>
      <c r="P165" s="280">
        <f t="shared" si="24"/>
        <v>0</v>
      </c>
      <c r="Q165" s="274"/>
      <c r="R165" s="274"/>
      <c r="S165" s="280">
        <f t="shared" si="25"/>
        <v>0</v>
      </c>
      <c r="T165" s="282">
        <f t="shared" si="19"/>
        <v>3</v>
      </c>
      <c r="U165" s="271"/>
    </row>
    <row r="166" spans="1:21" s="3" customFormat="1">
      <c r="A166" s="269"/>
      <c r="B166" s="278"/>
      <c r="C166" s="279"/>
      <c r="D166" s="280">
        <f t="shared" si="20"/>
        <v>0</v>
      </c>
      <c r="E166" s="274"/>
      <c r="F166" s="274"/>
      <c r="G166" s="280">
        <f t="shared" si="21"/>
        <v>0</v>
      </c>
      <c r="H166" s="274"/>
      <c r="I166" s="274"/>
      <c r="J166" s="280">
        <f t="shared" si="22"/>
        <v>0</v>
      </c>
      <c r="K166" s="274"/>
      <c r="L166" s="274"/>
      <c r="M166" s="280">
        <f t="shared" si="23"/>
        <v>0</v>
      </c>
      <c r="N166" s="274"/>
      <c r="O166" s="274"/>
      <c r="P166" s="280">
        <f t="shared" si="24"/>
        <v>0</v>
      </c>
      <c r="Q166" s="274"/>
      <c r="R166" s="274"/>
      <c r="S166" s="280">
        <f t="shared" si="25"/>
        <v>0</v>
      </c>
      <c r="T166" s="282">
        <f t="shared" si="19"/>
        <v>3</v>
      </c>
      <c r="U166" s="271"/>
    </row>
    <row r="167" spans="1:21" s="3" customFormat="1">
      <c r="A167" s="269"/>
      <c r="B167" s="278"/>
      <c r="C167" s="279"/>
      <c r="D167" s="280">
        <f t="shared" si="20"/>
        <v>0</v>
      </c>
      <c r="E167" s="274"/>
      <c r="F167" s="274"/>
      <c r="G167" s="280">
        <f t="shared" si="21"/>
        <v>0</v>
      </c>
      <c r="H167" s="274"/>
      <c r="I167" s="274"/>
      <c r="J167" s="280">
        <f t="shared" si="22"/>
        <v>0</v>
      </c>
      <c r="K167" s="274"/>
      <c r="L167" s="274"/>
      <c r="M167" s="280">
        <f t="shared" si="23"/>
        <v>0</v>
      </c>
      <c r="N167" s="274"/>
      <c r="O167" s="274"/>
      <c r="P167" s="280">
        <f t="shared" si="24"/>
        <v>0</v>
      </c>
      <c r="Q167" s="274"/>
      <c r="R167" s="274"/>
      <c r="S167" s="280">
        <f t="shared" si="25"/>
        <v>0</v>
      </c>
      <c r="T167" s="282">
        <f t="shared" si="19"/>
        <v>3</v>
      </c>
      <c r="U167" s="271"/>
    </row>
    <row r="168" spans="1:21" s="3" customFormat="1">
      <c r="A168" s="269"/>
      <c r="B168" s="278"/>
      <c r="C168" s="279"/>
      <c r="D168" s="280">
        <f t="shared" si="20"/>
        <v>0</v>
      </c>
      <c r="E168" s="274"/>
      <c r="F168" s="274"/>
      <c r="G168" s="280">
        <f t="shared" si="21"/>
        <v>0</v>
      </c>
      <c r="H168" s="274"/>
      <c r="I168" s="274"/>
      <c r="J168" s="280">
        <f t="shared" si="22"/>
        <v>0</v>
      </c>
      <c r="K168" s="274"/>
      <c r="L168" s="274"/>
      <c r="M168" s="280">
        <f t="shared" si="23"/>
        <v>0</v>
      </c>
      <c r="N168" s="274"/>
      <c r="O168" s="274"/>
      <c r="P168" s="280">
        <f t="shared" si="24"/>
        <v>0</v>
      </c>
      <c r="Q168" s="274"/>
      <c r="R168" s="274"/>
      <c r="S168" s="280">
        <f t="shared" si="25"/>
        <v>0</v>
      </c>
      <c r="T168" s="282">
        <f t="shared" si="19"/>
        <v>3</v>
      </c>
      <c r="U168" s="271"/>
    </row>
    <row r="169" spans="1:21" s="3" customFormat="1">
      <c r="A169" s="269"/>
      <c r="B169" s="278"/>
      <c r="C169" s="279"/>
      <c r="D169" s="280">
        <f t="shared" si="20"/>
        <v>0</v>
      </c>
      <c r="E169" s="274"/>
      <c r="F169" s="274"/>
      <c r="G169" s="280">
        <f t="shared" si="21"/>
        <v>0</v>
      </c>
      <c r="H169" s="274"/>
      <c r="I169" s="274"/>
      <c r="J169" s="280">
        <f t="shared" si="22"/>
        <v>0</v>
      </c>
      <c r="K169" s="274"/>
      <c r="L169" s="274"/>
      <c r="M169" s="280">
        <f t="shared" si="23"/>
        <v>0</v>
      </c>
      <c r="N169" s="274"/>
      <c r="O169" s="274"/>
      <c r="P169" s="280">
        <f t="shared" si="24"/>
        <v>0</v>
      </c>
      <c r="Q169" s="274"/>
      <c r="R169" s="274"/>
      <c r="S169" s="280">
        <f t="shared" si="25"/>
        <v>0</v>
      </c>
      <c r="T169" s="282">
        <f t="shared" si="19"/>
        <v>3</v>
      </c>
      <c r="U169" s="271"/>
    </row>
    <row r="170" spans="1:21" s="3" customFormat="1">
      <c r="A170" s="269"/>
      <c r="B170" s="278"/>
      <c r="C170" s="279"/>
      <c r="D170" s="280">
        <f t="shared" si="20"/>
        <v>0</v>
      </c>
      <c r="E170" s="274"/>
      <c r="F170" s="274"/>
      <c r="G170" s="280">
        <f t="shared" si="21"/>
        <v>0</v>
      </c>
      <c r="H170" s="274"/>
      <c r="I170" s="274"/>
      <c r="J170" s="280">
        <f t="shared" si="22"/>
        <v>0</v>
      </c>
      <c r="K170" s="274"/>
      <c r="L170" s="274"/>
      <c r="M170" s="280">
        <f t="shared" si="23"/>
        <v>0</v>
      </c>
      <c r="N170" s="274"/>
      <c r="O170" s="274"/>
      <c r="P170" s="280">
        <f t="shared" si="24"/>
        <v>0</v>
      </c>
      <c r="Q170" s="274"/>
      <c r="R170" s="274"/>
      <c r="S170" s="280">
        <f t="shared" si="25"/>
        <v>0</v>
      </c>
      <c r="T170" s="282">
        <f t="shared" si="19"/>
        <v>3</v>
      </c>
      <c r="U170" s="271"/>
    </row>
    <row r="171" spans="1:21" s="3" customFormat="1">
      <c r="A171" s="307" t="s">
        <v>228</v>
      </c>
      <c r="B171" s="308"/>
      <c r="C171" s="308">
        <f>SUM(C148:C153)</f>
        <v>1800000</v>
      </c>
      <c r="D171" s="333">
        <f>SUM(D148:D170)</f>
        <v>3400000</v>
      </c>
      <c r="E171" s="308"/>
      <c r="F171" s="308"/>
      <c r="G171" s="333">
        <f>SUM(G148:G170)</f>
        <v>0</v>
      </c>
      <c r="H171" s="308"/>
      <c r="I171" s="308"/>
      <c r="J171" s="333">
        <f>SUM(J148:J170)</f>
        <v>0</v>
      </c>
      <c r="K171" s="308"/>
      <c r="L171" s="308"/>
      <c r="M171" s="333">
        <f>SUM(M148:M170)</f>
        <v>0</v>
      </c>
      <c r="N171" s="308"/>
      <c r="O171" s="308"/>
      <c r="P171" s="333">
        <f>SUM(P148:P170)</f>
        <v>0</v>
      </c>
      <c r="Q171" s="308"/>
      <c r="R171" s="308"/>
      <c r="S171" s="333">
        <f>SUM(S148:S170)</f>
        <v>0</v>
      </c>
      <c r="T171" s="310"/>
      <c r="U171" s="271"/>
    </row>
    <row r="172" spans="1:21" s="3" customFormat="1">
      <c r="A172" s="234" t="s">
        <v>229</v>
      </c>
      <c r="B172" s="288"/>
      <c r="C172" s="288">
        <f>C171+C146+C139+C95+C53</f>
        <v>3300000</v>
      </c>
      <c r="D172" s="288">
        <f>D171+D146+D139+D95+D53</f>
        <v>9250000</v>
      </c>
      <c r="E172" s="288"/>
      <c r="F172" s="288"/>
      <c r="G172" s="288">
        <f>G171+G146+G139+G95+G53</f>
        <v>1950000</v>
      </c>
      <c r="H172" s="288"/>
      <c r="I172" s="288"/>
      <c r="J172" s="288">
        <f>J171+J146+J139+J95+J53</f>
        <v>1800000</v>
      </c>
      <c r="K172" s="288"/>
      <c r="L172" s="288"/>
      <c r="M172" s="288">
        <f>M171+M146+M139+M95+M53</f>
        <v>0</v>
      </c>
      <c r="N172" s="288"/>
      <c r="O172" s="288"/>
      <c r="P172" s="288">
        <f>P171+P146+P139+P95+P53</f>
        <v>0</v>
      </c>
      <c r="Q172" s="288"/>
      <c r="R172" s="288"/>
      <c r="S172" s="288">
        <f>S171+S146+S139+S95+S53</f>
        <v>0</v>
      </c>
      <c r="T172" s="288"/>
      <c r="U172" s="271"/>
    </row>
    <row r="173" spans="1:21" s="3" customFormat="1" ht="18.75">
      <c r="A173" s="781" t="s">
        <v>230</v>
      </c>
      <c r="B173" s="781"/>
      <c r="C173" s="781"/>
      <c r="D173" s="781"/>
      <c r="E173" s="781"/>
      <c r="F173" s="289"/>
      <c r="G173" s="289"/>
      <c r="H173" s="289"/>
      <c r="I173" s="289"/>
      <c r="J173" s="289"/>
      <c r="K173" s="289"/>
      <c r="L173" s="289"/>
      <c r="M173" s="289"/>
      <c r="N173" s="289"/>
      <c r="O173" s="289"/>
      <c r="P173" s="289"/>
      <c r="Q173" s="289"/>
      <c r="R173" s="289"/>
      <c r="S173" s="289"/>
      <c r="T173" s="289"/>
      <c r="U173" s="271"/>
    </row>
    <row r="174" spans="1:21" s="3" customFormat="1">
      <c r="A174" s="782" t="s">
        <v>214</v>
      </c>
      <c r="B174" s="776" t="s">
        <v>231</v>
      </c>
      <c r="C174" s="776"/>
      <c r="D174" s="776"/>
      <c r="E174" s="776" t="s">
        <v>232</v>
      </c>
      <c r="F174" s="776"/>
      <c r="G174" s="776"/>
      <c r="H174" s="776" t="s">
        <v>233</v>
      </c>
      <c r="I174" s="776"/>
      <c r="J174" s="776"/>
      <c r="K174" s="776" t="s">
        <v>234</v>
      </c>
      <c r="L174" s="776"/>
      <c r="M174" s="776"/>
      <c r="N174" s="776" t="s">
        <v>235</v>
      </c>
      <c r="O174" s="776"/>
      <c r="P174" s="776"/>
      <c r="Q174" s="777" t="s">
        <v>236</v>
      </c>
      <c r="R174" s="778"/>
      <c r="S174" s="779"/>
      <c r="T174" s="780" t="s">
        <v>215</v>
      </c>
      <c r="U174" s="271"/>
    </row>
    <row r="175" spans="1:21" s="3" customFormat="1">
      <c r="A175" s="783"/>
      <c r="B175" s="272" t="s">
        <v>217</v>
      </c>
      <c r="C175" s="272" t="s">
        <v>218</v>
      </c>
      <c r="D175" s="272" t="s">
        <v>219</v>
      </c>
      <c r="E175" s="272" t="s">
        <v>217</v>
      </c>
      <c r="F175" s="272" t="s">
        <v>218</v>
      </c>
      <c r="G175" s="272" t="s">
        <v>219</v>
      </c>
      <c r="H175" s="272" t="s">
        <v>217</v>
      </c>
      <c r="I175" s="272" t="s">
        <v>218</v>
      </c>
      <c r="J175" s="272" t="s">
        <v>219</v>
      </c>
      <c r="K175" s="272" t="s">
        <v>217</v>
      </c>
      <c r="L175" s="272" t="s">
        <v>218</v>
      </c>
      <c r="M175" s="272" t="s">
        <v>219</v>
      </c>
      <c r="N175" s="272" t="s">
        <v>217</v>
      </c>
      <c r="O175" s="272" t="s">
        <v>218</v>
      </c>
      <c r="P175" s="272" t="s">
        <v>219</v>
      </c>
      <c r="Q175" s="272" t="s">
        <v>217</v>
      </c>
      <c r="R175" s="272" t="s">
        <v>218</v>
      </c>
      <c r="S175" s="272" t="s">
        <v>219</v>
      </c>
      <c r="T175" s="780"/>
      <c r="U175" s="271"/>
    </row>
    <row r="176" spans="1:21" s="3" customFormat="1">
      <c r="A176" s="234" t="s">
        <v>237</v>
      </c>
      <c r="B176" s="277"/>
      <c r="C176" s="277"/>
      <c r="D176" s="277"/>
      <c r="E176" s="277"/>
      <c r="F176" s="277"/>
      <c r="G176" s="277"/>
      <c r="H176" s="277"/>
      <c r="I176" s="277"/>
      <c r="J176" s="277"/>
      <c r="K176" s="277"/>
      <c r="L176" s="277"/>
      <c r="M176" s="277"/>
      <c r="N176" s="277"/>
      <c r="O176" s="277"/>
      <c r="P176" s="277"/>
      <c r="Q176" s="277"/>
      <c r="R176" s="277"/>
      <c r="S176" s="277"/>
      <c r="T176" s="273"/>
      <c r="U176" s="271"/>
    </row>
    <row r="177" spans="1:21" s="3" customFormat="1">
      <c r="A177" s="267"/>
      <c r="B177" s="274"/>
      <c r="C177" s="274"/>
      <c r="D177" s="290">
        <f t="shared" ref="D177:D191" si="26">B177*C177</f>
        <v>0</v>
      </c>
      <c r="E177" s="274"/>
      <c r="F177" s="274"/>
      <c r="G177" s="290">
        <f t="shared" ref="G177:G191" si="27">E177*F177</f>
        <v>0</v>
      </c>
      <c r="H177" s="274"/>
      <c r="I177" s="274"/>
      <c r="J177" s="290">
        <f t="shared" ref="J177:J191" si="28">H177*I177</f>
        <v>0</v>
      </c>
      <c r="K177" s="274"/>
      <c r="L177" s="274"/>
      <c r="M177" s="290">
        <f t="shared" ref="M177:M191" si="29">K177*L177</f>
        <v>0</v>
      </c>
      <c r="N177" s="274"/>
      <c r="O177" s="274"/>
      <c r="P177" s="290">
        <f t="shared" ref="P177:P191" si="30">N177*O177</f>
        <v>0</v>
      </c>
      <c r="Q177" s="274"/>
      <c r="R177" s="274"/>
      <c r="S177" s="290">
        <f t="shared" ref="S177:S191" si="31">Q177*R177</f>
        <v>0</v>
      </c>
      <c r="T177" s="291">
        <f>'1'!F36</f>
        <v>1</v>
      </c>
      <c r="U177" s="271"/>
    </row>
    <row r="178" spans="1:21" s="3" customFormat="1">
      <c r="A178" s="267"/>
      <c r="B178" s="274"/>
      <c r="C178" s="274"/>
      <c r="D178" s="290">
        <f t="shared" si="26"/>
        <v>0</v>
      </c>
      <c r="E178" s="274"/>
      <c r="F178" s="274"/>
      <c r="G178" s="290">
        <f t="shared" si="27"/>
        <v>0</v>
      </c>
      <c r="H178" s="274"/>
      <c r="I178" s="274"/>
      <c r="J178" s="290">
        <f t="shared" si="28"/>
        <v>0</v>
      </c>
      <c r="K178" s="274"/>
      <c r="L178" s="274"/>
      <c r="M178" s="290">
        <f t="shared" si="29"/>
        <v>0</v>
      </c>
      <c r="N178" s="274"/>
      <c r="O178" s="274"/>
      <c r="P178" s="290">
        <f t="shared" si="30"/>
        <v>0</v>
      </c>
      <c r="Q178" s="274"/>
      <c r="R178" s="274"/>
      <c r="S178" s="290">
        <f t="shared" si="31"/>
        <v>0</v>
      </c>
      <c r="T178" s="291">
        <f>T177</f>
        <v>1</v>
      </c>
      <c r="U178" s="271"/>
    </row>
    <row r="179" spans="1:21" s="3" customFormat="1">
      <c r="A179" s="267"/>
      <c r="B179" s="274"/>
      <c r="C179" s="274"/>
      <c r="D179" s="290">
        <f t="shared" si="26"/>
        <v>0</v>
      </c>
      <c r="E179" s="274"/>
      <c r="F179" s="274"/>
      <c r="G179" s="290">
        <f t="shared" si="27"/>
        <v>0</v>
      </c>
      <c r="H179" s="274"/>
      <c r="I179" s="274"/>
      <c r="J179" s="290">
        <f t="shared" si="28"/>
        <v>0</v>
      </c>
      <c r="K179" s="274"/>
      <c r="L179" s="274"/>
      <c r="M179" s="290">
        <f t="shared" si="29"/>
        <v>0</v>
      </c>
      <c r="N179" s="274"/>
      <c r="O179" s="274"/>
      <c r="P179" s="290">
        <f t="shared" si="30"/>
        <v>0</v>
      </c>
      <c r="Q179" s="274"/>
      <c r="R179" s="274"/>
      <c r="S179" s="290">
        <f t="shared" si="31"/>
        <v>0</v>
      </c>
      <c r="T179" s="291">
        <f t="shared" ref="T179:T191" si="32">T178</f>
        <v>1</v>
      </c>
      <c r="U179" s="271"/>
    </row>
    <row r="180" spans="1:21" s="3" customFormat="1">
      <c r="A180" s="267"/>
      <c r="B180" s="274"/>
      <c r="C180" s="274"/>
      <c r="D180" s="290">
        <f t="shared" si="26"/>
        <v>0</v>
      </c>
      <c r="E180" s="274"/>
      <c r="F180" s="274"/>
      <c r="G180" s="290">
        <f t="shared" si="27"/>
        <v>0</v>
      </c>
      <c r="H180" s="274"/>
      <c r="I180" s="274"/>
      <c r="J180" s="290">
        <f t="shared" si="28"/>
        <v>0</v>
      </c>
      <c r="K180" s="274"/>
      <c r="L180" s="274"/>
      <c r="M180" s="290">
        <f t="shared" si="29"/>
        <v>0</v>
      </c>
      <c r="N180" s="274"/>
      <c r="O180" s="274"/>
      <c r="P180" s="290">
        <f t="shared" si="30"/>
        <v>0</v>
      </c>
      <c r="Q180" s="274"/>
      <c r="R180" s="274"/>
      <c r="S180" s="290">
        <f t="shared" si="31"/>
        <v>0</v>
      </c>
      <c r="T180" s="291">
        <f t="shared" si="32"/>
        <v>1</v>
      </c>
      <c r="U180" s="271"/>
    </row>
    <row r="181" spans="1:21" s="3" customFormat="1">
      <c r="A181" s="267"/>
      <c r="B181" s="274"/>
      <c r="C181" s="274"/>
      <c r="D181" s="290">
        <f t="shared" si="26"/>
        <v>0</v>
      </c>
      <c r="E181" s="274"/>
      <c r="F181" s="274"/>
      <c r="G181" s="290">
        <f t="shared" si="27"/>
        <v>0</v>
      </c>
      <c r="H181" s="274"/>
      <c r="I181" s="274"/>
      <c r="J181" s="290">
        <f t="shared" si="28"/>
        <v>0</v>
      </c>
      <c r="K181" s="274"/>
      <c r="L181" s="274"/>
      <c r="M181" s="290">
        <f t="shared" si="29"/>
        <v>0</v>
      </c>
      <c r="N181" s="274"/>
      <c r="O181" s="274"/>
      <c r="P181" s="290">
        <f t="shared" si="30"/>
        <v>0</v>
      </c>
      <c r="Q181" s="274"/>
      <c r="R181" s="274"/>
      <c r="S181" s="290">
        <f t="shared" si="31"/>
        <v>0</v>
      </c>
      <c r="T181" s="291">
        <f t="shared" si="32"/>
        <v>1</v>
      </c>
      <c r="U181" s="271"/>
    </row>
    <row r="182" spans="1:21" s="3" customFormat="1">
      <c r="A182" s="267"/>
      <c r="B182" s="274"/>
      <c r="C182" s="274"/>
      <c r="D182" s="290">
        <f t="shared" si="26"/>
        <v>0</v>
      </c>
      <c r="E182" s="274"/>
      <c r="F182" s="274"/>
      <c r="G182" s="290">
        <f t="shared" si="27"/>
        <v>0</v>
      </c>
      <c r="H182" s="274"/>
      <c r="I182" s="274"/>
      <c r="J182" s="290">
        <f t="shared" si="28"/>
        <v>0</v>
      </c>
      <c r="K182" s="274"/>
      <c r="L182" s="274"/>
      <c r="M182" s="290">
        <f t="shared" si="29"/>
        <v>0</v>
      </c>
      <c r="N182" s="274"/>
      <c r="O182" s="274"/>
      <c r="P182" s="290">
        <f t="shared" si="30"/>
        <v>0</v>
      </c>
      <c r="Q182" s="274"/>
      <c r="R182" s="274"/>
      <c r="S182" s="290">
        <f t="shared" si="31"/>
        <v>0</v>
      </c>
      <c r="T182" s="291">
        <f t="shared" si="32"/>
        <v>1</v>
      </c>
      <c r="U182" s="271"/>
    </row>
    <row r="183" spans="1:21" s="3" customFormat="1">
      <c r="A183" s="267"/>
      <c r="B183" s="274"/>
      <c r="C183" s="274"/>
      <c r="D183" s="290">
        <f t="shared" si="26"/>
        <v>0</v>
      </c>
      <c r="E183" s="274"/>
      <c r="F183" s="274"/>
      <c r="G183" s="290">
        <f t="shared" si="27"/>
        <v>0</v>
      </c>
      <c r="H183" s="274"/>
      <c r="I183" s="274"/>
      <c r="J183" s="290">
        <f t="shared" si="28"/>
        <v>0</v>
      </c>
      <c r="K183" s="274"/>
      <c r="L183" s="274"/>
      <c r="M183" s="290">
        <f t="shared" si="29"/>
        <v>0</v>
      </c>
      <c r="N183" s="274"/>
      <c r="O183" s="274"/>
      <c r="P183" s="290">
        <f t="shared" si="30"/>
        <v>0</v>
      </c>
      <c r="Q183" s="274"/>
      <c r="R183" s="274"/>
      <c r="S183" s="290">
        <f t="shared" si="31"/>
        <v>0</v>
      </c>
      <c r="T183" s="291">
        <f t="shared" si="32"/>
        <v>1</v>
      </c>
      <c r="U183" s="271"/>
    </row>
    <row r="184" spans="1:21" s="3" customFormat="1">
      <c r="A184" s="267"/>
      <c r="B184" s="274"/>
      <c r="C184" s="274"/>
      <c r="D184" s="290">
        <f t="shared" si="26"/>
        <v>0</v>
      </c>
      <c r="E184" s="274"/>
      <c r="F184" s="274"/>
      <c r="G184" s="290">
        <f t="shared" si="27"/>
        <v>0</v>
      </c>
      <c r="H184" s="274"/>
      <c r="I184" s="274"/>
      <c r="J184" s="290">
        <f t="shared" si="28"/>
        <v>0</v>
      </c>
      <c r="K184" s="274"/>
      <c r="L184" s="274"/>
      <c r="M184" s="290">
        <f t="shared" si="29"/>
        <v>0</v>
      </c>
      <c r="N184" s="274"/>
      <c r="O184" s="274"/>
      <c r="P184" s="290">
        <f t="shared" si="30"/>
        <v>0</v>
      </c>
      <c r="Q184" s="274"/>
      <c r="R184" s="274"/>
      <c r="S184" s="290">
        <f t="shared" si="31"/>
        <v>0</v>
      </c>
      <c r="T184" s="291">
        <f t="shared" si="32"/>
        <v>1</v>
      </c>
      <c r="U184" s="271"/>
    </row>
    <row r="185" spans="1:21" s="3" customFormat="1">
      <c r="A185" s="267"/>
      <c r="B185" s="274"/>
      <c r="C185" s="274"/>
      <c r="D185" s="290">
        <f t="shared" si="26"/>
        <v>0</v>
      </c>
      <c r="E185" s="274"/>
      <c r="F185" s="274"/>
      <c r="G185" s="290">
        <f t="shared" si="27"/>
        <v>0</v>
      </c>
      <c r="H185" s="274"/>
      <c r="I185" s="274"/>
      <c r="J185" s="290">
        <f t="shared" si="28"/>
        <v>0</v>
      </c>
      <c r="K185" s="274"/>
      <c r="L185" s="274"/>
      <c r="M185" s="290">
        <f t="shared" si="29"/>
        <v>0</v>
      </c>
      <c r="N185" s="274"/>
      <c r="O185" s="274"/>
      <c r="P185" s="290">
        <f t="shared" si="30"/>
        <v>0</v>
      </c>
      <c r="Q185" s="274"/>
      <c r="R185" s="274"/>
      <c r="S185" s="290">
        <f t="shared" si="31"/>
        <v>0</v>
      </c>
      <c r="T185" s="291">
        <f t="shared" si="32"/>
        <v>1</v>
      </c>
      <c r="U185" s="271"/>
    </row>
    <row r="186" spans="1:21" s="3" customFormat="1">
      <c r="A186" s="267"/>
      <c r="B186" s="274"/>
      <c r="C186" s="274"/>
      <c r="D186" s="290">
        <f t="shared" si="26"/>
        <v>0</v>
      </c>
      <c r="E186" s="274"/>
      <c r="F186" s="274"/>
      <c r="G186" s="290">
        <f t="shared" si="27"/>
        <v>0</v>
      </c>
      <c r="H186" s="274"/>
      <c r="I186" s="274"/>
      <c r="J186" s="290">
        <f t="shared" si="28"/>
        <v>0</v>
      </c>
      <c r="K186" s="274"/>
      <c r="L186" s="274"/>
      <c r="M186" s="290">
        <f t="shared" si="29"/>
        <v>0</v>
      </c>
      <c r="N186" s="274"/>
      <c r="O186" s="274"/>
      <c r="P186" s="290">
        <f t="shared" si="30"/>
        <v>0</v>
      </c>
      <c r="Q186" s="274"/>
      <c r="R186" s="274"/>
      <c r="S186" s="290">
        <f t="shared" si="31"/>
        <v>0</v>
      </c>
      <c r="T186" s="291">
        <f t="shared" si="32"/>
        <v>1</v>
      </c>
      <c r="U186" s="271"/>
    </row>
    <row r="187" spans="1:21" s="3" customFormat="1">
      <c r="A187" s="267"/>
      <c r="B187" s="274"/>
      <c r="C187" s="274"/>
      <c r="D187" s="290">
        <f t="shared" si="26"/>
        <v>0</v>
      </c>
      <c r="E187" s="274"/>
      <c r="F187" s="274"/>
      <c r="G187" s="290">
        <f t="shared" si="27"/>
        <v>0</v>
      </c>
      <c r="H187" s="274"/>
      <c r="I187" s="274"/>
      <c r="J187" s="290">
        <f t="shared" si="28"/>
        <v>0</v>
      </c>
      <c r="K187" s="274"/>
      <c r="L187" s="274"/>
      <c r="M187" s="290">
        <f t="shared" si="29"/>
        <v>0</v>
      </c>
      <c r="N187" s="274"/>
      <c r="O187" s="274"/>
      <c r="P187" s="290">
        <f t="shared" si="30"/>
        <v>0</v>
      </c>
      <c r="Q187" s="274"/>
      <c r="R187" s="274"/>
      <c r="S187" s="290">
        <f t="shared" si="31"/>
        <v>0</v>
      </c>
      <c r="T187" s="291">
        <f t="shared" si="32"/>
        <v>1</v>
      </c>
      <c r="U187" s="271"/>
    </row>
    <row r="188" spans="1:21" s="3" customFormat="1">
      <c r="A188" s="267"/>
      <c r="B188" s="274"/>
      <c r="C188" s="274"/>
      <c r="D188" s="290">
        <f t="shared" si="26"/>
        <v>0</v>
      </c>
      <c r="E188" s="274"/>
      <c r="F188" s="274"/>
      <c r="G188" s="290">
        <f t="shared" si="27"/>
        <v>0</v>
      </c>
      <c r="H188" s="274"/>
      <c r="I188" s="274"/>
      <c r="J188" s="290">
        <f t="shared" si="28"/>
        <v>0</v>
      </c>
      <c r="K188" s="274"/>
      <c r="L188" s="274"/>
      <c r="M188" s="290">
        <f t="shared" si="29"/>
        <v>0</v>
      </c>
      <c r="N188" s="274"/>
      <c r="O188" s="274"/>
      <c r="P188" s="290">
        <f t="shared" si="30"/>
        <v>0</v>
      </c>
      <c r="Q188" s="274"/>
      <c r="R188" s="274"/>
      <c r="S188" s="290">
        <f t="shared" si="31"/>
        <v>0</v>
      </c>
      <c r="T188" s="291">
        <f t="shared" si="32"/>
        <v>1</v>
      </c>
      <c r="U188" s="271"/>
    </row>
    <row r="189" spans="1:21" s="3" customFormat="1">
      <c r="A189" s="267"/>
      <c r="B189" s="274"/>
      <c r="C189" s="274"/>
      <c r="D189" s="290">
        <f t="shared" si="26"/>
        <v>0</v>
      </c>
      <c r="E189" s="274"/>
      <c r="F189" s="274"/>
      <c r="G189" s="290">
        <f t="shared" si="27"/>
        <v>0</v>
      </c>
      <c r="H189" s="274"/>
      <c r="I189" s="274"/>
      <c r="J189" s="290">
        <f t="shared" si="28"/>
        <v>0</v>
      </c>
      <c r="K189" s="274"/>
      <c r="L189" s="274"/>
      <c r="M189" s="290">
        <f t="shared" si="29"/>
        <v>0</v>
      </c>
      <c r="N189" s="274"/>
      <c r="O189" s="274"/>
      <c r="P189" s="290">
        <f t="shared" si="30"/>
        <v>0</v>
      </c>
      <c r="Q189" s="274"/>
      <c r="R189" s="274"/>
      <c r="S189" s="290">
        <f t="shared" si="31"/>
        <v>0</v>
      </c>
      <c r="T189" s="291">
        <f t="shared" si="32"/>
        <v>1</v>
      </c>
      <c r="U189" s="271"/>
    </row>
    <row r="190" spans="1:21" s="3" customFormat="1">
      <c r="A190" s="267"/>
      <c r="B190" s="274"/>
      <c r="C190" s="274"/>
      <c r="D190" s="290">
        <f t="shared" si="26"/>
        <v>0</v>
      </c>
      <c r="E190" s="274"/>
      <c r="F190" s="274"/>
      <c r="G190" s="290">
        <f t="shared" si="27"/>
        <v>0</v>
      </c>
      <c r="H190" s="274"/>
      <c r="I190" s="274"/>
      <c r="J190" s="290">
        <f t="shared" si="28"/>
        <v>0</v>
      </c>
      <c r="K190" s="274"/>
      <c r="L190" s="274"/>
      <c r="M190" s="290">
        <f t="shared" si="29"/>
        <v>0</v>
      </c>
      <c r="N190" s="274"/>
      <c r="O190" s="274"/>
      <c r="P190" s="290">
        <f t="shared" si="30"/>
        <v>0</v>
      </c>
      <c r="Q190" s="274"/>
      <c r="R190" s="274"/>
      <c r="S190" s="290">
        <f t="shared" si="31"/>
        <v>0</v>
      </c>
      <c r="T190" s="291">
        <f t="shared" si="32"/>
        <v>1</v>
      </c>
      <c r="U190" s="271"/>
    </row>
    <row r="191" spans="1:21" s="3" customFormat="1">
      <c r="A191" s="267"/>
      <c r="B191" s="274"/>
      <c r="C191" s="274"/>
      <c r="D191" s="290">
        <f t="shared" si="26"/>
        <v>0</v>
      </c>
      <c r="E191" s="274"/>
      <c r="F191" s="274"/>
      <c r="G191" s="290">
        <f t="shared" si="27"/>
        <v>0</v>
      </c>
      <c r="H191" s="274"/>
      <c r="I191" s="274"/>
      <c r="J191" s="290">
        <f t="shared" si="28"/>
        <v>0</v>
      </c>
      <c r="K191" s="274"/>
      <c r="L191" s="274"/>
      <c r="M191" s="290">
        <f t="shared" si="29"/>
        <v>0</v>
      </c>
      <c r="N191" s="274"/>
      <c r="O191" s="274"/>
      <c r="P191" s="290">
        <f t="shared" si="30"/>
        <v>0</v>
      </c>
      <c r="Q191" s="274"/>
      <c r="R191" s="274"/>
      <c r="S191" s="290">
        <f t="shared" si="31"/>
        <v>0</v>
      </c>
      <c r="T191" s="291">
        <f t="shared" si="32"/>
        <v>1</v>
      </c>
      <c r="U191" s="271"/>
    </row>
    <row r="192" spans="1:21" s="3" customFormat="1">
      <c r="A192" s="307" t="s">
        <v>238</v>
      </c>
      <c r="B192" s="308"/>
      <c r="C192" s="308"/>
      <c r="D192" s="309">
        <f>SUM(D177:D191)</f>
        <v>0</v>
      </c>
      <c r="E192" s="308"/>
      <c r="F192" s="308"/>
      <c r="G192" s="309">
        <f>SUM(G177:G191)</f>
        <v>0</v>
      </c>
      <c r="H192" s="308"/>
      <c r="I192" s="308"/>
      <c r="J192" s="309">
        <f>SUM(J177:J191)</f>
        <v>0</v>
      </c>
      <c r="K192" s="308"/>
      <c r="L192" s="308"/>
      <c r="M192" s="309">
        <f>SUM(M177:M191)</f>
        <v>0</v>
      </c>
      <c r="N192" s="308"/>
      <c r="O192" s="308"/>
      <c r="P192" s="309">
        <f>SUM(P177:P191)</f>
        <v>0</v>
      </c>
      <c r="Q192" s="308"/>
      <c r="R192" s="308"/>
      <c r="S192" s="309">
        <f>SUM(S177:S191)</f>
        <v>0</v>
      </c>
      <c r="T192" s="310"/>
      <c r="U192" s="271"/>
    </row>
    <row r="193" spans="1:21" s="3" customFormat="1">
      <c r="A193" s="234" t="s">
        <v>239</v>
      </c>
      <c r="B193" s="554" t="str">
        <f>B175</f>
        <v>Cantidad</v>
      </c>
      <c r="C193" s="554" t="str">
        <f t="shared" ref="C193:S193" si="33">C175</f>
        <v>Valor unitario</v>
      </c>
      <c r="D193" s="554" t="str">
        <f t="shared" si="33"/>
        <v>Valor total</v>
      </c>
      <c r="E193" s="554" t="str">
        <f t="shared" si="33"/>
        <v>Cantidad</v>
      </c>
      <c r="F193" s="554" t="str">
        <f t="shared" si="33"/>
        <v>Valor unitario</v>
      </c>
      <c r="G193" s="554" t="str">
        <f t="shared" si="33"/>
        <v>Valor total</v>
      </c>
      <c r="H193" s="554" t="str">
        <f t="shared" si="33"/>
        <v>Cantidad</v>
      </c>
      <c r="I193" s="554" t="str">
        <f t="shared" si="33"/>
        <v>Valor unitario</v>
      </c>
      <c r="J193" s="554" t="str">
        <f t="shared" si="33"/>
        <v>Valor total</v>
      </c>
      <c r="K193" s="554" t="str">
        <f t="shared" si="33"/>
        <v>Cantidad</v>
      </c>
      <c r="L193" s="554" t="str">
        <f t="shared" si="33"/>
        <v>Valor unitario</v>
      </c>
      <c r="M193" s="554" t="str">
        <f t="shared" si="33"/>
        <v>Valor total</v>
      </c>
      <c r="N193" s="554" t="str">
        <f t="shared" si="33"/>
        <v>Cantidad</v>
      </c>
      <c r="O193" s="554" t="str">
        <f t="shared" si="33"/>
        <v>Valor unitario</v>
      </c>
      <c r="P193" s="554" t="str">
        <f t="shared" si="33"/>
        <v>Valor total</v>
      </c>
      <c r="Q193" s="554" t="str">
        <f t="shared" si="33"/>
        <v>Cantidad</v>
      </c>
      <c r="R193" s="554" t="str">
        <f t="shared" si="33"/>
        <v>Valor unitario</v>
      </c>
      <c r="S193" s="554" t="str">
        <f t="shared" si="33"/>
        <v>Valor total</v>
      </c>
      <c r="T193" s="273"/>
      <c r="U193" s="271"/>
    </row>
    <row r="194" spans="1:21" s="3" customFormat="1">
      <c r="A194" s="269"/>
      <c r="B194" s="274">
        <v>0</v>
      </c>
      <c r="C194" s="274">
        <v>0</v>
      </c>
      <c r="D194" s="290">
        <f t="shared" ref="D194:D208" si="34">B194*C194</f>
        <v>0</v>
      </c>
      <c r="E194" s="274"/>
      <c r="F194" s="274"/>
      <c r="G194" s="290">
        <f t="shared" ref="G194:G211" si="35">E194*F194</f>
        <v>0</v>
      </c>
      <c r="H194" s="274"/>
      <c r="I194" s="274"/>
      <c r="J194" s="290">
        <f t="shared" ref="J194:J208" si="36">H194*I194</f>
        <v>0</v>
      </c>
      <c r="K194" s="274"/>
      <c r="L194" s="274"/>
      <c r="M194" s="290">
        <f t="shared" ref="M194:M208" si="37">K194*L194</f>
        <v>0</v>
      </c>
      <c r="N194" s="274"/>
      <c r="O194" s="274"/>
      <c r="P194" s="290">
        <f t="shared" ref="P194:P208" si="38">N194*O194</f>
        <v>0</v>
      </c>
      <c r="Q194" s="274"/>
      <c r="R194" s="274"/>
      <c r="S194" s="290">
        <f t="shared" ref="S194:S208" si="39">Q194*R194</f>
        <v>0</v>
      </c>
      <c r="T194" s="291">
        <f>'1'!F37</f>
        <v>10</v>
      </c>
      <c r="U194" s="271"/>
    </row>
    <row r="195" spans="1:21" s="3" customFormat="1">
      <c r="A195" s="269"/>
      <c r="B195" s="274"/>
      <c r="C195" s="274"/>
      <c r="D195" s="290">
        <f t="shared" si="34"/>
        <v>0</v>
      </c>
      <c r="E195" s="274"/>
      <c r="F195" s="274"/>
      <c r="G195" s="290">
        <f t="shared" si="35"/>
        <v>0</v>
      </c>
      <c r="H195" s="274"/>
      <c r="I195" s="274"/>
      <c r="J195" s="290">
        <f t="shared" si="36"/>
        <v>0</v>
      </c>
      <c r="K195" s="274"/>
      <c r="L195" s="274"/>
      <c r="M195" s="290">
        <f t="shared" si="37"/>
        <v>0</v>
      </c>
      <c r="N195" s="274"/>
      <c r="O195" s="274"/>
      <c r="P195" s="290">
        <f t="shared" si="38"/>
        <v>0</v>
      </c>
      <c r="Q195" s="274"/>
      <c r="R195" s="274"/>
      <c r="S195" s="290">
        <f t="shared" si="39"/>
        <v>0</v>
      </c>
      <c r="T195" s="291">
        <f>T194</f>
        <v>10</v>
      </c>
      <c r="U195" s="271"/>
    </row>
    <row r="196" spans="1:21" s="3" customFormat="1">
      <c r="A196" s="269"/>
      <c r="B196" s="274"/>
      <c r="C196" s="274"/>
      <c r="D196" s="290">
        <f t="shared" si="34"/>
        <v>0</v>
      </c>
      <c r="E196" s="274"/>
      <c r="F196" s="274"/>
      <c r="G196" s="290">
        <f t="shared" si="35"/>
        <v>0</v>
      </c>
      <c r="H196" s="274"/>
      <c r="I196" s="274"/>
      <c r="J196" s="290">
        <f t="shared" si="36"/>
        <v>0</v>
      </c>
      <c r="K196" s="274"/>
      <c r="L196" s="274"/>
      <c r="M196" s="290">
        <f t="shared" si="37"/>
        <v>0</v>
      </c>
      <c r="N196" s="274"/>
      <c r="O196" s="274"/>
      <c r="P196" s="290">
        <f t="shared" si="38"/>
        <v>0</v>
      </c>
      <c r="Q196" s="274"/>
      <c r="R196" s="274"/>
      <c r="S196" s="290">
        <f t="shared" si="39"/>
        <v>0</v>
      </c>
      <c r="T196" s="291">
        <f t="shared" ref="T196:T208" si="40">T195</f>
        <v>10</v>
      </c>
      <c r="U196" s="271"/>
    </row>
    <row r="197" spans="1:21" s="3" customFormat="1">
      <c r="A197" s="269"/>
      <c r="B197" s="274"/>
      <c r="C197" s="274"/>
      <c r="D197" s="290">
        <f t="shared" si="34"/>
        <v>0</v>
      </c>
      <c r="E197" s="274"/>
      <c r="F197" s="274"/>
      <c r="G197" s="290">
        <f t="shared" si="35"/>
        <v>0</v>
      </c>
      <c r="H197" s="274"/>
      <c r="I197" s="274"/>
      <c r="J197" s="290">
        <f t="shared" si="36"/>
        <v>0</v>
      </c>
      <c r="K197" s="274"/>
      <c r="L197" s="274"/>
      <c r="M197" s="290">
        <f t="shared" si="37"/>
        <v>0</v>
      </c>
      <c r="N197" s="274"/>
      <c r="O197" s="274"/>
      <c r="P197" s="290">
        <f t="shared" si="38"/>
        <v>0</v>
      </c>
      <c r="Q197" s="274"/>
      <c r="R197" s="274"/>
      <c r="S197" s="290">
        <f t="shared" si="39"/>
        <v>0</v>
      </c>
      <c r="T197" s="291">
        <f t="shared" si="40"/>
        <v>10</v>
      </c>
      <c r="U197" s="271"/>
    </row>
    <row r="198" spans="1:21" s="3" customFormat="1">
      <c r="A198" s="269"/>
      <c r="B198" s="274"/>
      <c r="C198" s="274"/>
      <c r="D198" s="290">
        <f t="shared" si="34"/>
        <v>0</v>
      </c>
      <c r="E198" s="274"/>
      <c r="F198" s="274"/>
      <c r="G198" s="290">
        <f t="shared" si="35"/>
        <v>0</v>
      </c>
      <c r="H198" s="274"/>
      <c r="I198" s="274"/>
      <c r="J198" s="290">
        <f t="shared" si="36"/>
        <v>0</v>
      </c>
      <c r="K198" s="274"/>
      <c r="L198" s="274"/>
      <c r="M198" s="290">
        <f t="shared" si="37"/>
        <v>0</v>
      </c>
      <c r="N198" s="274"/>
      <c r="O198" s="274"/>
      <c r="P198" s="290">
        <f t="shared" si="38"/>
        <v>0</v>
      </c>
      <c r="Q198" s="274"/>
      <c r="R198" s="274"/>
      <c r="S198" s="290">
        <f t="shared" si="39"/>
        <v>0</v>
      </c>
      <c r="T198" s="291">
        <f t="shared" si="40"/>
        <v>10</v>
      </c>
      <c r="U198" s="271"/>
    </row>
    <row r="199" spans="1:21" s="3" customFormat="1">
      <c r="A199" s="269"/>
      <c r="B199" s="274"/>
      <c r="C199" s="274"/>
      <c r="D199" s="290">
        <f t="shared" si="34"/>
        <v>0</v>
      </c>
      <c r="E199" s="274"/>
      <c r="F199" s="274"/>
      <c r="G199" s="290">
        <f t="shared" si="35"/>
        <v>0</v>
      </c>
      <c r="H199" s="274"/>
      <c r="I199" s="274"/>
      <c r="J199" s="290">
        <f t="shared" si="36"/>
        <v>0</v>
      </c>
      <c r="K199" s="274"/>
      <c r="L199" s="274"/>
      <c r="M199" s="290">
        <f t="shared" si="37"/>
        <v>0</v>
      </c>
      <c r="N199" s="274"/>
      <c r="O199" s="274"/>
      <c r="P199" s="290">
        <f t="shared" si="38"/>
        <v>0</v>
      </c>
      <c r="Q199" s="274"/>
      <c r="R199" s="274"/>
      <c r="S199" s="290">
        <f t="shared" si="39"/>
        <v>0</v>
      </c>
      <c r="T199" s="291">
        <f t="shared" si="40"/>
        <v>10</v>
      </c>
      <c r="U199" s="271"/>
    </row>
    <row r="200" spans="1:21" s="3" customFormat="1">
      <c r="A200" s="269"/>
      <c r="B200" s="274"/>
      <c r="C200" s="274"/>
      <c r="D200" s="290">
        <f t="shared" si="34"/>
        <v>0</v>
      </c>
      <c r="E200" s="274"/>
      <c r="F200" s="274"/>
      <c r="G200" s="290">
        <f t="shared" si="35"/>
        <v>0</v>
      </c>
      <c r="H200" s="274"/>
      <c r="I200" s="274"/>
      <c r="J200" s="290">
        <f t="shared" si="36"/>
        <v>0</v>
      </c>
      <c r="K200" s="274"/>
      <c r="L200" s="274"/>
      <c r="M200" s="290">
        <f t="shared" si="37"/>
        <v>0</v>
      </c>
      <c r="N200" s="274"/>
      <c r="O200" s="274"/>
      <c r="P200" s="290">
        <f t="shared" si="38"/>
        <v>0</v>
      </c>
      <c r="Q200" s="274"/>
      <c r="R200" s="274"/>
      <c r="S200" s="290">
        <f t="shared" si="39"/>
        <v>0</v>
      </c>
      <c r="T200" s="291">
        <f t="shared" si="40"/>
        <v>10</v>
      </c>
      <c r="U200" s="271"/>
    </row>
    <row r="201" spans="1:21" s="3" customFormat="1">
      <c r="A201" s="269"/>
      <c r="B201" s="274"/>
      <c r="C201" s="274"/>
      <c r="D201" s="290">
        <f t="shared" si="34"/>
        <v>0</v>
      </c>
      <c r="E201" s="274"/>
      <c r="F201" s="274"/>
      <c r="G201" s="290">
        <f t="shared" si="35"/>
        <v>0</v>
      </c>
      <c r="H201" s="274"/>
      <c r="I201" s="274"/>
      <c r="J201" s="290">
        <f t="shared" si="36"/>
        <v>0</v>
      </c>
      <c r="K201" s="274"/>
      <c r="L201" s="274"/>
      <c r="M201" s="290">
        <f t="shared" si="37"/>
        <v>0</v>
      </c>
      <c r="N201" s="274"/>
      <c r="O201" s="274"/>
      <c r="P201" s="290">
        <f t="shared" si="38"/>
        <v>0</v>
      </c>
      <c r="Q201" s="274"/>
      <c r="R201" s="274"/>
      <c r="S201" s="290">
        <f t="shared" si="39"/>
        <v>0</v>
      </c>
      <c r="T201" s="291">
        <f t="shared" si="40"/>
        <v>10</v>
      </c>
      <c r="U201" s="271"/>
    </row>
    <row r="202" spans="1:21" s="3" customFormat="1">
      <c r="A202" s="269"/>
      <c r="B202" s="274"/>
      <c r="C202" s="274"/>
      <c r="D202" s="290">
        <f t="shared" si="34"/>
        <v>0</v>
      </c>
      <c r="E202" s="274"/>
      <c r="F202" s="274"/>
      <c r="G202" s="290">
        <f t="shared" si="35"/>
        <v>0</v>
      </c>
      <c r="H202" s="274"/>
      <c r="I202" s="274"/>
      <c r="J202" s="290">
        <f t="shared" si="36"/>
        <v>0</v>
      </c>
      <c r="K202" s="274"/>
      <c r="L202" s="274"/>
      <c r="M202" s="290">
        <f t="shared" si="37"/>
        <v>0</v>
      </c>
      <c r="N202" s="274"/>
      <c r="O202" s="274"/>
      <c r="P202" s="290">
        <f t="shared" si="38"/>
        <v>0</v>
      </c>
      <c r="Q202" s="274"/>
      <c r="R202" s="274"/>
      <c r="S202" s="290">
        <f t="shared" si="39"/>
        <v>0</v>
      </c>
      <c r="T202" s="291">
        <f t="shared" si="40"/>
        <v>10</v>
      </c>
      <c r="U202" s="271"/>
    </row>
    <row r="203" spans="1:21" s="3" customFormat="1">
      <c r="A203" s="269"/>
      <c r="B203" s="274"/>
      <c r="C203" s="274"/>
      <c r="D203" s="290">
        <f t="shared" si="34"/>
        <v>0</v>
      </c>
      <c r="E203" s="274"/>
      <c r="F203" s="274"/>
      <c r="G203" s="290">
        <f t="shared" si="35"/>
        <v>0</v>
      </c>
      <c r="H203" s="274"/>
      <c r="I203" s="274"/>
      <c r="J203" s="290">
        <f t="shared" si="36"/>
        <v>0</v>
      </c>
      <c r="K203" s="274"/>
      <c r="L203" s="274"/>
      <c r="M203" s="290">
        <f t="shared" si="37"/>
        <v>0</v>
      </c>
      <c r="N203" s="274"/>
      <c r="O203" s="274"/>
      <c r="P203" s="290">
        <f t="shared" si="38"/>
        <v>0</v>
      </c>
      <c r="Q203" s="274"/>
      <c r="R203" s="274"/>
      <c r="S203" s="290">
        <f t="shared" si="39"/>
        <v>0</v>
      </c>
      <c r="T203" s="291">
        <f t="shared" si="40"/>
        <v>10</v>
      </c>
      <c r="U203" s="271"/>
    </row>
    <row r="204" spans="1:21" s="3" customFormat="1">
      <c r="A204" s="269"/>
      <c r="B204" s="274"/>
      <c r="C204" s="274"/>
      <c r="D204" s="290">
        <f t="shared" si="34"/>
        <v>0</v>
      </c>
      <c r="E204" s="274"/>
      <c r="F204" s="274"/>
      <c r="G204" s="290">
        <f t="shared" si="35"/>
        <v>0</v>
      </c>
      <c r="H204" s="274"/>
      <c r="I204" s="274"/>
      <c r="J204" s="290">
        <f t="shared" si="36"/>
        <v>0</v>
      </c>
      <c r="K204" s="274"/>
      <c r="L204" s="274"/>
      <c r="M204" s="290">
        <f t="shared" si="37"/>
        <v>0</v>
      </c>
      <c r="N204" s="274"/>
      <c r="O204" s="274"/>
      <c r="P204" s="290">
        <f t="shared" si="38"/>
        <v>0</v>
      </c>
      <c r="Q204" s="274"/>
      <c r="R204" s="274"/>
      <c r="S204" s="290">
        <f t="shared" si="39"/>
        <v>0</v>
      </c>
      <c r="T204" s="291">
        <f t="shared" si="40"/>
        <v>10</v>
      </c>
      <c r="U204" s="271"/>
    </row>
    <row r="205" spans="1:21" s="3" customFormat="1">
      <c r="A205" s="269"/>
      <c r="B205" s="274"/>
      <c r="C205" s="274"/>
      <c r="D205" s="290">
        <f t="shared" si="34"/>
        <v>0</v>
      </c>
      <c r="E205" s="274"/>
      <c r="F205" s="274"/>
      <c r="G205" s="290">
        <f t="shared" si="35"/>
        <v>0</v>
      </c>
      <c r="H205" s="274"/>
      <c r="I205" s="274"/>
      <c r="J205" s="290">
        <f t="shared" si="36"/>
        <v>0</v>
      </c>
      <c r="K205" s="274"/>
      <c r="L205" s="274"/>
      <c r="M205" s="290">
        <f t="shared" si="37"/>
        <v>0</v>
      </c>
      <c r="N205" s="274"/>
      <c r="O205" s="274"/>
      <c r="P205" s="290">
        <f t="shared" si="38"/>
        <v>0</v>
      </c>
      <c r="Q205" s="274"/>
      <c r="R205" s="274"/>
      <c r="S205" s="290">
        <f t="shared" si="39"/>
        <v>0</v>
      </c>
      <c r="T205" s="291">
        <f t="shared" si="40"/>
        <v>10</v>
      </c>
      <c r="U205" s="271"/>
    </row>
    <row r="206" spans="1:21" s="3" customFormat="1">
      <c r="A206" s="269"/>
      <c r="B206" s="274"/>
      <c r="C206" s="274"/>
      <c r="D206" s="290">
        <f t="shared" si="34"/>
        <v>0</v>
      </c>
      <c r="E206" s="274"/>
      <c r="F206" s="274"/>
      <c r="G206" s="290">
        <f t="shared" si="35"/>
        <v>0</v>
      </c>
      <c r="H206" s="274"/>
      <c r="I206" s="274"/>
      <c r="J206" s="290">
        <f t="shared" si="36"/>
        <v>0</v>
      </c>
      <c r="K206" s="274"/>
      <c r="L206" s="274"/>
      <c r="M206" s="290">
        <f t="shared" si="37"/>
        <v>0</v>
      </c>
      <c r="N206" s="274"/>
      <c r="O206" s="274"/>
      <c r="P206" s="290">
        <f t="shared" si="38"/>
        <v>0</v>
      </c>
      <c r="Q206" s="274"/>
      <c r="R206" s="274"/>
      <c r="S206" s="290">
        <f t="shared" si="39"/>
        <v>0</v>
      </c>
      <c r="T206" s="291">
        <f t="shared" si="40"/>
        <v>10</v>
      </c>
      <c r="U206" s="271"/>
    </row>
    <row r="207" spans="1:21" s="3" customFormat="1">
      <c r="A207" s="269"/>
      <c r="B207" s="274"/>
      <c r="C207" s="274"/>
      <c r="D207" s="290">
        <f t="shared" si="34"/>
        <v>0</v>
      </c>
      <c r="E207" s="274"/>
      <c r="F207" s="274"/>
      <c r="G207" s="290">
        <f t="shared" si="35"/>
        <v>0</v>
      </c>
      <c r="H207" s="274"/>
      <c r="I207" s="274"/>
      <c r="J207" s="290">
        <f t="shared" si="36"/>
        <v>0</v>
      </c>
      <c r="K207" s="274"/>
      <c r="L207" s="274"/>
      <c r="M207" s="290">
        <f t="shared" si="37"/>
        <v>0</v>
      </c>
      <c r="N207" s="274"/>
      <c r="O207" s="274"/>
      <c r="P207" s="290">
        <f t="shared" si="38"/>
        <v>0</v>
      </c>
      <c r="Q207" s="274"/>
      <c r="R207" s="274"/>
      <c r="S207" s="290">
        <f t="shared" si="39"/>
        <v>0</v>
      </c>
      <c r="T207" s="291">
        <f t="shared" si="40"/>
        <v>10</v>
      </c>
      <c r="U207" s="271"/>
    </row>
    <row r="208" spans="1:21" s="3" customFormat="1">
      <c r="A208" s="269"/>
      <c r="B208" s="274"/>
      <c r="C208" s="274"/>
      <c r="D208" s="290">
        <f t="shared" si="34"/>
        <v>0</v>
      </c>
      <c r="E208" s="274"/>
      <c r="F208" s="274"/>
      <c r="G208" s="290">
        <f t="shared" si="35"/>
        <v>0</v>
      </c>
      <c r="H208" s="274"/>
      <c r="I208" s="274"/>
      <c r="J208" s="290">
        <f t="shared" si="36"/>
        <v>0</v>
      </c>
      <c r="K208" s="274"/>
      <c r="L208" s="274"/>
      <c r="M208" s="290">
        <f t="shared" si="37"/>
        <v>0</v>
      </c>
      <c r="N208" s="274"/>
      <c r="O208" s="274"/>
      <c r="P208" s="290">
        <f t="shared" si="38"/>
        <v>0</v>
      </c>
      <c r="Q208" s="274"/>
      <c r="R208" s="274"/>
      <c r="S208" s="290">
        <f t="shared" si="39"/>
        <v>0</v>
      </c>
      <c r="T208" s="291">
        <f t="shared" si="40"/>
        <v>10</v>
      </c>
      <c r="U208" s="271"/>
    </row>
    <row r="209" spans="1:21" s="3" customFormat="1">
      <c r="A209" s="307" t="s">
        <v>240</v>
      </c>
      <c r="B209" s="308"/>
      <c r="C209" s="308"/>
      <c r="D209" s="309">
        <f>SUM(D194:D208)</f>
        <v>0</v>
      </c>
      <c r="E209" s="308"/>
      <c r="F209" s="308"/>
      <c r="G209" s="309">
        <f>SUM(G194:G208)</f>
        <v>0</v>
      </c>
      <c r="H209" s="308"/>
      <c r="I209" s="308"/>
      <c r="J209" s="309">
        <f>SUM(J194:J208)</f>
        <v>0</v>
      </c>
      <c r="K209" s="308"/>
      <c r="L209" s="308"/>
      <c r="M209" s="309">
        <f>SUM(M194:M208)</f>
        <v>0</v>
      </c>
      <c r="N209" s="308"/>
      <c r="O209" s="308"/>
      <c r="P209" s="309">
        <f>SUM(P194:P208)</f>
        <v>0</v>
      </c>
      <c r="Q209" s="308"/>
      <c r="R209" s="308"/>
      <c r="S209" s="309">
        <f>SUM(S194:S208)</f>
        <v>0</v>
      </c>
      <c r="T209" s="310"/>
      <c r="U209" s="271"/>
    </row>
    <row r="210" spans="1:21" s="3" customFormat="1">
      <c r="A210" s="307"/>
      <c r="B210" s="554" t="str">
        <f>B193</f>
        <v>Cantidad</v>
      </c>
      <c r="C210" s="554" t="str">
        <f t="shared" ref="C210:S210" si="41">C193</f>
        <v>Valor unitario</v>
      </c>
      <c r="D210" s="554" t="str">
        <f t="shared" si="41"/>
        <v>Valor total</v>
      </c>
      <c r="E210" s="554" t="str">
        <f t="shared" si="41"/>
        <v>Cantidad</v>
      </c>
      <c r="F210" s="554" t="str">
        <f t="shared" si="41"/>
        <v>Valor unitario</v>
      </c>
      <c r="G210" s="554" t="str">
        <f t="shared" si="41"/>
        <v>Valor total</v>
      </c>
      <c r="H210" s="554" t="str">
        <f t="shared" si="41"/>
        <v>Cantidad</v>
      </c>
      <c r="I210" s="554" t="str">
        <f t="shared" si="41"/>
        <v>Valor unitario</v>
      </c>
      <c r="J210" s="554" t="str">
        <f t="shared" si="41"/>
        <v>Valor total</v>
      </c>
      <c r="K210" s="554" t="str">
        <f t="shared" si="41"/>
        <v>Cantidad</v>
      </c>
      <c r="L210" s="554" t="str">
        <f t="shared" si="41"/>
        <v>Valor unitario</v>
      </c>
      <c r="M210" s="554" t="str">
        <f t="shared" si="41"/>
        <v>Valor total</v>
      </c>
      <c r="N210" s="554" t="str">
        <f t="shared" si="41"/>
        <v>Cantidad</v>
      </c>
      <c r="O210" s="554" t="str">
        <f t="shared" si="41"/>
        <v>Valor unitario</v>
      </c>
      <c r="P210" s="554" t="str">
        <f t="shared" si="41"/>
        <v>Valor total</v>
      </c>
      <c r="Q210" s="554" t="str">
        <f t="shared" si="41"/>
        <v>Cantidad</v>
      </c>
      <c r="R210" s="554" t="str">
        <f t="shared" si="41"/>
        <v>Valor unitario</v>
      </c>
      <c r="S210" s="554" t="str">
        <f t="shared" si="41"/>
        <v>Valor total</v>
      </c>
      <c r="T210" s="310"/>
      <c r="U210" s="271"/>
    </row>
    <row r="211" spans="1:21" s="3" customFormat="1" ht="49.5" customHeight="1">
      <c r="A211" s="553" t="s">
        <v>400</v>
      </c>
      <c r="B211" s="274">
        <v>1</v>
      </c>
      <c r="C211" s="518">
        <v>18200000</v>
      </c>
      <c r="D211" s="290">
        <f>B211*C211</f>
        <v>18200000</v>
      </c>
      <c r="E211" s="274"/>
      <c r="F211" s="274"/>
      <c r="G211" s="290">
        <f t="shared" si="35"/>
        <v>0</v>
      </c>
      <c r="H211" s="274"/>
      <c r="I211" s="274"/>
      <c r="J211" s="290">
        <f>H211*I211</f>
        <v>0</v>
      </c>
      <c r="K211" s="274"/>
      <c r="L211" s="274"/>
      <c r="M211" s="290">
        <f>K211*L211</f>
        <v>0</v>
      </c>
      <c r="N211" s="274"/>
      <c r="O211" s="274"/>
      <c r="P211" s="290">
        <f>N211*O211</f>
        <v>0</v>
      </c>
      <c r="Q211" s="274"/>
      <c r="R211" s="274"/>
      <c r="S211" s="290">
        <f>Q211*R211</f>
        <v>0</v>
      </c>
      <c r="T211" s="291">
        <f>'1'!F39</f>
        <v>5</v>
      </c>
      <c r="U211" s="271"/>
    </row>
    <row r="212" spans="1:21" s="3" customFormat="1" ht="13.5" customHeight="1">
      <c r="A212" s="307" t="s">
        <v>241</v>
      </c>
      <c r="B212" s="555"/>
      <c r="C212" s="556"/>
      <c r="D212" s="557">
        <f>D211+D209+D192</f>
        <v>18200000</v>
      </c>
      <c r="E212" s="556"/>
      <c r="F212" s="556"/>
      <c r="G212" s="557">
        <f>G211+G209+G192</f>
        <v>0</v>
      </c>
      <c r="H212" s="556"/>
      <c r="I212" s="556"/>
      <c r="J212" s="557">
        <f>J211+J209+J192</f>
        <v>0</v>
      </c>
      <c r="K212" s="556"/>
      <c r="L212" s="556"/>
      <c r="M212" s="557">
        <f>M211+M209+M192</f>
        <v>0</v>
      </c>
      <c r="N212" s="556"/>
      <c r="O212" s="556"/>
      <c r="P212" s="557">
        <f>P211+P209+P192</f>
        <v>0</v>
      </c>
      <c r="Q212" s="556"/>
      <c r="R212" s="556"/>
      <c r="S212" s="557">
        <f>S211+S209+S192</f>
        <v>0</v>
      </c>
      <c r="T212" s="556"/>
      <c r="U212" s="271"/>
    </row>
    <row r="213" spans="1:21" s="3" customFormat="1" ht="13.5" customHeight="1">
      <c r="A213" s="234" t="s">
        <v>401</v>
      </c>
      <c r="B213" s="558" t="str">
        <f>B210</f>
        <v>Cantidad</v>
      </c>
      <c r="C213" s="558" t="str">
        <f t="shared" ref="C213:S213" si="42">C210</f>
        <v>Valor unitario</v>
      </c>
      <c r="D213" s="558" t="str">
        <f t="shared" si="42"/>
        <v>Valor total</v>
      </c>
      <c r="E213" s="558" t="str">
        <f t="shared" si="42"/>
        <v>Cantidad</v>
      </c>
      <c r="F213" s="558" t="str">
        <f t="shared" si="42"/>
        <v>Valor unitario</v>
      </c>
      <c r="G213" s="558" t="str">
        <f t="shared" si="42"/>
        <v>Valor total</v>
      </c>
      <c r="H213" s="558" t="str">
        <f t="shared" si="42"/>
        <v>Cantidad</v>
      </c>
      <c r="I213" s="558" t="str">
        <f t="shared" si="42"/>
        <v>Valor unitario</v>
      </c>
      <c r="J213" s="558" t="str">
        <f t="shared" si="42"/>
        <v>Valor total</v>
      </c>
      <c r="K213" s="558" t="str">
        <f t="shared" si="42"/>
        <v>Cantidad</v>
      </c>
      <c r="L213" s="558" t="str">
        <f t="shared" si="42"/>
        <v>Valor unitario</v>
      </c>
      <c r="M213" s="558" t="str">
        <f t="shared" si="42"/>
        <v>Valor total</v>
      </c>
      <c r="N213" s="558" t="str">
        <f t="shared" si="42"/>
        <v>Cantidad</v>
      </c>
      <c r="O213" s="558" t="str">
        <f t="shared" si="42"/>
        <v>Valor unitario</v>
      </c>
      <c r="P213" s="558" t="str">
        <f t="shared" si="42"/>
        <v>Valor total</v>
      </c>
      <c r="Q213" s="558" t="str">
        <f t="shared" si="42"/>
        <v>Cantidad</v>
      </c>
      <c r="R213" s="558" t="str">
        <f t="shared" si="42"/>
        <v>Valor unitario</v>
      </c>
      <c r="S213" s="558" t="str">
        <f t="shared" si="42"/>
        <v>Valor total</v>
      </c>
      <c r="T213" s="552"/>
      <c r="U213" s="271"/>
    </row>
    <row r="214" spans="1:21" s="3" customFormat="1" ht="13.5" customHeight="1">
      <c r="A214" s="269" t="s">
        <v>402</v>
      </c>
      <c r="B214" s="583"/>
      <c r="C214" s="518"/>
      <c r="D214" s="290">
        <f>B214*C214</f>
        <v>0</v>
      </c>
      <c r="E214" s="518"/>
      <c r="F214" s="518"/>
      <c r="G214" s="290">
        <f>E214*F214</f>
        <v>0</v>
      </c>
      <c r="H214" s="518"/>
      <c r="I214" s="518"/>
      <c r="J214" s="290">
        <f>H214*I214</f>
        <v>0</v>
      </c>
      <c r="K214" s="518"/>
      <c r="L214" s="518"/>
      <c r="M214" s="290">
        <f>K214*L214</f>
        <v>0</v>
      </c>
      <c r="N214" s="518"/>
      <c r="O214" s="518"/>
      <c r="P214" s="290">
        <f>N214*O214</f>
        <v>0</v>
      </c>
      <c r="Q214" s="518"/>
      <c r="R214" s="518"/>
      <c r="S214" s="290">
        <f>Q214*R214</f>
        <v>0</v>
      </c>
      <c r="T214" s="235">
        <v>5</v>
      </c>
      <c r="U214" s="271"/>
    </row>
    <row r="215" spans="1:21" s="3" customFormat="1" ht="13.5" customHeight="1">
      <c r="A215" s="269" t="s">
        <v>403</v>
      </c>
      <c r="B215" s="583"/>
      <c r="C215" s="518"/>
      <c r="D215" s="290">
        <f>B215*C215</f>
        <v>0</v>
      </c>
      <c r="E215" s="518"/>
      <c r="F215" s="518"/>
      <c r="G215" s="290">
        <f>E215*F215</f>
        <v>0</v>
      </c>
      <c r="H215" s="518"/>
      <c r="I215" s="518"/>
      <c r="J215" s="290">
        <f>H215*I215</f>
        <v>0</v>
      </c>
      <c r="K215" s="518"/>
      <c r="L215" s="518"/>
      <c r="M215" s="290">
        <f>K215*L215</f>
        <v>0</v>
      </c>
      <c r="N215" s="518"/>
      <c r="O215" s="518"/>
      <c r="P215" s="290">
        <f>N215*O215</f>
        <v>0</v>
      </c>
      <c r="Q215" s="518"/>
      <c r="R215" s="518"/>
      <c r="S215" s="290">
        <f>Q215*R215</f>
        <v>0</v>
      </c>
      <c r="T215" s="235">
        <v>5</v>
      </c>
      <c r="U215" s="271"/>
    </row>
    <row r="216" spans="1:21" s="3" customFormat="1" ht="13.5" customHeight="1">
      <c r="A216" s="269" t="s">
        <v>404</v>
      </c>
      <c r="B216" s="583"/>
      <c r="C216" s="518"/>
      <c r="D216" s="290">
        <f>B216*C216</f>
        <v>0</v>
      </c>
      <c r="E216" s="518"/>
      <c r="F216" s="518"/>
      <c r="G216" s="290">
        <f>E216*F216</f>
        <v>0</v>
      </c>
      <c r="H216" s="518"/>
      <c r="I216" s="518"/>
      <c r="J216" s="290">
        <f>H216*I216</f>
        <v>0</v>
      </c>
      <c r="K216" s="518"/>
      <c r="L216" s="518"/>
      <c r="M216" s="290">
        <f>K216*L216</f>
        <v>0</v>
      </c>
      <c r="N216" s="518"/>
      <c r="O216" s="518"/>
      <c r="P216" s="290">
        <f>N216*O216</f>
        <v>0</v>
      </c>
      <c r="Q216" s="518"/>
      <c r="R216" s="518"/>
      <c r="S216" s="290">
        <f>Q216*R216</f>
        <v>0</v>
      </c>
      <c r="T216" s="235">
        <v>5</v>
      </c>
      <c r="U216" s="271"/>
    </row>
    <row r="217" spans="1:21" s="115" customFormat="1" ht="13.5" customHeight="1" thickBot="1">
      <c r="A217" s="307" t="s">
        <v>405</v>
      </c>
      <c r="B217" s="562"/>
      <c r="C217" s="563"/>
      <c r="D217" s="566">
        <f>SUM(D214:D216)</f>
        <v>0</v>
      </c>
      <c r="E217" s="563"/>
      <c r="F217" s="563"/>
      <c r="G217" s="566">
        <f>SUM(G214:G216)</f>
        <v>0</v>
      </c>
      <c r="H217" s="563"/>
      <c r="I217" s="563"/>
      <c r="J217" s="566">
        <f>SUM(J214:J216)</f>
        <v>0</v>
      </c>
      <c r="K217" s="563"/>
      <c r="L217" s="563"/>
      <c r="M217" s="566">
        <f>SUM(M214:M216)</f>
        <v>0</v>
      </c>
      <c r="N217" s="563"/>
      <c r="O217" s="563"/>
      <c r="P217" s="566">
        <f>SUM(P214:P216)</f>
        <v>0</v>
      </c>
      <c r="Q217" s="563"/>
      <c r="R217" s="563"/>
      <c r="S217" s="566">
        <f>SUM(S214:S216)</f>
        <v>0</v>
      </c>
      <c r="T217" s="564"/>
      <c r="U217" s="565"/>
    </row>
    <row r="218" spans="1:21" s="3" customFormat="1" ht="13.5" thickBot="1">
      <c r="A218" s="748" t="s">
        <v>378</v>
      </c>
      <c r="B218" s="749"/>
      <c r="C218" s="559"/>
      <c r="D218" s="561">
        <f>D209+D192+D171+D146+D139+D95+53:53+B43+D211+D217</f>
        <v>27450000</v>
      </c>
      <c r="E218" s="560"/>
      <c r="F218" s="560"/>
      <c r="G218" s="561">
        <f>G209+G192+G171+G146+G139+G95+53:53+E43+G211+G217</f>
        <v>1950000</v>
      </c>
      <c r="H218" s="560"/>
      <c r="I218" s="560"/>
      <c r="J218" s="561">
        <f>J209+J192+J171+J146+J139+J95+53:53+H43+J211+J217</f>
        <v>1800000</v>
      </c>
      <c r="K218" s="560"/>
      <c r="L218" s="560"/>
      <c r="M218" s="561">
        <f>M209+M192+M171+M146+M139+M95+53:53+K43+M211+M217</f>
        <v>0</v>
      </c>
      <c r="N218" s="560"/>
      <c r="O218" s="560"/>
      <c r="P218" s="561">
        <f>P209+P192+P171+P146+P139+P95+53:53+N43+P211+P217</f>
        <v>0</v>
      </c>
      <c r="Q218" s="560"/>
      <c r="R218" s="560"/>
      <c r="S218" s="561">
        <f>S209+S192+S171+S146+S139+S95+53:53+Q43+S211+S217</f>
        <v>0</v>
      </c>
      <c r="T218" s="271"/>
      <c r="U218" s="271"/>
    </row>
    <row r="219" spans="1:21" s="3" customFormat="1">
      <c r="A219" s="551"/>
      <c r="B219" s="551"/>
      <c r="C219" s="271"/>
      <c r="D219" s="416"/>
      <c r="E219" s="271"/>
      <c r="F219" s="271"/>
      <c r="G219" s="416"/>
      <c r="H219" s="271"/>
      <c r="I219" s="271"/>
      <c r="J219" s="416"/>
      <c r="K219" s="271"/>
      <c r="L219" s="271"/>
      <c r="M219" s="416"/>
      <c r="N219" s="271"/>
      <c r="O219" s="271"/>
      <c r="P219" s="416"/>
      <c r="Q219" s="271"/>
      <c r="R219" s="271"/>
      <c r="S219" s="416"/>
      <c r="T219" s="271"/>
      <c r="U219" s="271"/>
    </row>
    <row r="220" spans="1:21" s="3" customFormat="1" ht="12.75" hidden="1" customHeight="1">
      <c r="A220" s="271"/>
      <c r="B220" s="271"/>
      <c r="C220" s="271"/>
      <c r="D220" s="351"/>
      <c r="E220" s="271"/>
      <c r="F220" s="271"/>
      <c r="G220" s="271"/>
      <c r="H220" s="271"/>
      <c r="I220" s="271"/>
      <c r="J220" s="271"/>
      <c r="K220" s="271"/>
      <c r="L220" s="271"/>
      <c r="M220" s="271"/>
      <c r="N220" s="271"/>
      <c r="O220" s="271"/>
      <c r="P220" s="271"/>
      <c r="Q220" s="271"/>
      <c r="R220" s="271"/>
      <c r="S220" s="271"/>
      <c r="T220" s="271"/>
      <c r="U220" s="271"/>
    </row>
    <row r="221" spans="1:21" s="3" customFormat="1" ht="13.5" hidden="1" customHeight="1" thickBot="1">
      <c r="A221" s="331" t="s">
        <v>242</v>
      </c>
      <c r="B221" s="331"/>
      <c r="C221" s="331"/>
      <c r="D221" s="331"/>
      <c r="E221" s="331"/>
      <c r="F221" s="331"/>
      <c r="G221" s="331"/>
      <c r="H221" s="331"/>
      <c r="I221" s="331"/>
      <c r="J221" s="292"/>
      <c r="K221" s="292"/>
      <c r="L221" s="271"/>
      <c r="M221" s="271"/>
      <c r="N221" s="271"/>
      <c r="O221" s="271"/>
      <c r="P221" s="271"/>
      <c r="Q221" s="271"/>
      <c r="R221" s="271"/>
      <c r="S221" s="271"/>
      <c r="T221" s="271"/>
      <c r="U221" s="271"/>
    </row>
    <row r="222" spans="1:21" s="3" customFormat="1" ht="25.5" hidden="1" customHeight="1">
      <c r="A222" s="311" t="s">
        <v>243</v>
      </c>
      <c r="B222" s="312" t="s">
        <v>255</v>
      </c>
      <c r="C222" s="312" t="s">
        <v>244</v>
      </c>
      <c r="D222" s="312">
        <f>$C$19</f>
        <v>2012</v>
      </c>
      <c r="E222" s="312">
        <f>$D$19</f>
        <v>2013</v>
      </c>
      <c r="F222" s="312">
        <f>$E$19</f>
        <v>2014</v>
      </c>
      <c r="G222" s="312">
        <f>$F$19</f>
        <v>2015</v>
      </c>
      <c r="H222" s="312">
        <f>$G$19</f>
        <v>2016</v>
      </c>
      <c r="I222" s="313" t="s">
        <v>245</v>
      </c>
      <c r="J222" s="293"/>
      <c r="K222" s="293"/>
      <c r="L222" s="271"/>
      <c r="M222" s="271"/>
      <c r="N222" s="271"/>
      <c r="O222" s="271"/>
      <c r="P222" s="271"/>
      <c r="Q222" s="271"/>
      <c r="R222" s="271"/>
      <c r="S222" s="271"/>
      <c r="T222" s="271"/>
      <c r="U222" s="271"/>
    </row>
    <row r="223" spans="1:21" s="3" customFormat="1" ht="12.75" hidden="1" customHeight="1">
      <c r="A223" s="314" t="s">
        <v>246</v>
      </c>
      <c r="B223" s="297">
        <f>D53</f>
        <v>1500000</v>
      </c>
      <c r="C223" s="330">
        <f>$T$52</f>
        <v>20</v>
      </c>
      <c r="D223" s="294">
        <f>ROUND(($B223/$C223),0)</f>
        <v>75000</v>
      </c>
      <c r="E223" s="294">
        <f t="shared" ref="E223:H231" si="43">ROUND(($B223/$C223),0)</f>
        <v>75000</v>
      </c>
      <c r="F223" s="294">
        <f t="shared" si="43"/>
        <v>75000</v>
      </c>
      <c r="G223" s="294">
        <f t="shared" si="43"/>
        <v>75000</v>
      </c>
      <c r="H223" s="294">
        <f t="shared" si="43"/>
        <v>75000</v>
      </c>
      <c r="I223" s="315">
        <f>B223-(D223+E223+F223+G223+H223)</f>
        <v>1125000</v>
      </c>
      <c r="J223" s="295"/>
      <c r="K223" s="295"/>
      <c r="L223" s="271"/>
      <c r="M223" s="271"/>
      <c r="N223" s="271"/>
      <c r="O223" s="271"/>
      <c r="P223" s="271"/>
      <c r="Q223" s="271"/>
      <c r="R223" s="271"/>
      <c r="S223" s="271"/>
      <c r="T223" s="271"/>
      <c r="U223" s="271"/>
    </row>
    <row r="224" spans="1:21" s="3" customFormat="1" ht="12.75" hidden="1" customHeight="1">
      <c r="A224" s="316" t="s">
        <v>247</v>
      </c>
      <c r="B224" s="299"/>
      <c r="C224" s="299"/>
      <c r="D224" s="300">
        <f>D223</f>
        <v>75000</v>
      </c>
      <c r="E224" s="300">
        <f>E223+D224</f>
        <v>150000</v>
      </c>
      <c r="F224" s="300">
        <f>F223+E224</f>
        <v>225000</v>
      </c>
      <c r="G224" s="300">
        <f>G223+F224</f>
        <v>300000</v>
      </c>
      <c r="H224" s="300">
        <f>H223+G224</f>
        <v>375000</v>
      </c>
      <c r="I224" s="315"/>
      <c r="J224" s="295"/>
      <c r="K224" s="295"/>
      <c r="L224" s="271"/>
      <c r="M224" s="271"/>
      <c r="N224" s="271"/>
      <c r="O224" s="271"/>
      <c r="P224" s="271"/>
      <c r="Q224" s="271"/>
      <c r="R224" s="271"/>
      <c r="S224" s="271"/>
      <c r="T224" s="271"/>
      <c r="U224" s="271"/>
    </row>
    <row r="225" spans="1:21" s="3" customFormat="1" ht="12.75" hidden="1" customHeight="1">
      <c r="A225" s="317" t="s">
        <v>248</v>
      </c>
      <c r="B225" s="296">
        <f>D95</f>
        <v>2300000</v>
      </c>
      <c r="C225" s="296">
        <f>$T$55</f>
        <v>10</v>
      </c>
      <c r="D225" s="297">
        <f>ROUND(($B225/$C225),0)</f>
        <v>230000</v>
      </c>
      <c r="E225" s="297">
        <f t="shared" si="43"/>
        <v>230000</v>
      </c>
      <c r="F225" s="297">
        <f t="shared" si="43"/>
        <v>230000</v>
      </c>
      <c r="G225" s="297">
        <f t="shared" si="43"/>
        <v>230000</v>
      </c>
      <c r="H225" s="297">
        <f t="shared" si="43"/>
        <v>230000</v>
      </c>
      <c r="I225" s="315">
        <f>B225-(D225+E225+F225+G225+H225)</f>
        <v>1150000</v>
      </c>
      <c r="J225" s="298"/>
      <c r="K225" s="298"/>
      <c r="L225" s="271"/>
      <c r="M225" s="271"/>
      <c r="N225" s="271"/>
      <c r="O225" s="271"/>
      <c r="P225" s="271"/>
      <c r="Q225" s="271"/>
      <c r="R225" s="271"/>
      <c r="S225" s="271"/>
      <c r="T225" s="271"/>
      <c r="U225" s="271"/>
    </row>
    <row r="226" spans="1:21" s="3" customFormat="1" ht="12.75" hidden="1" customHeight="1">
      <c r="A226" s="316" t="s">
        <v>247</v>
      </c>
      <c r="B226" s="299"/>
      <c r="C226" s="299"/>
      <c r="D226" s="300">
        <f>D225</f>
        <v>230000</v>
      </c>
      <c r="E226" s="300">
        <f>D226+E225</f>
        <v>460000</v>
      </c>
      <c r="F226" s="300">
        <f>E226+F225</f>
        <v>690000</v>
      </c>
      <c r="G226" s="300">
        <f>F226+G225</f>
        <v>920000</v>
      </c>
      <c r="H226" s="300">
        <f>G226+H225</f>
        <v>1150000</v>
      </c>
      <c r="I226" s="315"/>
      <c r="J226" s="298"/>
      <c r="K226" s="298"/>
      <c r="L226" s="271"/>
      <c r="M226" s="271"/>
      <c r="N226" s="271"/>
      <c r="O226" s="271"/>
      <c r="P226" s="271"/>
      <c r="Q226" s="271"/>
      <c r="R226" s="271"/>
      <c r="S226" s="271"/>
      <c r="T226" s="271"/>
      <c r="U226" s="271"/>
    </row>
    <row r="227" spans="1:21" s="3" customFormat="1" ht="12.75" hidden="1" customHeight="1">
      <c r="A227" s="317" t="s">
        <v>63</v>
      </c>
      <c r="B227" s="296">
        <f>D139</f>
        <v>2050000</v>
      </c>
      <c r="C227" s="296">
        <f>$T$97</f>
        <v>5</v>
      </c>
      <c r="D227" s="297">
        <f>ROUND(($B227/$C227),0)</f>
        <v>410000</v>
      </c>
      <c r="E227" s="297">
        <f t="shared" si="43"/>
        <v>410000</v>
      </c>
      <c r="F227" s="297">
        <f t="shared" si="43"/>
        <v>410000</v>
      </c>
      <c r="G227" s="297">
        <f t="shared" si="43"/>
        <v>410000</v>
      </c>
      <c r="H227" s="297">
        <f t="shared" si="43"/>
        <v>410000</v>
      </c>
      <c r="I227" s="315">
        <f>B227-(D227+E227+F227+G227+H227)</f>
        <v>0</v>
      </c>
      <c r="J227" s="298"/>
      <c r="K227" s="298"/>
      <c r="L227" s="271"/>
      <c r="M227" s="271"/>
      <c r="N227" s="271"/>
      <c r="O227" s="271"/>
      <c r="P227" s="271"/>
      <c r="Q227" s="271"/>
      <c r="R227" s="271"/>
      <c r="S227" s="271"/>
      <c r="T227" s="271"/>
      <c r="U227" s="271"/>
    </row>
    <row r="228" spans="1:21" s="3" customFormat="1" ht="12.75" hidden="1" customHeight="1">
      <c r="A228" s="316" t="s">
        <v>247</v>
      </c>
      <c r="B228" s="299"/>
      <c r="C228" s="299"/>
      <c r="D228" s="300">
        <f>D227</f>
        <v>410000</v>
      </c>
      <c r="E228" s="300">
        <f>D228+E227</f>
        <v>820000</v>
      </c>
      <c r="F228" s="300">
        <f>E228+F227</f>
        <v>1230000</v>
      </c>
      <c r="G228" s="300">
        <f>F228+G227</f>
        <v>1640000</v>
      </c>
      <c r="H228" s="300">
        <f>G228+H227</f>
        <v>2050000</v>
      </c>
      <c r="I228" s="315"/>
      <c r="J228" s="298"/>
      <c r="K228" s="298"/>
      <c r="L228" s="271"/>
      <c r="M228" s="271"/>
      <c r="N228" s="271"/>
      <c r="O228" s="271"/>
      <c r="P228" s="271"/>
      <c r="Q228" s="271"/>
      <c r="R228" s="271"/>
      <c r="S228" s="271"/>
      <c r="T228" s="271"/>
      <c r="U228" s="271"/>
    </row>
    <row r="229" spans="1:21" s="3" customFormat="1" ht="12.75" hidden="1" customHeight="1">
      <c r="A229" s="314" t="s">
        <v>65</v>
      </c>
      <c r="B229" s="296">
        <f>D146</f>
        <v>0</v>
      </c>
      <c r="C229" s="296">
        <f>$T$141</f>
        <v>5</v>
      </c>
      <c r="D229" s="297">
        <f>ROUND(($B229/$C229),0)</f>
        <v>0</v>
      </c>
      <c r="E229" s="297">
        <f t="shared" si="43"/>
        <v>0</v>
      </c>
      <c r="F229" s="297">
        <f t="shared" si="43"/>
        <v>0</v>
      </c>
      <c r="G229" s="297">
        <f t="shared" si="43"/>
        <v>0</v>
      </c>
      <c r="H229" s="297">
        <f t="shared" si="43"/>
        <v>0</v>
      </c>
      <c r="I229" s="315">
        <f>B229-(D229+E229+F229+G229+H229)</f>
        <v>0</v>
      </c>
      <c r="J229" s="298"/>
      <c r="K229" s="298"/>
      <c r="L229" s="271"/>
      <c r="M229" s="271"/>
      <c r="N229" s="271"/>
      <c r="O229" s="271"/>
      <c r="P229" s="271"/>
      <c r="Q229" s="271"/>
      <c r="R229" s="271"/>
      <c r="S229" s="271"/>
      <c r="T229" s="271"/>
      <c r="U229" s="271"/>
    </row>
    <row r="230" spans="1:21" s="3" customFormat="1" ht="12.75" hidden="1" customHeight="1">
      <c r="A230" s="316" t="s">
        <v>247</v>
      </c>
      <c r="B230" s="299"/>
      <c r="C230" s="299"/>
      <c r="D230" s="300">
        <f>D229</f>
        <v>0</v>
      </c>
      <c r="E230" s="300">
        <f>D230+E229</f>
        <v>0</v>
      </c>
      <c r="F230" s="300">
        <f>E230+F229</f>
        <v>0</v>
      </c>
      <c r="G230" s="300">
        <f>F230+G229</f>
        <v>0</v>
      </c>
      <c r="H230" s="300">
        <f>G230+H229</f>
        <v>0</v>
      </c>
      <c r="I230" s="315"/>
      <c r="J230" s="298"/>
      <c r="K230" s="298"/>
      <c r="L230" s="271"/>
      <c r="M230" s="271"/>
      <c r="N230" s="271"/>
      <c r="O230" s="271"/>
      <c r="P230" s="271"/>
      <c r="Q230" s="271"/>
      <c r="R230" s="271"/>
      <c r="S230" s="271"/>
      <c r="T230" s="271"/>
      <c r="U230" s="271"/>
    </row>
    <row r="231" spans="1:21" s="3" customFormat="1" ht="12.75" hidden="1" customHeight="1">
      <c r="A231" s="314" t="s">
        <v>249</v>
      </c>
      <c r="B231" s="296">
        <f>D171</f>
        <v>3400000</v>
      </c>
      <c r="C231" s="296">
        <f>$T$152</f>
        <v>3</v>
      </c>
      <c r="D231" s="297">
        <f>ROUND(($B231/$C231),0)</f>
        <v>1133333</v>
      </c>
      <c r="E231" s="297">
        <f t="shared" si="43"/>
        <v>1133333</v>
      </c>
      <c r="F231" s="297">
        <f t="shared" si="43"/>
        <v>1133333</v>
      </c>
      <c r="G231" s="297"/>
      <c r="H231" s="297"/>
      <c r="I231" s="315">
        <f>B231-SUM(D231:F231)</f>
        <v>1</v>
      </c>
      <c r="J231" s="301"/>
      <c r="K231" s="301"/>
      <c r="L231" s="271"/>
      <c r="M231" s="271"/>
      <c r="N231" s="271"/>
      <c r="O231" s="271"/>
      <c r="P231" s="271"/>
      <c r="Q231" s="271"/>
      <c r="R231" s="271"/>
      <c r="S231" s="271"/>
      <c r="T231" s="271"/>
      <c r="U231" s="271"/>
    </row>
    <row r="232" spans="1:21" s="3" customFormat="1" ht="12.75" hidden="1" customHeight="1">
      <c r="A232" s="316" t="s">
        <v>247</v>
      </c>
      <c r="B232" s="299"/>
      <c r="C232" s="299"/>
      <c r="D232" s="300">
        <f>D231</f>
        <v>1133333</v>
      </c>
      <c r="E232" s="300">
        <f>D232+E231</f>
        <v>2266666</v>
      </c>
      <c r="F232" s="300">
        <f>E232+F231</f>
        <v>3399999</v>
      </c>
      <c r="G232" s="300"/>
      <c r="H232" s="300"/>
      <c r="I232" s="315"/>
      <c r="J232" s="301"/>
      <c r="K232" s="301"/>
      <c r="L232" s="271"/>
      <c r="M232" s="271"/>
      <c r="N232" s="271"/>
      <c r="O232" s="271"/>
      <c r="P232" s="271"/>
      <c r="Q232" s="271"/>
      <c r="R232" s="271"/>
      <c r="S232" s="271"/>
      <c r="T232" s="271"/>
      <c r="U232" s="271"/>
    </row>
    <row r="233" spans="1:21" s="3" customFormat="1" ht="13.5" hidden="1" customHeight="1" thickBot="1">
      <c r="A233" s="318" t="s">
        <v>250</v>
      </c>
      <c r="B233" s="319">
        <f>SUM(B223:B231)</f>
        <v>9250000</v>
      </c>
      <c r="C233" s="319"/>
      <c r="D233" s="319">
        <f>D225+D227+D229+D231</f>
        <v>1773333</v>
      </c>
      <c r="E233" s="319">
        <f>E225+E227+E229+E231</f>
        <v>1773333</v>
      </c>
      <c r="F233" s="319">
        <f>F225+F227+F229+F231</f>
        <v>1773333</v>
      </c>
      <c r="G233" s="319">
        <f>G225+G227+G229+G231</f>
        <v>640000</v>
      </c>
      <c r="H233" s="319">
        <f>H225+H227+H229+H231</f>
        <v>640000</v>
      </c>
      <c r="I233" s="320">
        <f>I223+I225+I227+I229+I231</f>
        <v>2275001</v>
      </c>
      <c r="J233" s="302"/>
      <c r="K233" s="301"/>
      <c r="L233" s="271"/>
      <c r="M233" s="271"/>
      <c r="N233" s="271"/>
      <c r="O233" s="271"/>
      <c r="P233" s="271"/>
      <c r="Q233" s="271"/>
      <c r="R233" s="271"/>
      <c r="S233" s="271"/>
      <c r="T233" s="271"/>
      <c r="U233" s="271"/>
    </row>
    <row r="234" spans="1:21" s="3" customFormat="1" ht="12.75" hidden="1" customHeight="1">
      <c r="A234" s="321" t="s">
        <v>68</v>
      </c>
      <c r="B234" s="322">
        <f>D192</f>
        <v>0</v>
      </c>
      <c r="C234" s="322">
        <f>$T$177</f>
        <v>1</v>
      </c>
      <c r="D234" s="323">
        <f t="shared" ref="D234:H235" si="44">ROUND(($B234/$C234),0)</f>
        <v>0</v>
      </c>
      <c r="E234" s="323"/>
      <c r="F234" s="323"/>
      <c r="G234" s="323"/>
      <c r="H234" s="323"/>
      <c r="I234" s="324">
        <f>B234-D234</f>
        <v>0</v>
      </c>
      <c r="J234" s="302"/>
      <c r="K234" s="301"/>
      <c r="L234" s="271"/>
      <c r="M234" s="271"/>
      <c r="N234" s="271"/>
      <c r="O234" s="271"/>
      <c r="P234" s="271"/>
      <c r="Q234" s="271"/>
      <c r="R234" s="271"/>
      <c r="S234" s="271"/>
      <c r="T234" s="271"/>
      <c r="U234" s="271"/>
    </row>
    <row r="235" spans="1:21" s="3" customFormat="1" ht="12.75" hidden="1" customHeight="1">
      <c r="A235" s="317" t="s">
        <v>251</v>
      </c>
      <c r="B235" s="296">
        <f>D209</f>
        <v>0</v>
      </c>
      <c r="C235" s="296">
        <f>$T$194</f>
        <v>10</v>
      </c>
      <c r="D235" s="297">
        <f t="shared" si="44"/>
        <v>0</v>
      </c>
      <c r="E235" s="297">
        <f t="shared" si="44"/>
        <v>0</v>
      </c>
      <c r="F235" s="297">
        <f t="shared" si="44"/>
        <v>0</v>
      </c>
      <c r="G235" s="297">
        <f t="shared" si="44"/>
        <v>0</v>
      </c>
      <c r="H235" s="297">
        <f t="shared" si="44"/>
        <v>0</v>
      </c>
      <c r="I235" s="315">
        <f>B235-SUM(D235:H235)</f>
        <v>0</v>
      </c>
      <c r="J235" s="302"/>
      <c r="K235" s="301"/>
      <c r="L235" s="271"/>
      <c r="M235" s="271"/>
      <c r="N235" s="271"/>
      <c r="O235" s="271"/>
      <c r="P235" s="271"/>
      <c r="Q235" s="271"/>
      <c r="R235" s="271"/>
      <c r="S235" s="271"/>
      <c r="T235" s="271"/>
      <c r="U235" s="271"/>
    </row>
    <row r="236" spans="1:21" s="3" customFormat="1" ht="12.75" hidden="1" customHeight="1">
      <c r="A236" s="316" t="s">
        <v>252</v>
      </c>
      <c r="B236" s="299"/>
      <c r="C236" s="299"/>
      <c r="D236" s="300">
        <f>D235</f>
        <v>0</v>
      </c>
      <c r="E236" s="300">
        <f>E235+D236</f>
        <v>0</v>
      </c>
      <c r="F236" s="300">
        <f>F235+E236</f>
        <v>0</v>
      </c>
      <c r="G236" s="300">
        <f>G235+F236</f>
        <v>0</v>
      </c>
      <c r="H236" s="300">
        <f>H235+G236</f>
        <v>0</v>
      </c>
      <c r="I236" s="419"/>
      <c r="J236" s="302"/>
      <c r="K236" s="301"/>
      <c r="L236" s="271"/>
      <c r="M236" s="271"/>
      <c r="N236" s="271"/>
      <c r="O236" s="271"/>
      <c r="P236" s="271"/>
      <c r="Q236" s="271"/>
      <c r="R236" s="271"/>
      <c r="S236" s="271"/>
      <c r="T236" s="271"/>
      <c r="U236" s="271"/>
    </row>
    <row r="237" spans="1:21" s="3" customFormat="1" ht="12.75" hidden="1" customHeight="1">
      <c r="A237" s="317" t="s">
        <v>253</v>
      </c>
      <c r="B237" s="296">
        <f>D211</f>
        <v>18200000</v>
      </c>
      <c r="C237" s="296">
        <f>$T$211</f>
        <v>5</v>
      </c>
      <c r="D237" s="303">
        <f>ROUND(($B237/$C237),0)</f>
        <v>3640000</v>
      </c>
      <c r="E237" s="297">
        <f>ROUND(($B237/$C237),0)</f>
        <v>3640000</v>
      </c>
      <c r="F237" s="297">
        <f>ROUND(($B237/$C237),0)</f>
        <v>3640000</v>
      </c>
      <c r="G237" s="297">
        <f>ROUND(($B237/$C237),0)</f>
        <v>3640000</v>
      </c>
      <c r="H237" s="297">
        <f>ROUND(($B237/$C237),0)</f>
        <v>3640000</v>
      </c>
      <c r="I237" s="315">
        <f>B237-SUM(D237:H237)</f>
        <v>0</v>
      </c>
      <c r="J237" s="302"/>
      <c r="K237" s="301"/>
      <c r="L237" s="271"/>
      <c r="M237" s="271"/>
      <c r="N237" s="271"/>
      <c r="O237" s="271"/>
      <c r="P237" s="271"/>
      <c r="Q237" s="271"/>
      <c r="R237" s="271"/>
      <c r="S237" s="271"/>
      <c r="T237" s="271"/>
      <c r="U237" s="271"/>
    </row>
    <row r="238" spans="1:21" s="3" customFormat="1" ht="13.5" hidden="1" customHeight="1" thickBot="1">
      <c r="A238" s="571" t="s">
        <v>254</v>
      </c>
      <c r="B238" s="568"/>
      <c r="C238" s="568"/>
      <c r="D238" s="569">
        <f>D237</f>
        <v>3640000</v>
      </c>
      <c r="E238" s="569">
        <f>E237+D238</f>
        <v>7280000</v>
      </c>
      <c r="F238" s="569">
        <f>F237+E238</f>
        <v>10920000</v>
      </c>
      <c r="G238" s="569">
        <f>G237+F238</f>
        <v>14560000</v>
      </c>
      <c r="H238" s="569">
        <f>H237+G238</f>
        <v>18200000</v>
      </c>
      <c r="I238" s="570"/>
      <c r="J238" s="302"/>
      <c r="K238" s="304"/>
      <c r="L238" s="305"/>
      <c r="M238" s="305"/>
      <c r="N238" s="305"/>
      <c r="O238" s="305"/>
      <c r="P238" s="305"/>
      <c r="Q238" s="305"/>
      <c r="R238" s="305"/>
      <c r="S238" s="305"/>
      <c r="T238" s="305"/>
      <c r="U238" s="305"/>
    </row>
    <row r="239" spans="1:21" s="3" customFormat="1" ht="13.5" hidden="1" customHeight="1" thickBot="1">
      <c r="A239" s="579" t="s">
        <v>406</v>
      </c>
      <c r="B239" s="296">
        <f>D217</f>
        <v>0</v>
      </c>
      <c r="C239" s="296">
        <f>T214</f>
        <v>5</v>
      </c>
      <c r="D239" s="297">
        <f>ROUND(($B239/$C239),0)</f>
        <v>0</v>
      </c>
      <c r="E239" s="297">
        <f>ROUND(($B239/$C239),0)</f>
        <v>0</v>
      </c>
      <c r="F239" s="297">
        <f>ROUND(($B239/$C239),0)</f>
        <v>0</v>
      </c>
      <c r="G239" s="297">
        <f>ROUND(($B239/$C239),0)</f>
        <v>0</v>
      </c>
      <c r="H239" s="297">
        <f>ROUND(($B239/$C239),0)</f>
        <v>0</v>
      </c>
      <c r="I239" s="574"/>
      <c r="J239" s="302"/>
      <c r="K239" s="304"/>
      <c r="L239" s="305"/>
      <c r="M239" s="305"/>
      <c r="N239" s="305"/>
      <c r="O239" s="305"/>
      <c r="P239" s="305"/>
      <c r="Q239" s="305"/>
      <c r="R239" s="305"/>
      <c r="S239" s="305"/>
      <c r="T239" s="305"/>
      <c r="U239" s="305"/>
    </row>
    <row r="240" spans="1:21" s="3" customFormat="1" ht="13.5" hidden="1" customHeight="1">
      <c r="A240" s="572" t="s">
        <v>407</v>
      </c>
      <c r="B240" s="299"/>
      <c r="C240" s="299"/>
      <c r="D240" s="300">
        <f>D239</f>
        <v>0</v>
      </c>
      <c r="E240" s="300">
        <f>E239+D240</f>
        <v>0</v>
      </c>
      <c r="F240" s="300">
        <f>F239+E240</f>
        <v>0</v>
      </c>
      <c r="G240" s="300">
        <f>G239+F240</f>
        <v>0</v>
      </c>
      <c r="H240" s="300">
        <f>H239+G240</f>
        <v>0</v>
      </c>
      <c r="I240" s="573">
        <f>B240-SUM(D240:H240)</f>
        <v>0</v>
      </c>
      <c r="J240" s="302"/>
      <c r="K240" s="304"/>
      <c r="L240" s="305"/>
      <c r="M240" s="305"/>
      <c r="N240" s="305"/>
      <c r="O240" s="305"/>
      <c r="P240" s="305"/>
      <c r="Q240" s="305"/>
      <c r="R240" s="305"/>
      <c r="S240" s="305"/>
      <c r="T240" s="305"/>
      <c r="U240" s="305"/>
    </row>
    <row r="241" spans="1:8" s="3" customFormat="1" ht="12.75" hidden="1" customHeight="1"/>
    <row r="242" spans="1:8" s="3" customFormat="1" ht="13.5" hidden="1" customHeight="1" thickBot="1">
      <c r="A242" s="218" t="s">
        <v>256</v>
      </c>
    </row>
    <row r="243" spans="1:8" s="3" customFormat="1" ht="24" hidden="1" customHeight="1">
      <c r="A243" s="311" t="s">
        <v>243</v>
      </c>
      <c r="B243" s="312">
        <f>D222</f>
        <v>2012</v>
      </c>
      <c r="C243" s="312" t="s">
        <v>244</v>
      </c>
      <c r="D243" s="312">
        <f>E222</f>
        <v>2013</v>
      </c>
      <c r="E243" s="312">
        <f>F222</f>
        <v>2014</v>
      </c>
      <c r="F243" s="312">
        <f>G222</f>
        <v>2015</v>
      </c>
      <c r="G243" s="312">
        <f>H222</f>
        <v>2016</v>
      </c>
      <c r="H243" s="313" t="s">
        <v>245</v>
      </c>
    </row>
    <row r="244" spans="1:8" s="3" customFormat="1" ht="12.75" hidden="1" customHeight="1">
      <c r="A244" s="314" t="s">
        <v>246</v>
      </c>
      <c r="B244" s="297">
        <f>G53</f>
        <v>0</v>
      </c>
      <c r="C244" s="330">
        <f>$T$52</f>
        <v>20</v>
      </c>
      <c r="D244" s="334">
        <f>ROUND(($B244/$C244),0)</f>
        <v>0</v>
      </c>
      <c r="E244" s="334">
        <f t="shared" ref="E244:G252" si="45">ROUND(($B244/$C244),0)</f>
        <v>0</v>
      </c>
      <c r="F244" s="334">
        <f t="shared" si="45"/>
        <v>0</v>
      </c>
      <c r="G244" s="334">
        <f t="shared" si="45"/>
        <v>0</v>
      </c>
      <c r="H244" s="315">
        <f>B244-(D244+E244+F244+G244)</f>
        <v>0</v>
      </c>
    </row>
    <row r="245" spans="1:8" s="3" customFormat="1" ht="12.75" hidden="1" customHeight="1">
      <c r="A245" s="316" t="s">
        <v>247</v>
      </c>
      <c r="B245" s="299"/>
      <c r="C245" s="299"/>
      <c r="D245" s="300">
        <f>D244</f>
        <v>0</v>
      </c>
      <c r="E245" s="300">
        <f>E244+D245</f>
        <v>0</v>
      </c>
      <c r="F245" s="300">
        <f>F244+E245</f>
        <v>0</v>
      </c>
      <c r="G245" s="300">
        <f>G244+F245</f>
        <v>0</v>
      </c>
      <c r="H245" s="315"/>
    </row>
    <row r="246" spans="1:8" s="3" customFormat="1" ht="12.75" hidden="1" customHeight="1">
      <c r="A246" s="317" t="s">
        <v>248</v>
      </c>
      <c r="B246" s="296">
        <f>G95</f>
        <v>1950000</v>
      </c>
      <c r="C246" s="296">
        <f>$T$55</f>
        <v>10</v>
      </c>
      <c r="D246" s="297">
        <f>ROUND(($B246/$C246),0)</f>
        <v>195000</v>
      </c>
      <c r="E246" s="297">
        <f t="shared" si="45"/>
        <v>195000</v>
      </c>
      <c r="F246" s="297">
        <f t="shared" si="45"/>
        <v>195000</v>
      </c>
      <c r="G246" s="297">
        <f t="shared" si="45"/>
        <v>195000</v>
      </c>
      <c r="H246" s="315">
        <f>B246-(D246+E246+F246+G246)</f>
        <v>1170000</v>
      </c>
    </row>
    <row r="247" spans="1:8" s="3" customFormat="1" ht="12.75" hidden="1" customHeight="1">
      <c r="A247" s="316" t="s">
        <v>247</v>
      </c>
      <c r="B247" s="299"/>
      <c r="C247" s="299"/>
      <c r="D247" s="300">
        <f>D246</f>
        <v>195000</v>
      </c>
      <c r="E247" s="300">
        <f>D247+E246</f>
        <v>390000</v>
      </c>
      <c r="F247" s="300">
        <f>E247+F246</f>
        <v>585000</v>
      </c>
      <c r="G247" s="300">
        <f>F247+G246</f>
        <v>780000</v>
      </c>
      <c r="H247" s="315"/>
    </row>
    <row r="248" spans="1:8" s="3" customFormat="1" ht="12.75" hidden="1" customHeight="1">
      <c r="A248" s="317" t="s">
        <v>63</v>
      </c>
      <c r="B248" s="296">
        <f>G139</f>
        <v>0</v>
      </c>
      <c r="C248" s="296">
        <f>$T$97</f>
        <v>5</v>
      </c>
      <c r="D248" s="297">
        <f>ROUND(($B248/$C248),0)</f>
        <v>0</v>
      </c>
      <c r="E248" s="297">
        <f t="shared" si="45"/>
        <v>0</v>
      </c>
      <c r="F248" s="297">
        <f t="shared" si="45"/>
        <v>0</v>
      </c>
      <c r="G248" s="297">
        <f t="shared" si="45"/>
        <v>0</v>
      </c>
      <c r="H248" s="315">
        <f>B248-(D248+E248+F248+G248)</f>
        <v>0</v>
      </c>
    </row>
    <row r="249" spans="1:8" s="3" customFormat="1" ht="12.75" hidden="1" customHeight="1">
      <c r="A249" s="316" t="s">
        <v>247</v>
      </c>
      <c r="B249" s="299"/>
      <c r="C249" s="299"/>
      <c r="D249" s="300">
        <f>D248</f>
        <v>0</v>
      </c>
      <c r="E249" s="300">
        <f>D249+E248</f>
        <v>0</v>
      </c>
      <c r="F249" s="300">
        <f>E249+F248</f>
        <v>0</v>
      </c>
      <c r="G249" s="300">
        <f>F249+G248</f>
        <v>0</v>
      </c>
      <c r="H249" s="315"/>
    </row>
    <row r="250" spans="1:8" s="3" customFormat="1" ht="12.75" hidden="1" customHeight="1">
      <c r="A250" s="314" t="s">
        <v>65</v>
      </c>
      <c r="B250" s="296">
        <f>G146</f>
        <v>0</v>
      </c>
      <c r="C250" s="296">
        <f>$T$141</f>
        <v>5</v>
      </c>
      <c r="D250" s="297">
        <f>ROUND(($B250/$C250),0)</f>
        <v>0</v>
      </c>
      <c r="E250" s="297">
        <f t="shared" si="45"/>
        <v>0</v>
      </c>
      <c r="F250" s="297">
        <f t="shared" si="45"/>
        <v>0</v>
      </c>
      <c r="G250" s="297">
        <f t="shared" si="45"/>
        <v>0</v>
      </c>
      <c r="H250" s="315">
        <f>B250-(D250+E250+F250+G250)</f>
        <v>0</v>
      </c>
    </row>
    <row r="251" spans="1:8" s="3" customFormat="1" ht="12.75" hidden="1" customHeight="1">
      <c r="A251" s="316" t="s">
        <v>247</v>
      </c>
      <c r="B251" s="299"/>
      <c r="C251" s="299"/>
      <c r="D251" s="300">
        <f>D250</f>
        <v>0</v>
      </c>
      <c r="E251" s="300">
        <f>D251+E250</f>
        <v>0</v>
      </c>
      <c r="F251" s="300">
        <f>E251+F250</f>
        <v>0</v>
      </c>
      <c r="G251" s="300">
        <f>F251+G250</f>
        <v>0</v>
      </c>
      <c r="H251" s="315"/>
    </row>
    <row r="252" spans="1:8" s="3" customFormat="1" ht="12.75" hidden="1" customHeight="1">
      <c r="A252" s="314" t="s">
        <v>249</v>
      </c>
      <c r="B252" s="296">
        <f>G171</f>
        <v>0</v>
      </c>
      <c r="C252" s="296">
        <f>$T$152</f>
        <v>3</v>
      </c>
      <c r="D252" s="297">
        <f>ROUND(($B252/$C252),0)</f>
        <v>0</v>
      </c>
      <c r="E252" s="297">
        <f t="shared" si="45"/>
        <v>0</v>
      </c>
      <c r="F252" s="297">
        <f t="shared" si="45"/>
        <v>0</v>
      </c>
      <c r="G252" s="297"/>
      <c r="H252" s="315">
        <f>B252-SUM(D252:F252)</f>
        <v>0</v>
      </c>
    </row>
    <row r="253" spans="1:8" s="3" customFormat="1" ht="12.75" hidden="1" customHeight="1">
      <c r="A253" s="316" t="s">
        <v>247</v>
      </c>
      <c r="B253" s="299"/>
      <c r="C253" s="299"/>
      <c r="D253" s="300">
        <f>D252</f>
        <v>0</v>
      </c>
      <c r="E253" s="300">
        <f>D253+E252</f>
        <v>0</v>
      </c>
      <c r="F253" s="300">
        <f>E253+F252</f>
        <v>0</v>
      </c>
      <c r="G253" s="300">
        <v>0</v>
      </c>
      <c r="H253" s="315"/>
    </row>
    <row r="254" spans="1:8" s="3" customFormat="1" ht="13.5" hidden="1" customHeight="1" thickBot="1">
      <c r="A254" s="318" t="s">
        <v>250</v>
      </c>
      <c r="B254" s="319">
        <f>SUM(B244:B252)</f>
        <v>1950000</v>
      </c>
      <c r="C254" s="319"/>
      <c r="D254" s="319">
        <f>D246+D248+D250+D252</f>
        <v>195000</v>
      </c>
      <c r="E254" s="319">
        <f>E246+E248+E250+E252</f>
        <v>195000</v>
      </c>
      <c r="F254" s="319">
        <f>F246+F248+F250+F252</f>
        <v>195000</v>
      </c>
      <c r="G254" s="319">
        <f>G246+G248+G250+G252</f>
        <v>195000</v>
      </c>
      <c r="H254" s="320">
        <f>H244+H246+H248+H250+H252</f>
        <v>1170000</v>
      </c>
    </row>
    <row r="255" spans="1:8" s="3" customFormat="1" ht="12.75" hidden="1" customHeight="1">
      <c r="A255" s="321" t="s">
        <v>68</v>
      </c>
      <c r="B255" s="322">
        <f>G192</f>
        <v>0</v>
      </c>
      <c r="C255" s="322">
        <f>$T$177</f>
        <v>1</v>
      </c>
      <c r="D255" s="323">
        <f t="shared" ref="D255:G258" si="46">ROUND(($B255/$C255),0)</f>
        <v>0</v>
      </c>
      <c r="E255" s="323">
        <f t="shared" si="46"/>
        <v>0</v>
      </c>
      <c r="F255" s="323">
        <f t="shared" si="46"/>
        <v>0</v>
      </c>
      <c r="G255" s="323">
        <f t="shared" si="46"/>
        <v>0</v>
      </c>
      <c r="H255" s="324">
        <f>B255-D255</f>
        <v>0</v>
      </c>
    </row>
    <row r="256" spans="1:8" s="3" customFormat="1" ht="12.75" hidden="1" customHeight="1">
      <c r="A256" s="317" t="s">
        <v>251</v>
      </c>
      <c r="B256" s="296">
        <f>G209</f>
        <v>0</v>
      </c>
      <c r="C256" s="296">
        <f>$T$194</f>
        <v>10</v>
      </c>
      <c r="D256" s="297">
        <f t="shared" si="46"/>
        <v>0</v>
      </c>
      <c r="E256" s="297">
        <f t="shared" si="46"/>
        <v>0</v>
      </c>
      <c r="F256" s="297">
        <f t="shared" si="46"/>
        <v>0</v>
      </c>
      <c r="G256" s="297">
        <f t="shared" si="46"/>
        <v>0</v>
      </c>
      <c r="H256" s="315">
        <f>B256-SUM(D256:G256)</f>
        <v>0</v>
      </c>
    </row>
    <row r="257" spans="1:8" s="3" customFormat="1" ht="12.75" hidden="1" customHeight="1">
      <c r="A257" s="316" t="s">
        <v>252</v>
      </c>
      <c r="B257" s="299"/>
      <c r="C257" s="299"/>
      <c r="D257" s="300">
        <f>D256</f>
        <v>0</v>
      </c>
      <c r="E257" s="300">
        <f>E256+D257</f>
        <v>0</v>
      </c>
      <c r="F257" s="300">
        <f>F256+E257</f>
        <v>0</v>
      </c>
      <c r="G257" s="300">
        <f>G256+F257</f>
        <v>0</v>
      </c>
      <c r="H257" s="419"/>
    </row>
    <row r="258" spans="1:8" s="3" customFormat="1" ht="13.5" hidden="1" customHeight="1" thickBot="1">
      <c r="A258" s="317" t="s">
        <v>253</v>
      </c>
      <c r="B258" s="296">
        <f>G211</f>
        <v>0</v>
      </c>
      <c r="C258" s="296">
        <v>5</v>
      </c>
      <c r="D258" s="297">
        <f t="shared" si="46"/>
        <v>0</v>
      </c>
      <c r="E258" s="297">
        <f t="shared" si="46"/>
        <v>0</v>
      </c>
      <c r="F258" s="297">
        <f t="shared" si="46"/>
        <v>0</v>
      </c>
      <c r="G258" s="297">
        <f t="shared" si="46"/>
        <v>0</v>
      </c>
      <c r="H258" s="325">
        <f>SUM(H255:H256)</f>
        <v>0</v>
      </c>
    </row>
    <row r="259" spans="1:8" s="3" customFormat="1" ht="13.5" hidden="1" customHeight="1">
      <c r="A259" s="571" t="s">
        <v>254</v>
      </c>
      <c r="B259" s="575"/>
      <c r="C259" s="575"/>
      <c r="D259" s="576">
        <f>D258</f>
        <v>0</v>
      </c>
      <c r="E259" s="576">
        <f>D259+E258</f>
        <v>0</v>
      </c>
      <c r="F259" s="576">
        <f>E259+F258</f>
        <v>0</v>
      </c>
      <c r="G259" s="576">
        <f>F259+G258</f>
        <v>0</v>
      </c>
      <c r="H259" s="577"/>
    </row>
    <row r="260" spans="1:8" s="3" customFormat="1" ht="13.5" hidden="1" customHeight="1">
      <c r="A260" s="580" t="s">
        <v>406</v>
      </c>
      <c r="B260" s="296">
        <f>G217</f>
        <v>0</v>
      </c>
      <c r="C260" s="296">
        <f>C239</f>
        <v>5</v>
      </c>
      <c r="D260" s="297">
        <f>ROUND(($B260/$C260),0)</f>
        <v>0</v>
      </c>
      <c r="E260" s="297">
        <f>ROUND(($B260/$C260),0)</f>
        <v>0</v>
      </c>
      <c r="F260" s="297">
        <f>ROUND(($B260/$C260),0)</f>
        <v>0</v>
      </c>
      <c r="G260" s="297">
        <f>ROUND(($B260/$C260),0)</f>
        <v>0</v>
      </c>
      <c r="H260" s="315">
        <f>B260-SUM(D260:G260)</f>
        <v>0</v>
      </c>
    </row>
    <row r="261" spans="1:8" s="3" customFormat="1" ht="12.75" hidden="1" customHeight="1">
      <c r="A261" s="567" t="s">
        <v>407</v>
      </c>
      <c r="B261" s="299"/>
      <c r="C261" s="299"/>
      <c r="D261" s="299">
        <f>D260</f>
        <v>0</v>
      </c>
      <c r="E261" s="299">
        <f>E260+D261</f>
        <v>0</v>
      </c>
      <c r="F261" s="299">
        <f>F260+E261</f>
        <v>0</v>
      </c>
      <c r="G261" s="299">
        <f>G260+F261</f>
        <v>0</v>
      </c>
      <c r="H261" s="578"/>
    </row>
    <row r="262" spans="1:8" s="3" customFormat="1" ht="13.5" hidden="1" customHeight="1" thickBot="1"/>
    <row r="263" spans="1:8" s="3" customFormat="1" ht="24" hidden="1" customHeight="1">
      <c r="A263" s="311" t="s">
        <v>243</v>
      </c>
      <c r="B263" s="312">
        <f>D243</f>
        <v>2013</v>
      </c>
      <c r="C263" s="312" t="s">
        <v>244</v>
      </c>
      <c r="D263" s="312">
        <f>E243</f>
        <v>2014</v>
      </c>
      <c r="E263" s="312">
        <f>F243</f>
        <v>2015</v>
      </c>
      <c r="F263" s="312">
        <f>G243</f>
        <v>2016</v>
      </c>
      <c r="G263" s="313" t="s">
        <v>245</v>
      </c>
    </row>
    <row r="264" spans="1:8" s="3" customFormat="1" ht="12.75" hidden="1" customHeight="1">
      <c r="A264" s="314" t="s">
        <v>246</v>
      </c>
      <c r="B264" s="297">
        <f>J53</f>
        <v>0</v>
      </c>
      <c r="C264" s="330">
        <f>$C$223</f>
        <v>20</v>
      </c>
      <c r="D264" s="334">
        <f>ROUND(($B264/$C264),0)</f>
        <v>0</v>
      </c>
      <c r="E264" s="334">
        <f t="shared" ref="E264:F272" si="47">ROUND(($B264/$C264),0)</f>
        <v>0</v>
      </c>
      <c r="F264" s="334">
        <f t="shared" si="47"/>
        <v>0</v>
      </c>
      <c r="G264" s="315">
        <f>B264-(D264+E264+F264)</f>
        <v>0</v>
      </c>
    </row>
    <row r="265" spans="1:8" s="3" customFormat="1" ht="12.75" hidden="1" customHeight="1">
      <c r="A265" s="316" t="s">
        <v>247</v>
      </c>
      <c r="B265" s="339"/>
      <c r="C265" s="339"/>
      <c r="D265" s="340">
        <f>D264</f>
        <v>0</v>
      </c>
      <c r="E265" s="340">
        <f>E264+D265</f>
        <v>0</v>
      </c>
      <c r="F265" s="340">
        <f>F264+E265</f>
        <v>0</v>
      </c>
      <c r="G265" s="315"/>
    </row>
    <row r="266" spans="1:8" s="3" customFormat="1" ht="12.75" hidden="1" customHeight="1">
      <c r="A266" s="317" t="s">
        <v>248</v>
      </c>
      <c r="B266" s="296">
        <f>J95</f>
        <v>1800000</v>
      </c>
      <c r="C266" s="296">
        <f>$C$225</f>
        <v>10</v>
      </c>
      <c r="D266" s="297">
        <f>ROUND(($B266/$C266),0)</f>
        <v>180000</v>
      </c>
      <c r="E266" s="297">
        <f t="shared" si="47"/>
        <v>180000</v>
      </c>
      <c r="F266" s="297">
        <f>ROUND(($B266/$C266),0)</f>
        <v>180000</v>
      </c>
      <c r="G266" s="315">
        <f>B266-(D266+E266+F266)</f>
        <v>1260000</v>
      </c>
    </row>
    <row r="267" spans="1:8" s="3" customFormat="1" ht="12.75" hidden="1" customHeight="1">
      <c r="A267" s="316" t="s">
        <v>247</v>
      </c>
      <c r="B267" s="299"/>
      <c r="C267" s="299"/>
      <c r="D267" s="300">
        <f>D266</f>
        <v>180000</v>
      </c>
      <c r="E267" s="300">
        <f>D267+E266</f>
        <v>360000</v>
      </c>
      <c r="F267" s="300">
        <f>E267+F266</f>
        <v>540000</v>
      </c>
      <c r="G267" s="315"/>
    </row>
    <row r="268" spans="1:8" s="3" customFormat="1" ht="12.75" hidden="1" customHeight="1">
      <c r="A268" s="317" t="s">
        <v>63</v>
      </c>
      <c r="B268" s="296">
        <f>J139</f>
        <v>0</v>
      </c>
      <c r="C268" s="296">
        <f>$C$227</f>
        <v>5</v>
      </c>
      <c r="D268" s="297">
        <f>ROUND(($B268/$C268),0)</f>
        <v>0</v>
      </c>
      <c r="E268" s="297">
        <f t="shared" si="47"/>
        <v>0</v>
      </c>
      <c r="F268" s="297">
        <f t="shared" si="47"/>
        <v>0</v>
      </c>
      <c r="G268" s="315">
        <f>B268-(D268+E268+F268)</f>
        <v>0</v>
      </c>
    </row>
    <row r="269" spans="1:8" s="3" customFormat="1" ht="12.75" hidden="1" customHeight="1">
      <c r="A269" s="316" t="s">
        <v>247</v>
      </c>
      <c r="B269" s="299"/>
      <c r="C269" s="299"/>
      <c r="D269" s="300">
        <f>D268</f>
        <v>0</v>
      </c>
      <c r="E269" s="300">
        <f>D269+E268</f>
        <v>0</v>
      </c>
      <c r="F269" s="300">
        <f>E269+F268</f>
        <v>0</v>
      </c>
      <c r="G269" s="315"/>
    </row>
    <row r="270" spans="1:8" s="3" customFormat="1" ht="12.75" hidden="1" customHeight="1">
      <c r="A270" s="314" t="s">
        <v>65</v>
      </c>
      <c r="B270" s="296">
        <f>J146</f>
        <v>0</v>
      </c>
      <c r="C270" s="296">
        <f>$C$229</f>
        <v>5</v>
      </c>
      <c r="D270" s="297">
        <f>ROUND(($B270/$C270),0)</f>
        <v>0</v>
      </c>
      <c r="E270" s="297">
        <f t="shared" si="47"/>
        <v>0</v>
      </c>
      <c r="F270" s="297">
        <f t="shared" si="47"/>
        <v>0</v>
      </c>
      <c r="G270" s="315">
        <f>B270-(D270+E270+F270)</f>
        <v>0</v>
      </c>
    </row>
    <row r="271" spans="1:8" s="3" customFormat="1" ht="12.75" hidden="1" customHeight="1">
      <c r="A271" s="316" t="s">
        <v>247</v>
      </c>
      <c r="B271" s="299"/>
      <c r="C271" s="299"/>
      <c r="D271" s="300">
        <f>D270</f>
        <v>0</v>
      </c>
      <c r="E271" s="300">
        <f>D271+E270</f>
        <v>0</v>
      </c>
      <c r="F271" s="300">
        <f>E271+F270</f>
        <v>0</v>
      </c>
      <c r="G271" s="315"/>
    </row>
    <row r="272" spans="1:8" s="3" customFormat="1" ht="12.75" hidden="1" customHeight="1">
      <c r="A272" s="314" t="s">
        <v>249</v>
      </c>
      <c r="B272" s="296">
        <f>J146</f>
        <v>0</v>
      </c>
      <c r="C272" s="296">
        <f>$C$231</f>
        <v>3</v>
      </c>
      <c r="D272" s="297">
        <f>ROUND(($B272/$C272),0)</f>
        <v>0</v>
      </c>
      <c r="E272" s="297">
        <f t="shared" si="47"/>
        <v>0</v>
      </c>
      <c r="F272" s="297">
        <f t="shared" si="47"/>
        <v>0</v>
      </c>
      <c r="G272" s="315">
        <f>B272-(D272+E272+F272)</f>
        <v>0</v>
      </c>
    </row>
    <row r="273" spans="1:7" s="3" customFormat="1" ht="12.75" hidden="1" customHeight="1">
      <c r="A273" s="316" t="s">
        <v>247</v>
      </c>
      <c r="B273" s="299"/>
      <c r="C273" s="299"/>
      <c r="D273" s="300">
        <f>D272</f>
        <v>0</v>
      </c>
      <c r="E273" s="300">
        <f>D273+E272</f>
        <v>0</v>
      </c>
      <c r="F273" s="300">
        <f>E273+F272</f>
        <v>0</v>
      </c>
      <c r="G273" s="315"/>
    </row>
    <row r="274" spans="1:7" s="3" customFormat="1" ht="13.5" hidden="1" customHeight="1" thickBot="1">
      <c r="A274" s="318" t="s">
        <v>250</v>
      </c>
      <c r="B274" s="319">
        <f>SUM(B264:B272)</f>
        <v>1800000</v>
      </c>
      <c r="C274" s="319"/>
      <c r="D274" s="319">
        <f>D266+D268+D270+D272</f>
        <v>180000</v>
      </c>
      <c r="E274" s="319">
        <f>E266+E268+E270+E272</f>
        <v>180000</v>
      </c>
      <c r="F274" s="319">
        <f>F266+F268+F270+F272</f>
        <v>180000</v>
      </c>
      <c r="G274" s="320">
        <f>G264+G266+G268+G270+G272</f>
        <v>1260000</v>
      </c>
    </row>
    <row r="275" spans="1:7" s="3" customFormat="1" ht="12.75" hidden="1" customHeight="1">
      <c r="A275" s="321" t="s">
        <v>68</v>
      </c>
      <c r="B275" s="322">
        <f>J192</f>
        <v>0</v>
      </c>
      <c r="C275" s="322">
        <f>$C$234</f>
        <v>1</v>
      </c>
      <c r="D275" s="323">
        <f t="shared" ref="D275:F278" si="48">ROUND(($B275/$C275),0)</f>
        <v>0</v>
      </c>
      <c r="E275" s="323">
        <f t="shared" si="48"/>
        <v>0</v>
      </c>
      <c r="F275" s="323">
        <f t="shared" si="48"/>
        <v>0</v>
      </c>
      <c r="G275" s="324"/>
    </row>
    <row r="276" spans="1:7" s="3" customFormat="1" ht="12.75" hidden="1" customHeight="1">
      <c r="A276" s="317" t="s">
        <v>251</v>
      </c>
      <c r="B276" s="296">
        <f>J209</f>
        <v>0</v>
      </c>
      <c r="C276" s="296">
        <f>$C$235</f>
        <v>10</v>
      </c>
      <c r="D276" s="297">
        <f t="shared" si="48"/>
        <v>0</v>
      </c>
      <c r="E276" s="297">
        <f t="shared" si="48"/>
        <v>0</v>
      </c>
      <c r="F276" s="297">
        <f t="shared" si="48"/>
        <v>0</v>
      </c>
      <c r="G276" s="315"/>
    </row>
    <row r="277" spans="1:7" s="3" customFormat="1" ht="12.75" hidden="1" customHeight="1">
      <c r="A277" s="316" t="s">
        <v>252</v>
      </c>
      <c r="B277" s="299"/>
      <c r="C277" s="299"/>
      <c r="D277" s="300">
        <f>D276</f>
        <v>0</v>
      </c>
      <c r="E277" s="300">
        <f>E276+D277</f>
        <v>0</v>
      </c>
      <c r="F277" s="300">
        <f>F276+E277</f>
        <v>0</v>
      </c>
      <c r="G277" s="419"/>
    </row>
    <row r="278" spans="1:7" s="3" customFormat="1" ht="13.5" hidden="1" customHeight="1" thickBot="1">
      <c r="A278" s="317" t="s">
        <v>253</v>
      </c>
      <c r="B278" s="296">
        <f>J211</f>
        <v>0</v>
      </c>
      <c r="C278" s="296">
        <v>5</v>
      </c>
      <c r="D278" s="297">
        <f t="shared" si="48"/>
        <v>0</v>
      </c>
      <c r="E278" s="297">
        <f t="shared" si="48"/>
        <v>0</v>
      </c>
      <c r="F278" s="297">
        <f t="shared" si="48"/>
        <v>0</v>
      </c>
      <c r="G278" s="325">
        <f>SUM(G275:G276)</f>
        <v>0</v>
      </c>
    </row>
    <row r="279" spans="1:7" s="3" customFormat="1" ht="13.5" hidden="1" customHeight="1" thickBot="1">
      <c r="A279" s="571" t="s">
        <v>254</v>
      </c>
      <c r="B279" s="575"/>
      <c r="C279" s="575"/>
      <c r="D279" s="576">
        <f>D278</f>
        <v>0</v>
      </c>
      <c r="E279" s="576">
        <f>E278+D279</f>
        <v>0</v>
      </c>
      <c r="F279" s="576">
        <f>F278+E279</f>
        <v>0</v>
      </c>
      <c r="G279" s="328">
        <f>F279+G278</f>
        <v>0</v>
      </c>
    </row>
    <row r="280" spans="1:7" s="3" customFormat="1" ht="12.75" hidden="1" customHeight="1">
      <c r="A280" s="580" t="s">
        <v>406</v>
      </c>
      <c r="B280" s="296">
        <f>J217</f>
        <v>0</v>
      </c>
      <c r="C280" s="296">
        <f>C260</f>
        <v>5</v>
      </c>
      <c r="D280" s="297">
        <f>ROUND(($B280/$C280),0)</f>
        <v>0</v>
      </c>
      <c r="E280" s="297">
        <f>ROUND(($B280/$C280),0)</f>
        <v>0</v>
      </c>
      <c r="F280" s="297">
        <f>ROUND(($B280/$C280),0)</f>
        <v>0</v>
      </c>
      <c r="G280" s="324"/>
    </row>
    <row r="281" spans="1:7" s="3" customFormat="1" ht="12.75" hidden="1" customHeight="1">
      <c r="A281" s="567" t="s">
        <v>407</v>
      </c>
      <c r="B281" s="299"/>
      <c r="C281" s="299"/>
      <c r="D281" s="299">
        <f>D280</f>
        <v>0</v>
      </c>
      <c r="E281" s="299">
        <f>E280+D281</f>
        <v>0</v>
      </c>
      <c r="F281" s="299">
        <f>F280+E281</f>
        <v>0</v>
      </c>
    </row>
    <row r="282" spans="1:7" s="3" customFormat="1" ht="13.5" hidden="1" customHeight="1" thickBot="1"/>
    <row r="283" spans="1:7" s="3" customFormat="1" ht="12.75" hidden="1" customHeight="1">
      <c r="A283" s="311" t="s">
        <v>243</v>
      </c>
      <c r="B283" s="312">
        <f>D263</f>
        <v>2014</v>
      </c>
      <c r="C283" s="312" t="s">
        <v>244</v>
      </c>
      <c r="D283" s="312">
        <f>E263</f>
        <v>2015</v>
      </c>
      <c r="E283" s="312">
        <f>F263</f>
        <v>2016</v>
      </c>
      <c r="F283" s="313" t="s">
        <v>245</v>
      </c>
    </row>
    <row r="284" spans="1:7" s="3" customFormat="1" ht="12.75" hidden="1" customHeight="1">
      <c r="A284" s="314" t="s">
        <v>246</v>
      </c>
      <c r="B284" s="297">
        <f>M53</f>
        <v>0</v>
      </c>
      <c r="C284" s="330">
        <f>$C$223</f>
        <v>20</v>
      </c>
      <c r="D284" s="294">
        <f>ROUND(($B284/$C284),0)</f>
        <v>0</v>
      </c>
      <c r="E284" s="294">
        <f t="shared" ref="E284:E292" si="49">ROUND(($B284/$C284),0)</f>
        <v>0</v>
      </c>
      <c r="F284" s="315">
        <f>B284-(D284+E284)</f>
        <v>0</v>
      </c>
    </row>
    <row r="285" spans="1:7" s="3" customFormat="1" ht="12.75" hidden="1" customHeight="1">
      <c r="A285" s="316" t="s">
        <v>247</v>
      </c>
      <c r="B285" s="339"/>
      <c r="C285" s="339"/>
      <c r="D285" s="339">
        <f>D284</f>
        <v>0</v>
      </c>
      <c r="E285" s="339">
        <f>E284+D285</f>
        <v>0</v>
      </c>
      <c r="F285" s="315"/>
    </row>
    <row r="286" spans="1:7" s="3" customFormat="1" ht="12.75" hidden="1" customHeight="1">
      <c r="A286" s="317" t="s">
        <v>248</v>
      </c>
      <c r="B286" s="296">
        <f>M95</f>
        <v>0</v>
      </c>
      <c r="C286" s="296">
        <f>$C$225</f>
        <v>10</v>
      </c>
      <c r="D286" s="297">
        <f>ROUND(($B286/$C286),0)</f>
        <v>0</v>
      </c>
      <c r="E286" s="297">
        <f t="shared" si="49"/>
        <v>0</v>
      </c>
      <c r="F286" s="315">
        <f>B286-(D286+E286)</f>
        <v>0</v>
      </c>
    </row>
    <row r="287" spans="1:7" s="3" customFormat="1" ht="12.75" hidden="1" customHeight="1">
      <c r="A287" s="316" t="s">
        <v>247</v>
      </c>
      <c r="B287" s="299"/>
      <c r="C287" s="299"/>
      <c r="D287" s="300">
        <f>D286</f>
        <v>0</v>
      </c>
      <c r="E287" s="300">
        <f>D287+E286</f>
        <v>0</v>
      </c>
      <c r="F287" s="315"/>
    </row>
    <row r="288" spans="1:7" s="3" customFormat="1" ht="12.75" hidden="1" customHeight="1">
      <c r="A288" s="317" t="s">
        <v>63</v>
      </c>
      <c r="B288" s="296">
        <f>M139</f>
        <v>0</v>
      </c>
      <c r="C288" s="296">
        <f>$C$227</f>
        <v>5</v>
      </c>
      <c r="D288" s="297">
        <f>ROUND(($B288/$C288),0)</f>
        <v>0</v>
      </c>
      <c r="E288" s="297">
        <f t="shared" si="49"/>
        <v>0</v>
      </c>
      <c r="F288" s="315">
        <f>B288-(D288+E288)</f>
        <v>0</v>
      </c>
    </row>
    <row r="289" spans="1:6" s="3" customFormat="1" ht="12.75" hidden="1" customHeight="1">
      <c r="A289" s="316" t="s">
        <v>247</v>
      </c>
      <c r="B289" s="299"/>
      <c r="C289" s="299"/>
      <c r="D289" s="300">
        <f>D288</f>
        <v>0</v>
      </c>
      <c r="E289" s="300">
        <f>D289+E288</f>
        <v>0</v>
      </c>
      <c r="F289" s="315"/>
    </row>
    <row r="290" spans="1:6" s="3" customFormat="1" ht="12.75" hidden="1" customHeight="1">
      <c r="A290" s="314" t="s">
        <v>65</v>
      </c>
      <c r="B290" s="296">
        <f>M146</f>
        <v>0</v>
      </c>
      <c r="C290" s="296">
        <f>$C$229</f>
        <v>5</v>
      </c>
      <c r="D290" s="297">
        <f>ROUND(($B290/$C290),0)</f>
        <v>0</v>
      </c>
      <c r="E290" s="297">
        <f t="shared" si="49"/>
        <v>0</v>
      </c>
      <c r="F290" s="315">
        <f>B290-(D290+E290)</f>
        <v>0</v>
      </c>
    </row>
    <row r="291" spans="1:6" s="3" customFormat="1" ht="12.75" hidden="1" customHeight="1">
      <c r="A291" s="316" t="s">
        <v>247</v>
      </c>
      <c r="B291" s="299"/>
      <c r="C291" s="299"/>
      <c r="D291" s="300">
        <f>D290</f>
        <v>0</v>
      </c>
      <c r="E291" s="300">
        <f>D291+E290</f>
        <v>0</v>
      </c>
      <c r="F291" s="315"/>
    </row>
    <row r="292" spans="1:6" s="3" customFormat="1" ht="12.75" hidden="1" customHeight="1">
      <c r="A292" s="314" t="s">
        <v>249</v>
      </c>
      <c r="B292" s="296">
        <f>M171</f>
        <v>0</v>
      </c>
      <c r="C292" s="296">
        <f>$C$231</f>
        <v>3</v>
      </c>
      <c r="D292" s="297">
        <f>ROUND(($B292/$C292),0)</f>
        <v>0</v>
      </c>
      <c r="E292" s="297">
        <f t="shared" si="49"/>
        <v>0</v>
      </c>
      <c r="F292" s="315">
        <f>B292-(D292+E292)</f>
        <v>0</v>
      </c>
    </row>
    <row r="293" spans="1:6" s="3" customFormat="1" ht="12.75" hidden="1" customHeight="1">
      <c r="A293" s="316" t="s">
        <v>247</v>
      </c>
      <c r="B293" s="299"/>
      <c r="C293" s="299"/>
      <c r="D293" s="300">
        <f>D292</f>
        <v>0</v>
      </c>
      <c r="E293" s="300">
        <f>D293+E292</f>
        <v>0</v>
      </c>
      <c r="F293" s="315"/>
    </row>
    <row r="294" spans="1:6" s="3" customFormat="1" ht="13.5" hidden="1" customHeight="1" thickBot="1">
      <c r="A294" s="318" t="s">
        <v>250</v>
      </c>
      <c r="B294" s="319">
        <f>SUM(B284:B292)</f>
        <v>0</v>
      </c>
      <c r="C294" s="319"/>
      <c r="D294" s="319">
        <f>D286+D288+D290+D292</f>
        <v>0</v>
      </c>
      <c r="E294" s="319">
        <f>E286+E288+E290+E292</f>
        <v>0</v>
      </c>
      <c r="F294" s="320">
        <f>F284+F286+F288+F290+F292</f>
        <v>0</v>
      </c>
    </row>
    <row r="295" spans="1:6" s="3" customFormat="1" ht="12.75" hidden="1" customHeight="1">
      <c r="A295" s="321" t="s">
        <v>68</v>
      </c>
      <c r="B295" s="322">
        <f>M192</f>
        <v>0</v>
      </c>
      <c r="C295" s="322">
        <f>$C$234</f>
        <v>1</v>
      </c>
      <c r="D295" s="323">
        <f>ROUND(($B295/$C295),0)</f>
        <v>0</v>
      </c>
      <c r="E295" s="323">
        <f>ROUND(($B295/$C295),0)</f>
        <v>0</v>
      </c>
      <c r="F295" s="324"/>
    </row>
    <row r="296" spans="1:6" s="3" customFormat="1" ht="12.75" hidden="1" customHeight="1">
      <c r="A296" s="317" t="s">
        <v>251</v>
      </c>
      <c r="B296" s="296">
        <f>M209</f>
        <v>0</v>
      </c>
      <c r="C296" s="296">
        <f>$C$235</f>
        <v>10</v>
      </c>
      <c r="D296" s="297">
        <f>ROUND(($B296/$C296),0)</f>
        <v>0</v>
      </c>
      <c r="E296" s="297">
        <f>ROUND(($B296/$C296),0)</f>
        <v>0</v>
      </c>
      <c r="F296" s="315"/>
    </row>
    <row r="297" spans="1:6" s="3" customFormat="1" ht="12.75" hidden="1" customHeight="1">
      <c r="A297" s="316" t="s">
        <v>252</v>
      </c>
      <c r="B297" s="299"/>
      <c r="C297" s="299"/>
      <c r="D297" s="300"/>
      <c r="E297" s="300"/>
      <c r="F297" s="419"/>
    </row>
    <row r="298" spans="1:6" s="3" customFormat="1" ht="13.5" hidden="1" customHeight="1" thickBot="1">
      <c r="A298" s="317" t="s">
        <v>253</v>
      </c>
      <c r="B298" s="296">
        <f>M211</f>
        <v>0</v>
      </c>
      <c r="C298" s="296">
        <f>C278</f>
        <v>5</v>
      </c>
      <c r="D298" s="297">
        <f>SUM(D295:D296)</f>
        <v>0</v>
      </c>
      <c r="E298" s="297">
        <f>SUM(E295:E296)</f>
        <v>0</v>
      </c>
      <c r="F298" s="325">
        <f>SUM(F295:F296)</f>
        <v>0</v>
      </c>
    </row>
    <row r="299" spans="1:6" s="3" customFormat="1" ht="13.5" hidden="1" customHeight="1" thickBot="1">
      <c r="A299" s="329" t="s">
        <v>254</v>
      </c>
      <c r="B299" s="326">
        <f>M217</f>
        <v>0</v>
      </c>
      <c r="C299" s="326"/>
      <c r="D299" s="327">
        <f>D298</f>
        <v>0</v>
      </c>
      <c r="E299" s="327">
        <f>D299+E298</f>
        <v>0</v>
      </c>
      <c r="F299" s="328"/>
    </row>
    <row r="300" spans="1:6" s="3" customFormat="1" ht="12.75" hidden="1" customHeight="1">
      <c r="A300" s="580" t="s">
        <v>406</v>
      </c>
      <c r="B300" s="296">
        <f>J237</f>
        <v>0</v>
      </c>
      <c r="C300" s="296">
        <f>C280</f>
        <v>5</v>
      </c>
      <c r="D300" s="297">
        <f>ROUND(($B300/$C300),0)</f>
        <v>0</v>
      </c>
      <c r="E300" s="297">
        <f>ROUND(($B300/$C300),0)</f>
        <v>0</v>
      </c>
      <c r="F300" s="297">
        <f>ROUND(($B300/$C300),0)</f>
        <v>0</v>
      </c>
    </row>
    <row r="301" spans="1:6" s="3" customFormat="1" ht="12.75" hidden="1" customHeight="1">
      <c r="A301" s="567" t="s">
        <v>407</v>
      </c>
      <c r="B301" s="299"/>
      <c r="C301" s="299"/>
      <c r="D301" s="299">
        <f>D300</f>
        <v>0</v>
      </c>
      <c r="E301" s="299">
        <f>E300+D301</f>
        <v>0</v>
      </c>
      <c r="F301" s="299">
        <f>F300+E301</f>
        <v>0</v>
      </c>
    </row>
    <row r="302" spans="1:6" s="3" customFormat="1" ht="12.75" hidden="1" customHeight="1"/>
    <row r="303" spans="1:6" s="3" customFormat="1" ht="13.5" hidden="1" customHeight="1" thickBot="1"/>
    <row r="304" spans="1:6" s="3" customFormat="1" ht="12.75" hidden="1" customHeight="1">
      <c r="A304" s="311" t="s">
        <v>243</v>
      </c>
      <c r="B304" s="312">
        <f>D283</f>
        <v>2015</v>
      </c>
      <c r="C304" s="312" t="s">
        <v>244</v>
      </c>
      <c r="D304" s="312">
        <f>E283</f>
        <v>2016</v>
      </c>
      <c r="E304" s="313" t="s">
        <v>245</v>
      </c>
    </row>
    <row r="305" spans="1:5" s="3" customFormat="1" ht="12.75" hidden="1" customHeight="1">
      <c r="A305" s="314" t="s">
        <v>246</v>
      </c>
      <c r="B305" s="297">
        <f>P53</f>
        <v>0</v>
      </c>
      <c r="C305" s="330">
        <f>$C$223</f>
        <v>20</v>
      </c>
      <c r="D305" s="294">
        <f>ROUND(($B305/$C305),0)</f>
        <v>0</v>
      </c>
      <c r="E305" s="315">
        <f>B305-(D305)</f>
        <v>0</v>
      </c>
    </row>
    <row r="306" spans="1:5" s="3" customFormat="1" ht="12.75" hidden="1" customHeight="1">
      <c r="A306" s="316" t="s">
        <v>247</v>
      </c>
      <c r="B306" s="339"/>
      <c r="C306" s="339"/>
      <c r="D306" s="339">
        <f>D305</f>
        <v>0</v>
      </c>
      <c r="E306" s="315"/>
    </row>
    <row r="307" spans="1:5" s="3" customFormat="1" ht="12.75" hidden="1" customHeight="1">
      <c r="A307" s="317" t="s">
        <v>248</v>
      </c>
      <c r="B307" s="296">
        <f>P95</f>
        <v>0</v>
      </c>
      <c r="C307" s="296">
        <f>$C$225</f>
        <v>10</v>
      </c>
      <c r="D307" s="297">
        <f>ROUND(($B307/$C307),0)</f>
        <v>0</v>
      </c>
      <c r="E307" s="315">
        <f>B307-(D307)</f>
        <v>0</v>
      </c>
    </row>
    <row r="308" spans="1:5" s="3" customFormat="1" ht="12.75" hidden="1" customHeight="1">
      <c r="A308" s="316" t="s">
        <v>247</v>
      </c>
      <c r="B308" s="299"/>
      <c r="C308" s="299"/>
      <c r="D308" s="300">
        <f>D307</f>
        <v>0</v>
      </c>
      <c r="E308" s="315"/>
    </row>
    <row r="309" spans="1:5" s="3" customFormat="1" ht="12.75" hidden="1" customHeight="1">
      <c r="A309" s="317" t="s">
        <v>63</v>
      </c>
      <c r="B309" s="296">
        <f>P139</f>
        <v>0</v>
      </c>
      <c r="C309" s="296">
        <f>$C$227</f>
        <v>5</v>
      </c>
      <c r="D309" s="297">
        <f>ROUND(($B309/$C309),0)</f>
        <v>0</v>
      </c>
      <c r="E309" s="315">
        <f>B309-(D309)</f>
        <v>0</v>
      </c>
    </row>
    <row r="310" spans="1:5" s="3" customFormat="1" ht="12.75" hidden="1" customHeight="1">
      <c r="A310" s="316" t="s">
        <v>247</v>
      </c>
      <c r="B310" s="299"/>
      <c r="C310" s="299"/>
      <c r="D310" s="300">
        <f>D309</f>
        <v>0</v>
      </c>
      <c r="E310" s="315"/>
    </row>
    <row r="311" spans="1:5" s="3" customFormat="1" ht="12.75" hidden="1" customHeight="1">
      <c r="A311" s="314" t="s">
        <v>65</v>
      </c>
      <c r="B311" s="296">
        <f>P146</f>
        <v>0</v>
      </c>
      <c r="C311" s="296">
        <f>$C$229</f>
        <v>5</v>
      </c>
      <c r="D311" s="297">
        <f>ROUND(($B311/$C311),0)</f>
        <v>0</v>
      </c>
      <c r="E311" s="315">
        <f>B311-(D311)</f>
        <v>0</v>
      </c>
    </row>
    <row r="312" spans="1:5" s="3" customFormat="1" ht="12.75" hidden="1" customHeight="1">
      <c r="A312" s="316" t="s">
        <v>247</v>
      </c>
      <c r="B312" s="299"/>
      <c r="C312" s="299"/>
      <c r="D312" s="300">
        <f>D311</f>
        <v>0</v>
      </c>
      <c r="E312" s="315"/>
    </row>
    <row r="313" spans="1:5" s="3" customFormat="1" ht="12.75" hidden="1" customHeight="1">
      <c r="A313" s="314" t="s">
        <v>249</v>
      </c>
      <c r="B313" s="296">
        <f>P171</f>
        <v>0</v>
      </c>
      <c r="C313" s="296">
        <f>$C$231</f>
        <v>3</v>
      </c>
      <c r="D313" s="297">
        <f>ROUND(($B313/$C313),0)</f>
        <v>0</v>
      </c>
      <c r="E313" s="315">
        <f>B313-(D313)</f>
        <v>0</v>
      </c>
    </row>
    <row r="314" spans="1:5" s="3" customFormat="1" ht="12.75" hidden="1" customHeight="1">
      <c r="A314" s="316" t="s">
        <v>247</v>
      </c>
      <c r="B314" s="299"/>
      <c r="C314" s="299"/>
      <c r="D314" s="300">
        <f>D313</f>
        <v>0</v>
      </c>
      <c r="E314" s="315"/>
    </row>
    <row r="315" spans="1:5" s="3" customFormat="1" ht="13.5" hidden="1" customHeight="1" thickBot="1">
      <c r="A315" s="318" t="s">
        <v>250</v>
      </c>
      <c r="B315" s="319">
        <f>SUM(B305:B313)</f>
        <v>0</v>
      </c>
      <c r="C315" s="319"/>
      <c r="D315" s="319">
        <f>D307+D309+D311+D313</f>
        <v>0</v>
      </c>
      <c r="E315" s="320">
        <f>E305+E307+E309+E311+313:313</f>
        <v>0</v>
      </c>
    </row>
    <row r="316" spans="1:5" s="3" customFormat="1" ht="12.75" hidden="1" customHeight="1">
      <c r="A316" s="321" t="s">
        <v>68</v>
      </c>
      <c r="B316" s="322">
        <f>P192</f>
        <v>0</v>
      </c>
      <c r="C316" s="322">
        <f>$C$234</f>
        <v>1</v>
      </c>
      <c r="D316" s="323">
        <f>ROUND(($B316/$C316),0)</f>
        <v>0</v>
      </c>
      <c r="E316" s="324"/>
    </row>
    <row r="317" spans="1:5" s="3" customFormat="1" ht="12.75" hidden="1" customHeight="1">
      <c r="A317" s="317" t="s">
        <v>251</v>
      </c>
      <c r="B317" s="296">
        <f>P209</f>
        <v>0</v>
      </c>
      <c r="C317" s="296">
        <f>$C$235</f>
        <v>10</v>
      </c>
      <c r="D317" s="297">
        <f>ROUND(($B317/$C317),0)</f>
        <v>0</v>
      </c>
      <c r="E317" s="315"/>
    </row>
    <row r="318" spans="1:5" s="3" customFormat="1" ht="12.75" hidden="1" customHeight="1">
      <c r="A318" s="316" t="s">
        <v>252</v>
      </c>
      <c r="B318" s="299"/>
      <c r="C318" s="299"/>
      <c r="D318" s="300"/>
      <c r="E318" s="419"/>
    </row>
    <row r="319" spans="1:5" s="3" customFormat="1" ht="13.5" hidden="1" customHeight="1" thickBot="1">
      <c r="A319" s="317" t="s">
        <v>253</v>
      </c>
      <c r="B319" s="296">
        <f>P211</f>
        <v>0</v>
      </c>
      <c r="C319" s="296">
        <f>C298</f>
        <v>5</v>
      </c>
      <c r="D319" s="297">
        <f>SUM(D316:D317)</f>
        <v>0</v>
      </c>
      <c r="E319" s="325">
        <f>SUM(E316:E317)</f>
        <v>0</v>
      </c>
    </row>
    <row r="320" spans="1:5" s="3" customFormat="1" ht="13.5" hidden="1" customHeight="1" thickBot="1">
      <c r="A320" s="329" t="s">
        <v>254</v>
      </c>
      <c r="B320" s="326"/>
      <c r="C320" s="326"/>
      <c r="D320" s="327">
        <f>D319</f>
        <v>0</v>
      </c>
      <c r="E320" s="328" t="e">
        <f>#REF!+E319</f>
        <v>#REF!</v>
      </c>
    </row>
    <row r="321" spans="1:7" s="3" customFormat="1" ht="12.75" hidden="1" customHeight="1">
      <c r="A321" s="580" t="s">
        <v>406</v>
      </c>
      <c r="B321" s="296">
        <f>J258</f>
        <v>0</v>
      </c>
      <c r="C321" s="296">
        <f>C300</f>
        <v>5</v>
      </c>
      <c r="D321" s="297">
        <f>ROUND(($B321/$C321),0)</f>
        <v>0</v>
      </c>
      <c r="E321" s="297">
        <f>ROUND(($B321/$C321),0)</f>
        <v>0</v>
      </c>
    </row>
    <row r="322" spans="1:7" s="3" customFormat="1" ht="12.75" hidden="1" customHeight="1">
      <c r="A322" s="567" t="s">
        <v>407</v>
      </c>
      <c r="B322" s="299"/>
      <c r="C322" s="299"/>
      <c r="D322" s="299">
        <f>D321</f>
        <v>0</v>
      </c>
      <c r="E322" s="299">
        <f>E321+D322</f>
        <v>0</v>
      </c>
    </row>
    <row r="323" spans="1:7" s="3" customFormat="1" ht="12.75" hidden="1" customHeight="1"/>
    <row r="324" spans="1:7" s="3" customFormat="1" ht="12.75" hidden="1" customHeight="1"/>
    <row r="325" spans="1:7" s="3" customFormat="1" ht="12.75" hidden="1" customHeight="1"/>
    <row r="326" spans="1:7" s="3" customFormat="1" ht="12.75" hidden="1" customHeight="1">
      <c r="A326" s="260" t="s">
        <v>216</v>
      </c>
      <c r="B326" s="335" t="s">
        <v>258</v>
      </c>
      <c r="C326" s="417">
        <f>D222</f>
        <v>2012</v>
      </c>
      <c r="D326" s="417">
        <f>E222</f>
        <v>2013</v>
      </c>
      <c r="E326" s="417">
        <f>F222</f>
        <v>2014</v>
      </c>
      <c r="F326" s="417">
        <f>G222</f>
        <v>2015</v>
      </c>
      <c r="G326" s="417">
        <f>H222</f>
        <v>2016</v>
      </c>
    </row>
    <row r="327" spans="1:7" s="3" customFormat="1" ht="12.75" hidden="1" customHeight="1">
      <c r="A327" s="16" t="s">
        <v>259</v>
      </c>
      <c r="B327" s="336">
        <f>B223</f>
        <v>1500000</v>
      </c>
      <c r="C327" s="336">
        <f>B327+B244</f>
        <v>1500000</v>
      </c>
      <c r="D327" s="336">
        <f>C327+B264</f>
        <v>1500000</v>
      </c>
      <c r="E327" s="337">
        <f>D327+B284</f>
        <v>1500000</v>
      </c>
      <c r="F327" s="336">
        <f>E327+B305</f>
        <v>1500000</v>
      </c>
      <c r="G327" s="336">
        <f>F327+S53</f>
        <v>1500000</v>
      </c>
    </row>
    <row r="328" spans="1:7" s="3" customFormat="1" ht="12.75" hidden="1" customHeight="1">
      <c r="A328" s="16" t="s">
        <v>260</v>
      </c>
      <c r="B328" s="3">
        <v>0</v>
      </c>
      <c r="C328" s="3">
        <f>-1*(D224)</f>
        <v>-75000</v>
      </c>
      <c r="D328" s="3">
        <f>-1*(E224+D245)</f>
        <v>-150000</v>
      </c>
      <c r="E328" s="3">
        <f>-1*(F224+E245+D265)</f>
        <v>-225000</v>
      </c>
      <c r="F328" s="3">
        <f>-1*(G224+F245+E265+D285)</f>
        <v>-300000</v>
      </c>
      <c r="G328" s="3">
        <f>-1*(H224+G245+F265+E285+D306)</f>
        <v>-375000</v>
      </c>
    </row>
    <row r="329" spans="1:7" s="3" customFormat="1" ht="12.75" hidden="1" customHeight="1">
      <c r="A329" s="16" t="s">
        <v>261</v>
      </c>
      <c r="B329" s="3">
        <f>0</f>
        <v>0</v>
      </c>
      <c r="C329" s="3">
        <f>D223</f>
        <v>75000</v>
      </c>
      <c r="D329" s="338">
        <f>E223+D244</f>
        <v>75000</v>
      </c>
      <c r="E329" s="338">
        <f>F223+E244+D264</f>
        <v>75000</v>
      </c>
      <c r="F329" s="338">
        <f>G223+F244+E264+D284</f>
        <v>75000</v>
      </c>
      <c r="G329" s="338">
        <f>H223+G244+F264+E284+D305</f>
        <v>75000</v>
      </c>
    </row>
    <row r="330" spans="1:7" s="3" customFormat="1" ht="12.75" hidden="1" customHeight="1"/>
    <row r="331" spans="1:7" s="3" customFormat="1" ht="12.75" hidden="1" customHeight="1">
      <c r="D331" s="218"/>
      <c r="E331" s="218"/>
      <c r="F331" s="218"/>
      <c r="G331" s="218"/>
    </row>
    <row r="332" spans="1:7" s="3" customFormat="1" ht="12.75" hidden="1" customHeight="1">
      <c r="A332" s="260" t="str">
        <f>A54</f>
        <v>MAQUINARIA Y EQUIPO</v>
      </c>
      <c r="B332" s="335" t="s">
        <v>258</v>
      </c>
      <c r="C332" s="218">
        <f>C326</f>
        <v>2012</v>
      </c>
      <c r="D332" s="218">
        <f>D326</f>
        <v>2013</v>
      </c>
      <c r="E332" s="218">
        <f>E326</f>
        <v>2014</v>
      </c>
      <c r="F332" s="218">
        <f>F326</f>
        <v>2015</v>
      </c>
      <c r="G332" s="218">
        <f>G326</f>
        <v>2016</v>
      </c>
    </row>
    <row r="333" spans="1:7" s="3" customFormat="1" ht="12.75" hidden="1" customHeight="1">
      <c r="A333" s="16" t="s">
        <v>259</v>
      </c>
      <c r="B333" s="336">
        <f>225:225</f>
        <v>2300000</v>
      </c>
      <c r="C333" s="336">
        <f>B333+B246</f>
        <v>4250000</v>
      </c>
      <c r="D333" s="336">
        <f>C333+B266</f>
        <v>6050000</v>
      </c>
      <c r="E333" s="337">
        <f>D333+B286</f>
        <v>6050000</v>
      </c>
      <c r="F333" s="336">
        <f>E333+B307</f>
        <v>6050000</v>
      </c>
      <c r="G333" s="336">
        <f>F333+S95</f>
        <v>6050000</v>
      </c>
    </row>
    <row r="334" spans="1:7" s="3" customFormat="1" ht="12.75" hidden="1" customHeight="1">
      <c r="A334" s="16" t="s">
        <v>260</v>
      </c>
      <c r="B334" s="3">
        <v>0</v>
      </c>
      <c r="C334" s="418">
        <f>-1*D226</f>
        <v>-230000</v>
      </c>
      <c r="D334" s="3">
        <f>-1*E226+D247</f>
        <v>-265000</v>
      </c>
      <c r="E334" s="3">
        <f>-1*F226+E247+D267</f>
        <v>-120000</v>
      </c>
      <c r="F334" s="3">
        <f>-1*(G226+F247+E267+D287)</f>
        <v>-1865000</v>
      </c>
      <c r="G334" s="3">
        <f>-1*(H226+G247+F267+E287+D308)</f>
        <v>-2470000</v>
      </c>
    </row>
    <row r="335" spans="1:7" s="3" customFormat="1" ht="12.75" hidden="1" customHeight="1">
      <c r="A335" s="16" t="s">
        <v>261</v>
      </c>
      <c r="B335" s="3">
        <f>0</f>
        <v>0</v>
      </c>
      <c r="C335" s="336">
        <f>D225</f>
        <v>230000</v>
      </c>
      <c r="D335" s="338">
        <f>E225+D246</f>
        <v>425000</v>
      </c>
      <c r="E335" s="338">
        <f>F225+E246+D266</f>
        <v>605000</v>
      </c>
      <c r="F335" s="338">
        <f>G225+F246+E266+D286</f>
        <v>605000</v>
      </c>
      <c r="G335" s="338">
        <f>H225+G246+F266+E286+D307</f>
        <v>605000</v>
      </c>
    </row>
    <row r="336" spans="1:7" s="3" customFormat="1" ht="12.75" hidden="1" customHeight="1"/>
    <row r="337" spans="1:9" s="3" customFormat="1" ht="12.75" hidden="1" customHeight="1">
      <c r="C337" s="218"/>
      <c r="D337" s="218"/>
      <c r="E337" s="218"/>
      <c r="F337" s="218"/>
      <c r="G337" s="218"/>
    </row>
    <row r="338" spans="1:9" s="3" customFormat="1" ht="12.75" hidden="1" customHeight="1">
      <c r="A338" s="260" t="str">
        <f>A96</f>
        <v>MUEBLES Y ENSERES</v>
      </c>
      <c r="B338" s="335" t="s">
        <v>258</v>
      </c>
      <c r="C338" s="417">
        <f>C332</f>
        <v>2012</v>
      </c>
      <c r="D338" s="417">
        <f>D332</f>
        <v>2013</v>
      </c>
      <c r="E338" s="417">
        <f>E332</f>
        <v>2014</v>
      </c>
      <c r="F338" s="417">
        <f>F332</f>
        <v>2015</v>
      </c>
      <c r="G338" s="417">
        <f>G332</f>
        <v>2016</v>
      </c>
    </row>
    <row r="339" spans="1:9" s="3" customFormat="1" ht="12.75" hidden="1" customHeight="1">
      <c r="A339" s="16" t="s">
        <v>259</v>
      </c>
      <c r="B339" s="336">
        <f>B227</f>
        <v>2050000</v>
      </c>
      <c r="C339" s="336">
        <f>B339+B248</f>
        <v>2050000</v>
      </c>
      <c r="D339" s="336">
        <f>C339+B268</f>
        <v>2050000</v>
      </c>
      <c r="E339" s="337">
        <f>D339+B288</f>
        <v>2050000</v>
      </c>
      <c r="F339" s="336">
        <f>E339+B309</f>
        <v>2050000</v>
      </c>
      <c r="G339" s="336">
        <f>F339+S139</f>
        <v>2050000</v>
      </c>
      <c r="I339" s="336"/>
    </row>
    <row r="340" spans="1:9" s="3" customFormat="1" ht="12.75" hidden="1" customHeight="1">
      <c r="A340" s="16" t="s">
        <v>260</v>
      </c>
      <c r="B340" s="3">
        <v>0</v>
      </c>
      <c r="C340" s="336">
        <f>-1*D228</f>
        <v>-410000</v>
      </c>
      <c r="D340" s="336">
        <f>-1*E228+D249</f>
        <v>-820000</v>
      </c>
      <c r="E340" s="3">
        <f>-1*F228+E249+D269</f>
        <v>-1230000</v>
      </c>
      <c r="F340" s="3">
        <f>-1*(G228+F249+E269+D289)</f>
        <v>-1640000</v>
      </c>
      <c r="G340" s="3">
        <f>-1*(H228+G249+F269+E289+D310)</f>
        <v>-2050000</v>
      </c>
    </row>
    <row r="341" spans="1:9" s="3" customFormat="1" ht="12.75" hidden="1" customHeight="1">
      <c r="A341" s="16" t="s">
        <v>261</v>
      </c>
      <c r="B341" s="3">
        <f>0</f>
        <v>0</v>
      </c>
      <c r="C341" s="336">
        <f>D227</f>
        <v>410000</v>
      </c>
      <c r="D341" s="338">
        <f>E227+D248</f>
        <v>410000</v>
      </c>
      <c r="E341" s="338">
        <f>F227+E248+D268</f>
        <v>410000</v>
      </c>
      <c r="F341" s="338">
        <f>G227+F248+E268+D288</f>
        <v>410000</v>
      </c>
      <c r="G341" s="338">
        <f>H227+G248+F268+E288+D309</f>
        <v>410000</v>
      </c>
    </row>
    <row r="342" spans="1:9" s="3" customFormat="1" ht="12.75" hidden="1" customHeight="1"/>
    <row r="343" spans="1:9" s="3" customFormat="1" ht="12.75" hidden="1" customHeight="1"/>
    <row r="344" spans="1:9" s="3" customFormat="1" ht="12.75" hidden="1" customHeight="1">
      <c r="A344" s="260" t="str">
        <f>A140</f>
        <v>EQUIPO DE TRANSPORTE</v>
      </c>
      <c r="B344" s="335" t="s">
        <v>258</v>
      </c>
      <c r="C344" s="417">
        <f>C338</f>
        <v>2012</v>
      </c>
      <c r="D344" s="417">
        <f>D338</f>
        <v>2013</v>
      </c>
      <c r="E344" s="417">
        <f>E338</f>
        <v>2014</v>
      </c>
      <c r="F344" s="417">
        <f>F338</f>
        <v>2015</v>
      </c>
      <c r="G344" s="417">
        <f>G338</f>
        <v>2016</v>
      </c>
    </row>
    <row r="345" spans="1:9" s="3" customFormat="1" ht="12.75" hidden="1" customHeight="1">
      <c r="A345" s="16" t="s">
        <v>259</v>
      </c>
      <c r="B345" s="336">
        <f>B229</f>
        <v>0</v>
      </c>
      <c r="C345" s="336">
        <f>B345+B250</f>
        <v>0</v>
      </c>
      <c r="D345" s="336">
        <f>C345+B270</f>
        <v>0</v>
      </c>
      <c r="E345" s="337">
        <f>D345+B290</f>
        <v>0</v>
      </c>
      <c r="F345" s="336">
        <f>E345+B311</f>
        <v>0</v>
      </c>
      <c r="G345" s="336">
        <f>F345+S146</f>
        <v>0</v>
      </c>
    </row>
    <row r="346" spans="1:9" s="3" customFormat="1" ht="12.75" hidden="1" customHeight="1">
      <c r="A346" s="16" t="s">
        <v>260</v>
      </c>
      <c r="B346" s="3">
        <v>0</v>
      </c>
      <c r="C346" s="336">
        <f>-1*D230</f>
        <v>0</v>
      </c>
      <c r="D346" s="336">
        <f>-1*E230+D251</f>
        <v>0</v>
      </c>
      <c r="E346" s="3">
        <f>-1*F230+E251+D271</f>
        <v>0</v>
      </c>
      <c r="F346" s="3">
        <f>-1*(G230+F251+E271+D291)</f>
        <v>0</v>
      </c>
      <c r="G346" s="3">
        <f>-1*(H230+G251+F271+E291+D312)</f>
        <v>0</v>
      </c>
    </row>
    <row r="347" spans="1:9" s="3" customFormat="1" ht="12.75" hidden="1" customHeight="1">
      <c r="A347" s="16" t="s">
        <v>261</v>
      </c>
      <c r="B347" s="3">
        <f>0</f>
        <v>0</v>
      </c>
      <c r="C347" s="336">
        <f>D229</f>
        <v>0</v>
      </c>
      <c r="D347" s="338">
        <f>E229+D250</f>
        <v>0</v>
      </c>
      <c r="E347" s="338">
        <f>F229+E250+D270</f>
        <v>0</v>
      </c>
      <c r="F347" s="338">
        <f>G229+F250+E270+D290</f>
        <v>0</v>
      </c>
      <c r="G347" s="338">
        <f>H229+G250+F270+E290+D311</f>
        <v>0</v>
      </c>
    </row>
    <row r="348" spans="1:9" s="3" customFormat="1" ht="12.75" hidden="1" customHeight="1"/>
    <row r="349" spans="1:9" s="3" customFormat="1" ht="12.75" hidden="1" customHeight="1">
      <c r="A349" s="260" t="str">
        <f>A147</f>
        <v>EQUIPO DE OFICINA</v>
      </c>
      <c r="B349" s="335" t="s">
        <v>258</v>
      </c>
      <c r="C349" s="417">
        <f>C344</f>
        <v>2012</v>
      </c>
      <c r="D349" s="417">
        <f>D344</f>
        <v>2013</v>
      </c>
      <c r="E349" s="417">
        <f>E344</f>
        <v>2014</v>
      </c>
      <c r="F349" s="417">
        <f>F344</f>
        <v>2015</v>
      </c>
      <c r="G349" s="417">
        <f>G344</f>
        <v>2016</v>
      </c>
    </row>
    <row r="350" spans="1:9" s="3" customFormat="1" ht="12.75" hidden="1" customHeight="1">
      <c r="A350" s="16" t="s">
        <v>259</v>
      </c>
      <c r="B350" s="336">
        <f>B231</f>
        <v>3400000</v>
      </c>
      <c r="C350" s="336">
        <f>B350+B252</f>
        <v>3400000</v>
      </c>
      <c r="D350" s="336">
        <f>C350+B272</f>
        <v>3400000</v>
      </c>
      <c r="E350" s="337">
        <f>D350+B292</f>
        <v>3400000</v>
      </c>
      <c r="F350" s="336">
        <f>E350+B313</f>
        <v>3400000</v>
      </c>
      <c r="G350" s="336">
        <f>F350+S171</f>
        <v>3400000</v>
      </c>
    </row>
    <row r="351" spans="1:9" s="3" customFormat="1" ht="12.75" hidden="1" customHeight="1">
      <c r="A351" s="16" t="s">
        <v>260</v>
      </c>
      <c r="B351" s="3">
        <v>0</v>
      </c>
      <c r="C351" s="336">
        <f>-1*D232</f>
        <v>-1133333</v>
      </c>
      <c r="D351" s="336">
        <f>-1*E232+D253</f>
        <v>-2266666</v>
      </c>
      <c r="E351" s="3">
        <f>-1*F232+E253+D273</f>
        <v>-3399999</v>
      </c>
      <c r="F351" s="3">
        <f>-1*(G232+F253+E273+D293)</f>
        <v>0</v>
      </c>
      <c r="G351" s="3">
        <f>-1*(H232+G253+F273+E293+D314)</f>
        <v>0</v>
      </c>
    </row>
    <row r="352" spans="1:9" s="3" customFormat="1" ht="12.75" hidden="1" customHeight="1">
      <c r="A352" s="16" t="s">
        <v>261</v>
      </c>
      <c r="B352" s="3">
        <f>0</f>
        <v>0</v>
      </c>
      <c r="C352" s="336">
        <f>D231</f>
        <v>1133333</v>
      </c>
      <c r="D352" s="338">
        <f>E231+D252</f>
        <v>1133333</v>
      </c>
      <c r="E352" s="338">
        <f>F231+E252+D272</f>
        <v>1133333</v>
      </c>
      <c r="F352" s="338">
        <f>G231+F252+E272+D292</f>
        <v>0</v>
      </c>
      <c r="G352" s="338">
        <f>H231+G252+F272+E292+D313</f>
        <v>0</v>
      </c>
    </row>
    <row r="353" spans="1:7" s="3" customFormat="1" ht="12.75" hidden="1" customHeight="1"/>
    <row r="354" spans="1:7" s="3" customFormat="1" ht="12.75" hidden="1" customHeight="1">
      <c r="A354" s="260" t="str">
        <f>A176</f>
        <v>SEMOVIENTES</v>
      </c>
      <c r="B354" s="335" t="s">
        <v>258</v>
      </c>
      <c r="C354" s="417">
        <f>C349</f>
        <v>2012</v>
      </c>
      <c r="D354" s="417">
        <f>D349</f>
        <v>2013</v>
      </c>
      <c r="E354" s="417">
        <f>E349</f>
        <v>2014</v>
      </c>
      <c r="F354" s="417">
        <f>F349</f>
        <v>2015</v>
      </c>
      <c r="G354" s="417">
        <f>G349</f>
        <v>2016</v>
      </c>
    </row>
    <row r="355" spans="1:7" s="3" customFormat="1" ht="12.75" hidden="1" customHeight="1">
      <c r="A355" s="16" t="s">
        <v>259</v>
      </c>
      <c r="B355" s="336">
        <f>B234</f>
        <v>0</v>
      </c>
      <c r="C355" s="336">
        <f>B355+B255</f>
        <v>0</v>
      </c>
      <c r="D355" s="336">
        <f>C355+B275</f>
        <v>0</v>
      </c>
      <c r="E355" s="337">
        <f>D355+B295</f>
        <v>0</v>
      </c>
      <c r="F355" s="336">
        <f>E355+B316</f>
        <v>0</v>
      </c>
      <c r="G355" s="336">
        <f>F355+S192</f>
        <v>0</v>
      </c>
    </row>
    <row r="356" spans="1:7" s="3" customFormat="1" ht="12.75" hidden="1" customHeight="1">
      <c r="A356" s="16" t="s">
        <v>344</v>
      </c>
      <c r="B356" s="3">
        <v>0</v>
      </c>
      <c r="C356" s="336">
        <f>D234*-1</f>
        <v>0</v>
      </c>
      <c r="D356" s="336">
        <f>-1*E234+D255</f>
        <v>0</v>
      </c>
      <c r="E356" s="3">
        <f>-1*F234+E255+D275</f>
        <v>0</v>
      </c>
      <c r="F356" s="3">
        <f>-1*G234+F255+E275+D295</f>
        <v>0</v>
      </c>
      <c r="G356" s="3">
        <f>-1*H234+G255+F275+E295+D316</f>
        <v>0</v>
      </c>
    </row>
    <row r="357" spans="1:7" s="3" customFormat="1" ht="12.75" hidden="1" customHeight="1">
      <c r="A357" s="16" t="s">
        <v>345</v>
      </c>
      <c r="B357" s="3">
        <f>0</f>
        <v>0</v>
      </c>
      <c r="C357" s="336">
        <f>C356*-1</f>
        <v>0</v>
      </c>
      <c r="D357" s="336">
        <f>D356*-1</f>
        <v>0</v>
      </c>
      <c r="E357" s="336">
        <f>E356*-1</f>
        <v>0</v>
      </c>
      <c r="F357" s="336">
        <f>F356*-1</f>
        <v>0</v>
      </c>
      <c r="G357" s="336">
        <f>G356*-1</f>
        <v>0</v>
      </c>
    </row>
    <row r="358" spans="1:7" s="3" customFormat="1" ht="12.75" hidden="1" customHeight="1"/>
    <row r="359" spans="1:7" s="3" customFormat="1" ht="12.75" hidden="1" customHeight="1"/>
    <row r="360" spans="1:7" s="3" customFormat="1" ht="12.75" hidden="1" customHeight="1">
      <c r="A360" s="260" t="str">
        <f>A193</f>
        <v>CULTIVOS PERMANENTES</v>
      </c>
      <c r="B360" s="335" t="s">
        <v>258</v>
      </c>
      <c r="C360" s="417">
        <f>C354</f>
        <v>2012</v>
      </c>
      <c r="D360" s="417">
        <f>D354</f>
        <v>2013</v>
      </c>
      <c r="E360" s="417">
        <f>E354</f>
        <v>2014</v>
      </c>
      <c r="F360" s="417">
        <f>F354</f>
        <v>2015</v>
      </c>
      <c r="G360" s="417">
        <f>G354</f>
        <v>2016</v>
      </c>
    </row>
    <row r="361" spans="1:7" s="3" customFormat="1" ht="12.75" hidden="1" customHeight="1">
      <c r="A361" s="16" t="s">
        <v>259</v>
      </c>
      <c r="B361" s="336">
        <f>B235</f>
        <v>0</v>
      </c>
      <c r="C361" s="336">
        <f>B361+B256</f>
        <v>0</v>
      </c>
      <c r="D361" s="336">
        <f>C361+B276</f>
        <v>0</v>
      </c>
      <c r="E361" s="337">
        <f>D361+B296</f>
        <v>0</v>
      </c>
      <c r="F361" s="336">
        <f>E361+B317</f>
        <v>0</v>
      </c>
      <c r="G361" s="336">
        <f>F361+S209</f>
        <v>0</v>
      </c>
    </row>
    <row r="362" spans="1:7" s="3" customFormat="1" ht="12.75" hidden="1" customHeight="1">
      <c r="A362" s="16" t="s">
        <v>344</v>
      </c>
      <c r="B362" s="3">
        <v>0</v>
      </c>
      <c r="C362" s="336">
        <f>-1*D236</f>
        <v>0</v>
      </c>
      <c r="D362" s="336">
        <f>-1*E236+D257</f>
        <v>0</v>
      </c>
      <c r="E362" s="3">
        <f>-1*F236+E257+D277</f>
        <v>0</v>
      </c>
      <c r="F362" s="3">
        <f>-1*G236+F257+E277+D297</f>
        <v>0</v>
      </c>
      <c r="G362" s="336">
        <f>-1*H236+G257+F277+E297+D318</f>
        <v>0</v>
      </c>
    </row>
    <row r="363" spans="1:7" s="3" customFormat="1" ht="12.75" hidden="1" customHeight="1">
      <c r="A363" s="16" t="s">
        <v>345</v>
      </c>
      <c r="B363" s="3">
        <f>0</f>
        <v>0</v>
      </c>
      <c r="C363" s="336">
        <f>D235</f>
        <v>0</v>
      </c>
      <c r="D363" s="336">
        <f>E235+D256</f>
        <v>0</v>
      </c>
      <c r="E363" s="336">
        <f>F235+E256+D276</f>
        <v>0</v>
      </c>
      <c r="F363" s="336">
        <f>G235+F256+E276+D296</f>
        <v>0</v>
      </c>
      <c r="G363" s="336">
        <f>H235+G256+F276+E296+D317</f>
        <v>0</v>
      </c>
    </row>
    <row r="364" spans="1:7" s="3" customFormat="1" ht="12.75" hidden="1" customHeight="1"/>
    <row r="365" spans="1:7" s="3" customFormat="1" ht="12.75" hidden="1" customHeight="1"/>
    <row r="366" spans="1:7" s="3" customFormat="1" ht="12.75" hidden="1" customHeight="1">
      <c r="A366" s="260" t="str">
        <f>A211</f>
        <v>GASTOS PUESTA EN MARCHA (GASTOS PAGADOS  POR ANTICIPADO) - RENOVACIÓN ANUAL</v>
      </c>
      <c r="B366" s="335" t="s">
        <v>258</v>
      </c>
      <c r="C366" s="417">
        <f>C360</f>
        <v>2012</v>
      </c>
      <c r="D366" s="417">
        <f>D360</f>
        <v>2013</v>
      </c>
      <c r="E366" s="417">
        <f>E360</f>
        <v>2014</v>
      </c>
      <c r="F366" s="417">
        <f>F360</f>
        <v>2015</v>
      </c>
      <c r="G366" s="417">
        <f>G360</f>
        <v>2016</v>
      </c>
    </row>
    <row r="367" spans="1:7" s="3" customFormat="1" ht="12.75" hidden="1" customHeight="1">
      <c r="A367" s="16" t="s">
        <v>259</v>
      </c>
      <c r="B367" s="336">
        <f>D211</f>
        <v>18200000</v>
      </c>
      <c r="C367" s="336">
        <f>B367+B258</f>
        <v>18200000</v>
      </c>
      <c r="D367" s="336">
        <f>C367+B278</f>
        <v>18200000</v>
      </c>
      <c r="E367" s="337">
        <f>D367+B298</f>
        <v>18200000</v>
      </c>
      <c r="F367" s="336">
        <f>E367+B319</f>
        <v>18200000</v>
      </c>
      <c r="G367" s="336">
        <f>F367+S211</f>
        <v>18200000</v>
      </c>
    </row>
    <row r="368" spans="1:7" s="3" customFormat="1" ht="12.75" hidden="1" customHeight="1">
      <c r="A368" s="16" t="s">
        <v>345</v>
      </c>
      <c r="B368" s="3">
        <v>0</v>
      </c>
      <c r="C368" s="336">
        <f>D237</f>
        <v>3640000</v>
      </c>
      <c r="D368" s="336">
        <f>E237+D258</f>
        <v>3640000</v>
      </c>
      <c r="E368" s="336">
        <f>F237+E258+D278</f>
        <v>3640000</v>
      </c>
      <c r="F368" s="336">
        <f>G237+F258+E278+D298</f>
        <v>3640000</v>
      </c>
      <c r="G368" s="336">
        <f>H237+G258+F278+E298+D319</f>
        <v>3640000</v>
      </c>
    </row>
    <row r="369" spans="1:7" s="3" customFormat="1" ht="12.75" hidden="1" customHeight="1">
      <c r="A369" s="16" t="s">
        <v>344</v>
      </c>
      <c r="B369" s="3">
        <v>0</v>
      </c>
      <c r="C369" s="3">
        <f>D238*-1</f>
        <v>-3640000</v>
      </c>
      <c r="D369" s="3">
        <f>-1*E238+D259</f>
        <v>-7280000</v>
      </c>
      <c r="E369" s="3">
        <f>-1*F238+E259+D279</f>
        <v>-10920000</v>
      </c>
      <c r="F369" s="3">
        <f>-1*G238+F259+E279+D299</f>
        <v>-14560000</v>
      </c>
      <c r="G369" s="336">
        <f>-1*H238+G259+F279+E299+D320</f>
        <v>-18200000</v>
      </c>
    </row>
    <row r="370" spans="1:7" s="3" customFormat="1" ht="12.75" hidden="1" customHeight="1"/>
    <row r="371" spans="1:7" s="3" customFormat="1" ht="12.75" hidden="1" customHeight="1">
      <c r="A371" s="218" t="str">
        <f>A213</f>
        <v>ACTIVOS DIFERIDOS</v>
      </c>
      <c r="B371" s="335" t="str">
        <f t="shared" ref="B371:G371" si="50">B366</f>
        <v>AÑO O</v>
      </c>
      <c r="C371" s="417">
        <f t="shared" si="50"/>
        <v>2012</v>
      </c>
      <c r="D371" s="417">
        <f t="shared" si="50"/>
        <v>2013</v>
      </c>
      <c r="E371" s="417">
        <f t="shared" si="50"/>
        <v>2014</v>
      </c>
      <c r="F371" s="417">
        <f t="shared" si="50"/>
        <v>2015</v>
      </c>
      <c r="G371" s="417">
        <f t="shared" si="50"/>
        <v>2016</v>
      </c>
    </row>
    <row r="372" spans="1:7" s="3" customFormat="1" ht="12.75" hidden="1" customHeight="1">
      <c r="A372" s="16" t="s">
        <v>259</v>
      </c>
      <c r="B372" s="336">
        <f>D217</f>
        <v>0</v>
      </c>
      <c r="C372" s="336">
        <f>B372+G217</f>
        <v>0</v>
      </c>
      <c r="D372" s="336">
        <f>C372+J217</f>
        <v>0</v>
      </c>
      <c r="E372" s="336">
        <f>D372+M217</f>
        <v>0</v>
      </c>
      <c r="F372" s="336">
        <f>E372+P217</f>
        <v>0</v>
      </c>
      <c r="G372" s="336">
        <f>F372+S217</f>
        <v>0</v>
      </c>
    </row>
    <row r="373" spans="1:7" s="3" customFormat="1" ht="12.75" hidden="1" customHeight="1">
      <c r="A373" s="16" t="s">
        <v>345</v>
      </c>
      <c r="B373" s="3">
        <v>0</v>
      </c>
      <c r="C373" s="336">
        <f>D239</f>
        <v>0</v>
      </c>
      <c r="D373" s="336">
        <f>E239+D260</f>
        <v>0</v>
      </c>
      <c r="E373" s="336">
        <f>F239+E260+D280</f>
        <v>0</v>
      </c>
      <c r="F373" s="336">
        <f>G239+F260+D300+D321</f>
        <v>0</v>
      </c>
      <c r="G373" s="336">
        <f>H239+G260+F280+E300+D321</f>
        <v>0</v>
      </c>
    </row>
    <row r="374" spans="1:7" s="3" customFormat="1" ht="12.75" hidden="1" customHeight="1">
      <c r="A374" s="16" t="s">
        <v>408</v>
      </c>
      <c r="B374" s="3">
        <v>0</v>
      </c>
      <c r="C374" s="3">
        <f>D240*-1</f>
        <v>0</v>
      </c>
      <c r="D374" s="3">
        <f>-1*E240+D261</f>
        <v>0</v>
      </c>
      <c r="E374" s="3">
        <f>-1*F240+E261+D281</f>
        <v>0</v>
      </c>
      <c r="F374" s="3">
        <f>-1*G240+F261+E281+D301</f>
        <v>0</v>
      </c>
      <c r="G374" s="3">
        <f>-1*H240+G261+F281+E301+D322</f>
        <v>0</v>
      </c>
    </row>
    <row r="375" spans="1:7" s="3" customFormat="1" ht="12.75" hidden="1" customHeight="1"/>
    <row r="376" spans="1:7" s="3" customFormat="1" ht="12.75" hidden="1" customHeight="1"/>
    <row r="377" spans="1:7" s="3" customFormat="1" ht="12.75" hidden="1" customHeight="1">
      <c r="C377" s="218">
        <f>C366</f>
        <v>2012</v>
      </c>
      <c r="D377" s="218">
        <f>D366</f>
        <v>2013</v>
      </c>
      <c r="E377" s="218">
        <f>E366</f>
        <v>2014</v>
      </c>
      <c r="F377" s="218">
        <f>F366</f>
        <v>2015</v>
      </c>
      <c r="G377" s="218">
        <f>G366</f>
        <v>2016</v>
      </c>
    </row>
    <row r="378" spans="1:7" s="3" customFormat="1" ht="12.75" hidden="1" customHeight="1">
      <c r="B378" s="16" t="s">
        <v>346</v>
      </c>
      <c r="C378" s="336">
        <f>C329+C335+C341+C347+C352</f>
        <v>1848333</v>
      </c>
      <c r="D378" s="336">
        <f>D329+D335+D341+D347+D352</f>
        <v>2043333</v>
      </c>
      <c r="E378" s="336">
        <f>E329+E335+E341+E347+E352</f>
        <v>2223333</v>
      </c>
      <c r="F378" s="336">
        <f>F329+F335+F341+F347+F352</f>
        <v>1090000</v>
      </c>
      <c r="G378" s="336">
        <f>G329+G335+G341+G347+G352</f>
        <v>1090000</v>
      </c>
    </row>
    <row r="379" spans="1:7" s="3" customFormat="1" ht="12.75" hidden="1" customHeight="1">
      <c r="B379" s="16" t="s">
        <v>347</v>
      </c>
      <c r="C379" s="336">
        <f>C357+C363+C368+C373</f>
        <v>3640000</v>
      </c>
      <c r="D379" s="336">
        <f>D357+D363+D368+D373</f>
        <v>3640000</v>
      </c>
      <c r="E379" s="336">
        <f>E357+E363+E368+E373</f>
        <v>3640000</v>
      </c>
      <c r="F379" s="336">
        <f>F357+F363+F368+F373</f>
        <v>3640000</v>
      </c>
      <c r="G379" s="336">
        <f>G357+G363+G368+G373</f>
        <v>3640000</v>
      </c>
    </row>
    <row r="380" spans="1:7" s="3" customFormat="1" ht="12.75" hidden="1" customHeight="1"/>
    <row r="381" spans="1:7" s="3" customFormat="1" ht="12.75" hidden="1" customHeight="1"/>
    <row r="382" spans="1:7" s="3" customFormat="1" ht="12.75" hidden="1" customHeight="1">
      <c r="A382" s="260" t="str">
        <f>A43</f>
        <v>TERRENOS</v>
      </c>
      <c r="B382" s="335" t="s">
        <v>258</v>
      </c>
      <c r="C382" s="417">
        <f>C366</f>
        <v>2012</v>
      </c>
      <c r="D382" s="417">
        <f>D366</f>
        <v>2013</v>
      </c>
      <c r="E382" s="417">
        <f>E366</f>
        <v>2014</v>
      </c>
      <c r="F382" s="417">
        <f>F366</f>
        <v>2015</v>
      </c>
      <c r="G382" s="417">
        <f>G366</f>
        <v>2016</v>
      </c>
    </row>
    <row r="383" spans="1:7" s="3" customFormat="1" ht="12.75" hidden="1" customHeight="1">
      <c r="A383" s="16" t="s">
        <v>259</v>
      </c>
      <c r="B383" s="336">
        <f>B43</f>
        <v>0</v>
      </c>
      <c r="C383" s="336">
        <f>B383+C43</f>
        <v>0</v>
      </c>
      <c r="D383" s="336">
        <f>C383+D43</f>
        <v>0</v>
      </c>
      <c r="E383" s="336">
        <f>D383+E43</f>
        <v>0</v>
      </c>
      <c r="F383" s="336">
        <f>E383+F43</f>
        <v>0</v>
      </c>
      <c r="G383" s="336">
        <f>F383+G43</f>
        <v>0</v>
      </c>
    </row>
    <row r="384" spans="1:7" s="3" customFormat="1" ht="12.75" hidden="1" customHeight="1"/>
    <row r="385" s="3" customFormat="1" hidden="1"/>
    <row r="386" s="3" customFormat="1" hidden="1"/>
    <row r="387" s="3" customFormat="1" hidden="1"/>
    <row r="388" s="3" customFormat="1" hidden="1"/>
    <row r="389" s="3" customFormat="1" hidden="1"/>
    <row r="390" s="3" customFormat="1" hidden="1"/>
    <row r="391" s="3" customFormat="1" hidden="1"/>
    <row r="392" s="3" customFormat="1" hidden="1"/>
    <row r="393" s="3" customFormat="1" hidden="1"/>
    <row r="394" s="3" customFormat="1" hidden="1"/>
    <row r="395" s="3" customFormat="1" hidden="1"/>
    <row r="396" s="3" customFormat="1" hidden="1"/>
    <row r="397" s="3" customFormat="1" hidden="1"/>
    <row r="398" s="3" customFormat="1" hidden="1"/>
    <row r="399" s="3" customFormat="1" hidden="1"/>
    <row r="400" s="3" customFormat="1" hidden="1"/>
    <row r="401" s="3" customFormat="1" hidden="1"/>
    <row r="402" s="3" customFormat="1" hidden="1"/>
    <row r="403" s="3" customFormat="1" hidden="1"/>
    <row r="404" s="3" customFormat="1" hidden="1"/>
    <row r="405" s="3" customFormat="1" hidden="1"/>
    <row r="406" s="3" customFormat="1" hidden="1"/>
    <row r="407" s="3" customFormat="1" hidden="1"/>
    <row r="408" s="3" customFormat="1" hidden="1"/>
    <row r="409" s="3" customFormat="1" hidden="1"/>
    <row r="410" s="3" customFormat="1" hidden="1"/>
    <row r="411" s="3" customFormat="1" hidden="1"/>
    <row r="412" s="3" customFormat="1" hidden="1"/>
    <row r="413" s="3" customFormat="1" hidden="1"/>
    <row r="414" s="3" customFormat="1" hidden="1"/>
    <row r="415" s="3" customFormat="1" hidden="1"/>
    <row r="416" s="3" customFormat="1" hidden="1"/>
    <row r="417" s="3" customFormat="1" hidden="1"/>
    <row r="418" s="3" customFormat="1" hidden="1"/>
    <row r="419" s="3" customFormat="1" hidden="1"/>
    <row r="420" s="3" customFormat="1" hidden="1"/>
    <row r="421" s="3" customFormat="1" hidden="1"/>
    <row r="422" s="3" customFormat="1" hidden="1"/>
    <row r="423" s="3" customFormat="1" hidden="1"/>
    <row r="424" s="3" customFormat="1" hidden="1"/>
    <row r="425" s="3" customFormat="1" hidden="1"/>
    <row r="426" s="3" customFormat="1" hidden="1"/>
    <row r="427" s="3" customFormat="1" hidden="1"/>
    <row r="428" s="3" customFormat="1" hidden="1"/>
    <row r="429" s="3" customFormat="1" hidden="1"/>
    <row r="430" s="3" customFormat="1" hidden="1"/>
    <row r="431" s="3" customFormat="1" hidden="1"/>
    <row r="432" s="3" customFormat="1" hidden="1"/>
    <row r="433" s="3" customFormat="1" hidden="1"/>
    <row r="434" s="3" customFormat="1" hidden="1"/>
    <row r="435" s="3" customFormat="1" hidden="1"/>
    <row r="436" s="3" customFormat="1" hidden="1"/>
    <row r="437" s="3" customFormat="1" hidden="1"/>
    <row r="438" s="3" customFormat="1" hidden="1"/>
    <row r="439" s="3" customFormat="1" hidden="1"/>
    <row r="440" s="3" customFormat="1" hidden="1"/>
    <row r="441" s="3" customFormat="1" hidden="1"/>
    <row r="442" s="3" customFormat="1" hidden="1"/>
    <row r="443" s="3" customFormat="1" hidden="1"/>
    <row r="444" s="3" customFormat="1" hidden="1"/>
    <row r="445" s="3" customFormat="1" hidden="1"/>
    <row r="446" s="3" customFormat="1" hidden="1"/>
    <row r="447" s="3" customFormat="1" hidden="1"/>
    <row r="448" s="3" customFormat="1" hidden="1"/>
    <row r="449" s="3" customFormat="1" hidden="1"/>
    <row r="450" s="3" customFormat="1" hidden="1"/>
    <row r="451" s="3" customFormat="1" hidden="1"/>
    <row r="452" s="3" customFormat="1" hidden="1"/>
    <row r="453" s="3" customFormat="1" hidden="1"/>
    <row r="454" s="3" customFormat="1" hidden="1"/>
    <row r="455" s="3" customFormat="1" hidden="1"/>
    <row r="456" s="3" customFormat="1" hidden="1"/>
    <row r="457" s="3" customFormat="1" hidden="1"/>
    <row r="458" s="3" customFormat="1" hidden="1"/>
    <row r="459" s="3" customFormat="1" hidden="1"/>
    <row r="460" s="3" customFormat="1" hidden="1"/>
    <row r="461" s="3" customFormat="1" hidden="1"/>
    <row r="462" s="3" customFormat="1" hidden="1"/>
    <row r="463" s="3" customFormat="1" hidden="1"/>
    <row r="464" s="3" customFormat="1" hidden="1"/>
    <row r="465" s="3" customFormat="1" hidden="1"/>
    <row r="466" s="3" customFormat="1" hidden="1"/>
    <row r="467" s="3" customFormat="1" hidden="1"/>
    <row r="468" s="3" customFormat="1" hidden="1"/>
    <row r="469" s="3" customFormat="1" hidden="1"/>
    <row r="470" s="3" customFormat="1" hidden="1"/>
    <row r="471" s="3" customFormat="1" hidden="1"/>
    <row r="472" s="3" customFormat="1" hidden="1"/>
    <row r="473" s="3" customFormat="1" hidden="1"/>
    <row r="474" s="3" customFormat="1" hidden="1"/>
    <row r="475" s="3" customFormat="1" hidden="1"/>
    <row r="476" s="3" customFormat="1" hidden="1"/>
    <row r="477" s="3" customFormat="1" hidden="1"/>
    <row r="478" s="3" customFormat="1" hidden="1"/>
    <row r="479" s="3" customFormat="1" hidden="1"/>
    <row r="480" s="3" customFormat="1" hidden="1"/>
    <row r="481" s="3" customFormat="1" hidden="1"/>
    <row r="482" s="3" customFormat="1" hidden="1"/>
    <row r="483" s="3" customFormat="1" hidden="1"/>
    <row r="484" s="3" customFormat="1" hidden="1"/>
    <row r="485" s="3" customFormat="1" hidden="1"/>
    <row r="486" s="3" customFormat="1" hidden="1"/>
    <row r="487" s="3" customFormat="1" hidden="1"/>
    <row r="488" s="3" customFormat="1" hidden="1"/>
    <row r="489" s="3" customFormat="1" hidden="1"/>
    <row r="490" s="3" customFormat="1" hidden="1"/>
    <row r="491" s="3" customFormat="1" hidden="1"/>
    <row r="492" s="3" customFormat="1" hidden="1"/>
    <row r="493" s="3" customFormat="1" hidden="1"/>
    <row r="494" s="3" customFormat="1" hidden="1"/>
    <row r="495" s="3" customFormat="1" hidden="1"/>
    <row r="496" s="3" customFormat="1" hidden="1"/>
    <row r="497" s="3" customFormat="1" hidden="1"/>
    <row r="498" s="3" customFormat="1" hidden="1"/>
    <row r="499" s="3" customFormat="1" hidden="1"/>
    <row r="500" s="3" customFormat="1" hidden="1"/>
    <row r="501" s="3" customFormat="1" hidden="1"/>
    <row r="502" s="3" customFormat="1" hidden="1"/>
    <row r="503" s="3" customFormat="1" hidden="1"/>
    <row r="504" s="3" customFormat="1" hidden="1"/>
    <row r="505" s="3" customFormat="1" hidden="1"/>
    <row r="506" s="3" customFormat="1" hidden="1"/>
    <row r="507" s="3" customFormat="1" hidden="1"/>
    <row r="508" s="3" customFormat="1" hidden="1"/>
    <row r="509" s="3" customFormat="1" hidden="1"/>
    <row r="510" s="3" customFormat="1" hidden="1"/>
    <row r="511" s="3" customFormat="1" hidden="1"/>
    <row r="512" s="3" customFormat="1" hidden="1"/>
    <row r="513" s="3" customFormat="1" hidden="1"/>
    <row r="514" s="3" customFormat="1" hidden="1"/>
    <row r="515" s="3" customFormat="1" hidden="1"/>
    <row r="516" s="3" customFormat="1" hidden="1"/>
    <row r="517" s="3" customFormat="1" hidden="1"/>
    <row r="518" s="3" customFormat="1" hidden="1"/>
    <row r="519" s="3" customFormat="1" hidden="1"/>
    <row r="520" s="3" customFormat="1" hidden="1"/>
    <row r="521" s="3" customFormat="1" hidden="1"/>
    <row r="522" s="3" customFormat="1" hidden="1"/>
    <row r="523" s="3" customFormat="1" hidden="1"/>
    <row r="524" s="3" customFormat="1" hidden="1"/>
    <row r="525" s="3" customFormat="1" hidden="1"/>
    <row r="526" s="3" customFormat="1" hidden="1"/>
    <row r="527" s="3" customFormat="1" hidden="1"/>
    <row r="528" s="3" customFormat="1" hidden="1"/>
    <row r="529" s="3" customFormat="1" hidden="1"/>
    <row r="530" s="3" customFormat="1" hidden="1"/>
    <row r="531" s="3" customFormat="1" hidden="1"/>
    <row r="532" s="3" customFormat="1" hidden="1"/>
    <row r="533" s="3" customFormat="1" hidden="1"/>
    <row r="534" s="3" customFormat="1" hidden="1"/>
    <row r="535" s="3" customFormat="1" hidden="1"/>
    <row r="536" s="3" customFormat="1" hidden="1"/>
    <row r="537" s="3" customFormat="1" hidden="1"/>
    <row r="538" s="3" customFormat="1" hidden="1"/>
    <row r="539" s="3" customFormat="1" hidden="1"/>
    <row r="540" s="3" customFormat="1" hidden="1"/>
    <row r="541" s="3" customFormat="1" hidden="1"/>
    <row r="542" s="3" customFormat="1" hidden="1"/>
    <row r="543" s="3" customFormat="1" hidden="1"/>
    <row r="544" s="3" customFormat="1" hidden="1"/>
    <row r="545" s="3" customFormat="1" hidden="1"/>
    <row r="546" s="3" customFormat="1"/>
    <row r="547" s="3" customFormat="1"/>
    <row r="548" s="3" customFormat="1"/>
    <row r="549" s="3" customFormat="1"/>
    <row r="550" s="3" customFormat="1"/>
    <row r="551" s="3" customFormat="1"/>
    <row r="552" s="3" customFormat="1"/>
    <row r="553" s="3" customFormat="1"/>
    <row r="554" s="3" customFormat="1"/>
    <row r="555" s="3" customFormat="1"/>
    <row r="556" s="3" customFormat="1"/>
    <row r="557" s="3" customFormat="1"/>
    <row r="558" s="3" customFormat="1"/>
    <row r="559" s="3" customFormat="1"/>
    <row r="560" s="3" customFormat="1"/>
    <row r="561" s="3" customFormat="1"/>
    <row r="562" s="3" customFormat="1"/>
    <row r="563" s="3" customFormat="1"/>
    <row r="564" s="3" customFormat="1"/>
    <row r="565" s="3" customFormat="1"/>
    <row r="566" s="3" customFormat="1"/>
    <row r="567" s="3" customFormat="1"/>
    <row r="568" s="3" customFormat="1"/>
    <row r="569" s="3" customFormat="1"/>
    <row r="570" s="3" customFormat="1"/>
    <row r="571" s="3" customFormat="1"/>
    <row r="572" s="3" customFormat="1"/>
    <row r="573" s="3" customFormat="1"/>
    <row r="574" s="3" customFormat="1"/>
    <row r="575" s="3" customFormat="1"/>
    <row r="576" s="3" customFormat="1"/>
    <row r="577" s="3" customFormat="1"/>
    <row r="578" s="3" customFormat="1"/>
    <row r="579" s="3" customFormat="1"/>
    <row r="580" s="3" customFormat="1"/>
    <row r="581" s="3" customFormat="1"/>
    <row r="582" s="3" customFormat="1"/>
    <row r="583" s="3" customFormat="1"/>
    <row r="584" s="3" customFormat="1"/>
    <row r="585" s="3" customFormat="1"/>
    <row r="586" s="3" customFormat="1"/>
    <row r="587" s="3" customFormat="1"/>
    <row r="588" s="3" customFormat="1"/>
    <row r="589" s="3" customFormat="1"/>
    <row r="590" s="3" customFormat="1"/>
    <row r="591" s="3" customFormat="1"/>
    <row r="592" s="3" customFormat="1"/>
    <row r="593" s="3" customFormat="1"/>
    <row r="594" s="3" customFormat="1"/>
    <row r="595" s="3" customFormat="1"/>
    <row r="596" s="3" customFormat="1"/>
    <row r="597" s="3" customFormat="1"/>
    <row r="598" s="3" customFormat="1"/>
    <row r="599" s="3" customFormat="1"/>
    <row r="600" s="3" customFormat="1"/>
    <row r="601" s="3" customFormat="1"/>
    <row r="602" s="3" customFormat="1"/>
    <row r="603" s="3" customFormat="1"/>
    <row r="604" s="3" customFormat="1"/>
    <row r="605" s="3" customFormat="1"/>
    <row r="606" s="3" customFormat="1"/>
    <row r="607" s="3" customFormat="1"/>
    <row r="608" s="3" customFormat="1"/>
    <row r="609" s="3" customFormat="1"/>
    <row r="610" s="3" customFormat="1"/>
    <row r="611" s="3" customFormat="1"/>
    <row r="612" s="3" customFormat="1"/>
    <row r="613" s="3" customFormat="1"/>
    <row r="614" s="3" customFormat="1"/>
    <row r="615" s="3" customFormat="1"/>
    <row r="616" s="3" customFormat="1"/>
    <row r="617" s="3" customFormat="1"/>
    <row r="618" s="3" customFormat="1"/>
    <row r="619" s="3" customFormat="1"/>
    <row r="620" s="3" customFormat="1"/>
    <row r="621" s="3" customFormat="1"/>
    <row r="622" s="3" customFormat="1"/>
    <row r="623" s="3" customFormat="1"/>
    <row r="624" s="3" customFormat="1"/>
    <row r="625" s="3" customFormat="1"/>
    <row r="626" s="3" customFormat="1"/>
    <row r="627" s="3" customFormat="1"/>
    <row r="628" s="3" customFormat="1"/>
    <row r="629" s="3" customFormat="1"/>
    <row r="630" s="3" customFormat="1"/>
    <row r="631" s="3" customFormat="1"/>
    <row r="632" s="3" customFormat="1"/>
    <row r="633" s="3" customFormat="1"/>
    <row r="634" s="3" customFormat="1"/>
    <row r="635" s="3" customFormat="1"/>
    <row r="636" s="3" customFormat="1"/>
    <row r="637" s="3" customFormat="1"/>
    <row r="638" s="3" customFormat="1"/>
    <row r="639" s="3" customFormat="1"/>
    <row r="640" s="3" customFormat="1"/>
    <row r="641" s="3" customFormat="1"/>
    <row r="642" s="3" customFormat="1"/>
    <row r="643" s="3" customFormat="1"/>
    <row r="644" s="3" customFormat="1"/>
    <row r="645" s="3" customFormat="1"/>
    <row r="646" s="3" customFormat="1"/>
    <row r="647" s="3" customFormat="1"/>
    <row r="648" s="3" customFormat="1"/>
    <row r="649" s="3" customFormat="1"/>
    <row r="650" s="3" customFormat="1"/>
    <row r="651" s="3" customFormat="1"/>
    <row r="652" s="3" customFormat="1"/>
    <row r="653" s="3" customFormat="1"/>
    <row r="654" s="3" customFormat="1"/>
    <row r="655" s="3" customFormat="1"/>
    <row r="656" s="3" customFormat="1"/>
    <row r="657" s="3" customFormat="1"/>
    <row r="658" s="3" customFormat="1"/>
    <row r="659" s="3" customFormat="1"/>
    <row r="660" s="3" customFormat="1"/>
    <row r="661" s="3" customFormat="1"/>
    <row r="662" s="3" customFormat="1"/>
    <row r="663" s="3" customFormat="1"/>
    <row r="664" s="3" customFormat="1"/>
    <row r="665" s="3" customFormat="1"/>
    <row r="666" s="3" customFormat="1"/>
    <row r="667" s="3" customFormat="1"/>
    <row r="668" s="3" customFormat="1"/>
    <row r="669" s="3" customFormat="1"/>
    <row r="670" s="3" customFormat="1"/>
    <row r="671" s="3" customFormat="1"/>
    <row r="672" s="3" customFormat="1"/>
    <row r="673" s="3" customFormat="1"/>
    <row r="674" s="3" customFormat="1"/>
    <row r="675" s="3" customFormat="1"/>
    <row r="676" s="3" customFormat="1"/>
    <row r="677" s="3" customFormat="1"/>
    <row r="678" s="3" customFormat="1"/>
    <row r="679" s="3" customFormat="1"/>
    <row r="680" s="3" customFormat="1"/>
    <row r="681" s="3" customFormat="1"/>
    <row r="682" s="3" customFormat="1"/>
    <row r="683" s="3" customFormat="1"/>
    <row r="684" s="3" customFormat="1"/>
    <row r="685" s="3" customFormat="1"/>
    <row r="686" s="3" customFormat="1"/>
    <row r="687" s="3" customFormat="1"/>
    <row r="688" s="3" customFormat="1"/>
    <row r="689" s="3" customFormat="1"/>
    <row r="690" s="3" customFormat="1"/>
    <row r="691" s="3" customFormat="1"/>
    <row r="692" s="3" customFormat="1"/>
    <row r="693" s="3" customFormat="1"/>
    <row r="694" s="3" customFormat="1"/>
    <row r="695" s="3" customFormat="1"/>
    <row r="696" s="3" customFormat="1"/>
    <row r="697" s="3" customFormat="1"/>
    <row r="698" s="3" customFormat="1"/>
    <row r="699" s="3" customFormat="1"/>
    <row r="700" s="3" customFormat="1"/>
    <row r="701" s="3" customFormat="1"/>
    <row r="702" s="3" customFormat="1"/>
    <row r="703" s="3" customFormat="1"/>
    <row r="704" s="3" customFormat="1"/>
    <row r="705" s="3" customFormat="1"/>
    <row r="706" s="3" customFormat="1"/>
    <row r="707" s="3" customFormat="1"/>
    <row r="708" s="3" customFormat="1"/>
    <row r="709" s="3" customFormat="1"/>
    <row r="710" s="3" customFormat="1"/>
    <row r="711" s="3" customFormat="1"/>
    <row r="712" s="3" customFormat="1"/>
    <row r="713" s="3" customFormat="1"/>
    <row r="714" s="3" customFormat="1"/>
    <row r="715" s="3" customFormat="1"/>
    <row r="716" s="3" customFormat="1"/>
    <row r="717" s="3" customFormat="1"/>
    <row r="718" s="3" customFormat="1"/>
    <row r="719" s="3" customFormat="1"/>
    <row r="720" s="3" customFormat="1"/>
    <row r="721" s="3" customFormat="1"/>
    <row r="722" s="3" customFormat="1"/>
    <row r="723" s="3" customFormat="1"/>
    <row r="724" s="3" customFormat="1"/>
    <row r="725" s="3" customFormat="1"/>
    <row r="726" s="3" customFormat="1"/>
    <row r="727" s="3" customFormat="1"/>
    <row r="728" s="3" customFormat="1"/>
    <row r="729" s="3" customFormat="1"/>
    <row r="730" s="3" customFormat="1"/>
    <row r="731" s="3" customFormat="1"/>
    <row r="732" s="3" customFormat="1"/>
    <row r="733" s="3" customFormat="1"/>
    <row r="734" s="3" customFormat="1"/>
    <row r="735" s="3" customFormat="1"/>
    <row r="736" s="3" customFormat="1"/>
    <row r="737" s="3" customFormat="1"/>
    <row r="738" s="3" customFormat="1"/>
    <row r="739" s="3" customFormat="1"/>
    <row r="740" s="3" customFormat="1"/>
    <row r="741" s="3" customFormat="1"/>
    <row r="742" s="3" customFormat="1"/>
    <row r="743" s="3" customFormat="1"/>
    <row r="744" s="3" customFormat="1"/>
    <row r="745" s="3" customFormat="1"/>
    <row r="746" s="3" customFormat="1"/>
    <row r="747" s="3" customFormat="1"/>
    <row r="748" s="3" customFormat="1"/>
    <row r="749" s="3" customFormat="1"/>
    <row r="750" s="3" customFormat="1"/>
    <row r="751" s="3" customFormat="1"/>
    <row r="752" s="3" customFormat="1"/>
    <row r="753" s="3" customFormat="1"/>
    <row r="754" s="3" customFormat="1"/>
    <row r="755" s="3" customFormat="1"/>
    <row r="756" s="3" customFormat="1"/>
    <row r="757" s="3" customFormat="1"/>
    <row r="758" s="3" customFormat="1"/>
    <row r="759" s="3" customFormat="1"/>
    <row r="760" s="3" customFormat="1"/>
    <row r="761" s="3" customFormat="1"/>
    <row r="762" s="3" customFormat="1"/>
    <row r="763" s="3" customFormat="1"/>
    <row r="764" s="3" customFormat="1"/>
    <row r="765" s="3" customFormat="1"/>
    <row r="766" s="3" customFormat="1"/>
    <row r="767" s="3" customFormat="1"/>
    <row r="768" s="3" customFormat="1"/>
    <row r="769" s="3" customFormat="1"/>
    <row r="770" s="3" customFormat="1"/>
    <row r="771" s="3" customFormat="1"/>
    <row r="772" s="3" customFormat="1"/>
    <row r="773" s="3" customFormat="1"/>
    <row r="774" s="3" customFormat="1"/>
    <row r="775" s="3" customFormat="1"/>
    <row r="776" s="3" customFormat="1"/>
    <row r="777" s="3" customFormat="1"/>
    <row r="778" s="3" customFormat="1"/>
    <row r="779" s="3" customFormat="1"/>
    <row r="780" s="3" customFormat="1"/>
    <row r="781" s="3" customFormat="1"/>
    <row r="782" s="3" customFormat="1"/>
    <row r="783" s="3" customFormat="1"/>
    <row r="784" s="3" customFormat="1"/>
    <row r="785" s="3" customFormat="1"/>
    <row r="786" s="3" customFormat="1"/>
    <row r="787" s="3" customFormat="1"/>
    <row r="788" s="3" customFormat="1"/>
    <row r="789" s="3" customFormat="1"/>
    <row r="790" s="3" customFormat="1"/>
    <row r="791" s="3" customFormat="1"/>
    <row r="792" s="3" customFormat="1"/>
    <row r="793" s="3" customFormat="1"/>
    <row r="794" s="3" customFormat="1"/>
    <row r="795" s="3" customFormat="1"/>
    <row r="796" s="3" customFormat="1"/>
    <row r="797" s="3" customFormat="1"/>
    <row r="798" s="3" customFormat="1"/>
    <row r="799" s="3" customFormat="1"/>
    <row r="800" s="3" customFormat="1"/>
    <row r="801" s="3" customFormat="1"/>
    <row r="802" s="3" customFormat="1"/>
    <row r="803" s="3" customFormat="1"/>
    <row r="804" s="3" customFormat="1"/>
    <row r="805" s="3" customFormat="1"/>
    <row r="806" s="3" customFormat="1"/>
    <row r="807" s="3" customFormat="1"/>
    <row r="808" s="3" customFormat="1"/>
    <row r="809" s="3" customFormat="1"/>
    <row r="810" s="3" customFormat="1"/>
    <row r="811" s="3" customFormat="1"/>
    <row r="812" s="3" customFormat="1"/>
    <row r="813" s="3" customFormat="1"/>
    <row r="814" s="3" customFormat="1"/>
    <row r="815" s="3" customFormat="1"/>
    <row r="816" s="3" customFormat="1"/>
    <row r="817" s="3" customFormat="1"/>
    <row r="818" s="3" customFormat="1"/>
    <row r="819" s="3" customFormat="1"/>
    <row r="820" s="3" customFormat="1"/>
    <row r="821" s="3" customFormat="1"/>
    <row r="822" s="3" customFormat="1"/>
    <row r="823" s="3" customFormat="1"/>
    <row r="824" s="3" customFormat="1"/>
    <row r="825" s="3" customFormat="1"/>
    <row r="826" s="3" customFormat="1"/>
    <row r="827" s="3" customFormat="1"/>
    <row r="828" s="3" customFormat="1"/>
    <row r="829" s="3" customFormat="1"/>
    <row r="830" s="3" customFormat="1"/>
    <row r="831" s="3" customFormat="1"/>
    <row r="832" s="3" customFormat="1"/>
    <row r="833" s="3" customFormat="1"/>
    <row r="834" s="3" customFormat="1"/>
    <row r="835" s="3" customFormat="1"/>
    <row r="836" s="3" customFormat="1"/>
    <row r="837" s="3" customFormat="1"/>
    <row r="838" s="3" customFormat="1"/>
    <row r="839" s="3" customFormat="1"/>
    <row r="840" s="3" customFormat="1"/>
    <row r="841" s="3" customFormat="1"/>
    <row r="842" s="3" customFormat="1"/>
    <row r="843" s="3" customFormat="1"/>
    <row r="844" s="3" customFormat="1"/>
    <row r="845" s="3" customFormat="1"/>
    <row r="846" s="3" customFormat="1"/>
    <row r="847" s="3" customFormat="1"/>
    <row r="848" s="3" customFormat="1"/>
    <row r="849" s="3" customFormat="1"/>
    <row r="850" s="3" customFormat="1"/>
    <row r="851" s="3" customFormat="1"/>
    <row r="852" s="3" customFormat="1"/>
    <row r="853" s="3" customFormat="1"/>
    <row r="854" s="3" customFormat="1"/>
    <row r="855" s="3" customFormat="1"/>
    <row r="856" s="3" customFormat="1"/>
    <row r="857" s="3" customFormat="1"/>
    <row r="858" s="3" customFormat="1"/>
    <row r="859" s="3" customFormat="1"/>
    <row r="860" s="3" customFormat="1"/>
    <row r="861" s="3" customFormat="1"/>
    <row r="862" s="3" customFormat="1"/>
    <row r="863" s="3" customFormat="1"/>
    <row r="864" s="3" customFormat="1"/>
    <row r="865" s="3" customFormat="1"/>
    <row r="866" s="3" customFormat="1"/>
    <row r="867" s="3" customFormat="1"/>
    <row r="868" s="3" customFormat="1"/>
    <row r="869" s="3" customFormat="1"/>
    <row r="870" s="3" customFormat="1"/>
    <row r="871" s="3" customFormat="1"/>
    <row r="872" s="3" customFormat="1"/>
    <row r="873" s="3" customFormat="1"/>
    <row r="874" s="3" customFormat="1"/>
    <row r="875" s="3" customFormat="1"/>
    <row r="876" s="3" customFormat="1"/>
    <row r="877" s="3" customFormat="1"/>
    <row r="878" s="3" customFormat="1"/>
    <row r="879" s="3" customFormat="1"/>
    <row r="880" s="3" customFormat="1"/>
    <row r="881" s="3" customFormat="1"/>
    <row r="882" s="3" customFormat="1"/>
    <row r="883" s="3" customFormat="1"/>
    <row r="884" s="3" customFormat="1"/>
    <row r="885" s="3" customFormat="1"/>
    <row r="886" s="3" customFormat="1"/>
    <row r="887" s="3" customFormat="1"/>
    <row r="888" s="3" customFormat="1"/>
    <row r="889" s="3" customFormat="1"/>
    <row r="890" s="3" customFormat="1"/>
    <row r="891" s="3" customFormat="1"/>
    <row r="892" s="3" customFormat="1"/>
    <row r="893" s="3" customFormat="1"/>
    <row r="894" s="3" customFormat="1"/>
    <row r="895" s="3" customFormat="1"/>
    <row r="896" s="3" customFormat="1"/>
    <row r="897" s="3" customFormat="1"/>
    <row r="898" s="3" customFormat="1"/>
    <row r="899" s="3" customFormat="1"/>
    <row r="900" s="3" customFormat="1"/>
    <row r="901" s="3" customFormat="1"/>
    <row r="902" s="3" customFormat="1"/>
    <row r="903" s="3" customFormat="1"/>
    <row r="904" s="3" customFormat="1"/>
    <row r="905" s="3" customFormat="1"/>
    <row r="906" s="3" customFormat="1"/>
    <row r="907" s="3" customFormat="1"/>
    <row r="908" s="3" customFormat="1"/>
    <row r="909" s="3" customFormat="1"/>
    <row r="910" s="3" customFormat="1"/>
    <row r="911" s="3" customFormat="1"/>
    <row r="912" s="3" customFormat="1"/>
    <row r="913" s="3" customFormat="1"/>
    <row r="914" s="3" customFormat="1"/>
    <row r="915" s="3" customFormat="1"/>
    <row r="916" s="3" customFormat="1"/>
    <row r="917" s="3" customFormat="1"/>
    <row r="918" s="3" customFormat="1"/>
    <row r="919" s="3" customFormat="1"/>
    <row r="920" s="3" customFormat="1"/>
    <row r="921" s="3" customFormat="1"/>
    <row r="922" s="3" customFormat="1"/>
    <row r="923" s="3" customFormat="1"/>
    <row r="924" s="3" customFormat="1"/>
    <row r="925" s="3" customFormat="1"/>
    <row r="926" s="3" customFormat="1"/>
    <row r="927" s="3" customFormat="1"/>
    <row r="928" s="3" customFormat="1"/>
    <row r="929" s="3" customFormat="1"/>
    <row r="930" s="3" customFormat="1"/>
    <row r="931" s="3" customFormat="1"/>
    <row r="932" s="3" customFormat="1"/>
    <row r="933" s="3" customFormat="1"/>
    <row r="934" s="3" customFormat="1"/>
    <row r="935" s="3" customFormat="1"/>
    <row r="936" s="3" customFormat="1"/>
    <row r="937" s="3" customFormat="1"/>
    <row r="938" s="3" customFormat="1"/>
    <row r="939" s="3" customFormat="1"/>
    <row r="940" s="3" customFormat="1"/>
    <row r="941" s="3" customFormat="1"/>
    <row r="942" s="3" customFormat="1"/>
    <row r="943" s="3" customFormat="1"/>
    <row r="944" s="3" customFormat="1"/>
    <row r="945" s="3" customFormat="1"/>
    <row r="946" s="3" customFormat="1"/>
    <row r="947" s="3" customFormat="1"/>
    <row r="948" s="3" customFormat="1"/>
    <row r="949" s="3" customFormat="1"/>
    <row r="950" s="3" customFormat="1"/>
    <row r="951" s="3" customFormat="1"/>
    <row r="952" s="3" customFormat="1"/>
    <row r="953" s="3" customFormat="1"/>
    <row r="954" s="3" customFormat="1"/>
    <row r="955" s="3" customFormat="1"/>
    <row r="956" s="3" customFormat="1"/>
    <row r="957" s="3" customFormat="1"/>
    <row r="958" s="3" customFormat="1"/>
    <row r="959" s="3" customFormat="1"/>
    <row r="960" s="3" customFormat="1"/>
    <row r="961" s="3" customFormat="1"/>
    <row r="962" s="3" customFormat="1"/>
    <row r="963" s="3" customFormat="1"/>
    <row r="964" s="3" customFormat="1"/>
    <row r="965" s="3" customFormat="1"/>
    <row r="966" s="3" customFormat="1"/>
    <row r="967" s="3" customFormat="1"/>
    <row r="968" s="3" customFormat="1"/>
    <row r="969" s="3" customFormat="1"/>
    <row r="970" s="3" customFormat="1"/>
    <row r="971" s="3" customFormat="1"/>
    <row r="972" s="3" customFormat="1"/>
    <row r="973" s="3" customFormat="1"/>
    <row r="974" s="3" customFormat="1"/>
    <row r="975" s="3" customFormat="1"/>
    <row r="976" s="3" customFormat="1"/>
    <row r="977" s="3" customFormat="1"/>
    <row r="978" s="3" customFormat="1"/>
    <row r="979" s="3" customFormat="1"/>
    <row r="980" s="3" customFormat="1"/>
    <row r="981" s="3" customFormat="1"/>
    <row r="982" s="3" customFormat="1"/>
    <row r="983" s="3" customFormat="1"/>
    <row r="984" s="3" customFormat="1"/>
    <row r="985" s="3" customFormat="1"/>
    <row r="986" s="3" customFormat="1"/>
    <row r="987" s="3" customFormat="1"/>
    <row r="988" s="3" customFormat="1"/>
    <row r="989" s="3" customFormat="1"/>
    <row r="990" s="3" customFormat="1"/>
    <row r="991" s="3" customFormat="1"/>
    <row r="992" s="3" customFormat="1"/>
    <row r="993" s="3" customFormat="1"/>
    <row r="994" s="3" customFormat="1"/>
    <row r="995" s="3" customFormat="1"/>
    <row r="996" s="3" customFormat="1"/>
    <row r="997" s="3" customFormat="1"/>
    <row r="998" s="3" customFormat="1"/>
  </sheetData>
  <sheetCalcPr fullCalcOnLoad="1"/>
  <sheetProtection password="909C" sheet="1" formatColumns="0" formatRows="0" selectLockedCells="1"/>
  <mergeCells count="29">
    <mergeCell ref="T174:T175"/>
    <mergeCell ref="A173:E173"/>
    <mergeCell ref="A174:A175"/>
    <mergeCell ref="B174:D174"/>
    <mergeCell ref="E174:G174"/>
    <mergeCell ref="H174:J174"/>
    <mergeCell ref="K174:M174"/>
    <mergeCell ref="H46:J46"/>
    <mergeCell ref="K46:M46"/>
    <mergeCell ref="N46:P46"/>
    <mergeCell ref="Q46:S46"/>
    <mergeCell ref="N174:P174"/>
    <mergeCell ref="Q174:S174"/>
    <mergeCell ref="B2:G2"/>
    <mergeCell ref="B12:B13"/>
    <mergeCell ref="B8:B9"/>
    <mergeCell ref="B10:B11"/>
    <mergeCell ref="B4:B5"/>
    <mergeCell ref="B6:B7"/>
    <mergeCell ref="A218:B218"/>
    <mergeCell ref="B18:G18"/>
    <mergeCell ref="A23:A25"/>
    <mergeCell ref="A26:A28"/>
    <mergeCell ref="A20:A22"/>
    <mergeCell ref="A29:A31"/>
    <mergeCell ref="A32:A34"/>
    <mergeCell ref="E36:G40"/>
    <mergeCell ref="B46:D46"/>
    <mergeCell ref="E46:G46"/>
  </mergeCells>
  <phoneticPr fontId="0" type="noConversion"/>
  <conditionalFormatting sqref="C22:G22 C16:G16 C25:G25 C28:G28 C31:G31 C34:G34">
    <cfRule type="cellIs" dxfId="14" priority="6" stopIfTrue="1" operator="lessThan">
      <formula>0</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sheetPr codeName="Hoja10"/>
  <dimension ref="A6:O162"/>
  <sheetViews>
    <sheetView zoomScaleNormal="100" workbookViewId="0">
      <pane ySplit="5" topLeftCell="A6" activePane="bottomLeft" state="frozen"/>
      <selection pane="bottomLeft" activeCell="C18" sqref="C18"/>
    </sheetView>
  </sheetViews>
  <sheetFormatPr baseColWidth="10" defaultRowHeight="12.75"/>
  <cols>
    <col min="1" max="1" width="5.28515625" style="3" customWidth="1"/>
    <col min="2" max="2" width="30.85546875" style="3" customWidth="1"/>
    <col min="3" max="3" width="21.85546875" style="3" bestFit="1" customWidth="1"/>
    <col min="4" max="6" width="17.85546875" style="3" bestFit="1" customWidth="1"/>
    <col min="7" max="7" width="22" style="3" bestFit="1" customWidth="1"/>
    <col min="8" max="8" width="12.5703125" style="3" customWidth="1"/>
    <col min="9" max="9" width="16.140625" style="3" customWidth="1"/>
    <col min="10" max="10" width="14.140625" style="3" customWidth="1"/>
    <col min="11" max="11" width="12.5703125" style="3" customWidth="1"/>
    <col min="12" max="12" width="12.28515625" style="3" customWidth="1"/>
    <col min="13" max="13" width="11.7109375" style="3" customWidth="1"/>
    <col min="14" max="14" width="13.140625" style="3" customWidth="1"/>
    <col min="15" max="15" width="13.42578125" style="3" customWidth="1"/>
    <col min="16" max="16384" width="11.42578125" style="3"/>
  </cols>
  <sheetData>
    <row r="6" spans="1:15" ht="13.5" customHeight="1"/>
    <row r="7" spans="1:15">
      <c r="A7" s="218"/>
    </row>
    <row r="8" spans="1:15">
      <c r="A8" s="218"/>
    </row>
    <row r="9" spans="1:15">
      <c r="A9" s="218"/>
    </row>
    <row r="10" spans="1:15">
      <c r="A10" s="218"/>
    </row>
    <row r="11" spans="1:15">
      <c r="A11" s="218"/>
    </row>
    <row r="12" spans="1:15">
      <c r="A12" s="218"/>
    </row>
    <row r="13" spans="1:15">
      <c r="A13" s="218"/>
    </row>
    <row r="14" spans="1:15">
      <c r="A14" s="218" t="s">
        <v>147</v>
      </c>
    </row>
    <row r="15" spans="1:15" ht="22.5">
      <c r="A15" s="234" t="s">
        <v>148</v>
      </c>
      <c r="B15" s="219" t="s">
        <v>149</v>
      </c>
      <c r="C15" s="220" t="s">
        <v>150</v>
      </c>
      <c r="D15" s="220" t="s">
        <v>151</v>
      </c>
      <c r="E15" s="220" t="s">
        <v>152</v>
      </c>
      <c r="F15" s="220" t="s">
        <v>44</v>
      </c>
      <c r="G15" s="220" t="s">
        <v>153</v>
      </c>
      <c r="H15" s="220" t="s">
        <v>46</v>
      </c>
      <c r="I15" s="220" t="s">
        <v>47</v>
      </c>
      <c r="J15" s="220" t="s">
        <v>154</v>
      </c>
      <c r="K15" s="220" t="s">
        <v>60</v>
      </c>
      <c r="L15" s="220" t="s">
        <v>62</v>
      </c>
      <c r="M15" s="220" t="s">
        <v>64</v>
      </c>
      <c r="N15" s="221" t="s">
        <v>155</v>
      </c>
      <c r="O15" s="221" t="s">
        <v>156</v>
      </c>
    </row>
    <row r="16" spans="1:15">
      <c r="A16" s="235"/>
      <c r="B16" s="222"/>
      <c r="C16" s="222"/>
      <c r="D16" s="223"/>
      <c r="E16" s="222"/>
      <c r="F16" s="224">
        <f>'1'!B21</f>
        <v>8.3299999999999999E-2</v>
      </c>
      <c r="G16" s="225">
        <f>'1'!B24</f>
        <v>0.01</v>
      </c>
      <c r="H16" s="224">
        <f>'1'!B22</f>
        <v>8.3299999999999999E-2</v>
      </c>
      <c r="I16" s="224">
        <f>'1'!B23</f>
        <v>4.1700000000000001E-2</v>
      </c>
      <c r="J16" s="225">
        <f>'1'!B30</f>
        <v>0.09</v>
      </c>
      <c r="K16" s="224">
        <f>'1'!B32</f>
        <v>0.1013</v>
      </c>
      <c r="L16" s="226">
        <f>'1'!B33</f>
        <v>0.09</v>
      </c>
      <c r="M16" s="227">
        <f>'1'!B34</f>
        <v>0.01</v>
      </c>
      <c r="N16" s="228"/>
      <c r="O16" s="228"/>
    </row>
    <row r="17" spans="1:15">
      <c r="A17" s="236">
        <v>1</v>
      </c>
      <c r="B17" s="243" t="s">
        <v>464</v>
      </c>
      <c r="C17" s="244">
        <v>1200000</v>
      </c>
      <c r="D17" s="244"/>
      <c r="E17" s="229">
        <f t="shared" ref="E17:E26" si="0">C17+D17</f>
        <v>1200000</v>
      </c>
      <c r="F17" s="230">
        <f>C17*$F$16</f>
        <v>99960</v>
      </c>
      <c r="G17" s="230">
        <f>C17*$G$16</f>
        <v>12000</v>
      </c>
      <c r="H17" s="230">
        <f>C17*$H$16</f>
        <v>99960</v>
      </c>
      <c r="I17" s="230">
        <f>C17*$I$16</f>
        <v>50040</v>
      </c>
      <c r="J17" s="230">
        <f>C17*$J$16</f>
        <v>108000</v>
      </c>
      <c r="K17" s="230">
        <f>C17*$K$16</f>
        <v>121560</v>
      </c>
      <c r="L17" s="230">
        <f>C17*$L$16</f>
        <v>108000</v>
      </c>
      <c r="M17" s="231">
        <f>C17*$M$16</f>
        <v>12000</v>
      </c>
      <c r="N17" s="232">
        <f t="shared" ref="N17:N26" si="1">SUM(E17:M17)</f>
        <v>1811520</v>
      </c>
      <c r="O17" s="233">
        <f>N17*12</f>
        <v>21738240</v>
      </c>
    </row>
    <row r="18" spans="1:15">
      <c r="A18" s="236">
        <v>2</v>
      </c>
      <c r="B18" s="243" t="s">
        <v>465</v>
      </c>
      <c r="C18" s="244">
        <v>566700</v>
      </c>
      <c r="D18" s="244">
        <v>67800</v>
      </c>
      <c r="E18" s="229">
        <f t="shared" si="0"/>
        <v>634500</v>
      </c>
      <c r="F18" s="230">
        <f t="shared" ref="F18:F26" si="2">C18*$F$16</f>
        <v>47206.11</v>
      </c>
      <c r="G18" s="230">
        <f t="shared" ref="G18:G26" si="3">C18*$G$16</f>
        <v>5667</v>
      </c>
      <c r="H18" s="230">
        <f t="shared" ref="H18:H26" si="4">C18*$H$16</f>
        <v>47206.11</v>
      </c>
      <c r="I18" s="230">
        <f t="shared" ref="I18:I26" si="5">C18*$I$16</f>
        <v>23631.39</v>
      </c>
      <c r="J18" s="230">
        <f t="shared" ref="J18:J26" si="6">C18*$J$16</f>
        <v>51003</v>
      </c>
      <c r="K18" s="230">
        <f t="shared" ref="K18:K26" si="7">C18*$K$16</f>
        <v>57406.71</v>
      </c>
      <c r="L18" s="230">
        <f t="shared" ref="L18:L26" si="8">C18*$L$16</f>
        <v>51003</v>
      </c>
      <c r="M18" s="231">
        <f t="shared" ref="M18:M26" si="9">C18*$M$16</f>
        <v>5667</v>
      </c>
      <c r="N18" s="232">
        <f t="shared" si="1"/>
        <v>923290.32</v>
      </c>
      <c r="O18" s="233">
        <f t="shared" ref="O18:O26" si="10">N18*12</f>
        <v>11079483.84</v>
      </c>
    </row>
    <row r="19" spans="1:15">
      <c r="A19" s="236">
        <v>3</v>
      </c>
      <c r="B19" s="243" t="s">
        <v>466</v>
      </c>
      <c r="C19" s="244">
        <v>566700</v>
      </c>
      <c r="D19" s="244">
        <v>67800</v>
      </c>
      <c r="E19" s="229">
        <f t="shared" si="0"/>
        <v>634500</v>
      </c>
      <c r="F19" s="230">
        <f t="shared" si="2"/>
        <v>47206.11</v>
      </c>
      <c r="G19" s="230">
        <f t="shared" si="3"/>
        <v>5667</v>
      </c>
      <c r="H19" s="230">
        <f t="shared" si="4"/>
        <v>47206.11</v>
      </c>
      <c r="I19" s="230">
        <f t="shared" si="5"/>
        <v>23631.39</v>
      </c>
      <c r="J19" s="230">
        <f t="shared" si="6"/>
        <v>51003</v>
      </c>
      <c r="K19" s="230">
        <f t="shared" si="7"/>
        <v>57406.71</v>
      </c>
      <c r="L19" s="230">
        <f t="shared" si="8"/>
        <v>51003</v>
      </c>
      <c r="M19" s="231">
        <f t="shared" si="9"/>
        <v>5667</v>
      </c>
      <c r="N19" s="232">
        <f t="shared" si="1"/>
        <v>923290.32</v>
      </c>
      <c r="O19" s="233">
        <f t="shared" si="10"/>
        <v>11079483.84</v>
      </c>
    </row>
    <row r="20" spans="1:15">
      <c r="A20" s="236">
        <v>4</v>
      </c>
      <c r="B20" s="243"/>
      <c r="C20" s="244"/>
      <c r="D20" s="244"/>
      <c r="E20" s="229">
        <f t="shared" si="0"/>
        <v>0</v>
      </c>
      <c r="F20" s="230">
        <f t="shared" si="2"/>
        <v>0</v>
      </c>
      <c r="G20" s="230">
        <f t="shared" si="3"/>
        <v>0</v>
      </c>
      <c r="H20" s="230">
        <f t="shared" si="4"/>
        <v>0</v>
      </c>
      <c r="I20" s="230">
        <f t="shared" si="5"/>
        <v>0</v>
      </c>
      <c r="J20" s="230">
        <f t="shared" si="6"/>
        <v>0</v>
      </c>
      <c r="K20" s="230">
        <f t="shared" si="7"/>
        <v>0</v>
      </c>
      <c r="L20" s="230">
        <f t="shared" si="8"/>
        <v>0</v>
      </c>
      <c r="M20" s="231">
        <f t="shared" si="9"/>
        <v>0</v>
      </c>
      <c r="N20" s="232">
        <f t="shared" si="1"/>
        <v>0</v>
      </c>
      <c r="O20" s="233">
        <f t="shared" si="10"/>
        <v>0</v>
      </c>
    </row>
    <row r="21" spans="1:15">
      <c r="A21" s="236">
        <v>5</v>
      </c>
      <c r="B21" s="243"/>
      <c r="C21" s="244"/>
      <c r="D21" s="244"/>
      <c r="E21" s="229">
        <f t="shared" si="0"/>
        <v>0</v>
      </c>
      <c r="F21" s="230">
        <f t="shared" si="2"/>
        <v>0</v>
      </c>
      <c r="G21" s="230">
        <f t="shared" si="3"/>
        <v>0</v>
      </c>
      <c r="H21" s="230">
        <f t="shared" si="4"/>
        <v>0</v>
      </c>
      <c r="I21" s="230">
        <f t="shared" si="5"/>
        <v>0</v>
      </c>
      <c r="J21" s="230">
        <f t="shared" si="6"/>
        <v>0</v>
      </c>
      <c r="K21" s="230">
        <f t="shared" si="7"/>
        <v>0</v>
      </c>
      <c r="L21" s="230">
        <f t="shared" si="8"/>
        <v>0</v>
      </c>
      <c r="M21" s="231">
        <f t="shared" si="9"/>
        <v>0</v>
      </c>
      <c r="N21" s="232">
        <f t="shared" si="1"/>
        <v>0</v>
      </c>
      <c r="O21" s="233">
        <f t="shared" si="10"/>
        <v>0</v>
      </c>
    </row>
    <row r="22" spans="1:15">
      <c r="A22" s="236">
        <v>6</v>
      </c>
      <c r="B22" s="243"/>
      <c r="C22" s="244"/>
      <c r="D22" s="244"/>
      <c r="E22" s="229">
        <f t="shared" si="0"/>
        <v>0</v>
      </c>
      <c r="F22" s="230">
        <f t="shared" si="2"/>
        <v>0</v>
      </c>
      <c r="G22" s="230">
        <f t="shared" si="3"/>
        <v>0</v>
      </c>
      <c r="H22" s="230">
        <f t="shared" si="4"/>
        <v>0</v>
      </c>
      <c r="I22" s="230">
        <f t="shared" si="5"/>
        <v>0</v>
      </c>
      <c r="J22" s="230">
        <f t="shared" si="6"/>
        <v>0</v>
      </c>
      <c r="K22" s="230">
        <f t="shared" si="7"/>
        <v>0</v>
      </c>
      <c r="L22" s="230">
        <f t="shared" si="8"/>
        <v>0</v>
      </c>
      <c r="M22" s="231">
        <f t="shared" si="9"/>
        <v>0</v>
      </c>
      <c r="N22" s="232">
        <f t="shared" si="1"/>
        <v>0</v>
      </c>
      <c r="O22" s="233">
        <f t="shared" si="10"/>
        <v>0</v>
      </c>
    </row>
    <row r="23" spans="1:15">
      <c r="A23" s="236">
        <v>7</v>
      </c>
      <c r="B23" s="243"/>
      <c r="C23" s="244"/>
      <c r="D23" s="244"/>
      <c r="E23" s="229">
        <f t="shared" si="0"/>
        <v>0</v>
      </c>
      <c r="F23" s="230">
        <f t="shared" si="2"/>
        <v>0</v>
      </c>
      <c r="G23" s="230">
        <f t="shared" si="3"/>
        <v>0</v>
      </c>
      <c r="H23" s="230">
        <f t="shared" si="4"/>
        <v>0</v>
      </c>
      <c r="I23" s="230">
        <f t="shared" si="5"/>
        <v>0</v>
      </c>
      <c r="J23" s="230">
        <f t="shared" si="6"/>
        <v>0</v>
      </c>
      <c r="K23" s="230">
        <f t="shared" si="7"/>
        <v>0</v>
      </c>
      <c r="L23" s="230">
        <f t="shared" si="8"/>
        <v>0</v>
      </c>
      <c r="M23" s="231">
        <f t="shared" si="9"/>
        <v>0</v>
      </c>
      <c r="N23" s="232">
        <f t="shared" si="1"/>
        <v>0</v>
      </c>
      <c r="O23" s="233">
        <f t="shared" si="10"/>
        <v>0</v>
      </c>
    </row>
    <row r="24" spans="1:15">
      <c r="A24" s="236">
        <v>8</v>
      </c>
      <c r="B24" s="243"/>
      <c r="C24" s="244"/>
      <c r="D24" s="244"/>
      <c r="E24" s="229">
        <f t="shared" si="0"/>
        <v>0</v>
      </c>
      <c r="F24" s="230">
        <f t="shared" si="2"/>
        <v>0</v>
      </c>
      <c r="G24" s="230">
        <f t="shared" si="3"/>
        <v>0</v>
      </c>
      <c r="H24" s="230">
        <f t="shared" si="4"/>
        <v>0</v>
      </c>
      <c r="I24" s="230">
        <f t="shared" si="5"/>
        <v>0</v>
      </c>
      <c r="J24" s="230">
        <f t="shared" si="6"/>
        <v>0</v>
      </c>
      <c r="K24" s="230">
        <f t="shared" si="7"/>
        <v>0</v>
      </c>
      <c r="L24" s="230">
        <f t="shared" si="8"/>
        <v>0</v>
      </c>
      <c r="M24" s="231">
        <f t="shared" si="9"/>
        <v>0</v>
      </c>
      <c r="N24" s="232">
        <f t="shared" si="1"/>
        <v>0</v>
      </c>
      <c r="O24" s="233">
        <f t="shared" si="10"/>
        <v>0</v>
      </c>
    </row>
    <row r="25" spans="1:15">
      <c r="A25" s="236">
        <v>9</v>
      </c>
      <c r="B25" s="243"/>
      <c r="C25" s="244"/>
      <c r="D25" s="244"/>
      <c r="E25" s="229">
        <f t="shared" si="0"/>
        <v>0</v>
      </c>
      <c r="F25" s="230">
        <f t="shared" si="2"/>
        <v>0</v>
      </c>
      <c r="G25" s="230">
        <f t="shared" si="3"/>
        <v>0</v>
      </c>
      <c r="H25" s="230">
        <f t="shared" si="4"/>
        <v>0</v>
      </c>
      <c r="I25" s="230">
        <f t="shared" si="5"/>
        <v>0</v>
      </c>
      <c r="J25" s="230">
        <f t="shared" si="6"/>
        <v>0</v>
      </c>
      <c r="K25" s="230">
        <f t="shared" si="7"/>
        <v>0</v>
      </c>
      <c r="L25" s="230">
        <f t="shared" si="8"/>
        <v>0</v>
      </c>
      <c r="M25" s="231">
        <f t="shared" si="9"/>
        <v>0</v>
      </c>
      <c r="N25" s="232">
        <f t="shared" si="1"/>
        <v>0</v>
      </c>
      <c r="O25" s="233">
        <f t="shared" si="10"/>
        <v>0</v>
      </c>
    </row>
    <row r="26" spans="1:15">
      <c r="A26" s="236">
        <v>10</v>
      </c>
      <c r="B26" s="243"/>
      <c r="C26" s="244"/>
      <c r="D26" s="244"/>
      <c r="E26" s="229">
        <f t="shared" si="0"/>
        <v>0</v>
      </c>
      <c r="F26" s="230">
        <f t="shared" si="2"/>
        <v>0</v>
      </c>
      <c r="G26" s="230">
        <f t="shared" si="3"/>
        <v>0</v>
      </c>
      <c r="H26" s="230">
        <f t="shared" si="4"/>
        <v>0</v>
      </c>
      <c r="I26" s="230">
        <f t="shared" si="5"/>
        <v>0</v>
      </c>
      <c r="J26" s="230">
        <f t="shared" si="6"/>
        <v>0</v>
      </c>
      <c r="K26" s="230">
        <f t="shared" si="7"/>
        <v>0</v>
      </c>
      <c r="L26" s="230">
        <f t="shared" si="8"/>
        <v>0</v>
      </c>
      <c r="M26" s="231">
        <f t="shared" si="9"/>
        <v>0</v>
      </c>
      <c r="N26" s="232">
        <f t="shared" si="1"/>
        <v>0</v>
      </c>
      <c r="O26" s="233">
        <f t="shared" si="10"/>
        <v>0</v>
      </c>
    </row>
    <row r="27" spans="1:15">
      <c r="A27" s="237"/>
      <c r="B27" s="238" t="s">
        <v>155</v>
      </c>
      <c r="C27" s="239">
        <f t="shared" ref="C27:O27" si="11">SUM(C17:C26)</f>
        <v>2333400</v>
      </c>
      <c r="D27" s="239">
        <f t="shared" si="11"/>
        <v>135600</v>
      </c>
      <c r="E27" s="239">
        <f t="shared" si="11"/>
        <v>2469000</v>
      </c>
      <c r="F27" s="239">
        <f t="shared" si="11"/>
        <v>194372.21999999997</v>
      </c>
      <c r="G27" s="239">
        <f t="shared" si="11"/>
        <v>23334</v>
      </c>
      <c r="H27" s="239">
        <f t="shared" si="11"/>
        <v>194372.21999999997</v>
      </c>
      <c r="I27" s="239">
        <f t="shared" si="11"/>
        <v>97302.78</v>
      </c>
      <c r="J27" s="239">
        <f t="shared" si="11"/>
        <v>210006</v>
      </c>
      <c r="K27" s="239">
        <f t="shared" si="11"/>
        <v>236373.41999999998</v>
      </c>
      <c r="L27" s="239">
        <f t="shared" si="11"/>
        <v>210006</v>
      </c>
      <c r="M27" s="239">
        <f t="shared" si="11"/>
        <v>23334</v>
      </c>
      <c r="N27" s="239">
        <f t="shared" si="11"/>
        <v>3658100.6399999997</v>
      </c>
      <c r="O27" s="239">
        <f t="shared" si="11"/>
        <v>43897207.68</v>
      </c>
    </row>
    <row r="28" spans="1:15">
      <c r="A28" s="237"/>
      <c r="B28" s="238" t="s">
        <v>156</v>
      </c>
      <c r="C28" s="239">
        <f>C27*12</f>
        <v>28000800</v>
      </c>
      <c r="D28" s="239">
        <f t="shared" ref="D28:N28" si="12">D27*12</f>
        <v>1627200</v>
      </c>
      <c r="E28" s="239">
        <f t="shared" si="12"/>
        <v>29628000</v>
      </c>
      <c r="F28" s="239">
        <f t="shared" si="12"/>
        <v>2332466.6399999997</v>
      </c>
      <c r="G28" s="239">
        <f t="shared" si="12"/>
        <v>280008</v>
      </c>
      <c r="H28" s="239">
        <f t="shared" si="12"/>
        <v>2332466.6399999997</v>
      </c>
      <c r="I28" s="239">
        <f t="shared" si="12"/>
        <v>1167633.3599999999</v>
      </c>
      <c r="J28" s="239">
        <f t="shared" si="12"/>
        <v>2520072</v>
      </c>
      <c r="K28" s="239">
        <f t="shared" si="12"/>
        <v>2836481.04</v>
      </c>
      <c r="L28" s="239">
        <f t="shared" si="12"/>
        <v>2520072</v>
      </c>
      <c r="M28" s="239">
        <f t="shared" si="12"/>
        <v>280008</v>
      </c>
      <c r="N28" s="239">
        <f t="shared" si="12"/>
        <v>43897207.679999992</v>
      </c>
      <c r="O28" s="240"/>
    </row>
    <row r="31" spans="1:15">
      <c r="A31" s="218" t="s">
        <v>157</v>
      </c>
    </row>
    <row r="33" spans="1:4">
      <c r="A33" s="234" t="s">
        <v>148</v>
      </c>
      <c r="B33" s="219" t="s">
        <v>149</v>
      </c>
      <c r="C33" s="220" t="s">
        <v>150</v>
      </c>
      <c r="D33" s="220" t="s">
        <v>158</v>
      </c>
    </row>
    <row r="34" spans="1:4">
      <c r="A34" s="236">
        <v>1</v>
      </c>
      <c r="B34" s="241" t="s">
        <v>159</v>
      </c>
      <c r="C34" s="258">
        <v>0</v>
      </c>
      <c r="D34" s="223">
        <f>C34*12</f>
        <v>0</v>
      </c>
    </row>
    <row r="35" spans="1:4">
      <c r="A35" s="236">
        <v>2</v>
      </c>
      <c r="B35" s="241" t="s">
        <v>160</v>
      </c>
      <c r="C35" s="242">
        <v>0</v>
      </c>
      <c r="D35" s="223">
        <f t="shared" ref="D35:D44" si="13">C35*12</f>
        <v>0</v>
      </c>
    </row>
    <row r="36" spans="1:4">
      <c r="A36" s="236">
        <v>3</v>
      </c>
      <c r="B36" s="241" t="s">
        <v>161</v>
      </c>
      <c r="C36" s="242">
        <v>0</v>
      </c>
      <c r="D36" s="223">
        <f t="shared" si="13"/>
        <v>0</v>
      </c>
    </row>
    <row r="37" spans="1:4">
      <c r="A37" s="236">
        <v>4</v>
      </c>
      <c r="B37" s="241" t="s">
        <v>162</v>
      </c>
      <c r="C37" s="242">
        <v>0</v>
      </c>
      <c r="D37" s="223">
        <f t="shared" si="13"/>
        <v>0</v>
      </c>
    </row>
    <row r="38" spans="1:4">
      <c r="A38" s="236">
        <v>5</v>
      </c>
      <c r="B38" s="241" t="s">
        <v>163</v>
      </c>
      <c r="C38" s="242">
        <v>0</v>
      </c>
      <c r="D38" s="223">
        <f t="shared" si="13"/>
        <v>0</v>
      </c>
    </row>
    <row r="39" spans="1:4">
      <c r="A39" s="236">
        <v>6</v>
      </c>
      <c r="B39" s="241" t="s">
        <v>164</v>
      </c>
      <c r="C39" s="242">
        <v>0</v>
      </c>
      <c r="D39" s="223">
        <f t="shared" si="13"/>
        <v>0</v>
      </c>
    </row>
    <row r="40" spans="1:4">
      <c r="A40" s="236">
        <v>7</v>
      </c>
      <c r="B40" s="241"/>
      <c r="C40" s="242">
        <v>0</v>
      </c>
      <c r="D40" s="223">
        <f t="shared" si="13"/>
        <v>0</v>
      </c>
    </row>
    <row r="41" spans="1:4">
      <c r="A41" s="236">
        <v>8</v>
      </c>
      <c r="B41" s="241"/>
      <c r="C41" s="242">
        <v>0</v>
      </c>
      <c r="D41" s="223">
        <f t="shared" si="13"/>
        <v>0</v>
      </c>
    </row>
    <row r="42" spans="1:4">
      <c r="A42" s="236">
        <v>9</v>
      </c>
      <c r="B42" s="241"/>
      <c r="C42" s="242">
        <v>0</v>
      </c>
      <c r="D42" s="223">
        <f t="shared" si="13"/>
        <v>0</v>
      </c>
    </row>
    <row r="43" spans="1:4">
      <c r="A43" s="236">
        <v>10</v>
      </c>
      <c r="B43" s="241"/>
      <c r="C43" s="242">
        <v>0</v>
      </c>
      <c r="D43" s="223">
        <f t="shared" si="13"/>
        <v>0</v>
      </c>
    </row>
    <row r="44" spans="1:4">
      <c r="A44" s="236">
        <v>11</v>
      </c>
      <c r="B44" s="241"/>
      <c r="C44" s="242">
        <v>0</v>
      </c>
      <c r="D44" s="223">
        <f t="shared" si="13"/>
        <v>0</v>
      </c>
    </row>
    <row r="45" spans="1:4">
      <c r="A45" s="237"/>
      <c r="B45" s="238" t="s">
        <v>155</v>
      </c>
      <c r="C45" s="239">
        <f>SUM(C35:C44)</f>
        <v>0</v>
      </c>
      <c r="D45" s="239">
        <f>SUM(D35:D44)</f>
        <v>0</v>
      </c>
    </row>
    <row r="46" spans="1:4">
      <c r="A46" s="237"/>
      <c r="B46" s="238" t="s">
        <v>156</v>
      </c>
      <c r="C46" s="239">
        <f>C45*12</f>
        <v>0</v>
      </c>
      <c r="D46" s="239"/>
    </row>
    <row r="49" spans="1:15" ht="15">
      <c r="B49" s="245"/>
      <c r="C49" s="245"/>
    </row>
    <row r="55" spans="1:15">
      <c r="A55" s="218" t="s">
        <v>147</v>
      </c>
    </row>
    <row r="57" spans="1:15" ht="22.5">
      <c r="A57" s="234" t="s">
        <v>148</v>
      </c>
      <c r="B57" s="219" t="s">
        <v>149</v>
      </c>
      <c r="C57" s="220" t="s">
        <v>150</v>
      </c>
      <c r="D57" s="220" t="s">
        <v>151</v>
      </c>
      <c r="E57" s="220" t="s">
        <v>152</v>
      </c>
      <c r="F57" s="220" t="s">
        <v>44</v>
      </c>
      <c r="G57" s="220" t="s">
        <v>153</v>
      </c>
      <c r="H57" s="220" t="s">
        <v>46</v>
      </c>
      <c r="I57" s="220" t="s">
        <v>47</v>
      </c>
      <c r="J57" s="220" t="s">
        <v>154</v>
      </c>
      <c r="K57" s="220" t="s">
        <v>60</v>
      </c>
      <c r="L57" s="220" t="s">
        <v>62</v>
      </c>
      <c r="M57" s="220" t="s">
        <v>64</v>
      </c>
      <c r="N57" s="221" t="s">
        <v>155</v>
      </c>
      <c r="O57" s="221" t="s">
        <v>156</v>
      </c>
    </row>
    <row r="58" spans="1:15">
      <c r="A58" s="235"/>
      <c r="B58" s="222"/>
      <c r="C58" s="222"/>
      <c r="D58" s="223"/>
      <c r="E58" s="222"/>
      <c r="F58" s="224">
        <f>F16</f>
        <v>8.3299999999999999E-2</v>
      </c>
      <c r="G58" s="224">
        <f t="shared" ref="G58:M58" si="14">G16</f>
        <v>0.01</v>
      </c>
      <c r="H58" s="224">
        <f t="shared" si="14"/>
        <v>8.3299999999999999E-2</v>
      </c>
      <c r="I58" s="224">
        <f t="shared" si="14"/>
        <v>4.1700000000000001E-2</v>
      </c>
      <c r="J58" s="224">
        <f t="shared" si="14"/>
        <v>0.09</v>
      </c>
      <c r="K58" s="224">
        <f t="shared" si="14"/>
        <v>0.1013</v>
      </c>
      <c r="L58" s="224">
        <f t="shared" si="14"/>
        <v>0.09</v>
      </c>
      <c r="M58" s="224">
        <f t="shared" si="14"/>
        <v>0.01</v>
      </c>
      <c r="N58" s="228"/>
      <c r="O58" s="228"/>
    </row>
    <row r="59" spans="1:15">
      <c r="A59" s="236">
        <v>1</v>
      </c>
      <c r="B59" s="243" t="s">
        <v>467</v>
      </c>
      <c r="C59" s="244">
        <v>1200000</v>
      </c>
      <c r="D59" s="244">
        <v>0</v>
      </c>
      <c r="E59" s="229">
        <f t="shared" ref="E59:E68" si="15">C59+D59</f>
        <v>1200000</v>
      </c>
      <c r="F59" s="230">
        <f>C59*$F$16</f>
        <v>99960</v>
      </c>
      <c r="G59" s="230">
        <f>C59*$G$16</f>
        <v>12000</v>
      </c>
      <c r="H59" s="230">
        <f>C59*$H$16</f>
        <v>99960</v>
      </c>
      <c r="I59" s="230">
        <f>C59*$I$16</f>
        <v>50040</v>
      </c>
      <c r="J59" s="230">
        <f>C59*$J$16</f>
        <v>108000</v>
      </c>
      <c r="K59" s="230">
        <f>C59*$K$16</f>
        <v>121560</v>
      </c>
      <c r="L59" s="230">
        <f>C59*$L$16</f>
        <v>108000</v>
      </c>
      <c r="M59" s="231">
        <f>C59*$M$16</f>
        <v>12000</v>
      </c>
      <c r="N59" s="232">
        <f t="shared" ref="N59:N68" si="16">SUM(E59:M59)</f>
        <v>1811520</v>
      </c>
      <c r="O59" s="233">
        <f>N59*12</f>
        <v>21738240</v>
      </c>
    </row>
    <row r="60" spans="1:15">
      <c r="A60" s="236">
        <v>2</v>
      </c>
      <c r="B60" s="243" t="s">
        <v>469</v>
      </c>
      <c r="C60" s="244">
        <v>600000</v>
      </c>
      <c r="D60" s="244">
        <v>67800</v>
      </c>
      <c r="E60" s="229">
        <f t="shared" si="15"/>
        <v>667800</v>
      </c>
      <c r="F60" s="230">
        <f t="shared" ref="F60:F68" si="17">C60*$F$16</f>
        <v>49980</v>
      </c>
      <c r="G60" s="230">
        <f t="shared" ref="G60:G68" si="18">C60*$G$16</f>
        <v>6000</v>
      </c>
      <c r="H60" s="230">
        <f t="shared" ref="H60:H68" si="19">C60*$H$16</f>
        <v>49980</v>
      </c>
      <c r="I60" s="230">
        <f t="shared" ref="I60:I68" si="20">C60*$I$16</f>
        <v>25020</v>
      </c>
      <c r="J60" s="230">
        <f t="shared" ref="J60:J68" si="21">C60*$J$16</f>
        <v>54000</v>
      </c>
      <c r="K60" s="230">
        <f t="shared" ref="K60:K68" si="22">C60*$K$16</f>
        <v>60780</v>
      </c>
      <c r="L60" s="230">
        <f t="shared" ref="L60:L68" si="23">C60*$L$16</f>
        <v>54000</v>
      </c>
      <c r="M60" s="231">
        <f t="shared" ref="M60:M68" si="24">C60*$M$16</f>
        <v>6000</v>
      </c>
      <c r="N60" s="232">
        <f t="shared" si="16"/>
        <v>973560</v>
      </c>
      <c r="O60" s="233">
        <f t="shared" ref="O60:O68" si="25">N60*12</f>
        <v>11682720</v>
      </c>
    </row>
    <row r="61" spans="1:15" hidden="1">
      <c r="A61" s="236">
        <v>3</v>
      </c>
      <c r="B61" s="243"/>
      <c r="C61" s="244">
        <v>0</v>
      </c>
      <c r="D61" s="244">
        <v>0</v>
      </c>
      <c r="E61" s="229">
        <f t="shared" si="15"/>
        <v>0</v>
      </c>
      <c r="F61" s="230">
        <f t="shared" si="17"/>
        <v>0</v>
      </c>
      <c r="G61" s="230">
        <f t="shared" si="18"/>
        <v>0</v>
      </c>
      <c r="H61" s="230">
        <f t="shared" si="19"/>
        <v>0</v>
      </c>
      <c r="I61" s="230">
        <f t="shared" si="20"/>
        <v>0</v>
      </c>
      <c r="J61" s="230">
        <f t="shared" si="21"/>
        <v>0</v>
      </c>
      <c r="K61" s="230">
        <f t="shared" si="22"/>
        <v>0</v>
      </c>
      <c r="L61" s="230">
        <f t="shared" si="23"/>
        <v>0</v>
      </c>
      <c r="M61" s="231">
        <f t="shared" si="24"/>
        <v>0</v>
      </c>
      <c r="N61" s="232">
        <f t="shared" si="16"/>
        <v>0</v>
      </c>
      <c r="O61" s="233">
        <f t="shared" si="25"/>
        <v>0</v>
      </c>
    </row>
    <row r="62" spans="1:15" hidden="1">
      <c r="A62" s="236">
        <v>4</v>
      </c>
      <c r="B62" s="243"/>
      <c r="C62" s="244">
        <v>0</v>
      </c>
      <c r="D62" s="244">
        <v>0</v>
      </c>
      <c r="E62" s="229">
        <f t="shared" si="15"/>
        <v>0</v>
      </c>
      <c r="F62" s="230">
        <f t="shared" si="17"/>
        <v>0</v>
      </c>
      <c r="G62" s="230">
        <f t="shared" si="18"/>
        <v>0</v>
      </c>
      <c r="H62" s="230">
        <f t="shared" si="19"/>
        <v>0</v>
      </c>
      <c r="I62" s="230">
        <f t="shared" si="20"/>
        <v>0</v>
      </c>
      <c r="J62" s="230">
        <f t="shared" si="21"/>
        <v>0</v>
      </c>
      <c r="K62" s="230">
        <f t="shared" si="22"/>
        <v>0</v>
      </c>
      <c r="L62" s="230">
        <f t="shared" si="23"/>
        <v>0</v>
      </c>
      <c r="M62" s="231">
        <f t="shared" si="24"/>
        <v>0</v>
      </c>
      <c r="N62" s="232">
        <f t="shared" si="16"/>
        <v>0</v>
      </c>
      <c r="O62" s="233">
        <f t="shared" si="25"/>
        <v>0</v>
      </c>
    </row>
    <row r="63" spans="1:15" hidden="1">
      <c r="A63" s="236">
        <v>5</v>
      </c>
      <c r="B63" s="243"/>
      <c r="C63" s="244">
        <v>0</v>
      </c>
      <c r="D63" s="244">
        <v>0</v>
      </c>
      <c r="E63" s="229">
        <f t="shared" si="15"/>
        <v>0</v>
      </c>
      <c r="F63" s="230">
        <f t="shared" si="17"/>
        <v>0</v>
      </c>
      <c r="G63" s="230">
        <f t="shared" si="18"/>
        <v>0</v>
      </c>
      <c r="H63" s="230">
        <f t="shared" si="19"/>
        <v>0</v>
      </c>
      <c r="I63" s="230">
        <f t="shared" si="20"/>
        <v>0</v>
      </c>
      <c r="J63" s="230">
        <f t="shared" si="21"/>
        <v>0</v>
      </c>
      <c r="K63" s="230">
        <f t="shared" si="22"/>
        <v>0</v>
      </c>
      <c r="L63" s="230">
        <f t="shared" si="23"/>
        <v>0</v>
      </c>
      <c r="M63" s="231">
        <f t="shared" si="24"/>
        <v>0</v>
      </c>
      <c r="N63" s="232">
        <f t="shared" si="16"/>
        <v>0</v>
      </c>
      <c r="O63" s="233">
        <f t="shared" si="25"/>
        <v>0</v>
      </c>
    </row>
    <row r="64" spans="1:15" hidden="1">
      <c r="A64" s="236">
        <v>6</v>
      </c>
      <c r="B64" s="243"/>
      <c r="C64" s="244">
        <v>0</v>
      </c>
      <c r="D64" s="244">
        <v>0</v>
      </c>
      <c r="E64" s="229">
        <f t="shared" si="15"/>
        <v>0</v>
      </c>
      <c r="F64" s="230">
        <f t="shared" si="17"/>
        <v>0</v>
      </c>
      <c r="G64" s="230">
        <f t="shared" si="18"/>
        <v>0</v>
      </c>
      <c r="H64" s="230">
        <f t="shared" si="19"/>
        <v>0</v>
      </c>
      <c r="I64" s="230">
        <f t="shared" si="20"/>
        <v>0</v>
      </c>
      <c r="J64" s="230">
        <f t="shared" si="21"/>
        <v>0</v>
      </c>
      <c r="K64" s="230">
        <f t="shared" si="22"/>
        <v>0</v>
      </c>
      <c r="L64" s="230">
        <f t="shared" si="23"/>
        <v>0</v>
      </c>
      <c r="M64" s="231">
        <f t="shared" si="24"/>
        <v>0</v>
      </c>
      <c r="N64" s="232">
        <f t="shared" si="16"/>
        <v>0</v>
      </c>
      <c r="O64" s="233">
        <f t="shared" si="25"/>
        <v>0</v>
      </c>
    </row>
    <row r="65" spans="1:15" hidden="1">
      <c r="A65" s="236">
        <v>7</v>
      </c>
      <c r="B65" s="243"/>
      <c r="C65" s="244">
        <v>0</v>
      </c>
      <c r="D65" s="244">
        <v>0</v>
      </c>
      <c r="E65" s="229">
        <f t="shared" si="15"/>
        <v>0</v>
      </c>
      <c r="F65" s="230">
        <f t="shared" si="17"/>
        <v>0</v>
      </c>
      <c r="G65" s="230">
        <f t="shared" si="18"/>
        <v>0</v>
      </c>
      <c r="H65" s="230">
        <f t="shared" si="19"/>
        <v>0</v>
      </c>
      <c r="I65" s="230">
        <f t="shared" si="20"/>
        <v>0</v>
      </c>
      <c r="J65" s="230">
        <f t="shared" si="21"/>
        <v>0</v>
      </c>
      <c r="K65" s="230">
        <f t="shared" si="22"/>
        <v>0</v>
      </c>
      <c r="L65" s="230">
        <f t="shared" si="23"/>
        <v>0</v>
      </c>
      <c r="M65" s="231">
        <f t="shared" si="24"/>
        <v>0</v>
      </c>
      <c r="N65" s="232">
        <f t="shared" si="16"/>
        <v>0</v>
      </c>
      <c r="O65" s="233">
        <f t="shared" si="25"/>
        <v>0</v>
      </c>
    </row>
    <row r="66" spans="1:15" hidden="1">
      <c r="A66" s="236">
        <v>8</v>
      </c>
      <c r="B66" s="243"/>
      <c r="C66" s="244">
        <v>0</v>
      </c>
      <c r="D66" s="244">
        <v>0</v>
      </c>
      <c r="E66" s="229">
        <f t="shared" si="15"/>
        <v>0</v>
      </c>
      <c r="F66" s="230">
        <f t="shared" si="17"/>
        <v>0</v>
      </c>
      <c r="G66" s="230">
        <f t="shared" si="18"/>
        <v>0</v>
      </c>
      <c r="H66" s="230">
        <f t="shared" si="19"/>
        <v>0</v>
      </c>
      <c r="I66" s="230">
        <f t="shared" si="20"/>
        <v>0</v>
      </c>
      <c r="J66" s="230">
        <f t="shared" si="21"/>
        <v>0</v>
      </c>
      <c r="K66" s="230">
        <f t="shared" si="22"/>
        <v>0</v>
      </c>
      <c r="L66" s="230">
        <f t="shared" si="23"/>
        <v>0</v>
      </c>
      <c r="M66" s="231">
        <f t="shared" si="24"/>
        <v>0</v>
      </c>
      <c r="N66" s="232">
        <f t="shared" si="16"/>
        <v>0</v>
      </c>
      <c r="O66" s="233">
        <f t="shared" si="25"/>
        <v>0</v>
      </c>
    </row>
    <row r="67" spans="1:15" hidden="1">
      <c r="A67" s="236">
        <v>9</v>
      </c>
      <c r="B67" s="243"/>
      <c r="C67" s="244">
        <v>0</v>
      </c>
      <c r="D67" s="244">
        <v>0</v>
      </c>
      <c r="E67" s="229">
        <f t="shared" si="15"/>
        <v>0</v>
      </c>
      <c r="F67" s="230">
        <f t="shared" si="17"/>
        <v>0</v>
      </c>
      <c r="G67" s="230">
        <f t="shared" si="18"/>
        <v>0</v>
      </c>
      <c r="H67" s="230">
        <f t="shared" si="19"/>
        <v>0</v>
      </c>
      <c r="I67" s="230">
        <f t="shared" si="20"/>
        <v>0</v>
      </c>
      <c r="J67" s="230">
        <f t="shared" si="21"/>
        <v>0</v>
      </c>
      <c r="K67" s="230">
        <f t="shared" si="22"/>
        <v>0</v>
      </c>
      <c r="L67" s="230">
        <f t="shared" si="23"/>
        <v>0</v>
      </c>
      <c r="M67" s="231">
        <f t="shared" si="24"/>
        <v>0</v>
      </c>
      <c r="N67" s="232">
        <f t="shared" si="16"/>
        <v>0</v>
      </c>
      <c r="O67" s="233">
        <f t="shared" si="25"/>
        <v>0</v>
      </c>
    </row>
    <row r="68" spans="1:15">
      <c r="A68" s="236">
        <v>10</v>
      </c>
      <c r="B68" s="243"/>
      <c r="C68" s="244">
        <v>0</v>
      </c>
      <c r="D68" s="244">
        <v>0</v>
      </c>
      <c r="E68" s="229">
        <f t="shared" si="15"/>
        <v>0</v>
      </c>
      <c r="F68" s="230">
        <f t="shared" si="17"/>
        <v>0</v>
      </c>
      <c r="G68" s="230">
        <f t="shared" si="18"/>
        <v>0</v>
      </c>
      <c r="H68" s="230">
        <f t="shared" si="19"/>
        <v>0</v>
      </c>
      <c r="I68" s="230">
        <f t="shared" si="20"/>
        <v>0</v>
      </c>
      <c r="J68" s="230">
        <f t="shared" si="21"/>
        <v>0</v>
      </c>
      <c r="K68" s="230">
        <f t="shared" si="22"/>
        <v>0</v>
      </c>
      <c r="L68" s="230">
        <f t="shared" si="23"/>
        <v>0</v>
      </c>
      <c r="M68" s="231">
        <f t="shared" si="24"/>
        <v>0</v>
      </c>
      <c r="N68" s="232">
        <f t="shared" si="16"/>
        <v>0</v>
      </c>
      <c r="O68" s="233">
        <f t="shared" si="25"/>
        <v>0</v>
      </c>
    </row>
    <row r="69" spans="1:15">
      <c r="A69" s="237"/>
      <c r="B69" s="238" t="s">
        <v>155</v>
      </c>
      <c r="C69" s="239">
        <f t="shared" ref="C69:O69" si="26">SUM(C59:C68)</f>
        <v>1800000</v>
      </c>
      <c r="D69" s="239">
        <f t="shared" si="26"/>
        <v>67800</v>
      </c>
      <c r="E69" s="239">
        <f t="shared" si="26"/>
        <v>1867800</v>
      </c>
      <c r="F69" s="239">
        <f t="shared" si="26"/>
        <v>149940</v>
      </c>
      <c r="G69" s="239">
        <f t="shared" si="26"/>
        <v>18000</v>
      </c>
      <c r="H69" s="239">
        <f t="shared" si="26"/>
        <v>149940</v>
      </c>
      <c r="I69" s="239">
        <f t="shared" si="26"/>
        <v>75060</v>
      </c>
      <c r="J69" s="239">
        <f t="shared" si="26"/>
        <v>162000</v>
      </c>
      <c r="K69" s="239">
        <f t="shared" si="26"/>
        <v>182340</v>
      </c>
      <c r="L69" s="239">
        <f t="shared" si="26"/>
        <v>162000</v>
      </c>
      <c r="M69" s="239">
        <f t="shared" si="26"/>
        <v>18000</v>
      </c>
      <c r="N69" s="239">
        <f t="shared" si="26"/>
        <v>2785080</v>
      </c>
      <c r="O69" s="239">
        <f t="shared" si="26"/>
        <v>33420960</v>
      </c>
    </row>
    <row r="70" spans="1:15">
      <c r="A70" s="237"/>
      <c r="B70" s="238" t="s">
        <v>156</v>
      </c>
      <c r="C70" s="239">
        <f>C69*12</f>
        <v>21600000</v>
      </c>
      <c r="D70" s="239">
        <f t="shared" ref="D70:N70" si="27">D69*12</f>
        <v>813600</v>
      </c>
      <c r="E70" s="239">
        <f t="shared" si="27"/>
        <v>22413600</v>
      </c>
      <c r="F70" s="239">
        <f t="shared" si="27"/>
        <v>1799280</v>
      </c>
      <c r="G70" s="239">
        <f t="shared" si="27"/>
        <v>216000</v>
      </c>
      <c r="H70" s="239">
        <f t="shared" si="27"/>
        <v>1799280</v>
      </c>
      <c r="I70" s="239">
        <f t="shared" si="27"/>
        <v>900720</v>
      </c>
      <c r="J70" s="239">
        <f t="shared" si="27"/>
        <v>1944000</v>
      </c>
      <c r="K70" s="239">
        <f t="shared" si="27"/>
        <v>2188080</v>
      </c>
      <c r="L70" s="239">
        <f t="shared" si="27"/>
        <v>1944000</v>
      </c>
      <c r="M70" s="239">
        <f t="shared" si="27"/>
        <v>216000</v>
      </c>
      <c r="N70" s="239">
        <f t="shared" si="27"/>
        <v>33420960</v>
      </c>
      <c r="O70" s="240"/>
    </row>
    <row r="73" spans="1:15">
      <c r="A73" s="218" t="s">
        <v>157</v>
      </c>
    </row>
    <row r="75" spans="1:15">
      <c r="A75" s="234" t="s">
        <v>148</v>
      </c>
      <c r="B75" s="219" t="s">
        <v>149</v>
      </c>
      <c r="C75" s="220" t="s">
        <v>150</v>
      </c>
      <c r="D75" s="220" t="s">
        <v>158</v>
      </c>
    </row>
    <row r="76" spans="1:15">
      <c r="A76" s="236">
        <v>1</v>
      </c>
      <c r="B76" s="241" t="s">
        <v>165</v>
      </c>
      <c r="C76" s="258">
        <v>0</v>
      </c>
      <c r="D76" s="223">
        <f>C76*12</f>
        <v>0</v>
      </c>
    </row>
    <row r="77" spans="1:15">
      <c r="A77" s="236">
        <v>2</v>
      </c>
      <c r="B77" s="241" t="s">
        <v>166</v>
      </c>
      <c r="C77" s="242">
        <v>0</v>
      </c>
      <c r="D77" s="223">
        <f t="shared" ref="D77:D86" si="28">C77*12</f>
        <v>0</v>
      </c>
    </row>
    <row r="78" spans="1:15">
      <c r="A78" s="236">
        <v>3</v>
      </c>
      <c r="B78" s="241" t="s">
        <v>167</v>
      </c>
      <c r="C78" s="242">
        <v>0</v>
      </c>
      <c r="D78" s="223">
        <f t="shared" si="28"/>
        <v>0</v>
      </c>
    </row>
    <row r="79" spans="1:15">
      <c r="A79" s="236">
        <v>4</v>
      </c>
      <c r="B79" s="241" t="s">
        <v>168</v>
      </c>
      <c r="C79" s="242">
        <v>0</v>
      </c>
      <c r="D79" s="223">
        <f t="shared" si="28"/>
        <v>0</v>
      </c>
    </row>
    <row r="80" spans="1:15">
      <c r="A80" s="236">
        <v>5</v>
      </c>
      <c r="B80" s="241" t="s">
        <v>169</v>
      </c>
      <c r="C80" s="242">
        <v>0</v>
      </c>
      <c r="D80" s="223">
        <f t="shared" si="28"/>
        <v>0</v>
      </c>
    </row>
    <row r="81" spans="1:15">
      <c r="A81" s="236">
        <v>6</v>
      </c>
      <c r="B81" s="241" t="s">
        <v>170</v>
      </c>
      <c r="C81" s="242">
        <v>0</v>
      </c>
      <c r="D81" s="223">
        <f t="shared" si="28"/>
        <v>0</v>
      </c>
    </row>
    <row r="82" spans="1:15">
      <c r="A82" s="236">
        <v>7</v>
      </c>
      <c r="B82" s="241" t="s">
        <v>171</v>
      </c>
      <c r="C82" s="242">
        <v>0</v>
      </c>
      <c r="D82" s="223">
        <f t="shared" si="28"/>
        <v>0</v>
      </c>
    </row>
    <row r="83" spans="1:15">
      <c r="A83" s="236">
        <v>8</v>
      </c>
      <c r="B83" s="241" t="s">
        <v>172</v>
      </c>
      <c r="C83" s="242">
        <v>0</v>
      </c>
      <c r="D83" s="223">
        <f t="shared" si="28"/>
        <v>0</v>
      </c>
    </row>
    <row r="84" spans="1:15">
      <c r="A84" s="236">
        <v>9</v>
      </c>
      <c r="B84" s="241" t="s">
        <v>173</v>
      </c>
      <c r="C84" s="242">
        <v>0</v>
      </c>
      <c r="D84" s="223">
        <f t="shared" si="28"/>
        <v>0</v>
      </c>
    </row>
    <row r="85" spans="1:15">
      <c r="A85" s="236">
        <v>10</v>
      </c>
      <c r="B85" s="241"/>
      <c r="C85" s="242">
        <v>0</v>
      </c>
      <c r="D85" s="223">
        <f t="shared" si="28"/>
        <v>0</v>
      </c>
    </row>
    <row r="86" spans="1:15">
      <c r="A86" s="236">
        <v>11</v>
      </c>
      <c r="B86" s="241"/>
      <c r="C86" s="242">
        <v>0</v>
      </c>
      <c r="D86" s="223">
        <f t="shared" si="28"/>
        <v>0</v>
      </c>
    </row>
    <row r="87" spans="1:15">
      <c r="A87" s="237"/>
      <c r="B87" s="238" t="s">
        <v>155</v>
      </c>
      <c r="C87" s="239">
        <f>SUM(C77:C86)</f>
        <v>0</v>
      </c>
      <c r="D87" s="239">
        <f>SUM(D77:D86)</f>
        <v>0</v>
      </c>
    </row>
    <row r="88" spans="1:15">
      <c r="A88" s="237"/>
      <c r="B88" s="238" t="s">
        <v>156</v>
      </c>
      <c r="C88" s="239">
        <f>C87*12</f>
        <v>0</v>
      </c>
      <c r="D88" s="239"/>
    </row>
    <row r="93" spans="1:15">
      <c r="E93" s="246" t="s">
        <v>175</v>
      </c>
    </row>
    <row r="94" spans="1:15">
      <c r="A94" s="218" t="s">
        <v>147</v>
      </c>
    </row>
    <row r="96" spans="1:15" ht="22.5">
      <c r="A96" s="234" t="s">
        <v>148</v>
      </c>
      <c r="B96" s="219" t="s">
        <v>149</v>
      </c>
      <c r="C96" s="220" t="s">
        <v>150</v>
      </c>
      <c r="D96" s="220" t="s">
        <v>151</v>
      </c>
      <c r="E96" s="220" t="s">
        <v>152</v>
      </c>
      <c r="F96" s="220" t="s">
        <v>44</v>
      </c>
      <c r="G96" s="220" t="s">
        <v>153</v>
      </c>
      <c r="H96" s="220" t="s">
        <v>46</v>
      </c>
      <c r="I96" s="220" t="s">
        <v>47</v>
      </c>
      <c r="J96" s="220" t="s">
        <v>154</v>
      </c>
      <c r="K96" s="220" t="s">
        <v>60</v>
      </c>
      <c r="L96" s="220" t="s">
        <v>62</v>
      </c>
      <c r="M96" s="220" t="s">
        <v>64</v>
      </c>
      <c r="N96" s="221" t="s">
        <v>155</v>
      </c>
      <c r="O96" s="221" t="s">
        <v>156</v>
      </c>
    </row>
    <row r="97" spans="1:15">
      <c r="A97" s="235"/>
      <c r="B97" s="222"/>
      <c r="C97" s="222"/>
      <c r="D97" s="223"/>
      <c r="E97" s="222"/>
      <c r="F97" s="224">
        <f>F58</f>
        <v>8.3299999999999999E-2</v>
      </c>
      <c r="G97" s="224">
        <f t="shared" ref="G97:M97" si="29">G58</f>
        <v>0.01</v>
      </c>
      <c r="H97" s="224">
        <f t="shared" si="29"/>
        <v>8.3299999999999999E-2</v>
      </c>
      <c r="I97" s="224">
        <f t="shared" si="29"/>
        <v>4.1700000000000001E-2</v>
      </c>
      <c r="J97" s="224">
        <f t="shared" si="29"/>
        <v>0.09</v>
      </c>
      <c r="K97" s="224">
        <f t="shared" si="29"/>
        <v>0.1013</v>
      </c>
      <c r="L97" s="224">
        <f t="shared" si="29"/>
        <v>0.09</v>
      </c>
      <c r="M97" s="224">
        <f t="shared" si="29"/>
        <v>0.01</v>
      </c>
      <c r="N97" s="228"/>
      <c r="O97" s="228"/>
    </row>
    <row r="98" spans="1:15">
      <c r="A98" s="236">
        <v>1</v>
      </c>
      <c r="B98" s="243" t="s">
        <v>468</v>
      </c>
      <c r="C98" s="244">
        <v>600000</v>
      </c>
      <c r="D98" s="244">
        <v>0</v>
      </c>
      <c r="E98" s="229">
        <f t="shared" ref="E98:E107" si="30">C98+D98</f>
        <v>600000</v>
      </c>
      <c r="F98" s="230">
        <f>C98*$F$16</f>
        <v>49980</v>
      </c>
      <c r="G98" s="230">
        <f>C98*$G$16</f>
        <v>6000</v>
      </c>
      <c r="H98" s="230">
        <f>C98*$H$16</f>
        <v>49980</v>
      </c>
      <c r="I98" s="230">
        <f>C98*$I$16</f>
        <v>25020</v>
      </c>
      <c r="J98" s="230">
        <f>C98*$J$16</f>
        <v>54000</v>
      </c>
      <c r="K98" s="230">
        <f>C98*$K$16</f>
        <v>60780</v>
      </c>
      <c r="L98" s="230">
        <f>C98*$L$16</f>
        <v>54000</v>
      </c>
      <c r="M98" s="231">
        <f>C98*$M$16</f>
        <v>6000</v>
      </c>
      <c r="N98" s="232">
        <f t="shared" ref="N98:N107" si="31">SUM(E98:M98)</f>
        <v>905760</v>
      </c>
      <c r="O98" s="233">
        <f>N98*12</f>
        <v>10869120</v>
      </c>
    </row>
    <row r="99" spans="1:15">
      <c r="A99" s="236">
        <v>2</v>
      </c>
      <c r="B99" s="243" t="s">
        <v>468</v>
      </c>
      <c r="C99" s="244">
        <v>600000</v>
      </c>
      <c r="D99" s="244">
        <v>0</v>
      </c>
      <c r="E99" s="229">
        <f t="shared" si="30"/>
        <v>600000</v>
      </c>
      <c r="F99" s="230">
        <f t="shared" ref="F99:F107" si="32">C99*$F$16</f>
        <v>49980</v>
      </c>
      <c r="G99" s="230">
        <f t="shared" ref="G99:G107" si="33">C99*$G$16</f>
        <v>6000</v>
      </c>
      <c r="H99" s="230">
        <f t="shared" ref="H99:H107" si="34">C99*$H$16</f>
        <v>49980</v>
      </c>
      <c r="I99" s="230">
        <f t="shared" ref="I99:I107" si="35">C99*$I$16</f>
        <v>25020</v>
      </c>
      <c r="J99" s="230">
        <f t="shared" ref="J99:J107" si="36">C99*$J$16</f>
        <v>54000</v>
      </c>
      <c r="K99" s="230">
        <f t="shared" ref="K99:K107" si="37">C99*$K$16</f>
        <v>60780</v>
      </c>
      <c r="L99" s="230">
        <f t="shared" ref="L99:L107" si="38">C99*$L$16</f>
        <v>54000</v>
      </c>
      <c r="M99" s="231">
        <f t="shared" ref="M99:M107" si="39">C99*$M$16</f>
        <v>6000</v>
      </c>
      <c r="N99" s="232">
        <f t="shared" si="31"/>
        <v>905760</v>
      </c>
      <c r="O99" s="233">
        <f t="shared" ref="O99:O107" si="40">N99*12</f>
        <v>10869120</v>
      </c>
    </row>
    <row r="100" spans="1:15">
      <c r="A100" s="236">
        <v>3</v>
      </c>
      <c r="B100" s="243" t="s">
        <v>468</v>
      </c>
      <c r="C100" s="244">
        <v>600000</v>
      </c>
      <c r="D100" s="244">
        <v>0</v>
      </c>
      <c r="E100" s="229">
        <f t="shared" si="30"/>
        <v>600000</v>
      </c>
      <c r="F100" s="230">
        <f t="shared" si="32"/>
        <v>49980</v>
      </c>
      <c r="G100" s="230">
        <f t="shared" si="33"/>
        <v>6000</v>
      </c>
      <c r="H100" s="230">
        <f t="shared" si="34"/>
        <v>49980</v>
      </c>
      <c r="I100" s="230">
        <f t="shared" si="35"/>
        <v>25020</v>
      </c>
      <c r="J100" s="230">
        <f t="shared" si="36"/>
        <v>54000</v>
      </c>
      <c r="K100" s="230">
        <f t="shared" si="37"/>
        <v>60780</v>
      </c>
      <c r="L100" s="230">
        <f t="shared" si="38"/>
        <v>54000</v>
      </c>
      <c r="M100" s="231">
        <f t="shared" si="39"/>
        <v>6000</v>
      </c>
      <c r="N100" s="232">
        <f t="shared" si="31"/>
        <v>905760</v>
      </c>
      <c r="O100" s="233">
        <f t="shared" si="40"/>
        <v>10869120</v>
      </c>
    </row>
    <row r="101" spans="1:15">
      <c r="A101" s="236">
        <v>4</v>
      </c>
      <c r="B101" s="243" t="s">
        <v>468</v>
      </c>
      <c r="C101" s="244">
        <v>600000</v>
      </c>
      <c r="D101" s="244">
        <v>0</v>
      </c>
      <c r="E101" s="229">
        <f t="shared" si="30"/>
        <v>600000</v>
      </c>
      <c r="F101" s="230">
        <f t="shared" si="32"/>
        <v>49980</v>
      </c>
      <c r="G101" s="230">
        <f t="shared" si="33"/>
        <v>6000</v>
      </c>
      <c r="H101" s="230">
        <f t="shared" si="34"/>
        <v>49980</v>
      </c>
      <c r="I101" s="230">
        <f t="shared" si="35"/>
        <v>25020</v>
      </c>
      <c r="J101" s="230">
        <f t="shared" si="36"/>
        <v>54000</v>
      </c>
      <c r="K101" s="230">
        <f t="shared" si="37"/>
        <v>60780</v>
      </c>
      <c r="L101" s="230">
        <f t="shared" si="38"/>
        <v>54000</v>
      </c>
      <c r="M101" s="231">
        <f t="shared" si="39"/>
        <v>6000</v>
      </c>
      <c r="N101" s="232">
        <f t="shared" si="31"/>
        <v>905760</v>
      </c>
      <c r="O101" s="233">
        <f t="shared" si="40"/>
        <v>10869120</v>
      </c>
    </row>
    <row r="102" spans="1:15" hidden="1">
      <c r="A102" s="236">
        <v>5</v>
      </c>
      <c r="B102" s="243"/>
      <c r="C102" s="244"/>
      <c r="D102" s="244">
        <v>0</v>
      </c>
      <c r="E102" s="229">
        <f t="shared" si="30"/>
        <v>0</v>
      </c>
      <c r="F102" s="230">
        <f t="shared" si="32"/>
        <v>0</v>
      </c>
      <c r="G102" s="230">
        <f t="shared" si="33"/>
        <v>0</v>
      </c>
      <c r="H102" s="230">
        <f t="shared" si="34"/>
        <v>0</v>
      </c>
      <c r="I102" s="230">
        <f t="shared" si="35"/>
        <v>0</v>
      </c>
      <c r="J102" s="230">
        <f t="shared" si="36"/>
        <v>0</v>
      </c>
      <c r="K102" s="230">
        <f t="shared" si="37"/>
        <v>0</v>
      </c>
      <c r="L102" s="230">
        <f t="shared" si="38"/>
        <v>0</v>
      </c>
      <c r="M102" s="231">
        <f t="shared" si="39"/>
        <v>0</v>
      </c>
      <c r="N102" s="232">
        <f t="shared" si="31"/>
        <v>0</v>
      </c>
      <c r="O102" s="233">
        <f t="shared" si="40"/>
        <v>0</v>
      </c>
    </row>
    <row r="103" spans="1:15" hidden="1">
      <c r="A103" s="236">
        <v>6</v>
      </c>
      <c r="B103" s="243"/>
      <c r="C103" s="244"/>
      <c r="D103" s="244">
        <v>0</v>
      </c>
      <c r="E103" s="229">
        <f t="shared" si="30"/>
        <v>0</v>
      </c>
      <c r="F103" s="230">
        <f t="shared" si="32"/>
        <v>0</v>
      </c>
      <c r="G103" s="230">
        <f t="shared" si="33"/>
        <v>0</v>
      </c>
      <c r="H103" s="230">
        <f t="shared" si="34"/>
        <v>0</v>
      </c>
      <c r="I103" s="230">
        <f t="shared" si="35"/>
        <v>0</v>
      </c>
      <c r="J103" s="230">
        <f t="shared" si="36"/>
        <v>0</v>
      </c>
      <c r="K103" s="230">
        <f t="shared" si="37"/>
        <v>0</v>
      </c>
      <c r="L103" s="230">
        <f t="shared" si="38"/>
        <v>0</v>
      </c>
      <c r="M103" s="231">
        <f t="shared" si="39"/>
        <v>0</v>
      </c>
      <c r="N103" s="232">
        <f t="shared" si="31"/>
        <v>0</v>
      </c>
      <c r="O103" s="233">
        <f t="shared" si="40"/>
        <v>0</v>
      </c>
    </row>
    <row r="104" spans="1:15" hidden="1">
      <c r="A104" s="236">
        <v>7</v>
      </c>
      <c r="B104" s="243"/>
      <c r="C104" s="244">
        <v>0</v>
      </c>
      <c r="D104" s="244">
        <v>0</v>
      </c>
      <c r="E104" s="229">
        <f t="shared" si="30"/>
        <v>0</v>
      </c>
      <c r="F104" s="230">
        <f t="shared" si="32"/>
        <v>0</v>
      </c>
      <c r="G104" s="230">
        <f t="shared" si="33"/>
        <v>0</v>
      </c>
      <c r="H104" s="230">
        <f t="shared" si="34"/>
        <v>0</v>
      </c>
      <c r="I104" s="230">
        <f t="shared" si="35"/>
        <v>0</v>
      </c>
      <c r="J104" s="230">
        <f t="shared" si="36"/>
        <v>0</v>
      </c>
      <c r="K104" s="230">
        <f t="shared" si="37"/>
        <v>0</v>
      </c>
      <c r="L104" s="230">
        <f t="shared" si="38"/>
        <v>0</v>
      </c>
      <c r="M104" s="231">
        <f t="shared" si="39"/>
        <v>0</v>
      </c>
      <c r="N104" s="232">
        <f t="shared" si="31"/>
        <v>0</v>
      </c>
      <c r="O104" s="233">
        <f t="shared" si="40"/>
        <v>0</v>
      </c>
    </row>
    <row r="105" spans="1:15" hidden="1">
      <c r="A105" s="236">
        <v>8</v>
      </c>
      <c r="B105" s="243"/>
      <c r="C105" s="244">
        <v>0</v>
      </c>
      <c r="D105" s="244">
        <v>0</v>
      </c>
      <c r="E105" s="229">
        <f t="shared" si="30"/>
        <v>0</v>
      </c>
      <c r="F105" s="230">
        <f t="shared" si="32"/>
        <v>0</v>
      </c>
      <c r="G105" s="230">
        <f t="shared" si="33"/>
        <v>0</v>
      </c>
      <c r="H105" s="230">
        <f t="shared" si="34"/>
        <v>0</v>
      </c>
      <c r="I105" s="230">
        <f t="shared" si="35"/>
        <v>0</v>
      </c>
      <c r="J105" s="230">
        <f t="shared" si="36"/>
        <v>0</v>
      </c>
      <c r="K105" s="230">
        <f t="shared" si="37"/>
        <v>0</v>
      </c>
      <c r="L105" s="230">
        <f t="shared" si="38"/>
        <v>0</v>
      </c>
      <c r="M105" s="231">
        <f t="shared" si="39"/>
        <v>0</v>
      </c>
      <c r="N105" s="232">
        <f t="shared" si="31"/>
        <v>0</v>
      </c>
      <c r="O105" s="233">
        <f t="shared" si="40"/>
        <v>0</v>
      </c>
    </row>
    <row r="106" spans="1:15" hidden="1">
      <c r="A106" s="236">
        <v>9</v>
      </c>
      <c r="B106" s="243"/>
      <c r="C106" s="244">
        <v>0</v>
      </c>
      <c r="D106" s="244">
        <v>0</v>
      </c>
      <c r="E106" s="229">
        <f t="shared" si="30"/>
        <v>0</v>
      </c>
      <c r="F106" s="230">
        <f t="shared" si="32"/>
        <v>0</v>
      </c>
      <c r="G106" s="230">
        <f t="shared" si="33"/>
        <v>0</v>
      </c>
      <c r="H106" s="230">
        <f t="shared" si="34"/>
        <v>0</v>
      </c>
      <c r="I106" s="230">
        <f t="shared" si="35"/>
        <v>0</v>
      </c>
      <c r="J106" s="230">
        <f t="shared" si="36"/>
        <v>0</v>
      </c>
      <c r="K106" s="230">
        <f t="shared" si="37"/>
        <v>0</v>
      </c>
      <c r="L106" s="230">
        <f t="shared" si="38"/>
        <v>0</v>
      </c>
      <c r="M106" s="231">
        <f t="shared" si="39"/>
        <v>0</v>
      </c>
      <c r="N106" s="232">
        <f t="shared" si="31"/>
        <v>0</v>
      </c>
      <c r="O106" s="233">
        <f t="shared" si="40"/>
        <v>0</v>
      </c>
    </row>
    <row r="107" spans="1:15">
      <c r="A107" s="236">
        <v>10</v>
      </c>
      <c r="B107" s="243"/>
      <c r="C107" s="244">
        <v>0</v>
      </c>
      <c r="D107" s="244">
        <v>0</v>
      </c>
      <c r="E107" s="229">
        <f t="shared" si="30"/>
        <v>0</v>
      </c>
      <c r="F107" s="230">
        <f t="shared" si="32"/>
        <v>0</v>
      </c>
      <c r="G107" s="230">
        <f t="shared" si="33"/>
        <v>0</v>
      </c>
      <c r="H107" s="230">
        <f t="shared" si="34"/>
        <v>0</v>
      </c>
      <c r="I107" s="230">
        <f t="shared" si="35"/>
        <v>0</v>
      </c>
      <c r="J107" s="230">
        <f t="shared" si="36"/>
        <v>0</v>
      </c>
      <c r="K107" s="230">
        <f t="shared" si="37"/>
        <v>0</v>
      </c>
      <c r="L107" s="230">
        <f t="shared" si="38"/>
        <v>0</v>
      </c>
      <c r="M107" s="231">
        <f t="shared" si="39"/>
        <v>0</v>
      </c>
      <c r="N107" s="232">
        <f t="shared" si="31"/>
        <v>0</v>
      </c>
      <c r="O107" s="233">
        <f t="shared" si="40"/>
        <v>0</v>
      </c>
    </row>
    <row r="108" spans="1:15">
      <c r="A108" s="237"/>
      <c r="B108" s="238" t="s">
        <v>155</v>
      </c>
      <c r="C108" s="239">
        <f t="shared" ref="C108:O108" si="41">SUM(C98:C107)</f>
        <v>2400000</v>
      </c>
      <c r="D108" s="239">
        <f t="shared" si="41"/>
        <v>0</v>
      </c>
      <c r="E108" s="239">
        <f t="shared" si="41"/>
        <v>2400000</v>
      </c>
      <c r="F108" s="239">
        <f t="shared" si="41"/>
        <v>199920</v>
      </c>
      <c r="G108" s="239">
        <f t="shared" si="41"/>
        <v>24000</v>
      </c>
      <c r="H108" s="239">
        <f t="shared" si="41"/>
        <v>199920</v>
      </c>
      <c r="I108" s="239">
        <f t="shared" si="41"/>
        <v>100080</v>
      </c>
      <c r="J108" s="239">
        <f t="shared" si="41"/>
        <v>216000</v>
      </c>
      <c r="K108" s="239">
        <f t="shared" si="41"/>
        <v>243120</v>
      </c>
      <c r="L108" s="239">
        <f t="shared" si="41"/>
        <v>216000</v>
      </c>
      <c r="M108" s="239">
        <f t="shared" si="41"/>
        <v>24000</v>
      </c>
      <c r="N108" s="239">
        <f t="shared" si="41"/>
        <v>3623040</v>
      </c>
      <c r="O108" s="239">
        <f t="shared" si="41"/>
        <v>43476480</v>
      </c>
    </row>
    <row r="109" spans="1:15">
      <c r="A109" s="237"/>
      <c r="B109" s="238" t="s">
        <v>156</v>
      </c>
      <c r="C109" s="239">
        <f>C108*12</f>
        <v>28800000</v>
      </c>
      <c r="D109" s="239">
        <f t="shared" ref="D109:N109" si="42">D108*12</f>
        <v>0</v>
      </c>
      <c r="E109" s="239">
        <f t="shared" si="42"/>
        <v>28800000</v>
      </c>
      <c r="F109" s="239">
        <f t="shared" si="42"/>
        <v>2399040</v>
      </c>
      <c r="G109" s="239">
        <f t="shared" si="42"/>
        <v>288000</v>
      </c>
      <c r="H109" s="239">
        <f t="shared" si="42"/>
        <v>2399040</v>
      </c>
      <c r="I109" s="239">
        <f t="shared" si="42"/>
        <v>1200960</v>
      </c>
      <c r="J109" s="239">
        <f t="shared" si="42"/>
        <v>2592000</v>
      </c>
      <c r="K109" s="239">
        <f t="shared" si="42"/>
        <v>2917440</v>
      </c>
      <c r="L109" s="239">
        <f t="shared" si="42"/>
        <v>2592000</v>
      </c>
      <c r="M109" s="239">
        <f t="shared" si="42"/>
        <v>288000</v>
      </c>
      <c r="N109" s="239">
        <f t="shared" si="42"/>
        <v>43476480</v>
      </c>
      <c r="O109" s="240"/>
    </row>
    <row r="112" spans="1:15">
      <c r="A112" s="218" t="s">
        <v>157</v>
      </c>
    </row>
    <row r="114" spans="1:4">
      <c r="A114" s="234" t="s">
        <v>148</v>
      </c>
      <c r="B114" s="219" t="s">
        <v>149</v>
      </c>
      <c r="C114" s="220" t="s">
        <v>150</v>
      </c>
      <c r="D114" s="220" t="s">
        <v>158</v>
      </c>
    </row>
    <row r="115" spans="1:4">
      <c r="A115" s="236">
        <v>1</v>
      </c>
      <c r="B115" s="241" t="s">
        <v>159</v>
      </c>
      <c r="C115" s="258">
        <v>0</v>
      </c>
      <c r="D115" s="223">
        <f>C115*12</f>
        <v>0</v>
      </c>
    </row>
    <row r="116" spans="1:4">
      <c r="A116" s="236">
        <v>2</v>
      </c>
      <c r="B116" s="241" t="s">
        <v>160</v>
      </c>
      <c r="C116" s="242">
        <v>0</v>
      </c>
      <c r="D116" s="223">
        <f t="shared" ref="D116:D125" si="43">C116*12</f>
        <v>0</v>
      </c>
    </row>
    <row r="117" spans="1:4">
      <c r="A117" s="236">
        <v>3</v>
      </c>
      <c r="B117" s="241" t="s">
        <v>161</v>
      </c>
      <c r="C117" s="242">
        <v>0</v>
      </c>
      <c r="D117" s="223">
        <f t="shared" si="43"/>
        <v>0</v>
      </c>
    </row>
    <row r="118" spans="1:4">
      <c r="A118" s="236">
        <v>4</v>
      </c>
      <c r="B118" s="241" t="s">
        <v>162</v>
      </c>
      <c r="C118" s="242">
        <v>0</v>
      </c>
      <c r="D118" s="223">
        <f t="shared" si="43"/>
        <v>0</v>
      </c>
    </row>
    <row r="119" spans="1:4">
      <c r="A119" s="236">
        <v>5</v>
      </c>
      <c r="B119" s="241" t="s">
        <v>163</v>
      </c>
      <c r="C119" s="242">
        <v>0</v>
      </c>
      <c r="D119" s="223">
        <f t="shared" si="43"/>
        <v>0</v>
      </c>
    </row>
    <row r="120" spans="1:4">
      <c r="A120" s="236">
        <v>6</v>
      </c>
      <c r="B120" s="241" t="s">
        <v>164</v>
      </c>
      <c r="C120" s="242">
        <v>0</v>
      </c>
      <c r="D120" s="223">
        <f t="shared" si="43"/>
        <v>0</v>
      </c>
    </row>
    <row r="121" spans="1:4">
      <c r="A121" s="236">
        <v>7</v>
      </c>
      <c r="B121" s="241"/>
      <c r="C121" s="242">
        <v>0</v>
      </c>
      <c r="D121" s="223">
        <f t="shared" si="43"/>
        <v>0</v>
      </c>
    </row>
    <row r="122" spans="1:4">
      <c r="A122" s="236">
        <v>8</v>
      </c>
      <c r="B122" s="241"/>
      <c r="C122" s="242">
        <v>0</v>
      </c>
      <c r="D122" s="223">
        <f t="shared" si="43"/>
        <v>0</v>
      </c>
    </row>
    <row r="123" spans="1:4">
      <c r="A123" s="236">
        <v>9</v>
      </c>
      <c r="B123" s="241"/>
      <c r="C123" s="242">
        <v>0</v>
      </c>
      <c r="D123" s="223">
        <f t="shared" si="43"/>
        <v>0</v>
      </c>
    </row>
    <row r="124" spans="1:4">
      <c r="A124" s="236">
        <v>10</v>
      </c>
      <c r="B124" s="241"/>
      <c r="C124" s="242">
        <v>0</v>
      </c>
      <c r="D124" s="223">
        <f t="shared" si="43"/>
        <v>0</v>
      </c>
    </row>
    <row r="125" spans="1:4">
      <c r="A125" s="236">
        <v>11</v>
      </c>
      <c r="B125" s="241"/>
      <c r="C125" s="242">
        <v>0</v>
      </c>
      <c r="D125" s="223">
        <f t="shared" si="43"/>
        <v>0</v>
      </c>
    </row>
    <row r="126" spans="1:4">
      <c r="A126" s="237"/>
      <c r="B126" s="238" t="s">
        <v>155</v>
      </c>
      <c r="C126" s="239">
        <f>SUM(C116:C125)</f>
        <v>0</v>
      </c>
      <c r="D126" s="239">
        <f>SUM(D116:D125)</f>
        <v>0</v>
      </c>
    </row>
    <row r="127" spans="1:4">
      <c r="A127" s="237"/>
      <c r="B127" s="238" t="s">
        <v>156</v>
      </c>
      <c r="C127" s="239">
        <f>C126*12</f>
        <v>0</v>
      </c>
      <c r="D127" s="239"/>
    </row>
    <row r="133" spans="1:14">
      <c r="H133" s="784" t="s">
        <v>205</v>
      </c>
      <c r="I133" s="784"/>
      <c r="J133" s="784"/>
      <c r="K133" s="784"/>
      <c r="L133" s="784"/>
      <c r="M133" s="784"/>
      <c r="N133" s="784"/>
    </row>
    <row r="134" spans="1:14">
      <c r="A134" s="787" t="s">
        <v>178</v>
      </c>
      <c r="B134" s="787"/>
      <c r="C134" s="249" t="s">
        <v>37</v>
      </c>
      <c r="D134" s="249" t="s">
        <v>179</v>
      </c>
      <c r="H134" s="784"/>
      <c r="I134" s="784"/>
      <c r="J134" s="784"/>
      <c r="K134" s="784"/>
      <c r="L134" s="784"/>
      <c r="M134" s="784"/>
      <c r="N134" s="784"/>
    </row>
    <row r="135" spans="1:14">
      <c r="A135" s="786" t="s">
        <v>177</v>
      </c>
      <c r="B135" s="786"/>
      <c r="C135" s="254">
        <v>1000000</v>
      </c>
      <c r="D135" s="253">
        <f>C135*12</f>
        <v>12000000</v>
      </c>
      <c r="H135" s="784"/>
      <c r="I135" s="784"/>
      <c r="J135" s="784"/>
      <c r="K135" s="784"/>
      <c r="L135" s="784"/>
      <c r="M135" s="784"/>
      <c r="N135" s="784"/>
    </row>
    <row r="136" spans="1:14">
      <c r="A136" s="786" t="s">
        <v>176</v>
      </c>
      <c r="B136" s="786"/>
      <c r="C136" s="254">
        <v>0</v>
      </c>
      <c r="D136" s="253">
        <f t="shared" ref="D136:D161" si="44">C136*12</f>
        <v>0</v>
      </c>
      <c r="H136" s="261" t="s">
        <v>211</v>
      </c>
      <c r="I136" s="261"/>
      <c r="J136" s="261">
        <f>'CUADRO DE COSTOS Y GASTOS FIJOS'!F2</f>
        <v>2012</v>
      </c>
      <c r="K136" s="261">
        <f>'CUADRO DE COSTOS Y GASTOS FIJOS'!G2</f>
        <v>2013</v>
      </c>
      <c r="L136" s="261">
        <f>'CUADRO DE COSTOS Y GASTOS FIJOS'!H2</f>
        <v>2014</v>
      </c>
      <c r="M136" s="261">
        <f>'CUADRO DE COSTOS Y GASTOS FIJOS'!I2</f>
        <v>2015</v>
      </c>
      <c r="N136" s="261">
        <f>'CUADRO DE COSTOS Y GASTOS FIJOS'!J2</f>
        <v>2016</v>
      </c>
    </row>
    <row r="137" spans="1:14">
      <c r="A137" s="786" t="s">
        <v>180</v>
      </c>
      <c r="B137" s="786"/>
      <c r="C137" s="254">
        <v>0</v>
      </c>
      <c r="D137" s="253">
        <f t="shared" si="44"/>
        <v>0</v>
      </c>
      <c r="H137" s="790" t="s">
        <v>206</v>
      </c>
      <c r="I137" s="790"/>
      <c r="J137" s="262">
        <v>10408500</v>
      </c>
      <c r="K137" s="263">
        <v>10608500</v>
      </c>
      <c r="L137" s="263">
        <v>10808500</v>
      </c>
      <c r="M137" s="263">
        <v>11000500</v>
      </c>
      <c r="N137" s="263">
        <v>11200500</v>
      </c>
    </row>
    <row r="138" spans="1:14">
      <c r="A138" s="786" t="s">
        <v>181</v>
      </c>
      <c r="B138" s="786"/>
      <c r="C138" s="254">
        <v>150000</v>
      </c>
      <c r="D138" s="253">
        <f t="shared" si="44"/>
        <v>1800000</v>
      </c>
      <c r="H138" s="790" t="s">
        <v>207</v>
      </c>
      <c r="I138" s="790"/>
      <c r="J138" s="262">
        <v>2700000</v>
      </c>
      <c r="K138" s="263">
        <v>2900000</v>
      </c>
      <c r="L138" s="263">
        <v>3100000</v>
      </c>
      <c r="M138" s="263">
        <v>3300000</v>
      </c>
      <c r="N138" s="263">
        <v>3500000</v>
      </c>
    </row>
    <row r="139" spans="1:14">
      <c r="A139" s="786" t="s">
        <v>182</v>
      </c>
      <c r="B139" s="786"/>
      <c r="C139" s="254">
        <v>0</v>
      </c>
      <c r="D139" s="253">
        <f t="shared" si="44"/>
        <v>0</v>
      </c>
      <c r="H139" s="790" t="s">
        <v>208</v>
      </c>
      <c r="I139" s="790"/>
      <c r="J139" s="262">
        <v>5400000</v>
      </c>
      <c r="K139" s="263">
        <v>5600000</v>
      </c>
      <c r="L139" s="263">
        <v>5800000</v>
      </c>
      <c r="M139" s="263">
        <v>6000000</v>
      </c>
      <c r="N139" s="263">
        <v>6200000</v>
      </c>
    </row>
    <row r="140" spans="1:14">
      <c r="A140" s="786" t="s">
        <v>183</v>
      </c>
      <c r="B140" s="786"/>
      <c r="C140" s="254">
        <v>105000</v>
      </c>
      <c r="D140" s="253">
        <f t="shared" si="44"/>
        <v>1260000</v>
      </c>
      <c r="H140" s="790" t="s">
        <v>209</v>
      </c>
      <c r="I140" s="790"/>
      <c r="J140" s="262">
        <v>36000000</v>
      </c>
      <c r="K140" s="263">
        <v>36200000</v>
      </c>
      <c r="L140" s="263">
        <v>36400000</v>
      </c>
      <c r="M140" s="263">
        <v>36600000</v>
      </c>
      <c r="N140" s="263">
        <v>36800000</v>
      </c>
    </row>
    <row r="141" spans="1:14">
      <c r="A141" s="786" t="s">
        <v>184</v>
      </c>
      <c r="B141" s="786"/>
      <c r="C141" s="254">
        <v>250000</v>
      </c>
      <c r="D141" s="253">
        <f t="shared" si="44"/>
        <v>3000000</v>
      </c>
      <c r="H141" s="788" t="s">
        <v>210</v>
      </c>
      <c r="I141" s="789"/>
      <c r="J141" s="264">
        <f>SUM(J137:J140)</f>
        <v>54508500</v>
      </c>
      <c r="K141" s="264">
        <f>SUM(K137:K140)</f>
        <v>55308500</v>
      </c>
      <c r="L141" s="264">
        <f>SUM(L137:L140)</f>
        <v>56108500</v>
      </c>
      <c r="M141" s="264">
        <f>SUM(M137:M140)</f>
        <v>56900500</v>
      </c>
      <c r="N141" s="264">
        <f>SUM(N137:N140)</f>
        <v>57700500</v>
      </c>
    </row>
    <row r="142" spans="1:14">
      <c r="A142" s="786" t="s">
        <v>185</v>
      </c>
      <c r="B142" s="786"/>
      <c r="C142" s="254">
        <v>500000</v>
      </c>
      <c r="D142" s="253">
        <f t="shared" si="44"/>
        <v>6000000</v>
      </c>
    </row>
    <row r="143" spans="1:14">
      <c r="A143" s="786" t="s">
        <v>186</v>
      </c>
      <c r="B143" s="786"/>
      <c r="C143" s="254">
        <v>0</v>
      </c>
      <c r="D143" s="253">
        <f t="shared" si="44"/>
        <v>0</v>
      </c>
    </row>
    <row r="144" spans="1:14">
      <c r="A144" s="786" t="s">
        <v>187</v>
      </c>
      <c r="B144" s="786"/>
      <c r="C144" s="254">
        <v>0</v>
      </c>
      <c r="D144" s="253">
        <f t="shared" si="44"/>
        <v>0</v>
      </c>
    </row>
    <row r="145" spans="1:4">
      <c r="A145" s="785" t="s">
        <v>470</v>
      </c>
      <c r="B145" s="785"/>
      <c r="C145" s="254">
        <v>100000</v>
      </c>
      <c r="D145" s="253">
        <f t="shared" si="44"/>
        <v>1200000</v>
      </c>
    </row>
    <row r="146" spans="1:4">
      <c r="A146" s="785" t="s">
        <v>471</v>
      </c>
      <c r="B146" s="785"/>
      <c r="C146" s="254">
        <v>100000</v>
      </c>
      <c r="D146" s="253">
        <f t="shared" si="44"/>
        <v>1200000</v>
      </c>
    </row>
    <row r="147" spans="1:4" hidden="1">
      <c r="A147" s="785" t="s">
        <v>188</v>
      </c>
      <c r="B147" s="785"/>
      <c r="C147" s="254">
        <v>0</v>
      </c>
      <c r="D147" s="253">
        <f t="shared" si="44"/>
        <v>0</v>
      </c>
    </row>
    <row r="148" spans="1:4" hidden="1">
      <c r="A148" s="785" t="s">
        <v>188</v>
      </c>
      <c r="B148" s="785"/>
      <c r="C148" s="254">
        <v>0</v>
      </c>
      <c r="D148" s="253">
        <f t="shared" si="44"/>
        <v>0</v>
      </c>
    </row>
    <row r="149" spans="1:4" hidden="1">
      <c r="A149" s="785" t="s">
        <v>188</v>
      </c>
      <c r="B149" s="785"/>
      <c r="C149" s="254">
        <v>0</v>
      </c>
      <c r="D149" s="253">
        <f t="shared" si="44"/>
        <v>0</v>
      </c>
    </row>
    <row r="150" spans="1:4" hidden="1">
      <c r="A150" s="785" t="s">
        <v>188</v>
      </c>
      <c r="B150" s="785"/>
      <c r="C150" s="254">
        <v>0</v>
      </c>
      <c r="D150" s="253">
        <f t="shared" si="44"/>
        <v>0</v>
      </c>
    </row>
    <row r="151" spans="1:4" hidden="1">
      <c r="A151" s="785" t="s">
        <v>188</v>
      </c>
      <c r="B151" s="785"/>
      <c r="C151" s="254">
        <v>0</v>
      </c>
      <c r="D151" s="253">
        <f t="shared" si="44"/>
        <v>0</v>
      </c>
    </row>
    <row r="152" spans="1:4" hidden="1">
      <c r="A152" s="785" t="s">
        <v>188</v>
      </c>
      <c r="B152" s="785"/>
      <c r="C152" s="254">
        <v>0</v>
      </c>
      <c r="D152" s="253">
        <f t="shared" si="44"/>
        <v>0</v>
      </c>
    </row>
    <row r="153" spans="1:4" hidden="1">
      <c r="A153" s="785" t="s">
        <v>188</v>
      </c>
      <c r="B153" s="785"/>
      <c r="C153" s="254">
        <v>0</v>
      </c>
      <c r="D153" s="253">
        <f t="shared" si="44"/>
        <v>0</v>
      </c>
    </row>
    <row r="154" spans="1:4" hidden="1">
      <c r="A154" s="785" t="s">
        <v>188</v>
      </c>
      <c r="B154" s="785"/>
      <c r="C154" s="254">
        <v>0</v>
      </c>
      <c r="D154" s="253">
        <f t="shared" si="44"/>
        <v>0</v>
      </c>
    </row>
    <row r="155" spans="1:4" hidden="1">
      <c r="A155" s="785" t="s">
        <v>188</v>
      </c>
      <c r="B155" s="785"/>
      <c r="C155" s="254">
        <v>0</v>
      </c>
      <c r="D155" s="253">
        <f t="shared" si="44"/>
        <v>0</v>
      </c>
    </row>
    <row r="156" spans="1:4" hidden="1">
      <c r="A156" s="785" t="s">
        <v>188</v>
      </c>
      <c r="B156" s="785"/>
      <c r="C156" s="254">
        <v>0</v>
      </c>
      <c r="D156" s="253">
        <f t="shared" si="44"/>
        <v>0</v>
      </c>
    </row>
    <row r="157" spans="1:4" hidden="1">
      <c r="A157" s="785" t="s">
        <v>188</v>
      </c>
      <c r="B157" s="785"/>
      <c r="C157" s="254">
        <v>0</v>
      </c>
      <c r="D157" s="253">
        <f t="shared" si="44"/>
        <v>0</v>
      </c>
    </row>
    <row r="158" spans="1:4" hidden="1">
      <c r="A158" s="785" t="s">
        <v>188</v>
      </c>
      <c r="B158" s="785"/>
      <c r="C158" s="254">
        <v>0</v>
      </c>
      <c r="D158" s="253">
        <f t="shared" si="44"/>
        <v>0</v>
      </c>
    </row>
    <row r="159" spans="1:4" hidden="1">
      <c r="A159" s="785" t="s">
        <v>188</v>
      </c>
      <c r="B159" s="785"/>
      <c r="C159" s="254">
        <v>0</v>
      </c>
      <c r="D159" s="253">
        <f t="shared" si="44"/>
        <v>0</v>
      </c>
    </row>
    <row r="160" spans="1:4" hidden="1">
      <c r="A160" s="785" t="s">
        <v>188</v>
      </c>
      <c r="B160" s="785"/>
      <c r="C160" s="254">
        <v>0</v>
      </c>
      <c r="D160" s="253">
        <f t="shared" si="44"/>
        <v>0</v>
      </c>
    </row>
    <row r="161" spans="1:4" hidden="1">
      <c r="A161" s="785" t="s">
        <v>188</v>
      </c>
      <c r="B161" s="785"/>
      <c r="C161" s="254">
        <v>0</v>
      </c>
      <c r="D161" s="253">
        <f t="shared" si="44"/>
        <v>0</v>
      </c>
    </row>
    <row r="162" spans="1:4">
      <c r="A162" s="251" t="s">
        <v>189</v>
      </c>
      <c r="B162" s="250"/>
      <c r="C162" s="251"/>
      <c r="D162" s="252">
        <f>SUM(D135:D161)</f>
        <v>26460000</v>
      </c>
    </row>
  </sheetData>
  <sheetProtection password="909C" sheet="1" formatRows="0" insertColumns="0"/>
  <mergeCells count="34">
    <mergeCell ref="H141:I141"/>
    <mergeCell ref="H137:I137"/>
    <mergeCell ref="H138:I138"/>
    <mergeCell ref="H139:I139"/>
    <mergeCell ref="H140:I140"/>
    <mergeCell ref="A161:B161"/>
    <mergeCell ref="A150:B150"/>
    <mergeCell ref="A151:B151"/>
    <mergeCell ref="A152:B152"/>
    <mergeCell ref="A153:B153"/>
    <mergeCell ref="A157:B157"/>
    <mergeCell ref="A155:B155"/>
    <mergeCell ref="A158:B158"/>
    <mergeCell ref="A159:B159"/>
    <mergeCell ref="A134:B134"/>
    <mergeCell ref="A160:B160"/>
    <mergeCell ref="A146:B146"/>
    <mergeCell ref="A147:B147"/>
    <mergeCell ref="A148:B148"/>
    <mergeCell ref="A149:B149"/>
    <mergeCell ref="A139:B139"/>
    <mergeCell ref="A136:B136"/>
    <mergeCell ref="A137:B137"/>
    <mergeCell ref="A138:B138"/>
    <mergeCell ref="H133:N135"/>
    <mergeCell ref="A156:B156"/>
    <mergeCell ref="A154:B154"/>
    <mergeCell ref="A140:B140"/>
    <mergeCell ref="A141:B141"/>
    <mergeCell ref="A142:B142"/>
    <mergeCell ref="A143:B143"/>
    <mergeCell ref="A144:B144"/>
    <mergeCell ref="A145:B145"/>
    <mergeCell ref="A135:B135"/>
  </mergeCells>
  <phoneticPr fontId="0" type="noConversion"/>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sheetPr codeName="Hoja11"/>
  <dimension ref="A5:F32"/>
  <sheetViews>
    <sheetView view="pageBreakPreview" zoomScale="90" zoomScaleNormal="100" zoomScaleSheetLayoutView="90" workbookViewId="0">
      <selection activeCell="C11" sqref="C11"/>
    </sheetView>
  </sheetViews>
  <sheetFormatPr baseColWidth="10" defaultRowHeight="12.75"/>
  <cols>
    <col min="1" max="1" width="11.42578125" style="3"/>
    <col min="2" max="2" width="39.5703125" style="3" customWidth="1"/>
    <col min="3" max="3" width="21" style="3" bestFit="1" customWidth="1"/>
    <col min="4" max="4" width="22.28515625" style="3" bestFit="1" customWidth="1"/>
    <col min="5" max="5" width="17.7109375" style="3" bestFit="1" customWidth="1"/>
    <col min="6" max="6" width="18.7109375" style="3" bestFit="1" customWidth="1"/>
    <col min="7" max="16384" width="11.42578125" style="3"/>
  </cols>
  <sheetData>
    <row r="5" spans="1:6" ht="13.5" thickBot="1"/>
    <row r="6" spans="1:6">
      <c r="D6" s="792" t="s">
        <v>281</v>
      </c>
      <c r="E6" s="793"/>
      <c r="F6" s="794"/>
    </row>
    <row r="7" spans="1:6">
      <c r="B7" s="365" t="s">
        <v>263</v>
      </c>
      <c r="C7" s="370">
        <f>'CTOS VS ING OPER - INV INFRAEST'!D218</f>
        <v>27450000</v>
      </c>
      <c r="D7" s="795"/>
      <c r="E7" s="796"/>
      <c r="F7" s="797"/>
    </row>
    <row r="8" spans="1:6" ht="13.5" thickBot="1">
      <c r="B8" s="365" t="s">
        <v>264</v>
      </c>
      <c r="C8" s="370">
        <f>'CTOS VS ING OPER - INV INFRAEST'!C211</f>
        <v>18200000</v>
      </c>
      <c r="D8" s="798"/>
      <c r="E8" s="799"/>
      <c r="F8" s="800"/>
    </row>
    <row r="9" spans="1:6" ht="13.5" thickBot="1"/>
    <row r="10" spans="1:6">
      <c r="A10" s="359"/>
      <c r="B10" s="366" t="s">
        <v>11</v>
      </c>
      <c r="C10" s="367" t="s">
        <v>265</v>
      </c>
      <c r="D10" s="368" t="s">
        <v>267</v>
      </c>
    </row>
    <row r="11" spans="1:6" ht="13.5" thickBot="1">
      <c r="A11" s="360" t="s">
        <v>266</v>
      </c>
      <c r="B11" s="361">
        <f>'COSTOS DE PRODUCCION'!P220</f>
        <v>8400000</v>
      </c>
      <c r="C11" s="371">
        <v>6</v>
      </c>
      <c r="D11" s="369">
        <f>(B11/12)*C11</f>
        <v>4200000</v>
      </c>
    </row>
    <row r="12" spans="1:6" ht="13.5" thickBot="1"/>
    <row r="13" spans="1:6">
      <c r="A13" s="359"/>
      <c r="B13" s="366" t="s">
        <v>268</v>
      </c>
      <c r="C13" s="367" t="s">
        <v>265</v>
      </c>
      <c r="D13" s="368" t="s">
        <v>267</v>
      </c>
    </row>
    <row r="14" spans="1:6" ht="13.5" thickBot="1">
      <c r="A14" s="360" t="s">
        <v>266</v>
      </c>
      <c r="B14" s="361">
        <f>'COSTOS DE PRODUCCION'!P219</f>
        <v>0</v>
      </c>
      <c r="C14" s="371">
        <v>5</v>
      </c>
      <c r="D14" s="369">
        <f>(B14/12)*C14</f>
        <v>0</v>
      </c>
    </row>
    <row r="15" spans="1:6" ht="13.5" thickBot="1"/>
    <row r="16" spans="1:6">
      <c r="A16" s="359"/>
      <c r="B16" s="366" t="s">
        <v>269</v>
      </c>
      <c r="C16" s="367" t="s">
        <v>265</v>
      </c>
      <c r="D16" s="368" t="s">
        <v>267</v>
      </c>
    </row>
    <row r="17" spans="1:6" ht="13.5" thickBot="1">
      <c r="A17" s="360" t="s">
        <v>266</v>
      </c>
      <c r="B17" s="361">
        <f>'COSTOS DE PRODUCCION'!P221</f>
        <v>0</v>
      </c>
      <c r="C17" s="371">
        <v>6</v>
      </c>
      <c r="D17" s="369">
        <f>(B17/12)*C17</f>
        <v>0</v>
      </c>
    </row>
    <row r="19" spans="1:6" ht="14.25">
      <c r="B19" s="791" t="s">
        <v>270</v>
      </c>
      <c r="C19" s="791"/>
      <c r="D19" s="363">
        <f>C7+C8+D11+D14+D17</f>
        <v>49850000</v>
      </c>
    </row>
    <row r="20" spans="1:6" ht="13.5" thickBot="1">
      <c r="B20" s="791" t="s">
        <v>271</v>
      </c>
      <c r="C20" s="791"/>
      <c r="D20" s="372">
        <v>10000000</v>
      </c>
    </row>
    <row r="21" spans="1:6">
      <c r="B21" s="362" t="s">
        <v>272</v>
      </c>
      <c r="C21" s="362"/>
      <c r="D21" s="364">
        <f>D19-D20</f>
        <v>39850000</v>
      </c>
    </row>
    <row r="23" spans="1:6">
      <c r="C23" s="16" t="s">
        <v>155</v>
      </c>
      <c r="D23" s="16" t="s">
        <v>156</v>
      </c>
    </row>
    <row r="24" spans="1:6">
      <c r="B24" s="16" t="s">
        <v>277</v>
      </c>
      <c r="C24" s="373">
        <v>0.02</v>
      </c>
      <c r="D24" s="353">
        <f>((1+C24)^12)-1</f>
        <v>0.26824179456254527</v>
      </c>
    </row>
    <row r="26" spans="1:6">
      <c r="B26" s="354" t="s">
        <v>101</v>
      </c>
      <c r="C26" s="355" t="s">
        <v>273</v>
      </c>
      <c r="D26" s="354" t="s">
        <v>274</v>
      </c>
      <c r="E26" s="354" t="s">
        <v>275</v>
      </c>
      <c r="F26" s="354" t="s">
        <v>276</v>
      </c>
    </row>
    <row r="27" spans="1:6">
      <c r="B27" s="356">
        <v>0</v>
      </c>
      <c r="C27" s="357"/>
      <c r="D27" s="358"/>
      <c r="E27" s="358"/>
      <c r="F27" s="358">
        <f>D21*-1</f>
        <v>-39850000</v>
      </c>
    </row>
    <row r="28" spans="1:6">
      <c r="B28" s="356">
        <f>'CTOS VS ING OPER - INV INFRAEST'!C3</f>
        <v>2012</v>
      </c>
      <c r="C28" s="358">
        <f>D28+E28</f>
        <v>-18659435.513317429</v>
      </c>
      <c r="D28" s="358">
        <f>$F$27/'1'!$F$27</f>
        <v>-7970000</v>
      </c>
      <c r="E28" s="358">
        <f>F27*$D$24</f>
        <v>-10689435.513317429</v>
      </c>
      <c r="F28" s="358">
        <f>F27-D28</f>
        <v>-31880000</v>
      </c>
    </row>
    <row r="29" spans="1:6">
      <c r="B29" s="356">
        <f>'CTOS VS ING OPER - INV INFRAEST'!D3</f>
        <v>2013</v>
      </c>
      <c r="C29" s="358">
        <f>D29+E29</f>
        <v>-16521548.410653943</v>
      </c>
      <c r="D29" s="358">
        <f>$F$27/'1'!$F$27</f>
        <v>-7970000</v>
      </c>
      <c r="E29" s="358">
        <f>F28*$D$24</f>
        <v>-8551548.4106539432</v>
      </c>
      <c r="F29" s="358">
        <f>F28-D29</f>
        <v>-23910000</v>
      </c>
    </row>
    <row r="30" spans="1:6">
      <c r="B30" s="356">
        <f>'CTOS VS ING OPER - INV INFRAEST'!E3</f>
        <v>2014</v>
      </c>
      <c r="C30" s="358">
        <f>D30+E30</f>
        <v>-14383661.307990458</v>
      </c>
      <c r="D30" s="358">
        <f>$F$27/'1'!$F$27</f>
        <v>-7970000</v>
      </c>
      <c r="E30" s="358">
        <f>F29*$D$24</f>
        <v>-6413661.3079904569</v>
      </c>
      <c r="F30" s="358">
        <f>F29-D30</f>
        <v>-15940000</v>
      </c>
    </row>
    <row r="31" spans="1:6">
      <c r="B31" s="356">
        <f>'CTOS VS ING OPER - INV INFRAEST'!F3</f>
        <v>2015</v>
      </c>
      <c r="C31" s="358">
        <f>D31+E31</f>
        <v>-12245774.205326971</v>
      </c>
      <c r="D31" s="358">
        <f>$F$27/'1'!$F$27</f>
        <v>-7970000</v>
      </c>
      <c r="E31" s="358">
        <f>F30*$D$24</f>
        <v>-4275774.2053269716</v>
      </c>
      <c r="F31" s="358">
        <f>F30-D31</f>
        <v>-7970000</v>
      </c>
    </row>
    <row r="32" spans="1:6">
      <c r="B32" s="356">
        <f>'CTOS VS ING OPER - INV INFRAEST'!G3</f>
        <v>2016</v>
      </c>
      <c r="C32" s="358">
        <f>D32+E32</f>
        <v>-10107887.102663485</v>
      </c>
      <c r="D32" s="358">
        <f>$F$27/'1'!$F$27</f>
        <v>-7970000</v>
      </c>
      <c r="E32" s="358">
        <f>F31*$D$24</f>
        <v>-2137887.1026634858</v>
      </c>
      <c r="F32" s="358">
        <f>F31-D32</f>
        <v>0</v>
      </c>
    </row>
  </sheetData>
  <sheetProtection password="909C" sheet="1" selectLockedCells="1"/>
  <mergeCells count="3">
    <mergeCell ref="B19:C19"/>
    <mergeCell ref="B20:C20"/>
    <mergeCell ref="D6:F8"/>
  </mergeCells>
  <phoneticPr fontId="0" type="noConversion"/>
  <pageMargins left="0.7" right="0.7" top="0.75" bottom="0.75" header="0.3" footer="0.3"/>
  <pageSetup scale="54"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12</vt:i4>
      </vt:variant>
    </vt:vector>
  </HeadingPairs>
  <TitlesOfParts>
    <vt:vector size="27" baseType="lpstr">
      <vt:lpstr>PORTADA</vt:lpstr>
      <vt:lpstr>INSTRUCCIONES GENERALES</vt:lpstr>
      <vt:lpstr>Menú</vt:lpstr>
      <vt:lpstr>1</vt:lpstr>
      <vt:lpstr>PROYECCIÓN DE VENTAS</vt:lpstr>
      <vt:lpstr>COSTOS DE PRODUCCION</vt:lpstr>
      <vt:lpstr>CTOS VS ING OPER - INV INFRAEST</vt:lpstr>
      <vt:lpstr>GTOS ADTIVO Y VTAS - CTOS FIJOS</vt:lpstr>
      <vt:lpstr>NECESIDADES DE FINANCIACIÓN</vt:lpstr>
      <vt:lpstr>CUADRO DE COSTOS Y GASTOS FIJOS</vt:lpstr>
      <vt:lpstr>PUNTO DE EQUILIBRIO</vt:lpstr>
      <vt:lpstr>BALANCE GENERAL</vt:lpstr>
      <vt:lpstr>ESTADO DE RESULTADOS</vt:lpstr>
      <vt:lpstr>FLUJO DE CAJA</vt:lpstr>
      <vt:lpstr>ANÁLISIS DE VPN Y TIR</vt:lpstr>
      <vt:lpstr>'1'!Área_de_impresión</vt:lpstr>
      <vt:lpstr>'ANÁLISIS DE VPN Y TIR'!Área_de_impresión</vt:lpstr>
      <vt:lpstr>'BALANCE GENERAL'!Área_de_impresión</vt:lpstr>
      <vt:lpstr>'CUADRO DE COSTOS Y GASTOS FIJOS'!Área_de_impresión</vt:lpstr>
      <vt:lpstr>'ESTADO DE RESULTADOS'!Área_de_impresión</vt:lpstr>
      <vt:lpstr>'FLUJO DE CAJA'!Área_de_impresión</vt:lpstr>
      <vt:lpstr>'INSTRUCCIONES GENERALES'!Área_de_impresión</vt:lpstr>
      <vt:lpstr>Menú!Área_de_impresión</vt:lpstr>
      <vt:lpstr>'NECESIDADES DE FINANCIACIÓN'!Área_de_impresión</vt:lpstr>
      <vt:lpstr>PORTADA!Área_de_impresión</vt:lpstr>
      <vt:lpstr>'PROYECCIÓN DE VENTAS'!Área_de_impresión</vt:lpstr>
      <vt:lpstr>'PUNTO DE EQUILIBRIO'!Área_de_impresión</vt:lpstr>
    </vt:vector>
  </TitlesOfParts>
  <Company>Personal sin Ánimo de Lucro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Windows</dc:creator>
  <cp:lastModifiedBy>CARLOS JULIO ROJAS</cp:lastModifiedBy>
  <cp:lastPrinted>2007-02-21T20:35:59Z</cp:lastPrinted>
  <dcterms:created xsi:type="dcterms:W3CDTF">2006-03-12T02:44:56Z</dcterms:created>
  <dcterms:modified xsi:type="dcterms:W3CDTF">2012-11-07T14:21:07Z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7CF0906">
    <vt:lpwstr/>
  </property>
  <property fmtid="{D5CDD505-2E9C-101B-9397-08002B2CF9AE}" pid="3" name="IVID27541802">
    <vt:lpwstr/>
  </property>
  <property fmtid="{D5CDD505-2E9C-101B-9397-08002B2CF9AE}" pid="4" name="IVID3B2010FF">
    <vt:lpwstr/>
  </property>
  <property fmtid="{D5CDD505-2E9C-101B-9397-08002B2CF9AE}" pid="5" name="IVID1B6816D9">
    <vt:lpwstr/>
  </property>
  <property fmtid="{D5CDD505-2E9C-101B-9397-08002B2CF9AE}" pid="6" name="IVID302816EE">
    <vt:lpwstr/>
  </property>
  <property fmtid="{D5CDD505-2E9C-101B-9397-08002B2CF9AE}" pid="7" name="IVID35DF1A61">
    <vt:lpwstr/>
  </property>
  <property fmtid="{D5CDD505-2E9C-101B-9397-08002B2CF9AE}" pid="8" name="IVID3E5316E9">
    <vt:lpwstr/>
  </property>
  <property fmtid="{D5CDD505-2E9C-101B-9397-08002B2CF9AE}" pid="9" name="IVIDA3B1909">
    <vt:lpwstr/>
  </property>
  <property fmtid="{D5CDD505-2E9C-101B-9397-08002B2CF9AE}" pid="10" name="IVIDB2B11F8">
    <vt:lpwstr/>
  </property>
  <property fmtid="{D5CDD505-2E9C-101B-9397-08002B2CF9AE}" pid="11" name="IVID45E30C8">
    <vt:lpwstr/>
  </property>
  <property fmtid="{D5CDD505-2E9C-101B-9397-08002B2CF9AE}" pid="12" name="IVIDA833F465">
    <vt:lpwstr/>
  </property>
  <property fmtid="{D5CDD505-2E9C-101B-9397-08002B2CF9AE}" pid="13" name="IVID16801801">
    <vt:lpwstr/>
  </property>
  <property fmtid="{D5CDD505-2E9C-101B-9397-08002B2CF9AE}" pid="14" name="IVID1A060B1A">
    <vt:lpwstr/>
  </property>
  <property fmtid="{D5CDD505-2E9C-101B-9397-08002B2CF9AE}" pid="15" name="IVIDE8766F40">
    <vt:lpwstr/>
  </property>
  <property fmtid="{D5CDD505-2E9C-101B-9397-08002B2CF9AE}" pid="16" name="IVID48B26348">
    <vt:lpwstr/>
  </property>
  <property fmtid="{D5CDD505-2E9C-101B-9397-08002B2CF9AE}" pid="17" name="IVID180B6DA4">
    <vt:lpwstr/>
  </property>
  <property fmtid="{D5CDD505-2E9C-101B-9397-08002B2CF9AE}" pid="18" name="IVID6C14349C">
    <vt:lpwstr/>
  </property>
  <property fmtid="{D5CDD505-2E9C-101B-9397-08002B2CF9AE}" pid="19" name="IVID548F364E">
    <vt:lpwstr/>
  </property>
</Properties>
</file>