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personal\MAESTRIA EAN\SEMESTRE III\TRABAJO DE GRADO\DOCUMENTO FINAL\ANEXOS TRABAJO DE GRADO\"/>
    </mc:Choice>
  </mc:AlternateContent>
  <workbookProtection workbookAlgorithmName="SHA-512" workbookHashValue="nWuqKvh9MI+bHDGKov8T72aPgfpVFtbAzLz4GNOXBMBk/7js3NdCKvPs2pIvHML6mF1fIllAfYtvpMCf9T3MpQ==" workbookSaltValue="wt8L+0h4Hia42GH36Dh3Ug==" workbookSpinCount="100000" lockStructure="1"/>
  <bookViews>
    <workbookView xWindow="0" yWindow="0" windowWidth="25200" windowHeight="11760"/>
  </bookViews>
  <sheets>
    <sheet name="Menú" sheetId="7" r:id="rId1"/>
    <sheet name="1" sheetId="1" r:id="rId2"/>
    <sheet name="2" sheetId="4" r:id="rId3"/>
    <sheet name="3" sheetId="3" r:id="rId4"/>
    <sheet name="Hoja2" sheetId="16" state="hidden" r:id="rId5"/>
    <sheet name="4" sheetId="5" r:id="rId6"/>
    <sheet name="5" sheetId="6" r:id="rId7"/>
    <sheet name="PROMEDIO" sheetId="14" state="hidden" r:id="rId8"/>
    <sheet name="Mix R&amp;S" sheetId="9" state="hidden" r:id="rId9"/>
    <sheet name="Hoja1" sheetId="15" state="hidden" r:id="rId10"/>
    <sheet name="Gastos e Inversión" sheetId="11" state="hidden" r:id="rId11"/>
    <sheet name="sueldo" sheetId="13" state="hidden" r:id="rId12"/>
  </sheets>
  <definedNames>
    <definedName name="_xlnm.Print_Area" localSheetId="0">Menú!$B$2:$J$24</definedName>
    <definedName name="solver_adj" localSheetId="7" hidden="1">PROMEDIO!$B$3:$B$5</definedName>
    <definedName name="solver_cvg" localSheetId="7" hidden="1">0.0001</definedName>
    <definedName name="solver_drv" localSheetId="7" hidden="1">1</definedName>
    <definedName name="solver_eng" localSheetId="7" hidden="1">1</definedName>
    <definedName name="solver_est" localSheetId="7" hidden="1">1</definedName>
    <definedName name="solver_itr" localSheetId="7" hidden="1">2147483647</definedName>
    <definedName name="solver_lhs1" localSheetId="7" hidden="1">PROMEDIO!$B$3:$B$5</definedName>
    <definedName name="solver_lhs2" localSheetId="7" hidden="1">PROMEDIO!$B$3:$B$5</definedName>
    <definedName name="solver_lhs3" localSheetId="7" hidden="1">PROMEDIO!$B$6</definedName>
    <definedName name="solver_mip" localSheetId="7" hidden="1">2147483647</definedName>
    <definedName name="solver_mni" localSheetId="7" hidden="1">30</definedName>
    <definedName name="solver_mrt" localSheetId="7" hidden="1">0.075</definedName>
    <definedName name="solver_msl" localSheetId="7" hidden="1">2</definedName>
    <definedName name="solver_neg" localSheetId="7" hidden="1">1</definedName>
    <definedName name="solver_nod" localSheetId="7" hidden="1">2147483647</definedName>
    <definedName name="solver_num" localSheetId="7" hidden="1">3</definedName>
    <definedName name="solver_nwt" localSheetId="7" hidden="1">1</definedName>
    <definedName name="solver_opt" localSheetId="7" hidden="1">PROMEDIO!$E$9</definedName>
    <definedName name="solver_pre" localSheetId="7" hidden="1">0.000001</definedName>
    <definedName name="solver_rbv" localSheetId="7" hidden="1">1</definedName>
    <definedName name="solver_rel1" localSheetId="7" hidden="1">1</definedName>
    <definedName name="solver_rel2" localSheetId="7" hidden="1">3</definedName>
    <definedName name="solver_rel3" localSheetId="7" hidden="1">2</definedName>
    <definedName name="solver_rhs1" localSheetId="7" hidden="1">1</definedName>
    <definedName name="solver_rhs2" localSheetId="7" hidden="1">0</definedName>
    <definedName name="solver_rhs3" localSheetId="7" hidden="1">PROMEDIO!$C$6</definedName>
    <definedName name="solver_rlx" localSheetId="7" hidden="1">2</definedName>
    <definedName name="solver_rsd" localSheetId="7" hidden="1">0</definedName>
    <definedName name="solver_scl" localSheetId="7" hidden="1">1</definedName>
    <definedName name="solver_sho" localSheetId="7" hidden="1">2</definedName>
    <definedName name="solver_ssz" localSheetId="7" hidden="1">100</definedName>
    <definedName name="solver_tim" localSheetId="7" hidden="1">2147483647</definedName>
    <definedName name="solver_tol" localSheetId="7" hidden="1">0.01</definedName>
    <definedName name="solver_typ" localSheetId="7" hidden="1">2</definedName>
    <definedName name="solver_val" localSheetId="7" hidden="1">0</definedName>
    <definedName name="solver_ver" localSheetId="7" hidden="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9" l="1"/>
  <c r="N26" i="9"/>
  <c r="N25" i="9"/>
  <c r="N24" i="9"/>
  <c r="N22" i="9"/>
  <c r="N20" i="9"/>
  <c r="H76" i="11" l="1"/>
  <c r="I28" i="15" l="1"/>
  <c r="Q24" i="9" l="1"/>
  <c r="R24" i="9" s="1"/>
  <c r="S24" i="9" s="1"/>
  <c r="N10" i="15" l="1"/>
  <c r="J25" i="15"/>
  <c r="K25" i="15"/>
  <c r="L25" i="15"/>
  <c r="M25" i="15"/>
  <c r="I25" i="15"/>
  <c r="J23" i="15"/>
  <c r="K23" i="15"/>
  <c r="L23" i="15"/>
  <c r="M23" i="15"/>
  <c r="I23" i="15"/>
  <c r="J24" i="15"/>
  <c r="K24" i="15"/>
  <c r="L24" i="15"/>
  <c r="M24" i="15"/>
  <c r="I24" i="15"/>
  <c r="N24" i="15" s="1"/>
  <c r="I48" i="11"/>
  <c r="C21" i="9" l="1"/>
  <c r="D21" i="9" s="1"/>
  <c r="E21" i="9" s="1"/>
  <c r="F21" i="9" s="1"/>
  <c r="G21" i="9" s="1"/>
  <c r="H21" i="9" s="1"/>
  <c r="I21" i="9" s="1"/>
  <c r="J21" i="9" s="1"/>
  <c r="K21" i="9" s="1"/>
  <c r="L21" i="9" s="1"/>
  <c r="M21" i="9" s="1"/>
  <c r="P18" i="9" l="1"/>
  <c r="B18" i="14" l="1"/>
  <c r="C20" i="9" l="1"/>
  <c r="D20" i="9"/>
  <c r="E20" i="9"/>
  <c r="F20" i="9"/>
  <c r="G20" i="9"/>
  <c r="H20" i="9"/>
  <c r="I20" i="9"/>
  <c r="J20" i="9"/>
  <c r="K20" i="9"/>
  <c r="L20" i="9"/>
  <c r="M20" i="9"/>
  <c r="N8" i="9"/>
  <c r="N9" i="9"/>
  <c r="M10" i="9"/>
  <c r="M11" i="9" s="1"/>
  <c r="M12" i="9" s="1"/>
  <c r="L10" i="9"/>
  <c r="L11" i="9" s="1"/>
  <c r="L12" i="9" s="1"/>
  <c r="K10" i="9"/>
  <c r="K11" i="9" s="1"/>
  <c r="K12" i="9" s="1"/>
  <c r="J10" i="9"/>
  <c r="J11" i="9" s="1"/>
  <c r="J12" i="9" s="1"/>
  <c r="I10" i="9"/>
  <c r="I11" i="9" s="1"/>
  <c r="I12" i="9" s="1"/>
  <c r="H10" i="9"/>
  <c r="H11" i="9" s="1"/>
  <c r="H12" i="9" s="1"/>
  <c r="G10" i="9"/>
  <c r="G11" i="9" s="1"/>
  <c r="G12" i="9" s="1"/>
  <c r="F10" i="9"/>
  <c r="F11" i="9" s="1"/>
  <c r="F12" i="9" s="1"/>
  <c r="E10" i="9"/>
  <c r="E11" i="9" s="1"/>
  <c r="E12" i="9" s="1"/>
  <c r="D10" i="9"/>
  <c r="D11" i="9" s="1"/>
  <c r="D12" i="9" s="1"/>
  <c r="C10" i="9"/>
  <c r="C11" i="9" s="1"/>
  <c r="C12" i="9" s="1"/>
  <c r="J22" i="9"/>
  <c r="C22" i="9"/>
  <c r="L22" i="9" l="1"/>
  <c r="L24" i="9" s="1"/>
  <c r="K22" i="9"/>
  <c r="K24" i="9" s="1"/>
  <c r="J24" i="9"/>
  <c r="C24" i="9"/>
  <c r="C25" i="9" l="1"/>
  <c r="C3" i="9" s="1"/>
  <c r="C4" i="9" s="1"/>
  <c r="D22" i="9"/>
  <c r="D24" i="9" s="1"/>
  <c r="K25" i="9"/>
  <c r="K5" i="9" s="1"/>
  <c r="K14" i="9" s="1"/>
  <c r="J25" i="9"/>
  <c r="J3" i="9" s="1"/>
  <c r="L25" i="9"/>
  <c r="L3" i="9" s="1"/>
  <c r="L4" i="9" s="1"/>
  <c r="B10" i="9"/>
  <c r="B22" i="9"/>
  <c r="B24" i="9" s="1"/>
  <c r="C5" i="9" l="1"/>
  <c r="C14" i="9" s="1"/>
  <c r="K3" i="9"/>
  <c r="K4" i="9" s="1"/>
  <c r="B11" i="9"/>
  <c r="N10" i="9"/>
  <c r="E22" i="9"/>
  <c r="E24" i="9" s="1"/>
  <c r="D25" i="9"/>
  <c r="D5" i="9" s="1"/>
  <c r="D14" i="9" s="1"/>
  <c r="C6" i="9"/>
  <c r="C13" i="9"/>
  <c r="C7" i="9"/>
  <c r="L5" i="9"/>
  <c r="L14" i="9" s="1"/>
  <c r="J6" i="9"/>
  <c r="J7" i="9"/>
  <c r="J13" i="9"/>
  <c r="J4" i="9"/>
  <c r="L6" i="9"/>
  <c r="L13" i="9"/>
  <c r="L7" i="9"/>
  <c r="J5" i="9"/>
  <c r="K6" i="9"/>
  <c r="K13" i="9"/>
  <c r="K7" i="9"/>
  <c r="B25" i="9"/>
  <c r="G15" i="11"/>
  <c r="U39" i="13"/>
  <c r="R39" i="13"/>
  <c r="Q39" i="13"/>
  <c r="P39" i="13"/>
  <c r="L39" i="13"/>
  <c r="I39" i="13"/>
  <c r="H39" i="13"/>
  <c r="G39" i="13"/>
  <c r="F39" i="13"/>
  <c r="N39" i="13" s="1"/>
  <c r="O38" i="13"/>
  <c r="H38" i="13"/>
  <c r="G38" i="13"/>
  <c r="J38" i="13" s="1"/>
  <c r="U37" i="13"/>
  <c r="R37" i="13"/>
  <c r="Q37" i="13"/>
  <c r="P37" i="13"/>
  <c r="L37" i="13"/>
  <c r="I37" i="13"/>
  <c r="H37" i="13"/>
  <c r="G37" i="13"/>
  <c r="F37" i="13"/>
  <c r="O36" i="13"/>
  <c r="H36" i="13"/>
  <c r="G36" i="13"/>
  <c r="J36" i="13" s="1"/>
  <c r="U35" i="13"/>
  <c r="R35" i="13"/>
  <c r="Q35" i="13"/>
  <c r="P35" i="13"/>
  <c r="L35" i="13"/>
  <c r="I35" i="13"/>
  <c r="H35" i="13"/>
  <c r="G35" i="13"/>
  <c r="F35" i="13"/>
  <c r="O34" i="13"/>
  <c r="H34" i="13"/>
  <c r="G34" i="13"/>
  <c r="J34" i="13" s="1"/>
  <c r="U33" i="13"/>
  <c r="R33" i="13"/>
  <c r="Q33" i="13"/>
  <c r="P33" i="13"/>
  <c r="S33" i="13" s="1"/>
  <c r="L33" i="13"/>
  <c r="I33" i="13"/>
  <c r="H33" i="13"/>
  <c r="G33" i="13"/>
  <c r="F33" i="13"/>
  <c r="O32" i="13"/>
  <c r="H32" i="13"/>
  <c r="G32" i="13"/>
  <c r="J32" i="13" s="1"/>
  <c r="U31" i="13"/>
  <c r="R31" i="13"/>
  <c r="Q31" i="13"/>
  <c r="P31" i="13"/>
  <c r="S31" i="13" s="1"/>
  <c r="L31" i="13"/>
  <c r="I31" i="13"/>
  <c r="H31" i="13"/>
  <c r="G31" i="13"/>
  <c r="J31" i="13" s="1"/>
  <c r="F31" i="13"/>
  <c r="O30" i="13"/>
  <c r="H30" i="13"/>
  <c r="G30" i="13"/>
  <c r="Q29" i="13"/>
  <c r="Q27" i="13"/>
  <c r="Q25" i="13"/>
  <c r="Q23" i="13"/>
  <c r="U29" i="13"/>
  <c r="R29" i="13"/>
  <c r="P29" i="13"/>
  <c r="L29" i="13"/>
  <c r="I29" i="13"/>
  <c r="H29" i="13"/>
  <c r="G29" i="13"/>
  <c r="F29" i="13"/>
  <c r="O28" i="13"/>
  <c r="H28" i="13"/>
  <c r="G28" i="13"/>
  <c r="J28" i="13" s="1"/>
  <c r="U27" i="13"/>
  <c r="R27" i="13"/>
  <c r="P27" i="13"/>
  <c r="L27" i="13"/>
  <c r="I27" i="13"/>
  <c r="H27" i="13"/>
  <c r="G27" i="13"/>
  <c r="F27" i="13"/>
  <c r="O26" i="13"/>
  <c r="H26" i="13"/>
  <c r="G26" i="13"/>
  <c r="J26" i="13" s="1"/>
  <c r="U25" i="13"/>
  <c r="R25" i="13"/>
  <c r="P25" i="13"/>
  <c r="L25" i="13"/>
  <c r="I25" i="13"/>
  <c r="H25" i="13"/>
  <c r="G25" i="13"/>
  <c r="F25" i="13"/>
  <c r="N25" i="13" s="1"/>
  <c r="O24" i="13"/>
  <c r="H24" i="13"/>
  <c r="G24" i="13"/>
  <c r="J24" i="13" s="1"/>
  <c r="P23" i="13"/>
  <c r="J25" i="13" l="1"/>
  <c r="N27" i="13"/>
  <c r="K27" i="13"/>
  <c r="J27" i="13"/>
  <c r="M29" i="13"/>
  <c r="K29" i="13"/>
  <c r="J29" i="13"/>
  <c r="S29" i="13"/>
  <c r="J30" i="13"/>
  <c r="N31" i="13"/>
  <c r="M31" i="13"/>
  <c r="K31" i="13"/>
  <c r="N33" i="13"/>
  <c r="K33" i="13"/>
  <c r="J33" i="13"/>
  <c r="N35" i="13"/>
  <c r="M35" i="13"/>
  <c r="K35" i="13"/>
  <c r="O35" i="13" s="1"/>
  <c r="J35" i="13"/>
  <c r="S35" i="13"/>
  <c r="N37" i="13"/>
  <c r="M37" i="13"/>
  <c r="K37" i="13"/>
  <c r="O37" i="13" s="1"/>
  <c r="J37" i="13"/>
  <c r="S37" i="13"/>
  <c r="J39" i="13"/>
  <c r="D3" i="9"/>
  <c r="D4" i="9" s="1"/>
  <c r="B12" i="9"/>
  <c r="N12" i="9" s="1"/>
  <c r="N11" i="9"/>
  <c r="D6" i="9"/>
  <c r="D13" i="9"/>
  <c r="D7" i="9"/>
  <c r="E25" i="9"/>
  <c r="E5" i="9" s="1"/>
  <c r="E14" i="9" s="1"/>
  <c r="F22" i="9"/>
  <c r="F24" i="9" s="1"/>
  <c r="J14" i="9"/>
  <c r="B13" i="9"/>
  <c r="B6" i="9"/>
  <c r="B7" i="9"/>
  <c r="B3" i="9"/>
  <c r="B4" i="9" s="1"/>
  <c r="B5" i="9"/>
  <c r="B14" i="9" s="1"/>
  <c r="K39" i="13"/>
  <c r="S39" i="13"/>
  <c r="M39" i="13"/>
  <c r="M33" i="13"/>
  <c r="O33" i="13" s="1"/>
  <c r="T33" i="13" s="1"/>
  <c r="W33" i="13" s="1"/>
  <c r="I11" i="11" s="1"/>
  <c r="N29" i="13"/>
  <c r="O29" i="13" s="1"/>
  <c r="T29" i="13" s="1"/>
  <c r="M27" i="13"/>
  <c r="O27" i="13"/>
  <c r="S27" i="13"/>
  <c r="T27" i="13" s="1"/>
  <c r="S25" i="13"/>
  <c r="K25" i="13"/>
  <c r="M25" i="13"/>
  <c r="R23" i="13"/>
  <c r="L23" i="13"/>
  <c r="H22" i="13"/>
  <c r="G22" i="13"/>
  <c r="I23" i="13"/>
  <c r="H23" i="13"/>
  <c r="G23" i="13"/>
  <c r="F23" i="13"/>
  <c r="N23" i="13" s="1"/>
  <c r="U23" i="13"/>
  <c r="O22" i="13"/>
  <c r="O39" i="13" l="1"/>
  <c r="T39" i="13" s="1"/>
  <c r="T37" i="13"/>
  <c r="T35" i="13"/>
  <c r="O31" i="13"/>
  <c r="T31" i="13" s="1"/>
  <c r="E3" i="9"/>
  <c r="E4" i="9" s="1"/>
  <c r="G22" i="9"/>
  <c r="F25" i="9"/>
  <c r="F3" i="9" s="1"/>
  <c r="E13" i="9"/>
  <c r="E6" i="9"/>
  <c r="E7" i="9"/>
  <c r="X39" i="13"/>
  <c r="W39" i="13"/>
  <c r="I14" i="11" s="1"/>
  <c r="V39" i="13"/>
  <c r="X33" i="13"/>
  <c r="V33" i="13"/>
  <c r="X29" i="13"/>
  <c r="W29" i="13"/>
  <c r="I9" i="11" s="1"/>
  <c r="V29" i="13"/>
  <c r="X27" i="13"/>
  <c r="W27" i="13"/>
  <c r="I8" i="11" s="1"/>
  <c r="V27" i="13"/>
  <c r="O25" i="13"/>
  <c r="T25" i="13" s="1"/>
  <c r="K23" i="13"/>
  <c r="M23" i="13"/>
  <c r="C25" i="13"/>
  <c r="B25" i="13"/>
  <c r="V31" i="13" l="1"/>
  <c r="W31" i="13"/>
  <c r="I10" i="11" s="1"/>
  <c r="X31" i="13"/>
  <c r="X35" i="13"/>
  <c r="W35" i="13"/>
  <c r="I12" i="11" s="1"/>
  <c r="V35" i="13"/>
  <c r="X37" i="13"/>
  <c r="W37" i="13"/>
  <c r="I13" i="11" s="1"/>
  <c r="V37" i="13"/>
  <c r="F4" i="9"/>
  <c r="H22" i="9"/>
  <c r="F7" i="9"/>
  <c r="F6" i="9"/>
  <c r="F13" i="9"/>
  <c r="G24" i="9"/>
  <c r="G25" i="9" s="1"/>
  <c r="F5" i="9"/>
  <c r="X25" i="13"/>
  <c r="W25" i="13"/>
  <c r="I7" i="11" s="1"/>
  <c r="V25" i="13"/>
  <c r="J22" i="13"/>
  <c r="S23" i="13"/>
  <c r="J23" i="13"/>
  <c r="K16" i="13"/>
  <c r="O23" i="13"/>
  <c r="L16" i="13"/>
  <c r="M16" i="13"/>
  <c r="K13" i="11"/>
  <c r="K9" i="11"/>
  <c r="K12" i="11"/>
  <c r="H24" i="9" l="1"/>
  <c r="H25" i="9" s="1"/>
  <c r="F14" i="9"/>
  <c r="M22" i="9"/>
  <c r="I22" i="9"/>
  <c r="G6" i="9"/>
  <c r="G13" i="9"/>
  <c r="G7" i="9"/>
  <c r="G3" i="9"/>
  <c r="G5" i="9"/>
  <c r="G14" i="9" s="1"/>
  <c r="T23" i="13"/>
  <c r="M24" i="9" l="1"/>
  <c r="M25" i="9" s="1"/>
  <c r="H13" i="9"/>
  <c r="H7" i="9"/>
  <c r="H6" i="9"/>
  <c r="I24" i="9"/>
  <c r="G4" i="9"/>
  <c r="H3" i="9"/>
  <c r="H4" i="9" s="1"/>
  <c r="H5" i="9"/>
  <c r="H14" i="9" s="1"/>
  <c r="X23" i="13"/>
  <c r="V23" i="13"/>
  <c r="V13" i="13" s="1"/>
  <c r="W23" i="13"/>
  <c r="I6" i="11" s="1"/>
  <c r="I15" i="11" s="1"/>
  <c r="Q14" i="9"/>
  <c r="M5" i="9" l="1"/>
  <c r="M14" i="9" s="1"/>
  <c r="M13" i="9"/>
  <c r="M7" i="9"/>
  <c r="M6" i="9"/>
  <c r="M3" i="9"/>
  <c r="M4" i="9" s="1"/>
  <c r="I25" i="9"/>
  <c r="I3" i="9" s="1"/>
  <c r="I24" i="11"/>
  <c r="I23" i="11"/>
  <c r="G25" i="11"/>
  <c r="K31" i="11"/>
  <c r="F21" i="4" s="1"/>
  <c r="K32" i="11"/>
  <c r="K33" i="11"/>
  <c r="K34" i="11"/>
  <c r="F20" i="4" s="1"/>
  <c r="K35" i="11"/>
  <c r="K36" i="11"/>
  <c r="F27" i="4" s="1"/>
  <c r="K37" i="11"/>
  <c r="F22" i="4" s="1"/>
  <c r="K30" i="11"/>
  <c r="F18" i="4" s="1"/>
  <c r="C6" i="4"/>
  <c r="J75" i="11"/>
  <c r="J74" i="11"/>
  <c r="J73" i="11"/>
  <c r="J72" i="11"/>
  <c r="J71" i="11"/>
  <c r="J70" i="11"/>
  <c r="I62" i="11"/>
  <c r="J62" i="11" s="1"/>
  <c r="I61" i="11"/>
  <c r="J61" i="11" s="1"/>
  <c r="J60" i="11"/>
  <c r="J59" i="11"/>
  <c r="H58" i="11"/>
  <c r="I58" i="11" s="1"/>
  <c r="J58" i="11" s="1"/>
  <c r="H57" i="11"/>
  <c r="H51" i="11"/>
  <c r="I51" i="11" s="1"/>
  <c r="J51" i="11" s="1"/>
  <c r="H50" i="11"/>
  <c r="C5" i="4" s="1"/>
  <c r="I49" i="11"/>
  <c r="J49" i="11" s="1"/>
  <c r="J48" i="11"/>
  <c r="I47" i="11"/>
  <c r="J47" i="11" s="1"/>
  <c r="I46" i="11"/>
  <c r="J46" i="11" s="1"/>
  <c r="H45" i="11"/>
  <c r="H44" i="11"/>
  <c r="I44" i="11" s="1"/>
  <c r="J44" i="11" s="1"/>
  <c r="H43" i="11"/>
  <c r="G38" i="11"/>
  <c r="I37" i="11"/>
  <c r="L37" i="11" s="1"/>
  <c r="I36" i="11"/>
  <c r="L36" i="11" s="1"/>
  <c r="I35" i="11"/>
  <c r="L35" i="11" s="1"/>
  <c r="C25" i="4" s="1"/>
  <c r="C30" i="4" s="1"/>
  <c r="I34" i="11"/>
  <c r="L34" i="11" s="1"/>
  <c r="I33" i="11"/>
  <c r="L33" i="11" s="1"/>
  <c r="I32" i="11"/>
  <c r="L32" i="11" s="1"/>
  <c r="I31" i="11"/>
  <c r="L31" i="11" s="1"/>
  <c r="H30" i="11"/>
  <c r="I30" i="11" s="1"/>
  <c r="L30" i="11" s="1"/>
  <c r="I22" i="11"/>
  <c r="I21" i="11"/>
  <c r="I20" i="11"/>
  <c r="K6" i="11"/>
  <c r="K14" i="11"/>
  <c r="K10" i="11"/>
  <c r="K11" i="11"/>
  <c r="K8" i="11"/>
  <c r="K7" i="11"/>
  <c r="K15" i="11" l="1"/>
  <c r="F19" i="4"/>
  <c r="I4" i="9"/>
  <c r="N4" i="9" s="1"/>
  <c r="N3" i="9"/>
  <c r="I6" i="9"/>
  <c r="N6" i="9" s="1"/>
  <c r="I13" i="9"/>
  <c r="N13" i="9" s="1"/>
  <c r="I7" i="9"/>
  <c r="N7" i="9" s="1"/>
  <c r="I5" i="9"/>
  <c r="C18" i="4"/>
  <c r="H63" i="11"/>
  <c r="C10" i="4" s="1"/>
  <c r="K38" i="11"/>
  <c r="I25" i="11"/>
  <c r="J76" i="11"/>
  <c r="C11" i="4" s="1"/>
  <c r="C7" i="4"/>
  <c r="C22" i="4"/>
  <c r="I38" i="11"/>
  <c r="H52" i="11"/>
  <c r="C28" i="4"/>
  <c r="C29" i="4"/>
  <c r="C31" i="4"/>
  <c r="C20" i="4"/>
  <c r="H38" i="11"/>
  <c r="L38" i="11"/>
  <c r="I45" i="11"/>
  <c r="J45" i="11" s="1"/>
  <c r="I57" i="11"/>
  <c r="I43" i="11"/>
  <c r="I50" i="11"/>
  <c r="J50" i="11" s="1"/>
  <c r="I14" i="9" l="1"/>
  <c r="N14" i="9" s="1"/>
  <c r="N5" i="9"/>
  <c r="J43" i="11"/>
  <c r="J52" i="11" s="1"/>
  <c r="I52" i="11"/>
  <c r="J57" i="11"/>
  <c r="J63" i="11" s="1"/>
  <c r="L63" i="11" s="1"/>
  <c r="I63" i="11"/>
  <c r="Q4" i="9"/>
  <c r="Q5" i="9"/>
  <c r="Q7" i="9"/>
  <c r="Q8" i="9"/>
  <c r="Q9" i="9"/>
  <c r="Q10" i="9"/>
  <c r="Q11" i="9"/>
  <c r="Q12" i="9"/>
  <c r="Q3" i="9"/>
  <c r="Q13" i="9" l="1"/>
  <c r="O6" i="9"/>
  <c r="Q6" i="9" s="1"/>
  <c r="P8" i="9" l="1"/>
  <c r="R8" i="9"/>
  <c r="P9" i="9"/>
  <c r="R9" i="9"/>
  <c r="P10" i="9"/>
  <c r="R10" i="9"/>
  <c r="P11" i="9"/>
  <c r="R11" i="9"/>
  <c r="P12" i="9"/>
  <c r="R12" i="9"/>
  <c r="R3" i="9" l="1"/>
  <c r="P3" i="9" l="1"/>
  <c r="P4" i="9"/>
  <c r="R4" i="9"/>
  <c r="P7" i="9" l="1"/>
  <c r="R13" i="9"/>
  <c r="P13" i="9"/>
  <c r="P6" i="9"/>
  <c r="R6" i="9"/>
  <c r="P14" i="9"/>
  <c r="R14" i="9"/>
  <c r="P5" i="9"/>
  <c r="R5" i="9"/>
  <c r="P16" i="9" l="1"/>
  <c r="R7" i="9"/>
  <c r="H55" i="6"/>
  <c r="H54" i="6"/>
  <c r="P20" i="9" l="1"/>
  <c r="D3" i="1"/>
  <c r="C39" i="6" s="1"/>
  <c r="R16" i="9"/>
  <c r="D17" i="1" s="1"/>
  <c r="B40" i="6"/>
  <c r="B41" i="6" s="1"/>
  <c r="B42" i="6" s="1"/>
  <c r="B43" i="6" s="1"/>
  <c r="B44" i="6" s="1"/>
  <c r="B45" i="6" s="1"/>
  <c r="B46" i="6" s="1"/>
  <c r="B47" i="6" s="1"/>
  <c r="B48" i="6" s="1"/>
  <c r="C40" i="6"/>
  <c r="C41" i="6"/>
  <c r="C42" i="6"/>
  <c r="C43" i="6"/>
  <c r="C44" i="6"/>
  <c r="C45" i="6"/>
  <c r="C46" i="6"/>
  <c r="C47" i="6"/>
  <c r="C48" i="6"/>
  <c r="F11" i="5" l="1"/>
  <c r="G11" i="5"/>
  <c r="E11" i="5" l="1"/>
  <c r="D11" i="5"/>
  <c r="C11" i="5"/>
  <c r="J16" i="6" l="1"/>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4" i="1"/>
  <c r="D16" i="6" s="1"/>
  <c r="E16" i="6" s="1"/>
  <c r="F5" i="1"/>
  <c r="D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2" i="1"/>
  <c r="C6" i="5" s="1"/>
  <c r="W23" i="1"/>
  <c r="W22" i="1"/>
  <c r="U26" i="1"/>
  <c r="N26" i="1"/>
  <c r="U25" i="1"/>
  <c r="N25" i="1"/>
  <c r="U9" i="1"/>
  <c r="N9" i="1"/>
  <c r="U8" i="1"/>
  <c r="N8" i="1"/>
  <c r="U20" i="1"/>
  <c r="N20"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3" i="1"/>
  <c r="C32" i="1" s="1"/>
  <c r="D6" i="5" s="1"/>
  <c r="D43" i="5" l="1"/>
  <c r="E5" i="5"/>
  <c r="E20" i="5" s="1"/>
  <c r="F7" i="6" s="1"/>
  <c r="E11" i="3"/>
  <c r="G25" i="5"/>
  <c r="M16" i="1"/>
  <c r="N2" i="1"/>
  <c r="U13" i="1"/>
  <c r="D32" i="1" s="1"/>
  <c r="E6" i="5" s="1"/>
  <c r="F13" i="1"/>
  <c r="O26" i="1"/>
  <c r="W26" i="1" s="1"/>
  <c r="V26" i="1"/>
  <c r="O25" i="1"/>
  <c r="W25" i="1" s="1"/>
  <c r="V25" i="1"/>
  <c r="O9" i="1"/>
  <c r="W9" i="1" s="1"/>
  <c r="V9" i="1"/>
  <c r="O8" i="1"/>
  <c r="W8" i="1" s="1"/>
  <c r="V8" i="1"/>
  <c r="O20" i="1"/>
  <c r="W20" i="1" s="1"/>
  <c r="V20" i="1"/>
  <c r="O19" i="1"/>
  <c r="O4" i="1"/>
  <c r="W4" i="1" s="1"/>
  <c r="V4" i="1"/>
  <c r="E24" i="5"/>
  <c r="F24" i="5" s="1"/>
  <c r="D26" i="5"/>
  <c r="D48" i="5" s="1"/>
  <c r="D50" i="5" s="1"/>
  <c r="F49" i="5"/>
  <c r="E31" i="1"/>
  <c r="E43" i="5" l="1"/>
  <c r="F5" i="5"/>
  <c r="F20" i="5" s="1"/>
  <c r="G7" i="6" s="1"/>
  <c r="E12" i="3"/>
  <c r="G24" i="5"/>
  <c r="G26" i="5" s="1"/>
  <c r="F26" i="5"/>
  <c r="N16" i="1"/>
  <c r="O2" i="1"/>
  <c r="O16" i="1" s="1"/>
  <c r="V13" i="1"/>
  <c r="W13" i="1"/>
  <c r="E26" i="5"/>
  <c r="E48" i="5" s="1"/>
  <c r="E50" i="5" s="1"/>
  <c r="G49" i="5"/>
  <c r="F31" i="1"/>
  <c r="E13" i="3" s="1"/>
  <c r="F43" i="5" l="1"/>
  <c r="F32" i="1"/>
  <c r="G6" i="5" s="1"/>
  <c r="E32" i="1"/>
  <c r="F6" i="5" s="1"/>
  <c r="G48" i="5"/>
  <c r="G50" i="5" s="1"/>
  <c r="F48" i="5"/>
  <c r="F50" i="5" s="1"/>
  <c r="G5" i="5"/>
  <c r="G20" i="5" s="1"/>
  <c r="H7" i="6" s="1"/>
  <c r="G43" i="5" l="1"/>
  <c r="J17" i="6" l="1"/>
  <c r="C17" i="6"/>
  <c r="E17" i="6" s="1"/>
  <c r="E27" i="6" s="1"/>
  <c r="E28" i="6" s="1"/>
  <c r="P19" i="1"/>
  <c r="E19" i="1"/>
  <c r="E27" i="1" s="1"/>
  <c r="F26" i="1" l="1"/>
  <c r="F17" i="1"/>
  <c r="F21" i="1"/>
  <c r="F25" i="1"/>
  <c r="F19" i="1"/>
  <c r="F20" i="1"/>
  <c r="F23" i="1"/>
  <c r="F24" i="1"/>
  <c r="F18" i="1"/>
  <c r="B33" i="1"/>
  <c r="F22" i="1"/>
  <c r="Q19" i="1"/>
  <c r="T19" i="1"/>
  <c r="T27" i="1" s="1"/>
  <c r="C33" i="1" s="1"/>
  <c r="F15" i="6"/>
  <c r="F17" i="6"/>
  <c r="D41" i="6" s="1"/>
  <c r="E41" i="6" s="1"/>
  <c r="F23" i="6"/>
  <c r="D47" i="6" s="1"/>
  <c r="E47" i="6" s="1"/>
  <c r="F21" i="6"/>
  <c r="D45" i="6" s="1"/>
  <c r="E45" i="6" s="1"/>
  <c r="F24" i="6"/>
  <c r="D48" i="6" s="1"/>
  <c r="E48" i="6" s="1"/>
  <c r="F16" i="6"/>
  <c r="D40" i="6" s="1"/>
  <c r="E40" i="6" s="1"/>
  <c r="F22" i="6"/>
  <c r="D46" i="6" s="1"/>
  <c r="E46" i="6" s="1"/>
  <c r="F19" i="6"/>
  <c r="D43" i="6" s="1"/>
  <c r="E43" i="6" s="1"/>
  <c r="F20" i="6"/>
  <c r="D44" i="6" s="1"/>
  <c r="E44" i="6" s="1"/>
  <c r="F18" i="6"/>
  <c r="D42" i="6" s="1"/>
  <c r="E42" i="6" s="1"/>
  <c r="R19" i="1" l="1"/>
  <c r="U19" i="1"/>
  <c r="U27" i="1" s="1"/>
  <c r="D33" i="1" s="1"/>
  <c r="D39" i="6"/>
  <c r="E39" i="6" s="1"/>
  <c r="E49" i="6" s="1"/>
  <c r="E29" i="6" s="1"/>
  <c r="E34" i="6"/>
  <c r="F34" i="6" s="1"/>
  <c r="D34" i="6"/>
  <c r="F25" i="6"/>
  <c r="B34" i="6" s="1"/>
  <c r="B35" i="6" s="1"/>
  <c r="F27" i="1"/>
  <c r="C34" i="1"/>
  <c r="D7" i="5"/>
  <c r="D8" i="5" s="1"/>
  <c r="D13" i="5" s="1"/>
  <c r="D55" i="5" s="1"/>
  <c r="D56" i="5" s="1"/>
  <c r="D57" i="5" s="1"/>
  <c r="D8" i="3"/>
  <c r="D12" i="3" s="1"/>
  <c r="D14" i="3" s="1"/>
  <c r="C7" i="5"/>
  <c r="C8" i="5" s="1"/>
  <c r="C13" i="5" s="1"/>
  <c r="C55" i="5" s="1"/>
  <c r="C56" i="5" s="1"/>
  <c r="C57" i="5" s="1"/>
  <c r="B34" i="1"/>
  <c r="I16" i="6" l="1"/>
  <c r="I19" i="6"/>
  <c r="I17" i="6"/>
  <c r="I18" i="6"/>
  <c r="I20" i="6"/>
  <c r="I21" i="6"/>
  <c r="I24" i="6"/>
  <c r="I15" i="6"/>
  <c r="I22" i="6"/>
  <c r="I23" i="6"/>
  <c r="C8" i="6"/>
  <c r="C9" i="6" s="1"/>
  <c r="D16" i="3"/>
  <c r="J8" i="3" s="1"/>
  <c r="D34" i="1"/>
  <c r="E7" i="5"/>
  <c r="E8" i="5" s="1"/>
  <c r="E13" i="5" s="1"/>
  <c r="E55" i="5" s="1"/>
  <c r="E56" i="5" s="1"/>
  <c r="E57" i="5" s="1"/>
  <c r="S19" i="1"/>
  <c r="W19" i="1" s="1"/>
  <c r="W27" i="1" s="1"/>
  <c r="F33" i="1" s="1"/>
  <c r="V19" i="1"/>
  <c r="V27" i="1" s="1"/>
  <c r="E33" i="1" s="1"/>
  <c r="F7" i="5" l="1"/>
  <c r="F8" i="5" s="1"/>
  <c r="F13" i="5" s="1"/>
  <c r="F55" i="5" s="1"/>
  <c r="F56" i="5" s="1"/>
  <c r="F57" i="5" s="1"/>
  <c r="E34" i="1"/>
  <c r="E35" i="6"/>
  <c r="F35" i="6" s="1"/>
  <c r="D35" i="6"/>
  <c r="B31" i="5"/>
  <c r="B32" i="5" s="1"/>
  <c r="I9" i="3"/>
  <c r="F9" i="3"/>
  <c r="G9" i="3" s="1"/>
  <c r="C14" i="5" s="1"/>
  <c r="C15" i="5" s="1"/>
  <c r="G7" i="5"/>
  <c r="G8" i="5" s="1"/>
  <c r="G13" i="5" s="1"/>
  <c r="G55" i="5" s="1"/>
  <c r="G56" i="5" s="1"/>
  <c r="G57" i="5" s="1"/>
  <c r="F34" i="1"/>
  <c r="H9" i="3" l="1"/>
  <c r="J9" i="3" s="1"/>
  <c r="I10" i="3" s="1"/>
  <c r="C16" i="5"/>
  <c r="C29" i="5" s="1"/>
  <c r="B38" i="5"/>
  <c r="B22" i="5" s="1"/>
  <c r="C31" i="5" l="1"/>
  <c r="F10" i="3"/>
  <c r="G10" i="3" s="1"/>
  <c r="D14" i="5" s="1"/>
  <c r="D15" i="5" s="1"/>
  <c r="D16" i="5" s="1"/>
  <c r="D29" i="5" s="1"/>
  <c r="C45" i="5"/>
  <c r="C30" i="5"/>
  <c r="B44" i="5"/>
  <c r="B46" i="5" s="1"/>
  <c r="B52" i="5" s="1"/>
  <c r="B27" i="5"/>
  <c r="C17" i="5"/>
  <c r="C35" i="5" s="1"/>
  <c r="C36" i="5" s="1"/>
  <c r="C32" i="5" l="1"/>
  <c r="C38" i="5" s="1"/>
  <c r="C22" i="5" s="1"/>
  <c r="C27" i="5" s="1"/>
  <c r="C39" i="5" s="1"/>
  <c r="H10" i="3"/>
  <c r="J10" i="3" s="1"/>
  <c r="D17" i="5"/>
  <c r="D35" i="5" s="1"/>
  <c r="D36" i="5" s="1"/>
  <c r="D45" i="5"/>
  <c r="D30" i="5"/>
  <c r="B39" i="5"/>
  <c r="H53" i="6"/>
  <c r="H52" i="6"/>
  <c r="C44" i="5" l="1"/>
  <c r="C46" i="5" s="1"/>
  <c r="C52" i="5" s="1"/>
  <c r="C58" i="5" s="1"/>
  <c r="C59" i="5" s="1"/>
  <c r="D8" i="6" s="1"/>
  <c r="D9" i="6" s="1"/>
  <c r="F11" i="3"/>
  <c r="G11" i="3" s="1"/>
  <c r="E14" i="5" s="1"/>
  <c r="E15" i="5" s="1"/>
  <c r="D31" i="5"/>
  <c r="D32" i="5" s="1"/>
  <c r="D38" i="5" s="1"/>
  <c r="D22" i="5" s="1"/>
  <c r="I11" i="3"/>
  <c r="H11" i="3" l="1"/>
  <c r="J11" i="3" s="1"/>
  <c r="I12" i="3" s="1"/>
  <c r="D44" i="5"/>
  <c r="D46" i="5" s="1"/>
  <c r="D52" i="5" s="1"/>
  <c r="D58" i="5" s="1"/>
  <c r="D59" i="5" s="1"/>
  <c r="E8" i="6" s="1"/>
  <c r="E9" i="6" s="1"/>
  <c r="D27" i="5"/>
  <c r="D39" i="5" s="1"/>
  <c r="E16" i="5"/>
  <c r="E29" i="5" s="1"/>
  <c r="F12" i="3" l="1"/>
  <c r="G12" i="3" s="1"/>
  <c r="F14" i="5" s="1"/>
  <c r="F15" i="5" s="1"/>
  <c r="F16" i="5" s="1"/>
  <c r="F29" i="5" s="1"/>
  <c r="E31" i="5"/>
  <c r="E17" i="5"/>
  <c r="E35" i="5" s="1"/>
  <c r="E36" i="5" s="1"/>
  <c r="E30" i="5"/>
  <c r="E45" i="5"/>
  <c r="H12" i="3" l="1"/>
  <c r="J12" i="3" s="1"/>
  <c r="E32" i="5"/>
  <c r="E38" i="5" s="1"/>
  <c r="E22" i="5" s="1"/>
  <c r="E44" i="5" s="1"/>
  <c r="E46" i="5" s="1"/>
  <c r="E52" i="5" s="1"/>
  <c r="E58" i="5" s="1"/>
  <c r="E59" i="5" s="1"/>
  <c r="F8" i="6" s="1"/>
  <c r="F9" i="6" s="1"/>
  <c r="F17" i="5"/>
  <c r="F35" i="5" s="1"/>
  <c r="F36" i="5" s="1"/>
  <c r="F30" i="5"/>
  <c r="F45" i="5"/>
  <c r="F31" i="5" l="1"/>
  <c r="F32" i="5" s="1"/>
  <c r="F38" i="5" s="1"/>
  <c r="F22" i="5" s="1"/>
  <c r="F44" i="5" s="1"/>
  <c r="F46" i="5" s="1"/>
  <c r="F52" i="5" s="1"/>
  <c r="F58" i="5" s="1"/>
  <c r="F59" i="5" s="1"/>
  <c r="G8" i="6" s="1"/>
  <c r="G9" i="6" s="1"/>
  <c r="I13" i="3"/>
  <c r="F13" i="3"/>
  <c r="G13" i="3" s="1"/>
  <c r="G14" i="5" s="1"/>
  <c r="G15" i="5" s="1"/>
  <c r="G16" i="5" s="1"/>
  <c r="G29" i="5" s="1"/>
  <c r="G45" i="5" s="1"/>
  <c r="E27" i="5"/>
  <c r="E39" i="5" s="1"/>
  <c r="H13" i="3" l="1"/>
  <c r="J13" i="3" s="1"/>
  <c r="G31" i="5" s="1"/>
  <c r="G30" i="5"/>
  <c r="G17" i="5"/>
  <c r="G35" i="5" s="1"/>
  <c r="G36" i="5" s="1"/>
  <c r="F27" i="5"/>
  <c r="F39" i="5" s="1"/>
  <c r="G32" i="5" l="1"/>
  <c r="G38" i="5" s="1"/>
  <c r="G22" i="5" s="1"/>
  <c r="G44" i="5" s="1"/>
  <c r="G46" i="5" s="1"/>
  <c r="G52" i="5" s="1"/>
  <c r="G58" i="5" s="1"/>
  <c r="G59" i="5" s="1"/>
  <c r="H8" i="6" s="1"/>
  <c r="H9" i="6" s="1"/>
  <c r="H11" i="6" s="1"/>
  <c r="D10" i="6" l="1"/>
  <c r="D11" i="6"/>
  <c r="G27" i="5"/>
  <c r="G39" i="5" s="1"/>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text>
        <r>
          <rPr>
            <b/>
            <sz val="9"/>
            <color indexed="81"/>
            <rFont val="Tahoma"/>
            <family val="2"/>
          </rPr>
          <t>DARIO MAURICIO REYES GIRALDO:</t>
        </r>
        <r>
          <rPr>
            <sz val="9"/>
            <color indexed="81"/>
            <rFont val="Tahoma"/>
            <family val="2"/>
          </rPr>
          <t xml:space="preserve">
Escoja un valor entre 1 y 5.</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<sst xmlns="http://schemas.openxmlformats.org/spreadsheetml/2006/main" count="457" uniqueCount="331">
  <si>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</si>
  <si>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</si>
  <si>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</si>
  <si>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</si>
  <si>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</si>
  <si>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</si>
  <si>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</si>
  <si>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</si>
  <si>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</si>
  <si>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</si>
  <si>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</si>
  <si>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</si>
  <si>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</si>
  <si>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</si>
  <si>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</si>
  <si>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</si>
  <si>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</si>
  <si>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</si>
  <si>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LINEA REMOLQUES Y SEMIRREMOLQUES</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</si>
  <si>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</si>
  <si>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</si>
  <si>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</si>
  <si>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</si>
  <si>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</si>
  <si>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</si>
  <si>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</si>
  <si>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</si>
  <si>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</si>
  <si>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</si>
  <si>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</si>
  <si>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</si>
  <si>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</si>
  <si>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</si>
  <si>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</si>
  <si>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</si>
  <si>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</si>
  <si>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</si>
  <si>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</si>
  <si>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</si>
  <si>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</si>
  <si>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</si>
  <si>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</si>
  <si>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</si>
  <si>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</si>
  <si>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</si>
  <si>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</si>
  <si>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</si>
  <si>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</si>
  <si>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</si>
  <si>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</si>
  <si>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</si>
  <si>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</si>
  <si>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</si>
  <si>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</si>
  <si>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</si>
  <si>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</si>
  <si>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</si>
  <si>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</si>
  <si>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</si>
  <si>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</si>
  <si>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</si>
  <si>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</si>
  <si>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</si>
  <si>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facturacion electronica</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</si>
  <si>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</si>
  <si>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</si>
  <si>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</si>
  <si>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</si>
  <si>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</si>
  <si>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</si>
  <si>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</si>
  <si>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</si>
  <si>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</si>
  <si>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</si>
  <si>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</si>
  <si>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</si>
  <si>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</si>
  <si>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</si>
  <si>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</si>
  <si>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</si>
  <si>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</si>
  <si>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</si>
  <si>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</si>
  <si>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</si>
  <si>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</si>
  <si>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</si>
  <si>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</si>
  <si>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</si>
  <si>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</si>
  <si>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</si>
  <si>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</si>
  <si>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</si>
  <si>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</si>
  <si>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</si>
  <si>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</si>
  <si>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</si>
  <si>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</si>
  <si>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</si>
  <si>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</si>
  <si>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</si>
  <si>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</si>
  <si>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</si>
  <si>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</si>
  <si>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</si>
  <si>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</si>
  <si>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</si>
  <si>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</si>
  <si>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</si>
  <si>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</si>
  <si>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</si>
  <si>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</si>
  <si>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</si>
  <si>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</si>
  <si>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</si>
  <si>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</si>
  <si>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</si>
  <si>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</si>
  <si>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</si>
  <si>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</si>
  <si>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</si>
  <si>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</si>
  <si>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</si>
  <si>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</si>
  <si>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</si>
  <si>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</si>
  <si>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</si>
  <si>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</si>
  <si>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</si>
  <si>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</si>
  <si>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</si>
  <si>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</si>
  <si>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</si>
  <si>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</si>
  <si>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</si>
  <si>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</si>
  <si>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</si>
  <si>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</si>
  <si>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</si>
  <si>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</si>
  <si>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</si>
  <si>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</si>
  <si>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</si>
  <si>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</si>
  <si>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</si>
  <si>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</si>
  <si>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</si>
  <si>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</si>
  <si>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</si>
  <si>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</si>
  <si>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</si>
  <si>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</si>
  <si>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</si>
  <si>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</si>
  <si>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</si>
  <si>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</si>
  <si>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</si>
  <si>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</si>
  <si>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</si>
  <si>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</si>
  <si>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</si>
  <si>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</si>
  <si>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</si>
  <si>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PROMEDIO MOVIL PONDERADO</t>
  </si>
  <si>
    <t>PERIODO</t>
  </si>
  <si>
    <t>JUNIO</t>
  </si>
  <si>
    <t>JULIO</t>
  </si>
  <si>
    <t>AGOSTO</t>
  </si>
  <si>
    <t>SEPTIEMBRE</t>
  </si>
  <si>
    <t>OCTUBRE</t>
  </si>
  <si>
    <t>NOVIEMBRE</t>
  </si>
  <si>
    <t>DICIEMBRE</t>
  </si>
  <si>
    <t>ENERO</t>
  </si>
  <si>
    <t>promedio</t>
  </si>
  <si>
    <t>MARGEN BRUTO</t>
  </si>
  <si>
    <t>Descripción</t>
  </si>
  <si>
    <t>Ene</t>
  </si>
  <si>
    <t>Febr</t>
  </si>
  <si>
    <t>Mar</t>
  </si>
  <si>
    <t>Abr</t>
  </si>
  <si>
    <t>May</t>
  </si>
  <si>
    <t>Jun</t>
  </si>
  <si>
    <t>Jul</t>
  </si>
  <si>
    <t>Ago</t>
  </si>
  <si>
    <t>Sept</t>
  </si>
  <si>
    <t>Oct</t>
  </si>
  <si>
    <t>Nov</t>
  </si>
  <si>
    <t>Dic</t>
  </si>
  <si>
    <t>Cantidad año</t>
  </si>
  <si>
    <t>Precio Unitario promedio</t>
  </si>
  <si>
    <t>Precio Total</t>
  </si>
  <si>
    <t>Costo promedio</t>
  </si>
  <si>
    <t>Costo total</t>
  </si>
  <si>
    <t>Ejes</t>
  </si>
  <si>
    <t>Rines</t>
  </si>
  <si>
    <t>Tren de apoyo</t>
  </si>
  <si>
    <t>Suspensiones</t>
  </si>
  <si>
    <t>King pin</t>
  </si>
  <si>
    <t>Corona de giro</t>
  </si>
  <si>
    <t>Enganche automatico</t>
  </si>
  <si>
    <t>Barra de tiro</t>
  </si>
  <si>
    <t>Enganche de mordaza</t>
  </si>
  <si>
    <t>Argolla enganche</t>
  </si>
  <si>
    <t>Trompos</t>
  </si>
  <si>
    <t>Sistemas ABS</t>
  </si>
  <si>
    <t>VENTAS 2025</t>
  </si>
  <si>
    <t>COSTOS AÑO</t>
  </si>
  <si>
    <t>SUPUESTOS</t>
  </si>
  <si>
    <t>J M C Importaciones S A S</t>
  </si>
  <si>
    <t>Novi</t>
  </si>
  <si>
    <t>Promedio de matriculas</t>
  </si>
  <si>
    <t>% de ventas vs JMC</t>
  </si>
  <si>
    <t>% de participación MAT</t>
  </si>
  <si>
    <t>Participacion</t>
  </si>
  <si>
    <t>% de participación REM</t>
  </si>
  <si>
    <t>Remolques</t>
  </si>
  <si>
    <t>Semirremolques</t>
  </si>
  <si>
    <t>ejes de semirremolques</t>
  </si>
  <si>
    <t>ejes de remolques</t>
  </si>
  <si>
    <t>Margen bruto</t>
  </si>
  <si>
    <t>Margen operativo</t>
  </si>
  <si>
    <t>Magen neto</t>
  </si>
  <si>
    <t>PRESUPUESTO PERSONAL ADMINISTRATIVO DIRECTO PRIMER AÑO</t>
  </si>
  <si>
    <t>Area</t>
  </si>
  <si>
    <t>Cargo</t>
  </si>
  <si>
    <t>Sueldo mensual</t>
  </si>
  <si>
    <t>Factor prestacional</t>
  </si>
  <si>
    <t>Valor mensual</t>
  </si>
  <si>
    <t>Tiempo</t>
  </si>
  <si>
    <t>Valor anual</t>
  </si>
  <si>
    <t>Administrativa</t>
  </si>
  <si>
    <t>Gerente</t>
  </si>
  <si>
    <t>Comercial</t>
  </si>
  <si>
    <t>Coordinador Comercial</t>
  </si>
  <si>
    <t>Auxliar de servicio al cliente</t>
  </si>
  <si>
    <t>Auxliar de recepción de pedidos</t>
  </si>
  <si>
    <t>Logistica</t>
  </si>
  <si>
    <t>Coordinador de logística</t>
  </si>
  <si>
    <t>Almacenista</t>
  </si>
  <si>
    <t>Auxiliar de compras</t>
  </si>
  <si>
    <t>Coordinador administrativo y financiero</t>
  </si>
  <si>
    <t>Auxiliar administraiva</t>
  </si>
  <si>
    <t>Totales</t>
  </si>
  <si>
    <t>SERVICIOS TERCERIZADOS</t>
  </si>
  <si>
    <t>Servicio</t>
  </si>
  <si>
    <t>Valor Anuel</t>
  </si>
  <si>
    <t>Mercadeo y Marketing</t>
  </si>
  <si>
    <t>Sistemas</t>
  </si>
  <si>
    <t>Transporte</t>
  </si>
  <si>
    <t>Mercadeo</t>
  </si>
  <si>
    <t>Tecnologia y sistemas</t>
  </si>
  <si>
    <t>Contabilidad</t>
  </si>
  <si>
    <t>Servicios generales</t>
  </si>
  <si>
    <t>Total servicios mes</t>
  </si>
  <si>
    <t>Total</t>
  </si>
  <si>
    <t>GASTOS GENERALES</t>
  </si>
  <si>
    <t>IVA 19%</t>
  </si>
  <si>
    <t>Valor mensual con IVA</t>
  </si>
  <si>
    <t>Valor Anual</t>
  </si>
  <si>
    <t>Arrendamiento bodega</t>
  </si>
  <si>
    <t>Servicio de internet y telefonia fija</t>
  </si>
  <si>
    <t>Servicio de energia</t>
  </si>
  <si>
    <t>Servicio de acueducto</t>
  </si>
  <si>
    <t>Servicio de telefonia celular</t>
  </si>
  <si>
    <t>Pauta de marketing digital</t>
  </si>
  <si>
    <t>Plataforma de facturación electronica</t>
  </si>
  <si>
    <t>Varios (papeleria, caja menor, cafeteria, otros)</t>
  </si>
  <si>
    <t>INVERSION EN INFRAESTRUCTURA, MAQUINARIA Y EQUIPOS</t>
  </si>
  <si>
    <t>Item</t>
  </si>
  <si>
    <t xml:space="preserve">Descripción </t>
  </si>
  <si>
    <t>Cant</t>
  </si>
  <si>
    <t>Valor</t>
  </si>
  <si>
    <t>Valor Total</t>
  </si>
  <si>
    <t>Computador estación de trabajo</t>
  </si>
  <si>
    <t>Computador portatil</t>
  </si>
  <si>
    <t>Impresora</t>
  </si>
  <si>
    <t>Camaras de vigilancia y alarma</t>
  </si>
  <si>
    <t>Mobiliario de oficinas</t>
  </si>
  <si>
    <t>Montacargas</t>
  </si>
  <si>
    <t>Estanteria</t>
  </si>
  <si>
    <t>Gato estibador hidraulico</t>
  </si>
  <si>
    <t>Dotación cafeteria</t>
  </si>
  <si>
    <t>INVERSION IT</t>
  </si>
  <si>
    <t>Software office 365</t>
  </si>
  <si>
    <t>Software contable, inventarios, compras</t>
  </si>
  <si>
    <t>Dominio</t>
  </si>
  <si>
    <t>Hosting</t>
  </si>
  <si>
    <t>Pagina web ecommerce</t>
  </si>
  <si>
    <t>Creación de redes sociales</t>
  </si>
  <si>
    <t>INVERSION PUESTA EN MARCHA</t>
  </si>
  <si>
    <t>Derechos registro de matricula</t>
  </si>
  <si>
    <t>Formulario RUES</t>
  </si>
  <si>
    <t>Cerificado de existencia y repres legal</t>
  </si>
  <si>
    <t>Cerificado de matricula mercantil</t>
  </si>
  <si>
    <t>Derechos de inscripción</t>
  </si>
  <si>
    <t>Asesoria legal</t>
  </si>
  <si>
    <t>superior</t>
  </si>
  <si>
    <t>benfor</t>
  </si>
  <si>
    <t>sueldo</t>
  </si>
  <si>
    <t>cargo</t>
  </si>
  <si>
    <t>tamaño</t>
  </si>
  <si>
    <t>experiencia</t>
  </si>
  <si>
    <t>carga de trabajo</t>
  </si>
  <si>
    <t>Subsidio de transporte</t>
  </si>
  <si>
    <t>pensiones</t>
  </si>
  <si>
    <t>prestaciones</t>
  </si>
  <si>
    <t>parafiscales</t>
  </si>
  <si>
    <t>cercania</t>
  </si>
  <si>
    <t>empleado</t>
  </si>
  <si>
    <t>empleador</t>
  </si>
  <si>
    <t>salario</t>
  </si>
  <si>
    <t>minimo</t>
  </si>
  <si>
    <t>estabilidad</t>
  </si>
  <si>
    <t>salud</t>
  </si>
  <si>
    <t>ARL</t>
  </si>
  <si>
    <t>Tota seg soc</t>
  </si>
  <si>
    <t>cesantias</t>
  </si>
  <si>
    <t>vacaciones</t>
  </si>
  <si>
    <t>prima</t>
  </si>
  <si>
    <t>interes de cesantias</t>
  </si>
  <si>
    <t>total prest</t>
  </si>
  <si>
    <t>sena</t>
  </si>
  <si>
    <t>icbf</t>
  </si>
  <si>
    <t>caja comp</t>
  </si>
  <si>
    <t>total paraf</t>
  </si>
  <si>
    <t>gran total</t>
  </si>
  <si>
    <t>Dotacion</t>
  </si>
  <si>
    <t>%</t>
  </si>
  <si>
    <t>cant trab cargo</t>
  </si>
  <si>
    <t>proyeccion</t>
  </si>
  <si>
    <t>recursos</t>
  </si>
  <si>
    <t>Total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</si>
</sst>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quot;$&quot;#,##0.00;[Red]\-&quot;$&quot;#,##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_-&quot;$&quot;* #,##0.0_-;\-&quot;$&quot;* #,##0.0_-;_-&quot;$&quot;* &quot;-&quot;??_-;_-@_-"/>
    <numFmt numFmtId="179" formatCode="_-[$$-240A]\ * #,##0_-;\-[$$-240A]\ * #,##0_-;_-[$$-240A]\ * &quot;-&quot;??_-;_-@_-"/>
    <numFmt numFmtId="180" formatCode="_-[$$-240A]\ * #,##0.00_-;\-[$$-240A]\ * #,##0.00_-;_-[$$-240A]\ * &quot;-&quot;??_-;_-@_-"/>
    <numFmt numFmtId="181" formatCode="&quot;$&quot;\ #,##0_);[Red]\(&quot;$&quot;\ #,##0\)"/>
    <numFmt numFmtId="182" formatCode="&quot;$&quot;#,##0"/>
    <numFmt numFmtId="183" formatCode="_-&quot;$&quot;\ * #,##0.00_-;\-&quot;$&quot;\ * #,##0.00_-;_-&quot;$&quot;\ * &quot;-&quot;??_-;_-@_-"/>
    <numFmt numFmtId="184" formatCode="0.000%"/>
    <numFmt numFmtId="185" formatCode="#,##0_ ;[Red]\-#,##0\ "/>
  </numFmts>
  <fonts count="53">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11"/>
      <color theme="0"/>
      <name val="Arial"/>
      <family val="2"/>
    </font>
    <font>
      <b/>
      <u/>
      <sz val="11"/>
      <color theme="1"/>
      <name val="Calibri"/>
      <family val="2"/>
      <scheme val="minor"/>
    </font>
    <font>
      <u/>
      <sz val="10"/>
      <color rgb="FF114CC4"/>
      <name val="Calibri"/>
      <family val="2"/>
    </font>
  </fonts>
  <fills count="13">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249977111117893"/>
        <bgColor indexed="64"/>
      </patternFill>
    </fill>
    <fill>
      <patternFill patternType="solid">
        <fgColor rgb="FF7030A0"/>
        <bgColor indexed="64"/>
      </patternFill>
    </fill>
    <fill>
      <patternFill patternType="solid">
        <fgColor theme="0" tint="-0.249977111117893"/>
        <bgColor indexed="64"/>
      </patternFill>
    </fill>
  </fills>
  <borders count="2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right/>
      <top style="double">
        <color indexed="64"/>
      </top>
      <bottom style="medium">
        <color indexed="64"/>
      </bottom>
      <diagonal/>
    </border>
    <border>
      <left style="thin">
        <color indexed="64"/>
      </left>
      <right style="thin">
        <color indexed="64"/>
      </right>
      <top style="thin">
        <color indexed="64"/>
      </top>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248">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7"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69" fontId="29" fillId="4" borderId="0" xfId="2" applyNumberFormat="1" applyFont="1" applyFill="1" applyProtection="1">
      <protection locked="0"/>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8" fontId="6" fillId="0" borderId="0" xfId="0" applyNumberFormat="1" applyFont="1"/>
    <xf numFmtId="178" fontId="6" fillId="0" borderId="14" xfId="0" applyNumberFormat="1" applyFont="1" applyBorder="1"/>
    <xf numFmtId="0" fontId="2" fillId="0" borderId="11" xfId="0" applyFont="1" applyBorder="1" applyAlignment="1" applyProtection="1">
      <alignment horizontal="center"/>
      <protection hidden="1"/>
    </xf>
    <xf numFmtId="178" fontId="6" fillId="0" borderId="0" xfId="0" applyNumberFormat="1" applyFont="1" applyProtection="1">
      <protection hidden="1"/>
    </xf>
    <xf numFmtId="178" fontId="6" fillId="0" borderId="14" xfId="0" applyNumberFormat="1" applyFont="1" applyBorder="1" applyProtection="1">
      <protection hidden="1"/>
    </xf>
    <xf numFmtId="178" fontId="6" fillId="0" borderId="3" xfId="0" applyNumberFormat="1" applyFont="1" applyBorder="1" applyProtection="1">
      <protection hidden="1"/>
    </xf>
    <xf numFmtId="178"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0" fillId="0" borderId="0" xfId="0" applyAlignment="1">
      <alignment horizontal="center"/>
    </xf>
    <xf numFmtId="0" fontId="0" fillId="0" borderId="0" xfId="0" applyAlignment="1">
      <alignment horizontal="center" vertical="center" wrapText="1"/>
    </xf>
    <xf numFmtId="0" fontId="0" fillId="0" borderId="17" xfId="0" applyBorder="1"/>
    <xf numFmtId="0" fontId="0" fillId="0" borderId="17" xfId="0" applyBorder="1" applyAlignment="1">
      <alignment horizontal="center"/>
    </xf>
    <xf numFmtId="179" fontId="0" fillId="0" borderId="17" xfId="0" applyNumberFormat="1" applyBorder="1"/>
    <xf numFmtId="0" fontId="2" fillId="8" borderId="17" xfId="0" applyFont="1" applyFill="1" applyBorder="1" applyAlignment="1">
      <alignment horizontal="center" vertical="center" wrapText="1"/>
    </xf>
    <xf numFmtId="0" fontId="48" fillId="4" borderId="17" xfId="0" applyFont="1" applyFill="1" applyBorder="1" applyAlignment="1">
      <alignment horizontal="center"/>
    </xf>
    <xf numFmtId="179" fontId="48" fillId="4" borderId="18" xfId="0" applyNumberFormat="1" applyFont="1" applyFill="1" applyBorder="1"/>
    <xf numFmtId="0" fontId="2" fillId="0" borderId="17" xfId="0" applyFont="1" applyBorder="1"/>
    <xf numFmtId="9" fontId="2" fillId="2" borderId="17" xfId="0" applyNumberFormat="1" applyFont="1" applyFill="1" applyBorder="1"/>
    <xf numFmtId="168" fontId="29" fillId="4" borderId="0" xfId="1" applyNumberFormat="1" applyFont="1" applyFill="1" applyProtection="1">
      <protection locked="0"/>
    </xf>
    <xf numFmtId="0" fontId="48" fillId="4" borderId="18" xfId="0" applyFont="1" applyFill="1" applyBorder="1" applyAlignment="1">
      <alignment horizontal="center"/>
    </xf>
    <xf numFmtId="0" fontId="7" fillId="8" borderId="17" xfId="0" applyFont="1" applyFill="1" applyBorder="1" applyAlignment="1">
      <alignment horizontal="center" vertical="center" wrapText="1"/>
    </xf>
    <xf numFmtId="0" fontId="6" fillId="0" borderId="17" xfId="0" applyFont="1" applyBorder="1" applyAlignment="1">
      <alignment horizontal="center"/>
    </xf>
    <xf numFmtId="0" fontId="6" fillId="0" borderId="17" xfId="0" applyFont="1" applyBorder="1"/>
    <xf numFmtId="179" fontId="6" fillId="0" borderId="17" xfId="0" applyNumberFormat="1" applyFont="1" applyBorder="1"/>
    <xf numFmtId="2" fontId="6" fillId="0" borderId="17" xfId="0" applyNumberFormat="1" applyFont="1" applyBorder="1"/>
    <xf numFmtId="0" fontId="6" fillId="0" borderId="0" xfId="0" applyFont="1"/>
    <xf numFmtId="0" fontId="7" fillId="8" borderId="17" xfId="0" applyFont="1" applyFill="1" applyBorder="1"/>
    <xf numFmtId="179" fontId="7" fillId="8" borderId="17" xfId="0" applyNumberFormat="1" applyFont="1" applyFill="1" applyBorder="1"/>
    <xf numFmtId="179" fontId="6" fillId="0" borderId="0" xfId="0" applyNumberFormat="1" applyFont="1"/>
    <xf numFmtId="0" fontId="6" fillId="0" borderId="0" xfId="0" applyFont="1" applyAlignment="1">
      <alignment horizontal="center"/>
    </xf>
    <xf numFmtId="0" fontId="7" fillId="0" borderId="17" xfId="0" applyFont="1" applyBorder="1"/>
    <xf numFmtId="179" fontId="7" fillId="0" borderId="17" xfId="0" applyNumberFormat="1" applyFont="1" applyBorder="1"/>
    <xf numFmtId="0" fontId="7" fillId="0" borderId="17" xfId="0" applyFont="1" applyBorder="1" applyAlignment="1">
      <alignment horizontal="center"/>
    </xf>
    <xf numFmtId="179" fontId="0" fillId="0" borderId="0" xfId="0" applyNumberFormat="1"/>
    <xf numFmtId="180" fontId="0" fillId="0" borderId="0" xfId="0" applyNumberFormat="1"/>
    <xf numFmtId="1" fontId="6" fillId="0" borderId="17" xfId="0" applyNumberFormat="1" applyFont="1" applyBorder="1" applyAlignment="1">
      <alignment horizontal="center"/>
    </xf>
    <xf numFmtId="179" fontId="6" fillId="0" borderId="17" xfId="0" applyNumberFormat="1" applyFont="1" applyBorder="1" applyAlignment="1">
      <alignment horizontal="center"/>
    </xf>
    <xf numFmtId="168" fontId="21" fillId="0" borderId="0" xfId="0" applyNumberFormat="1" applyFont="1" applyProtection="1">
      <protection hidden="1"/>
    </xf>
    <xf numFmtId="181" fontId="39" fillId="5" borderId="6" xfId="0" applyNumberFormat="1" applyFont="1" applyFill="1" applyBorder="1" applyProtection="1">
      <protection hidden="1"/>
    </xf>
    <xf numFmtId="182" fontId="41" fillId="0" borderId="3" xfId="0" applyNumberFormat="1" applyFont="1" applyBorder="1" applyProtection="1">
      <protection hidden="1"/>
    </xf>
    <xf numFmtId="182" fontId="41" fillId="0" borderId="12" xfId="0" applyNumberFormat="1" applyFont="1" applyBorder="1" applyProtection="1">
      <protection hidden="1"/>
    </xf>
    <xf numFmtId="168" fontId="6" fillId="0" borderId="0" xfId="0" applyNumberFormat="1" applyFont="1" applyProtection="1">
      <protection hidden="1"/>
    </xf>
    <xf numFmtId="168" fontId="21" fillId="5" borderId="0" xfId="0" applyNumberFormat="1" applyFont="1" applyFill="1" applyProtection="1">
      <protection hidden="1"/>
    </xf>
    <xf numFmtId="168" fontId="29" fillId="4" borderId="0" xfId="1" applyNumberFormat="1" applyFont="1" applyFill="1" applyAlignment="1" applyProtection="1">
      <alignment horizontal="center"/>
      <protection locked="0"/>
    </xf>
    <xf numFmtId="168" fontId="33" fillId="0" borderId="0" xfId="0" applyNumberFormat="1" applyFont="1" applyProtection="1">
      <protection hidden="1"/>
    </xf>
    <xf numFmtId="168" fontId="35" fillId="0" borderId="0" xfId="1" applyNumberFormat="1" applyFont="1" applyProtection="1">
      <protection hidden="1"/>
    </xf>
    <xf numFmtId="0" fontId="11" fillId="0" borderId="4" xfId="0" applyFont="1" applyBorder="1" applyProtection="1">
      <protection hidden="1"/>
    </xf>
    <xf numFmtId="168" fontId="45" fillId="7" borderId="1" xfId="1" applyNumberFormat="1" applyFont="1" applyFill="1" applyBorder="1" applyProtection="1">
      <protection hidden="1"/>
    </xf>
    <xf numFmtId="165" fontId="0" fillId="0" borderId="0" xfId="0" applyNumberFormat="1"/>
    <xf numFmtId="165" fontId="0" fillId="0" borderId="0" xfId="0" applyNumberFormat="1" applyAlignment="1">
      <alignment horizontal="left"/>
    </xf>
    <xf numFmtId="10" fontId="1" fillId="0" borderId="0" xfId="2" applyNumberFormat="1" applyFont="1" applyAlignment="1">
      <alignment horizontal="center"/>
    </xf>
    <xf numFmtId="9" fontId="0" fillId="0" borderId="0" xfId="0" applyNumberFormat="1" applyAlignment="1">
      <alignment horizontal="center"/>
    </xf>
    <xf numFmtId="165" fontId="1" fillId="0" borderId="0" xfId="1" applyFont="1"/>
    <xf numFmtId="183" fontId="0" fillId="0" borderId="0" xfId="0" applyNumberFormat="1"/>
    <xf numFmtId="10" fontId="1" fillId="0" borderId="0" xfId="2" applyNumberFormat="1" applyFont="1"/>
    <xf numFmtId="184" fontId="1" fillId="0" borderId="0" xfId="2" applyNumberFormat="1" applyFont="1" applyAlignment="1">
      <alignment horizontal="center"/>
    </xf>
    <xf numFmtId="167" fontId="0" fillId="0" borderId="0" xfId="0" applyNumberFormat="1"/>
    <xf numFmtId="168" fontId="48" fillId="10" borderId="0" xfId="0" applyNumberFormat="1" applyFont="1" applyFill="1"/>
    <xf numFmtId="165" fontId="48" fillId="4" borderId="0" xfId="0" applyNumberFormat="1" applyFont="1" applyFill="1"/>
    <xf numFmtId="165" fontId="0" fillId="0" borderId="0" xfId="0" applyNumberFormat="1" applyAlignment="1">
      <alignment horizontal="center" vertical="center" wrapText="1"/>
    </xf>
    <xf numFmtId="0" fontId="2" fillId="0" borderId="17" xfId="0" applyFont="1" applyBorder="1" applyAlignment="1">
      <alignment horizontal="center" vertical="center" wrapText="1"/>
    </xf>
    <xf numFmtId="183" fontId="48" fillId="11" borderId="0" xfId="0" applyNumberFormat="1" applyFont="1" applyFill="1"/>
    <xf numFmtId="165" fontId="48" fillId="11" borderId="0" xfId="0" applyNumberFormat="1" applyFont="1" applyFill="1"/>
    <xf numFmtId="168" fontId="0" fillId="0" borderId="0" xfId="0" applyNumberFormat="1" applyAlignment="1">
      <alignment horizontal="left"/>
    </xf>
    <xf numFmtId="168" fontId="1" fillId="0" borderId="0" xfId="1" applyNumberFormat="1" applyFont="1"/>
    <xf numFmtId="168" fontId="48" fillId="9" borderId="0" xfId="0" applyNumberFormat="1" applyFont="1" applyFill="1"/>
    <xf numFmtId="169" fontId="1" fillId="0" borderId="0" xfId="2" applyNumberFormat="1" applyFont="1"/>
    <xf numFmtId="0" fontId="7" fillId="12" borderId="17" xfId="0" applyFont="1" applyFill="1" applyBorder="1"/>
    <xf numFmtId="179" fontId="7" fillId="12" borderId="17" xfId="0" applyNumberFormat="1" applyFont="1" applyFill="1" applyBorder="1"/>
    <xf numFmtId="0" fontId="7" fillId="12" borderId="17" xfId="0" applyFont="1" applyFill="1" applyBorder="1" applyAlignment="1">
      <alignment horizontal="center"/>
    </xf>
    <xf numFmtId="179" fontId="0" fillId="0" borderId="18" xfId="0" applyNumberFormat="1" applyBorder="1"/>
    <xf numFmtId="14" fontId="0" fillId="0" borderId="0" xfId="0" applyNumberFormat="1" applyAlignment="1">
      <alignment horizontal="center"/>
    </xf>
    <xf numFmtId="0" fontId="51" fillId="0" borderId="0" xfId="0" applyFont="1"/>
    <xf numFmtId="1" fontId="0" fillId="0" borderId="0" xfId="2" applyNumberFormat="1" applyFont="1"/>
    <xf numFmtId="9" fontId="0" fillId="0" borderId="0" xfId="2" applyFont="1"/>
    <xf numFmtId="0" fontId="52" fillId="0" borderId="17" xfId="0" applyFont="1" applyBorder="1"/>
    <xf numFmtId="185" fontId="0" fillId="0" borderId="17" xfId="0" applyNumberFormat="1" applyBorder="1" applyAlignment="1">
      <alignment horizontal="center" vertical="center"/>
    </xf>
    <xf numFmtId="169" fontId="0" fillId="0" borderId="0" xfId="2" applyNumberFormat="1" applyFont="1"/>
    <xf numFmtId="0" fontId="48" fillId="4" borderId="20" xfId="0" applyFont="1" applyFill="1" applyBorder="1"/>
    <xf numFmtId="0" fontId="0" fillId="0" borderId="7" xfId="0" applyBorder="1"/>
    <xf numFmtId="169" fontId="1" fillId="0" borderId="7" xfId="2" applyNumberFormat="1" applyFont="1" applyBorder="1"/>
    <xf numFmtId="0" fontId="0" fillId="0" borderId="24" xfId="0" applyBorder="1"/>
    <xf numFmtId="169" fontId="1" fillId="0" borderId="24" xfId="2" applyNumberFormat="1" applyFont="1" applyBorder="1"/>
    <xf numFmtId="0" fontId="0" fillId="0" borderId="25" xfId="0" applyBorder="1"/>
    <xf numFmtId="169" fontId="1" fillId="0" borderId="25" xfId="2" applyNumberFormat="1" applyFont="1" applyBorder="1"/>
    <xf numFmtId="169" fontId="0" fillId="0" borderId="0" xfId="0" applyNumberFormat="1"/>
    <xf numFmtId="43" fontId="0" fillId="0" borderId="0" xfId="0" applyNumberFormat="1"/>
    <xf numFmtId="0" fontId="2" fillId="0" borderId="26" xfId="0" applyFont="1" applyBorder="1"/>
    <xf numFmtId="179" fontId="0" fillId="0" borderId="26" xfId="0" applyNumberFormat="1" applyBorder="1"/>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48" fillId="4" borderId="19" xfId="0" applyFont="1" applyFill="1" applyBorder="1" applyAlignment="1">
      <alignment horizontal="center"/>
    </xf>
    <xf numFmtId="0" fontId="48" fillId="4" borderId="20" xfId="0" applyFont="1" applyFill="1" applyBorder="1" applyAlignment="1">
      <alignment horizontal="center"/>
    </xf>
    <xf numFmtId="0" fontId="50" fillId="4" borderId="17" xfId="0" applyFont="1" applyFill="1" applyBorder="1" applyAlignment="1">
      <alignment horizontal="center"/>
    </xf>
    <xf numFmtId="0" fontId="50" fillId="4" borderId="21" xfId="0" applyFont="1" applyFill="1" applyBorder="1" applyAlignment="1">
      <alignment horizontal="center"/>
    </xf>
    <xf numFmtId="0" fontId="50" fillId="4" borderId="22" xfId="0" applyFont="1" applyFill="1" applyBorder="1" applyAlignment="1">
      <alignment horizontal="center"/>
    </xf>
    <xf numFmtId="0" fontId="50" fillId="4" borderId="23" xfId="0" applyFont="1" applyFill="1" applyBorder="1" applyAlignment="1">
      <alignment horizontal="center"/>
    </xf>
    <xf numFmtId="0" fontId="50" fillId="4" borderId="19" xfId="0" applyFont="1" applyFill="1" applyBorder="1" applyAlignment="1">
      <alignment horizontal="center"/>
    </xf>
    <xf numFmtId="0" fontId="50" fillId="4" borderId="20" xfId="0" applyFont="1" applyFill="1" applyBorder="1" applyAlignment="1">
      <alignment horizontal="center"/>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17" xfId="0" applyFont="1" applyBorder="1" applyAlignment="1">
      <alignment horizontal="center" vertical="center" wrapText="1"/>
    </xf>
  </cellXfs>
  <cellStyles count="7">
    <cellStyle name="Hipervínculo" xfId="5" builtinId="8"/>
    <cellStyle name="Millares" xfId="4" builtinId="3"/>
    <cellStyle name="Millares_Modelo Financiero ACME Final 2" xfId="3"/>
    <cellStyle name="Moneda" xfId="1" builtinId="4"/>
    <cellStyle name="Normal" xfId="0" builtinId="0"/>
    <cellStyle name="Normal 2" xfId="6"/>
    <cellStyle name="Porcentaje" xfId="2" builtinId="5"/>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numFmt numFmtId="179" formatCode="_-[$$-240A]\ * #,##0_-;\-[$$-240A]\ * #,##0_-;_-[$$-240A]\ *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center" vertical="bottom" textRotation="0" wrapText="0" indent="0" justifyLastLine="0" shrinkToFit="0" readingOrder="0"/>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0.6379190204200712</c:v>
                </c:pt>
                <c:pt idx="2">
                  <c:v>1.2758380408401424</c:v>
                </c:pt>
              </c:numCache>
            </c:numRef>
          </c:cat>
          <c:val>
            <c:numRef>
              <c:f>'5'!$C$33:$C$35</c:f>
              <c:numCache>
                <c:formatCode>_("$"\ * #,##0.00_);_("$"\ * \(#,##0.00\);_("$"\ * "-"??_);_(@_)</c:formatCode>
                <c:ptCount val="3"/>
                <c:pt idx="0">
                  <c:v>673110308</c:v>
                </c:pt>
                <c:pt idx="1">
                  <c:v>673110308</c:v>
                </c:pt>
                <c:pt idx="2">
                  <c:v>673110308</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0.6379190204200712</c:v>
                </c:pt>
                <c:pt idx="2">
                  <c:v>1.2758380408401424</c:v>
                </c:pt>
              </c:numCache>
            </c:numRef>
          </c:cat>
          <c:val>
            <c:numRef>
              <c:f>'5'!$D$33:$D$35</c:f>
              <c:numCache>
                <c:formatCode>_("$"\ * #,##0.00_);_("$"\ * \(#,##0.00\);_("$"\ * "-"??_);_(@_)</c:formatCode>
                <c:ptCount val="3"/>
                <c:pt idx="0" formatCode="General">
                  <c:v>0</c:v>
                </c:pt>
                <c:pt idx="1">
                  <c:v>3059592309.090909</c:v>
                </c:pt>
                <c:pt idx="2">
                  <c:v>6119184618.181818</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0.6379190204200712</c:v>
                </c:pt>
                <c:pt idx="2">
                  <c:v>1.2758380408401424</c:v>
                </c:pt>
              </c:numCache>
            </c:numRef>
          </c:cat>
          <c:val>
            <c:numRef>
              <c:f>'5'!$F$33:$F$35</c:f>
              <c:numCache>
                <c:formatCode>_("$"\ * #,##0.00_);_("$"\ * \(#,##0.00\);_("$"\ * "-"??_);_(@_)</c:formatCode>
                <c:ptCount val="3"/>
                <c:pt idx="0">
                  <c:v>673110308</c:v>
                </c:pt>
                <c:pt idx="1">
                  <c:v>3059592309.090909</c:v>
                </c:pt>
                <c:pt idx="2">
                  <c:v>5446074310.181818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937456" y="3521868"/>
          <a:ext cx="402432" cy="3998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ables/table1.xml><?xml version="1.0" encoding="utf-8"?>
<table xmlns="http://schemas.openxmlformats.org/spreadsheetml/2006/main" id="3" name="Tabla3" displayName="Tabla3" ref="A1:B6" totalsRowShown="0" headerRowDxfId="15" tableBorderDxfId="14">
  <autoFilter ref="A1:B6"/>
  <tableColumns count="2">
    <tableColumn id="1" name="COSTOS OPERATIVOS" dataDxfId="13"/>
    <tableColumn id="2" name="VALOR" dataDxfId="12"/>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mis.com/php/companies?pc=CO&amp;cmpy=35593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tabSelected="1" workbookViewId="0">
      <selection activeCell="E27" sqref="E27"/>
    </sheetView>
  </sheetViews>
  <sheetFormatPr baseColWidth="10" defaultColWidth="11.44140625" defaultRowHeight="14.4"/>
  <sheetData>
    <row r="23" spans="7:8" ht="20.399999999999999">
      <c r="G23" s="212" t="s">
        <v>0</v>
      </c>
      <c r="H23" s="212"/>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hyperlinks>
  <pageMargins left="0.7" right="0.7" top="0.75" bottom="0.75" header="0.3" footer="0.3"/>
  <pageSetup paperSize="9" scale="6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8:N28"/>
  <sheetViews>
    <sheetView topLeftCell="C5" workbookViewId="0">
      <selection activeCell="I28" sqref="I28"/>
    </sheetView>
  </sheetViews>
  <sheetFormatPr baseColWidth="10" defaultColWidth="11.44140625" defaultRowHeight="14.4"/>
  <cols>
    <col min="8" max="8" width="9.109375" customWidth="1"/>
    <col min="9" max="11" width="17.33203125" bestFit="1" customWidth="1"/>
    <col min="12" max="13" width="18.33203125" bestFit="1" customWidth="1"/>
  </cols>
  <sheetData>
    <row r="8" spans="7:14" ht="15.6">
      <c r="G8" s="227" t="s">
        <v>87</v>
      </c>
      <c r="H8" s="227"/>
      <c r="I8" s="227"/>
      <c r="J8" s="227"/>
      <c r="K8" s="227"/>
      <c r="L8" s="227"/>
      <c r="M8" s="227"/>
    </row>
    <row r="9" spans="7:14" ht="22.8">
      <c r="G9" s="8"/>
      <c r="H9" s="8"/>
      <c r="I9" s="62">
        <v>2025</v>
      </c>
      <c r="J9" s="62">
        <v>2026</v>
      </c>
      <c r="K9" s="62">
        <v>2027</v>
      </c>
      <c r="L9" s="62">
        <v>2028</v>
      </c>
      <c r="M9" s="62">
        <v>2029</v>
      </c>
    </row>
    <row r="10" spans="7:14">
      <c r="G10" s="8"/>
      <c r="H10" s="8" t="s">
        <v>88</v>
      </c>
      <c r="I10" s="24">
        <v>4796208000</v>
      </c>
      <c r="J10" s="24">
        <v>6759775555.2000008</v>
      </c>
      <c r="K10" s="24">
        <v>10193741537.2416</v>
      </c>
      <c r="L10" s="24">
        <v>15856364961.179308</v>
      </c>
      <c r="M10" s="24">
        <v>25462150854.661732</v>
      </c>
      <c r="N10" s="197">
        <f>M10/I10-1</f>
        <v>4.3088087202768799</v>
      </c>
    </row>
    <row r="11" spans="7:14">
      <c r="G11" s="8"/>
      <c r="H11" s="8" t="s">
        <v>89</v>
      </c>
      <c r="I11" s="63">
        <v>3741042240</v>
      </c>
      <c r="J11" s="63">
        <v>5302927375.2000008</v>
      </c>
      <c r="K11" s="63">
        <v>8035260705.2717991</v>
      </c>
      <c r="L11" s="63">
        <v>12565138927.868776</v>
      </c>
      <c r="M11" s="63">
        <v>20293955882.400864</v>
      </c>
    </row>
    <row r="12" spans="7:14" ht="15" thickBot="1">
      <c r="G12" s="8"/>
      <c r="H12" s="64" t="s">
        <v>90</v>
      </c>
      <c r="I12" s="65">
        <v>1055165760</v>
      </c>
      <c r="J12" s="65">
        <v>1456848180</v>
      </c>
      <c r="K12" s="65">
        <v>2158480831.9698009</v>
      </c>
      <c r="L12" s="65">
        <v>3291226033.3105316</v>
      </c>
      <c r="M12" s="65">
        <v>5168194972.2608681</v>
      </c>
    </row>
    <row r="13" spans="7:14" ht="15" thickTop="1">
      <c r="G13" s="8"/>
      <c r="H13" s="8" t="s">
        <v>91</v>
      </c>
      <c r="I13" s="63">
        <v>380430308</v>
      </c>
      <c r="J13" s="63">
        <v>397169241.55199999</v>
      </c>
      <c r="K13" s="63">
        <v>413056011.21407998</v>
      </c>
      <c r="L13" s="63">
        <v>428339083.6290009</v>
      </c>
      <c r="M13" s="63">
        <v>443759290.63964492</v>
      </c>
    </row>
    <row r="14" spans="7:14">
      <c r="G14" s="8"/>
      <c r="H14" s="8" t="s">
        <v>92</v>
      </c>
      <c r="I14" s="63">
        <v>278280000</v>
      </c>
      <c r="J14" s="63">
        <v>290524320</v>
      </c>
      <c r="K14" s="63">
        <v>302145292.80000001</v>
      </c>
      <c r="L14" s="63">
        <v>313324668.6336</v>
      </c>
      <c r="M14" s="63">
        <v>324604356.7044096</v>
      </c>
    </row>
    <row r="15" spans="7:14">
      <c r="G15" s="8"/>
      <c r="H15" s="8" t="s">
        <v>93</v>
      </c>
      <c r="I15" s="63">
        <v>14400000</v>
      </c>
      <c r="J15" s="63">
        <v>15120000</v>
      </c>
      <c r="K15" s="63">
        <v>15047999.999999998</v>
      </c>
      <c r="L15" s="63">
        <v>15012000</v>
      </c>
      <c r="M15" s="63">
        <v>15004800</v>
      </c>
    </row>
    <row r="16" spans="7:14">
      <c r="G16" s="8"/>
      <c r="H16" s="8" t="s">
        <v>94</v>
      </c>
      <c r="I16" s="63">
        <v>21487226.092436977</v>
      </c>
      <c r="J16" s="63">
        <v>21487226.092436977</v>
      </c>
      <c r="K16" s="63">
        <v>21487226.092436977</v>
      </c>
      <c r="L16" s="63">
        <v>21487226.092436977</v>
      </c>
      <c r="M16" s="63">
        <v>21487226.092436977</v>
      </c>
    </row>
    <row r="17" spans="7:14" ht="15" thickBot="1">
      <c r="G17" s="8"/>
      <c r="H17" s="64" t="s">
        <v>95</v>
      </c>
      <c r="I17" s="66">
        <v>360568225.90756303</v>
      </c>
      <c r="J17" s="66">
        <v>732547392.35556293</v>
      </c>
      <c r="K17" s="66">
        <v>1406744301.8632841</v>
      </c>
      <c r="L17" s="66">
        <v>2513063054.9554939</v>
      </c>
      <c r="M17" s="66">
        <v>4363339298.8243771</v>
      </c>
    </row>
    <row r="18" spans="7:14" ht="15" thickTop="1">
      <c r="G18" s="8"/>
      <c r="H18" s="8" t="s">
        <v>96</v>
      </c>
      <c r="I18" s="63">
        <v>347728485.58817649</v>
      </c>
      <c r="J18" s="63">
        <v>303937477.06071925</v>
      </c>
      <c r="K18" s="63">
        <v>249938784.44551176</v>
      </c>
      <c r="L18" s="63">
        <v>183352996.5816994</v>
      </c>
      <c r="M18" s="63">
        <v>101246061.56683241</v>
      </c>
    </row>
    <row r="19" spans="7:14" ht="15" thickBot="1">
      <c r="G19" s="8"/>
      <c r="H19" s="64" t="s">
        <v>97</v>
      </c>
      <c r="I19" s="66">
        <v>12839740.319386542</v>
      </c>
      <c r="J19" s="66">
        <v>428609915.29484367</v>
      </c>
      <c r="K19" s="66">
        <v>1156805517.4177723</v>
      </c>
      <c r="L19" s="66">
        <v>2329710058.3737946</v>
      </c>
      <c r="M19" s="66">
        <v>4262093237.2575445</v>
      </c>
    </row>
    <row r="20" spans="7:14" ht="15" thickTop="1">
      <c r="G20" s="8"/>
      <c r="H20" s="8" t="s">
        <v>98</v>
      </c>
      <c r="I20" s="67">
        <v>4365511.7085914249</v>
      </c>
      <c r="J20" s="67">
        <v>145727371.20024687</v>
      </c>
      <c r="K20" s="67">
        <v>393313875.92204261</v>
      </c>
      <c r="L20" s="67">
        <v>792101419.84709024</v>
      </c>
      <c r="M20" s="67">
        <v>1449111700.6675653</v>
      </c>
    </row>
    <row r="21" spans="7:14" ht="15" thickBot="1">
      <c r="G21" s="8"/>
      <c r="H21" s="68" t="s">
        <v>99</v>
      </c>
      <c r="I21" s="69">
        <v>8474228.6107951179</v>
      </c>
      <c r="J21" s="69">
        <v>282882544.0945968</v>
      </c>
      <c r="K21" s="69">
        <v>763491641.49572968</v>
      </c>
      <c r="L21" s="69">
        <v>1537608638.5267043</v>
      </c>
      <c r="M21" s="69">
        <v>2812981536.5899792</v>
      </c>
    </row>
    <row r="23" spans="7:14" ht="15" thickBot="1">
      <c r="H23" s="202" t="s">
        <v>218</v>
      </c>
      <c r="I23" s="203">
        <f>I12/I$10</f>
        <v>0.22</v>
      </c>
      <c r="J23" s="203">
        <f t="shared" ref="J23:M23" si="0">J12/J$10</f>
        <v>0.21551724137931033</v>
      </c>
      <c r="K23" s="203">
        <f t="shared" si="0"/>
        <v>0.21174568965517251</v>
      </c>
      <c r="L23" s="203">
        <f t="shared" si="0"/>
        <v>0.20756497730522397</v>
      </c>
      <c r="M23" s="203">
        <f t="shared" si="0"/>
        <v>0.20297558528189499</v>
      </c>
    </row>
    <row r="24" spans="7:14" ht="15.6" thickTop="1" thickBot="1">
      <c r="H24" s="204" t="s">
        <v>219</v>
      </c>
      <c r="I24" s="205">
        <f>I17/I$10</f>
        <v>7.5177770836369701E-2</v>
      </c>
      <c r="J24" s="205">
        <f t="shared" ref="J24:M24" si="1">J17/J$10</f>
        <v>0.10836859691177855</v>
      </c>
      <c r="K24" s="205">
        <f t="shared" si="1"/>
        <v>0.13800078182519285</v>
      </c>
      <c r="L24" s="205">
        <f t="shared" si="1"/>
        <v>0.15848922884331657</v>
      </c>
      <c r="M24" s="205">
        <f t="shared" si="1"/>
        <v>0.17136569976866334</v>
      </c>
      <c r="N24" s="208">
        <f>AVERAGE(I24:M24)</f>
        <v>0.13028041563706419</v>
      </c>
    </row>
    <row r="25" spans="7:14" ht="15.6" thickTop="1" thickBot="1">
      <c r="H25" s="206" t="s">
        <v>220</v>
      </c>
      <c r="I25" s="207">
        <f>I21/I$10</f>
        <v>1.7668601134052397E-3</v>
      </c>
      <c r="J25" s="207">
        <f t="shared" ref="J25:M25" si="2">J21/J$10</f>
        <v>4.1847919621678505E-2</v>
      </c>
      <c r="K25" s="207">
        <f t="shared" si="2"/>
        <v>7.4898077286578768E-2</v>
      </c>
      <c r="L25" s="207">
        <f t="shared" si="2"/>
        <v>9.6971067599111671E-2</v>
      </c>
      <c r="M25" s="207">
        <f t="shared" si="2"/>
        <v>0.11047698023024496</v>
      </c>
    </row>
    <row r="28" spans="7:14">
      <c r="I28" s="209">
        <f>I10*63.792%</f>
        <v>3059597007.3600001</v>
      </c>
    </row>
  </sheetData>
  <mergeCells count="1">
    <mergeCell ref="G8:M8"/>
  </mergeCells>
  <conditionalFormatting sqref="I21:M21">
    <cfRule type="cellIs" dxfId="0" priority="1"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M90"/>
  <sheetViews>
    <sheetView showGridLines="0" topLeftCell="A46" zoomScaleNormal="100" workbookViewId="0">
      <selection activeCell="J19" sqref="J19"/>
    </sheetView>
  </sheetViews>
  <sheetFormatPr baseColWidth="10" defaultColWidth="11.44140625" defaultRowHeight="14.4"/>
  <cols>
    <col min="4" max="4" width="5.33203125" bestFit="1" customWidth="1"/>
    <col min="5" max="5" width="15.44140625" hidden="1" customWidth="1"/>
    <col min="6" max="6" width="44.6640625" bestFit="1" customWidth="1"/>
    <col min="7" max="7" width="14.88671875" bestFit="1" customWidth="1"/>
    <col min="8" max="9" width="16.109375" customWidth="1"/>
    <col min="10" max="10" width="16.109375" style="131" bestFit="1" customWidth="1"/>
    <col min="11" max="11" width="16" customWidth="1"/>
    <col min="12" max="12" width="16.109375" bestFit="1" customWidth="1"/>
  </cols>
  <sheetData>
    <row r="4" spans="5:11">
      <c r="E4" s="238" t="s">
        <v>221</v>
      </c>
      <c r="F4" s="238"/>
      <c r="G4" s="238"/>
      <c r="H4" s="238"/>
      <c r="I4" s="238"/>
      <c r="J4" s="238"/>
      <c r="K4" s="238"/>
    </row>
    <row r="5" spans="5:11" ht="27.6">
      <c r="E5" s="143" t="s">
        <v>222</v>
      </c>
      <c r="F5" s="143" t="s">
        <v>223</v>
      </c>
      <c r="G5" s="143" t="s">
        <v>224</v>
      </c>
      <c r="H5" s="143" t="s">
        <v>225</v>
      </c>
      <c r="I5" s="143" t="s">
        <v>226</v>
      </c>
      <c r="J5" s="143" t="s">
        <v>227</v>
      </c>
      <c r="K5" s="143" t="s">
        <v>228</v>
      </c>
    </row>
    <row r="6" spans="5:11">
      <c r="E6" s="144" t="s">
        <v>229</v>
      </c>
      <c r="F6" s="145" t="s">
        <v>230</v>
      </c>
      <c r="G6" s="146">
        <v>3000000</v>
      </c>
      <c r="H6" s="147">
        <v>1.4877</v>
      </c>
      <c r="I6" s="146">
        <f>sueldo!W23</f>
        <v>4463080</v>
      </c>
      <c r="J6" s="144">
        <v>12</v>
      </c>
      <c r="K6" s="146">
        <f>J6*I6</f>
        <v>53556960</v>
      </c>
    </row>
    <row r="7" spans="5:11">
      <c r="E7" s="144" t="s">
        <v>231</v>
      </c>
      <c r="F7" s="145" t="s">
        <v>232</v>
      </c>
      <c r="G7" s="146">
        <v>2500000</v>
      </c>
      <c r="H7" s="147">
        <v>1.7222999999999999</v>
      </c>
      <c r="I7" s="146">
        <f>sueldo!W25</f>
        <v>3909853.3333333335</v>
      </c>
      <c r="J7" s="144">
        <v>12</v>
      </c>
      <c r="K7" s="146">
        <f t="shared" ref="K7:K14" si="0">J7*I7</f>
        <v>46918240</v>
      </c>
    </row>
    <row r="8" spans="5:11">
      <c r="E8" s="144" t="s">
        <v>231</v>
      </c>
      <c r="F8" s="145" t="s">
        <v>233</v>
      </c>
      <c r="G8" s="146">
        <v>1300000</v>
      </c>
      <c r="H8" s="147">
        <v>1.7222999999999999</v>
      </c>
      <c r="I8" s="146">
        <f>sueldo!W27</f>
        <v>2124621.333333333</v>
      </c>
      <c r="J8" s="144">
        <v>12</v>
      </c>
      <c r="K8" s="146">
        <f t="shared" si="0"/>
        <v>25495455.999999996</v>
      </c>
    </row>
    <row r="9" spans="5:11">
      <c r="E9" s="144" t="s">
        <v>231</v>
      </c>
      <c r="F9" s="145" t="s">
        <v>234</v>
      </c>
      <c r="G9" s="146">
        <v>1300000</v>
      </c>
      <c r="H9" s="147">
        <v>1.7222999999999999</v>
      </c>
      <c r="I9" s="146">
        <f>sueldo!W29</f>
        <v>2124621.333333333</v>
      </c>
      <c r="J9" s="144">
        <v>12</v>
      </c>
      <c r="K9" s="146">
        <f t="shared" ref="K9" si="1">J9*I9</f>
        <v>25495455.999999996</v>
      </c>
    </row>
    <row r="10" spans="5:11">
      <c r="E10" s="144" t="s">
        <v>235</v>
      </c>
      <c r="F10" s="145" t="s">
        <v>236</v>
      </c>
      <c r="G10" s="146">
        <v>2500000</v>
      </c>
      <c r="H10" s="147">
        <v>1.7222999999999999</v>
      </c>
      <c r="I10" s="146">
        <f>sueldo!W31</f>
        <v>3909853.3333333335</v>
      </c>
      <c r="J10" s="144">
        <v>12</v>
      </c>
      <c r="K10" s="146">
        <f>J10*I10</f>
        <v>46918240</v>
      </c>
    </row>
    <row r="11" spans="5:11">
      <c r="E11" s="144" t="s">
        <v>235</v>
      </c>
      <c r="F11" s="145" t="s">
        <v>237</v>
      </c>
      <c r="G11" s="146">
        <v>1300000</v>
      </c>
      <c r="H11" s="147">
        <v>1.7222999999999999</v>
      </c>
      <c r="I11" s="146">
        <f>sueldo!W33</f>
        <v>2170496.333333333</v>
      </c>
      <c r="J11" s="144">
        <v>12</v>
      </c>
      <c r="K11" s="146">
        <f t="shared" si="0"/>
        <v>26045955.999999996</v>
      </c>
    </row>
    <row r="12" spans="5:11">
      <c r="E12" s="144" t="s">
        <v>235</v>
      </c>
      <c r="F12" s="145" t="s">
        <v>238</v>
      </c>
      <c r="G12" s="146">
        <v>1300000</v>
      </c>
      <c r="H12" s="147">
        <v>1.7222999999999999</v>
      </c>
      <c r="I12" s="146">
        <f>sueldo!W35</f>
        <v>2124621.333333333</v>
      </c>
      <c r="J12" s="144">
        <v>12</v>
      </c>
      <c r="K12" s="146">
        <f t="shared" ref="K12" si="2">J12*I12</f>
        <v>25495455.999999996</v>
      </c>
    </row>
    <row r="13" spans="5:11">
      <c r="E13" s="144" t="s">
        <v>229</v>
      </c>
      <c r="F13" s="145" t="s">
        <v>239</v>
      </c>
      <c r="G13" s="146">
        <v>2500000</v>
      </c>
      <c r="H13" s="147">
        <v>1.7222999999999999</v>
      </c>
      <c r="I13" s="146">
        <f>sueldo!W37</f>
        <v>3909853.3333333335</v>
      </c>
      <c r="J13" s="144">
        <v>12</v>
      </c>
      <c r="K13" s="146">
        <f t="shared" ref="K13" si="3">J13*I13</f>
        <v>46918240</v>
      </c>
    </row>
    <row r="14" spans="5:11">
      <c r="E14" s="144" t="s">
        <v>229</v>
      </c>
      <c r="F14" s="145" t="s">
        <v>240</v>
      </c>
      <c r="G14" s="146">
        <v>1300000</v>
      </c>
      <c r="H14" s="147">
        <v>1.7222999999999999</v>
      </c>
      <c r="I14" s="146">
        <f>sueldo!W39</f>
        <v>2124621.333333333</v>
      </c>
      <c r="J14" s="144">
        <v>12</v>
      </c>
      <c r="K14" s="146">
        <f t="shared" si="0"/>
        <v>25495455.999999996</v>
      </c>
    </row>
    <row r="15" spans="5:11">
      <c r="E15" s="148"/>
      <c r="F15" s="149" t="s">
        <v>241</v>
      </c>
      <c r="G15" s="150">
        <f>SUM(G6:G14)</f>
        <v>17000000</v>
      </c>
      <c r="H15" s="150"/>
      <c r="I15" s="150">
        <f>SUM(I6:I14)</f>
        <v>26861621.666666664</v>
      </c>
      <c r="J15" s="152"/>
      <c r="K15" s="150">
        <f>SUM(K6:K14)</f>
        <v>322339460</v>
      </c>
    </row>
    <row r="16" spans="5:11">
      <c r="E16" s="148"/>
      <c r="F16" s="148"/>
      <c r="G16" s="151"/>
      <c r="H16" s="148"/>
      <c r="I16" s="151"/>
      <c r="J16" s="152"/>
      <c r="K16" s="151"/>
    </row>
    <row r="17" spans="5:13">
      <c r="E17" s="148"/>
      <c r="F17" s="148"/>
      <c r="G17" s="151"/>
      <c r="H17" s="148"/>
      <c r="I17" s="151"/>
      <c r="J17" s="152"/>
      <c r="K17" s="151"/>
    </row>
    <row r="18" spans="5:13">
      <c r="E18" s="239" t="s">
        <v>242</v>
      </c>
      <c r="F18" s="240"/>
      <c r="G18" s="240"/>
      <c r="H18" s="240"/>
      <c r="I18" s="241"/>
      <c r="J18" s="148"/>
      <c r="K18" s="148"/>
    </row>
    <row r="19" spans="5:13" ht="27.6">
      <c r="E19" s="143" t="s">
        <v>222</v>
      </c>
      <c r="F19" s="143" t="s">
        <v>243</v>
      </c>
      <c r="G19" s="143" t="s">
        <v>226</v>
      </c>
      <c r="H19" s="143" t="s">
        <v>227</v>
      </c>
      <c r="I19" s="143" t="s">
        <v>244</v>
      </c>
      <c r="J19" s="148"/>
      <c r="K19" s="148"/>
    </row>
    <row r="20" spans="5:13">
      <c r="E20" s="144" t="s">
        <v>229</v>
      </c>
      <c r="F20" s="145" t="s">
        <v>245</v>
      </c>
      <c r="G20" s="146">
        <v>3500000</v>
      </c>
      <c r="H20" s="144">
        <v>12</v>
      </c>
      <c r="I20" s="146">
        <f>H20*G20</f>
        <v>42000000</v>
      </c>
      <c r="J20" s="148"/>
      <c r="K20" s="148"/>
    </row>
    <row r="21" spans="5:13">
      <c r="E21" s="144" t="s">
        <v>246</v>
      </c>
      <c r="F21" s="145" t="s">
        <v>247</v>
      </c>
      <c r="G21" s="146">
        <v>4000000</v>
      </c>
      <c r="H21" s="144">
        <v>12</v>
      </c>
      <c r="I21" s="146">
        <f>H21*G21</f>
        <v>48000000</v>
      </c>
      <c r="J21" s="148"/>
      <c r="K21" s="148"/>
    </row>
    <row r="22" spans="5:13">
      <c r="E22" s="144" t="s">
        <v>248</v>
      </c>
      <c r="F22" s="145" t="s">
        <v>249</v>
      </c>
      <c r="G22" s="146">
        <v>2000000</v>
      </c>
      <c r="H22" s="144">
        <v>12</v>
      </c>
      <c r="I22" s="146">
        <f>H22*G22</f>
        <v>24000000</v>
      </c>
      <c r="J22" s="148"/>
      <c r="K22" s="148"/>
    </row>
    <row r="23" spans="5:13">
      <c r="E23" s="144" t="s">
        <v>248</v>
      </c>
      <c r="F23" s="145" t="s">
        <v>250</v>
      </c>
      <c r="G23" s="146">
        <v>2000000</v>
      </c>
      <c r="H23" s="144">
        <v>12</v>
      </c>
      <c r="I23" s="146">
        <f>H23*G23</f>
        <v>24000000</v>
      </c>
      <c r="J23" s="148"/>
      <c r="K23" s="148"/>
    </row>
    <row r="24" spans="5:13">
      <c r="E24" s="144" t="s">
        <v>229</v>
      </c>
      <c r="F24" s="145" t="s">
        <v>251</v>
      </c>
      <c r="G24" s="146">
        <v>1500000</v>
      </c>
      <c r="H24" s="144">
        <v>12</v>
      </c>
      <c r="I24" s="146">
        <f>H24*G24</f>
        <v>18000000</v>
      </c>
      <c r="J24" s="148"/>
      <c r="K24" s="148"/>
    </row>
    <row r="25" spans="5:13">
      <c r="E25" s="148"/>
      <c r="F25" s="190" t="s">
        <v>252</v>
      </c>
      <c r="G25" s="191">
        <f>SUM(G20:G24)</f>
        <v>13000000</v>
      </c>
      <c r="H25" s="192" t="s">
        <v>253</v>
      </c>
      <c r="I25" s="191">
        <f>SUM(I20:I24)</f>
        <v>156000000</v>
      </c>
      <c r="J25" s="148"/>
      <c r="K25" s="148"/>
    </row>
    <row r="26" spans="5:13">
      <c r="I26" s="156"/>
      <c r="K26" s="156"/>
    </row>
    <row r="28" spans="5:13">
      <c r="F28" s="242" t="s">
        <v>254</v>
      </c>
      <c r="G28" s="243"/>
      <c r="H28" s="243"/>
      <c r="I28" s="243"/>
      <c r="J28" s="243"/>
      <c r="K28" s="243"/>
      <c r="L28" s="243"/>
    </row>
    <row r="29" spans="5:13" ht="27.6">
      <c r="E29" s="148"/>
      <c r="F29" s="143" t="s">
        <v>243</v>
      </c>
      <c r="G29" s="143" t="s">
        <v>226</v>
      </c>
      <c r="H29" s="143" t="s">
        <v>255</v>
      </c>
      <c r="I29" s="143" t="s">
        <v>256</v>
      </c>
      <c r="J29" s="143" t="s">
        <v>227</v>
      </c>
      <c r="K29" s="143" t="s">
        <v>228</v>
      </c>
      <c r="L29" s="143" t="s">
        <v>257</v>
      </c>
      <c r="M29" s="131"/>
    </row>
    <row r="30" spans="5:13">
      <c r="F30" s="145" t="s">
        <v>258</v>
      </c>
      <c r="G30" s="146">
        <v>21000000</v>
      </c>
      <c r="H30" s="146">
        <f>G30*19%</f>
        <v>3990000</v>
      </c>
      <c r="I30" s="146">
        <f t="shared" ref="I30:I37" si="4">G30+H30</f>
        <v>24990000</v>
      </c>
      <c r="J30" s="144">
        <v>12</v>
      </c>
      <c r="K30" s="159">
        <f>J30*G30</f>
        <v>252000000</v>
      </c>
      <c r="L30" s="146">
        <f>J30*I30</f>
        <v>299880000</v>
      </c>
      <c r="M30" s="131"/>
    </row>
    <row r="31" spans="5:13">
      <c r="F31" s="145" t="s">
        <v>259</v>
      </c>
      <c r="G31" s="146">
        <v>180000</v>
      </c>
      <c r="H31" s="146">
        <v>0</v>
      </c>
      <c r="I31" s="146">
        <f t="shared" si="4"/>
        <v>180000</v>
      </c>
      <c r="J31" s="144">
        <v>12</v>
      </c>
      <c r="K31" s="159">
        <f t="shared" ref="K31:K37" si="5">J31*G31</f>
        <v>2160000</v>
      </c>
      <c r="L31" s="146">
        <f t="shared" ref="L31:L37" si="6">J31*I31</f>
        <v>2160000</v>
      </c>
      <c r="M31" s="131"/>
    </row>
    <row r="32" spans="5:13">
      <c r="F32" s="145" t="s">
        <v>260</v>
      </c>
      <c r="G32" s="146">
        <v>350000</v>
      </c>
      <c r="H32" s="146">
        <v>0</v>
      </c>
      <c r="I32" s="146">
        <f t="shared" si="4"/>
        <v>350000</v>
      </c>
      <c r="J32" s="144">
        <v>12</v>
      </c>
      <c r="K32" s="159">
        <f t="shared" si="5"/>
        <v>4200000</v>
      </c>
      <c r="L32" s="146">
        <f t="shared" si="6"/>
        <v>4200000</v>
      </c>
      <c r="M32" s="131"/>
    </row>
    <row r="33" spans="4:13">
      <c r="F33" s="145" t="s">
        <v>261</v>
      </c>
      <c r="G33" s="146">
        <v>250000</v>
      </c>
      <c r="H33" s="146">
        <v>0</v>
      </c>
      <c r="I33" s="146">
        <f t="shared" si="4"/>
        <v>250000</v>
      </c>
      <c r="J33" s="144">
        <v>12</v>
      </c>
      <c r="K33" s="159">
        <f t="shared" si="5"/>
        <v>3000000</v>
      </c>
      <c r="L33" s="146">
        <f t="shared" si="6"/>
        <v>3000000</v>
      </c>
      <c r="M33" s="131"/>
    </row>
    <row r="34" spans="4:13">
      <c r="F34" s="145" t="s">
        <v>262</v>
      </c>
      <c r="G34" s="146">
        <v>190000</v>
      </c>
      <c r="H34" s="146">
        <v>0</v>
      </c>
      <c r="I34" s="146">
        <f t="shared" si="4"/>
        <v>190000</v>
      </c>
      <c r="J34" s="144">
        <v>12</v>
      </c>
      <c r="K34" s="159">
        <f t="shared" si="5"/>
        <v>2280000</v>
      </c>
      <c r="L34" s="146">
        <f t="shared" si="6"/>
        <v>2280000</v>
      </c>
      <c r="M34" s="131"/>
    </row>
    <row r="35" spans="4:13">
      <c r="F35" s="145" t="s">
        <v>263</v>
      </c>
      <c r="G35" s="146">
        <v>1200000</v>
      </c>
      <c r="H35" s="146">
        <v>0</v>
      </c>
      <c r="I35" s="146">
        <f t="shared" si="4"/>
        <v>1200000</v>
      </c>
      <c r="J35" s="144">
        <v>12</v>
      </c>
      <c r="K35" s="159">
        <f t="shared" si="5"/>
        <v>14400000</v>
      </c>
      <c r="L35" s="146">
        <f t="shared" si="6"/>
        <v>14400000</v>
      </c>
      <c r="M35" s="131"/>
    </row>
    <row r="36" spans="4:13">
      <c r="F36" s="145" t="s">
        <v>264</v>
      </c>
      <c r="G36" s="146">
        <v>720000</v>
      </c>
      <c r="H36" s="146">
        <v>0</v>
      </c>
      <c r="I36" s="146">
        <f t="shared" si="4"/>
        <v>720000</v>
      </c>
      <c r="J36" s="144">
        <v>12</v>
      </c>
      <c r="K36" s="159">
        <f t="shared" si="5"/>
        <v>8640000</v>
      </c>
      <c r="L36" s="146">
        <f t="shared" si="6"/>
        <v>8640000</v>
      </c>
      <c r="M36" s="131"/>
    </row>
    <row r="37" spans="4:13">
      <c r="F37" s="145" t="s">
        <v>265</v>
      </c>
      <c r="G37" s="146">
        <v>500000</v>
      </c>
      <c r="H37" s="146">
        <v>0</v>
      </c>
      <c r="I37" s="146">
        <f t="shared" si="4"/>
        <v>500000</v>
      </c>
      <c r="J37" s="144">
        <v>12</v>
      </c>
      <c r="K37" s="159">
        <f t="shared" si="5"/>
        <v>6000000</v>
      </c>
      <c r="L37" s="146">
        <f t="shared" si="6"/>
        <v>6000000</v>
      </c>
      <c r="M37" s="131"/>
    </row>
    <row r="38" spans="4:13">
      <c r="F38" s="153" t="s">
        <v>252</v>
      </c>
      <c r="G38" s="154">
        <f>SUM(G30:G37)</f>
        <v>24390000</v>
      </c>
      <c r="H38" s="154">
        <f t="shared" ref="H38:I38" si="7">SUM(H30:H37)</f>
        <v>3990000</v>
      </c>
      <c r="I38" s="154">
        <f t="shared" si="7"/>
        <v>28380000</v>
      </c>
      <c r="J38" s="155" t="s">
        <v>253</v>
      </c>
      <c r="K38" s="154">
        <f>SUM(K30:K37)</f>
        <v>292680000</v>
      </c>
      <c r="L38" s="154">
        <f>SUM(L30:L37)</f>
        <v>340560000</v>
      </c>
      <c r="M38" s="131"/>
    </row>
    <row r="39" spans="4:13">
      <c r="G39" s="157"/>
    </row>
    <row r="41" spans="4:13">
      <c r="D41" s="242" t="s">
        <v>266</v>
      </c>
      <c r="E41" s="243"/>
      <c r="F41" s="243"/>
      <c r="G41" s="243"/>
      <c r="H41" s="243"/>
      <c r="I41" s="243"/>
      <c r="J41" s="243"/>
    </row>
    <row r="42" spans="4:13">
      <c r="D42" s="143" t="s">
        <v>267</v>
      </c>
      <c r="E42" s="143" t="s">
        <v>222</v>
      </c>
      <c r="F42" s="143" t="s">
        <v>268</v>
      </c>
      <c r="G42" s="143" t="s">
        <v>269</v>
      </c>
      <c r="H42" s="143" t="s">
        <v>270</v>
      </c>
      <c r="I42" s="143" t="s">
        <v>255</v>
      </c>
      <c r="J42" s="143" t="s">
        <v>271</v>
      </c>
    </row>
    <row r="43" spans="4:13">
      <c r="D43" s="144">
        <v>1</v>
      </c>
      <c r="E43" s="146" t="s">
        <v>229</v>
      </c>
      <c r="F43" s="146" t="s">
        <v>272</v>
      </c>
      <c r="G43" s="158">
        <v>4</v>
      </c>
      <c r="H43" s="146">
        <f>2300000/1.19</f>
        <v>1932773.1092436975</v>
      </c>
      <c r="I43" s="146">
        <f t="shared" ref="I43:I51" si="8">H43*19%</f>
        <v>367226.89075630251</v>
      </c>
      <c r="J43" s="146">
        <f t="shared" ref="J43:J51" si="9">(H43+I43)*G43</f>
        <v>9200000</v>
      </c>
    </row>
    <row r="44" spans="4:13">
      <c r="D44" s="144">
        <v>2</v>
      </c>
      <c r="E44" s="146" t="s">
        <v>229</v>
      </c>
      <c r="F44" s="146" t="s">
        <v>273</v>
      </c>
      <c r="G44" s="158">
        <v>2</v>
      </c>
      <c r="H44" s="146">
        <f>3200000/1.19</f>
        <v>2689075.630252101</v>
      </c>
      <c r="I44" s="146">
        <f t="shared" si="8"/>
        <v>510924.36974789918</v>
      </c>
      <c r="J44" s="146">
        <f t="shared" si="9"/>
        <v>6400000</v>
      </c>
    </row>
    <row r="45" spans="4:13">
      <c r="D45" s="144">
        <v>3</v>
      </c>
      <c r="E45" s="146" t="s">
        <v>229</v>
      </c>
      <c r="F45" s="146" t="s">
        <v>274</v>
      </c>
      <c r="G45" s="158">
        <v>3</v>
      </c>
      <c r="H45" s="146">
        <f>990000/1.19</f>
        <v>831932.77310924372</v>
      </c>
      <c r="I45" s="146">
        <f t="shared" si="8"/>
        <v>158067.22689075631</v>
      </c>
      <c r="J45" s="146">
        <f t="shared" si="9"/>
        <v>2970000</v>
      </c>
    </row>
    <row r="46" spans="4:13">
      <c r="D46" s="144">
        <v>4</v>
      </c>
      <c r="E46" s="146" t="s">
        <v>229</v>
      </c>
      <c r="F46" s="146" t="s">
        <v>275</v>
      </c>
      <c r="G46" s="158">
        <v>1</v>
      </c>
      <c r="H46" s="146">
        <v>4600000</v>
      </c>
      <c r="I46" s="146">
        <f t="shared" si="8"/>
        <v>874000</v>
      </c>
      <c r="J46" s="146">
        <f t="shared" si="9"/>
        <v>5474000</v>
      </c>
    </row>
    <row r="47" spans="4:13">
      <c r="D47" s="144">
        <v>5</v>
      </c>
      <c r="E47" s="146" t="s">
        <v>229</v>
      </c>
      <c r="F47" s="146" t="s">
        <v>276</v>
      </c>
      <c r="G47" s="158">
        <v>1</v>
      </c>
      <c r="H47" s="146">
        <v>7600000</v>
      </c>
      <c r="I47" s="146">
        <f t="shared" si="8"/>
        <v>1444000</v>
      </c>
      <c r="J47" s="146">
        <f t="shared" si="9"/>
        <v>9044000</v>
      </c>
    </row>
    <row r="48" spans="4:13" ht="14.25" customHeight="1">
      <c r="D48" s="144">
        <v>6</v>
      </c>
      <c r="E48" s="146" t="s">
        <v>235</v>
      </c>
      <c r="F48" s="146" t="s">
        <v>277</v>
      </c>
      <c r="G48" s="158">
        <v>1</v>
      </c>
      <c r="H48" s="146">
        <v>85000000</v>
      </c>
      <c r="I48" s="146">
        <f t="shared" si="8"/>
        <v>16150000</v>
      </c>
      <c r="J48" s="146">
        <f t="shared" si="9"/>
        <v>101150000</v>
      </c>
    </row>
    <row r="49" spans="4:12">
      <c r="D49" s="144">
        <v>7</v>
      </c>
      <c r="E49" s="146" t="s">
        <v>235</v>
      </c>
      <c r="F49" s="146" t="s">
        <v>278</v>
      </c>
      <c r="G49" s="158">
        <v>20</v>
      </c>
      <c r="H49" s="146">
        <v>3500000</v>
      </c>
      <c r="I49" s="146">
        <f t="shared" si="8"/>
        <v>665000</v>
      </c>
      <c r="J49" s="146">
        <f t="shared" si="9"/>
        <v>83300000</v>
      </c>
    </row>
    <row r="50" spans="4:12">
      <c r="D50" s="144">
        <v>8</v>
      </c>
      <c r="E50" s="146" t="s">
        <v>235</v>
      </c>
      <c r="F50" s="146" t="s">
        <v>279</v>
      </c>
      <c r="G50" s="158">
        <v>3</v>
      </c>
      <c r="H50" s="146">
        <f>2000000/1.19</f>
        <v>1680672.2689075631</v>
      </c>
      <c r="I50" s="146">
        <f t="shared" si="8"/>
        <v>319327.731092437</v>
      </c>
      <c r="J50" s="146">
        <f t="shared" si="9"/>
        <v>6000000</v>
      </c>
    </row>
    <row r="51" spans="4:12">
      <c r="D51" s="144">
        <v>10</v>
      </c>
      <c r="E51" s="146" t="s">
        <v>229</v>
      </c>
      <c r="F51" s="146" t="s">
        <v>280</v>
      </c>
      <c r="G51" s="158">
        <v>1</v>
      </c>
      <c r="H51" s="146">
        <f>411000/2*3+420000</f>
        <v>1036500</v>
      </c>
      <c r="I51" s="146">
        <f t="shared" si="8"/>
        <v>196935</v>
      </c>
      <c r="J51" s="146">
        <f t="shared" si="9"/>
        <v>1233435</v>
      </c>
    </row>
    <row r="52" spans="4:12">
      <c r="G52" s="155" t="s">
        <v>253</v>
      </c>
      <c r="H52" s="154">
        <f t="shared" ref="H52:I52" si="10">SUM(H43:H51)</f>
        <v>108870953.7815126</v>
      </c>
      <c r="I52" s="154">
        <f t="shared" si="10"/>
        <v>20685481.218487397</v>
      </c>
      <c r="J52" s="154">
        <f>SUM(J43:J51)</f>
        <v>224771435</v>
      </c>
    </row>
    <row r="55" spans="4:12">
      <c r="D55" s="242" t="s">
        <v>281</v>
      </c>
      <c r="E55" s="243"/>
      <c r="F55" s="243"/>
      <c r="G55" s="243"/>
      <c r="H55" s="243"/>
      <c r="I55" s="243"/>
      <c r="J55" s="243"/>
    </row>
    <row r="56" spans="4:12">
      <c r="D56" s="143" t="s">
        <v>267</v>
      </c>
      <c r="E56" s="143" t="s">
        <v>222</v>
      </c>
      <c r="F56" s="143" t="s">
        <v>268</v>
      </c>
      <c r="G56" s="143" t="s">
        <v>269</v>
      </c>
      <c r="H56" s="143" t="s">
        <v>270</v>
      </c>
      <c r="I56" s="143" t="s">
        <v>255</v>
      </c>
      <c r="J56" s="143" t="s">
        <v>271</v>
      </c>
    </row>
    <row r="57" spans="4:12">
      <c r="D57" s="144">
        <v>1</v>
      </c>
      <c r="E57" s="146" t="s">
        <v>229</v>
      </c>
      <c r="F57" s="146" t="s">
        <v>282</v>
      </c>
      <c r="G57" s="158">
        <v>6</v>
      </c>
      <c r="H57" s="146">
        <f>1600000/1.19</f>
        <v>1344537.8151260505</v>
      </c>
      <c r="I57" s="146">
        <f>H57*19%</f>
        <v>255462.18487394959</v>
      </c>
      <c r="J57" s="146">
        <f t="shared" ref="J57:J62" si="11">(H57+I57)*G57</f>
        <v>9600000</v>
      </c>
    </row>
    <row r="58" spans="4:12">
      <c r="D58" s="144">
        <v>2</v>
      </c>
      <c r="E58" s="146" t="s">
        <v>229</v>
      </c>
      <c r="F58" s="146" t="s">
        <v>283</v>
      </c>
      <c r="G58" s="158">
        <v>1</v>
      </c>
      <c r="H58" s="146">
        <f>12000000*3</f>
        <v>36000000</v>
      </c>
      <c r="I58" s="146">
        <f>H58*19%</f>
        <v>6840000</v>
      </c>
      <c r="J58" s="146">
        <f t="shared" si="11"/>
        <v>42840000</v>
      </c>
    </row>
    <row r="59" spans="4:12">
      <c r="D59" s="144">
        <v>3</v>
      </c>
      <c r="E59" s="146" t="s">
        <v>246</v>
      </c>
      <c r="F59" s="146" t="s">
        <v>284</v>
      </c>
      <c r="G59" s="158">
        <v>1</v>
      </c>
      <c r="H59" s="146">
        <v>50000</v>
      </c>
      <c r="I59" s="146">
        <v>0</v>
      </c>
      <c r="J59" s="146">
        <f t="shared" si="11"/>
        <v>50000</v>
      </c>
    </row>
    <row r="60" spans="4:12">
      <c r="D60" s="144">
        <v>4</v>
      </c>
      <c r="E60" s="146" t="s">
        <v>246</v>
      </c>
      <c r="F60" s="146" t="s">
        <v>285</v>
      </c>
      <c r="G60" s="158">
        <v>1</v>
      </c>
      <c r="H60" s="146">
        <v>817975</v>
      </c>
      <c r="I60" s="146">
        <v>0</v>
      </c>
      <c r="J60" s="146">
        <f t="shared" si="11"/>
        <v>817975</v>
      </c>
    </row>
    <row r="61" spans="4:12">
      <c r="D61" s="144">
        <v>5</v>
      </c>
      <c r="E61" s="146" t="s">
        <v>246</v>
      </c>
      <c r="F61" s="146" t="s">
        <v>286</v>
      </c>
      <c r="G61" s="158">
        <v>1</v>
      </c>
      <c r="H61" s="146">
        <v>3000000</v>
      </c>
      <c r="I61" s="146">
        <f>H61*19%</f>
        <v>570000</v>
      </c>
      <c r="J61" s="146">
        <f t="shared" si="11"/>
        <v>3570000</v>
      </c>
    </row>
    <row r="62" spans="4:12">
      <c r="D62" s="144">
        <v>6</v>
      </c>
      <c r="E62" s="146" t="s">
        <v>246</v>
      </c>
      <c r="F62" s="146" t="s">
        <v>287</v>
      </c>
      <c r="G62" s="158">
        <v>1</v>
      </c>
      <c r="H62" s="146">
        <v>1000000</v>
      </c>
      <c r="I62" s="146">
        <f>H62*19%</f>
        <v>190000</v>
      </c>
      <c r="J62" s="146">
        <f t="shared" si="11"/>
        <v>1190000</v>
      </c>
    </row>
    <row r="63" spans="4:12">
      <c r="G63" s="155" t="s">
        <v>253</v>
      </c>
      <c r="H63" s="154">
        <f>SUM(H57:H62)</f>
        <v>42212512.815126054</v>
      </c>
      <c r="I63" s="154">
        <f>SUM(I57:I62)</f>
        <v>7855462.1848739497</v>
      </c>
      <c r="J63" s="154">
        <f>SUM(J57:J62)</f>
        <v>58067975</v>
      </c>
      <c r="L63" s="156">
        <f>J63+J52+I38+G25+G15+J76</f>
        <v>342662410</v>
      </c>
    </row>
    <row r="68" spans="4:10">
      <c r="D68" s="242" t="s">
        <v>288</v>
      </c>
      <c r="E68" s="243"/>
      <c r="F68" s="243"/>
      <c r="G68" s="243"/>
      <c r="H68" s="243"/>
      <c r="I68" s="243"/>
      <c r="J68" s="243"/>
    </row>
    <row r="69" spans="4:10">
      <c r="D69" s="143" t="s">
        <v>267</v>
      </c>
      <c r="E69" s="143" t="s">
        <v>222</v>
      </c>
      <c r="F69" s="143" t="s">
        <v>268</v>
      </c>
      <c r="G69" s="143" t="s">
        <v>269</v>
      </c>
      <c r="H69" s="143" t="s">
        <v>270</v>
      </c>
      <c r="I69" s="143" t="s">
        <v>255</v>
      </c>
      <c r="J69" s="143" t="s">
        <v>271</v>
      </c>
    </row>
    <row r="70" spans="4:10">
      <c r="D70" s="144">
        <v>1</v>
      </c>
      <c r="E70" s="146" t="s">
        <v>229</v>
      </c>
      <c r="F70" s="146" t="s">
        <v>289</v>
      </c>
      <c r="G70" s="158">
        <v>1</v>
      </c>
      <c r="H70" s="146">
        <v>172000</v>
      </c>
      <c r="I70" s="146">
        <v>0</v>
      </c>
      <c r="J70" s="146">
        <f t="shared" ref="J70:J75" si="12">(H70+I70)*G70</f>
        <v>172000</v>
      </c>
    </row>
    <row r="71" spans="4:10">
      <c r="D71" s="144">
        <v>2</v>
      </c>
      <c r="E71" s="146" t="s">
        <v>229</v>
      </c>
      <c r="F71" s="146" t="s">
        <v>290</v>
      </c>
      <c r="G71" s="158">
        <v>1</v>
      </c>
      <c r="H71" s="146">
        <v>7200</v>
      </c>
      <c r="I71" s="146">
        <v>0</v>
      </c>
      <c r="J71" s="146">
        <f t="shared" si="12"/>
        <v>7200</v>
      </c>
    </row>
    <row r="72" spans="4:10">
      <c r="D72" s="144">
        <v>3</v>
      </c>
      <c r="E72" s="146" t="s">
        <v>229</v>
      </c>
      <c r="F72" s="146" t="s">
        <v>291</v>
      </c>
      <c r="G72" s="158">
        <v>1</v>
      </c>
      <c r="H72" s="146">
        <v>7200</v>
      </c>
      <c r="I72" s="146">
        <v>0</v>
      </c>
      <c r="J72" s="146">
        <f t="shared" si="12"/>
        <v>7200</v>
      </c>
    </row>
    <row r="73" spans="4:10">
      <c r="D73" s="144">
        <v>4</v>
      </c>
      <c r="E73" s="146" t="s">
        <v>229</v>
      </c>
      <c r="F73" s="146" t="s">
        <v>292</v>
      </c>
      <c r="G73" s="158">
        <v>1</v>
      </c>
      <c r="H73" s="146">
        <v>3600</v>
      </c>
      <c r="I73" s="146">
        <v>0</v>
      </c>
      <c r="J73" s="146">
        <f t="shared" si="12"/>
        <v>3600</v>
      </c>
    </row>
    <row r="74" spans="4:10">
      <c r="D74" s="144">
        <v>5</v>
      </c>
      <c r="E74" s="146" t="s">
        <v>229</v>
      </c>
      <c r="F74" s="146" t="s">
        <v>293</v>
      </c>
      <c r="G74" s="158">
        <v>1</v>
      </c>
      <c r="H74" s="146">
        <v>53000</v>
      </c>
      <c r="I74" s="146">
        <v>0</v>
      </c>
      <c r="J74" s="146">
        <f t="shared" si="12"/>
        <v>53000</v>
      </c>
    </row>
    <row r="75" spans="4:10">
      <c r="D75" s="144">
        <v>6</v>
      </c>
      <c r="E75" s="146" t="s">
        <v>229</v>
      </c>
      <c r="F75" s="146" t="s">
        <v>294</v>
      </c>
      <c r="G75" s="158">
        <v>1</v>
      </c>
      <c r="H75" s="146">
        <v>1200000</v>
      </c>
      <c r="I75" s="146">
        <v>0</v>
      </c>
      <c r="J75" s="146">
        <f t="shared" si="12"/>
        <v>1200000</v>
      </c>
    </row>
    <row r="76" spans="4:10">
      <c r="G76" s="155" t="s">
        <v>253</v>
      </c>
      <c r="H76" s="154">
        <f>SUM(H70:H75)</f>
        <v>1443000</v>
      </c>
      <c r="I76" s="155" t="s">
        <v>253</v>
      </c>
      <c r="J76" s="154">
        <f>SUM(J70:J75)</f>
        <v>1443000</v>
      </c>
    </row>
    <row r="82" spans="6:6">
      <c r="F82" s="156"/>
    </row>
    <row r="83" spans="6:6">
      <c r="F83" s="156"/>
    </row>
    <row r="90" spans="6:6">
      <c r="F90" s="156"/>
    </row>
  </sheetData>
  <mergeCells count="6">
    <mergeCell ref="E4:K4"/>
    <mergeCell ref="E18:I18"/>
    <mergeCell ref="D41:J41"/>
    <mergeCell ref="D55:J55"/>
    <mergeCell ref="D68:J68"/>
    <mergeCell ref="F28:L28"/>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topLeftCell="D14" workbookViewId="0">
      <selection activeCell="E25" sqref="E25"/>
    </sheetView>
  </sheetViews>
  <sheetFormatPr baseColWidth="10" defaultColWidth="11.44140625" defaultRowHeight="14.4"/>
  <cols>
    <col min="1" max="1" width="15" hidden="1" customWidth="1"/>
    <col min="2" max="3" width="0" hidden="1" customWidth="1"/>
    <col min="5" max="5" width="13.109375" customWidth="1"/>
    <col min="6" max="6" width="14.5546875" customWidth="1"/>
    <col min="7" max="7" width="14.5546875" bestFit="1" customWidth="1"/>
    <col min="8" max="8" width="15.109375" bestFit="1" customWidth="1"/>
    <col min="9" max="10" width="15.109375" customWidth="1"/>
    <col min="11" max="11" width="13" customWidth="1"/>
    <col min="12" max="12" width="14.5546875" customWidth="1"/>
    <col min="13" max="13" width="13" customWidth="1"/>
    <col min="14" max="14" width="13.109375" bestFit="1" customWidth="1"/>
    <col min="15" max="15" width="14.5546875" customWidth="1"/>
    <col min="16" max="17" width="14.5546875" bestFit="1" customWidth="1"/>
    <col min="18" max="18" width="13.109375" bestFit="1" customWidth="1"/>
    <col min="19" max="19" width="14.33203125" customWidth="1"/>
    <col min="20" max="21" width="14.5546875" customWidth="1"/>
    <col min="22" max="22" width="7.88671875" customWidth="1"/>
    <col min="23" max="23" width="14.5546875" customWidth="1"/>
    <col min="24" max="24" width="7" bestFit="1" customWidth="1"/>
    <col min="260" max="262" width="0" hidden="1" customWidth="1"/>
    <col min="264" max="265" width="14.5546875" bestFit="1" customWidth="1"/>
    <col min="266" max="266" width="15.109375" bestFit="1" customWidth="1"/>
    <col min="267" max="267" width="15.109375" customWidth="1"/>
    <col min="268" max="268" width="13" customWidth="1"/>
    <col min="269" max="269" width="14.5546875" customWidth="1"/>
    <col min="270" max="270" width="13" customWidth="1"/>
    <col min="271" max="271" width="18.6640625" customWidth="1"/>
    <col min="272" max="272" width="14.5546875" customWidth="1"/>
    <col min="273" max="276" width="14.5546875" bestFit="1" customWidth="1"/>
    <col min="277" max="277" width="14.5546875" customWidth="1"/>
    <col min="278" max="278" width="7.109375" customWidth="1"/>
    <col min="279" max="279" width="14.5546875" customWidth="1"/>
    <col min="516" max="518" width="0" hidden="1" customWidth="1"/>
    <col min="520" max="521" width="14.5546875" bestFit="1" customWidth="1"/>
    <col min="522" max="522" width="15.109375" bestFit="1" customWidth="1"/>
    <col min="523" max="523" width="15.109375" customWidth="1"/>
    <col min="524" max="524" width="13" customWidth="1"/>
    <col min="525" max="525" width="14.5546875" customWidth="1"/>
    <col min="526" max="526" width="13" customWidth="1"/>
    <col min="527" max="527" width="18.6640625" customWidth="1"/>
    <col min="528" max="528" width="14.5546875" customWidth="1"/>
    <col min="529" max="532" width="14.5546875" bestFit="1" customWidth="1"/>
    <col min="533" max="533" width="14.5546875" customWidth="1"/>
    <col min="534" max="534" width="7.109375" customWidth="1"/>
    <col min="535" max="535" width="14.5546875" customWidth="1"/>
    <col min="772" max="774" width="0" hidden="1" customWidth="1"/>
    <col min="776" max="777" width="14.5546875" bestFit="1" customWidth="1"/>
    <col min="778" max="778" width="15.109375" bestFit="1" customWidth="1"/>
    <col min="779" max="779" width="15.109375" customWidth="1"/>
    <col min="780" max="780" width="13" customWidth="1"/>
    <col min="781" max="781" width="14.5546875" customWidth="1"/>
    <col min="782" max="782" width="13" customWidth="1"/>
    <col min="783" max="783" width="18.6640625" customWidth="1"/>
    <col min="784" max="784" width="14.5546875" customWidth="1"/>
    <col min="785" max="788" width="14.5546875" bestFit="1" customWidth="1"/>
    <col min="789" max="789" width="14.5546875" customWidth="1"/>
    <col min="790" max="790" width="7.109375" customWidth="1"/>
    <col min="791" max="791" width="14.5546875" customWidth="1"/>
    <col min="1028" max="1030" width="0" hidden="1" customWidth="1"/>
    <col min="1032" max="1033" width="14.5546875" bestFit="1" customWidth="1"/>
    <col min="1034" max="1034" width="15.109375" bestFit="1" customWidth="1"/>
    <col min="1035" max="1035" width="15.109375" customWidth="1"/>
    <col min="1036" max="1036" width="13" customWidth="1"/>
    <col min="1037" max="1037" width="14.5546875" customWidth="1"/>
    <col min="1038" max="1038" width="13" customWidth="1"/>
    <col min="1039" max="1039" width="18.6640625" customWidth="1"/>
    <col min="1040" max="1040" width="14.5546875" customWidth="1"/>
    <col min="1041" max="1044" width="14.5546875" bestFit="1" customWidth="1"/>
    <col min="1045" max="1045" width="14.5546875" customWidth="1"/>
    <col min="1046" max="1046" width="7.109375" customWidth="1"/>
    <col min="1047" max="1047" width="14.5546875" customWidth="1"/>
    <col min="1284" max="1286" width="0" hidden="1" customWidth="1"/>
    <col min="1288" max="1289" width="14.5546875" bestFit="1" customWidth="1"/>
    <col min="1290" max="1290" width="15.109375" bestFit="1" customWidth="1"/>
    <col min="1291" max="1291" width="15.109375" customWidth="1"/>
    <col min="1292" max="1292" width="13" customWidth="1"/>
    <col min="1293" max="1293" width="14.5546875" customWidth="1"/>
    <col min="1294" max="1294" width="13" customWidth="1"/>
    <col min="1295" max="1295" width="18.6640625" customWidth="1"/>
    <col min="1296" max="1296" width="14.5546875" customWidth="1"/>
    <col min="1297" max="1300" width="14.5546875" bestFit="1" customWidth="1"/>
    <col min="1301" max="1301" width="14.5546875" customWidth="1"/>
    <col min="1302" max="1302" width="7.109375" customWidth="1"/>
    <col min="1303" max="1303" width="14.5546875" customWidth="1"/>
    <col min="1540" max="1542" width="0" hidden="1" customWidth="1"/>
    <col min="1544" max="1545" width="14.5546875" bestFit="1" customWidth="1"/>
    <col min="1546" max="1546" width="15.109375" bestFit="1" customWidth="1"/>
    <col min="1547" max="1547" width="15.109375" customWidth="1"/>
    <col min="1548" max="1548" width="13" customWidth="1"/>
    <col min="1549" max="1549" width="14.5546875" customWidth="1"/>
    <col min="1550" max="1550" width="13" customWidth="1"/>
    <col min="1551" max="1551" width="18.6640625" customWidth="1"/>
    <col min="1552" max="1552" width="14.5546875" customWidth="1"/>
    <col min="1553" max="1556" width="14.5546875" bestFit="1" customWidth="1"/>
    <col min="1557" max="1557" width="14.5546875" customWidth="1"/>
    <col min="1558" max="1558" width="7.109375" customWidth="1"/>
    <col min="1559" max="1559" width="14.5546875" customWidth="1"/>
    <col min="1796" max="1798" width="0" hidden="1" customWidth="1"/>
    <col min="1800" max="1801" width="14.5546875" bestFit="1" customWidth="1"/>
    <col min="1802" max="1802" width="15.109375" bestFit="1" customWidth="1"/>
    <col min="1803" max="1803" width="15.109375" customWidth="1"/>
    <col min="1804" max="1804" width="13" customWidth="1"/>
    <col min="1805" max="1805" width="14.5546875" customWidth="1"/>
    <col min="1806" max="1806" width="13" customWidth="1"/>
    <col min="1807" max="1807" width="18.6640625" customWidth="1"/>
    <col min="1808" max="1808" width="14.5546875" customWidth="1"/>
    <col min="1809" max="1812" width="14.5546875" bestFit="1" customWidth="1"/>
    <col min="1813" max="1813" width="14.5546875" customWidth="1"/>
    <col min="1814" max="1814" width="7.109375" customWidth="1"/>
    <col min="1815" max="1815" width="14.5546875" customWidth="1"/>
    <col min="2052" max="2054" width="0" hidden="1" customWidth="1"/>
    <col min="2056" max="2057" width="14.5546875" bestFit="1" customWidth="1"/>
    <col min="2058" max="2058" width="15.109375" bestFit="1" customWidth="1"/>
    <col min="2059" max="2059" width="15.109375" customWidth="1"/>
    <col min="2060" max="2060" width="13" customWidth="1"/>
    <col min="2061" max="2061" width="14.5546875" customWidth="1"/>
    <col min="2062" max="2062" width="13" customWidth="1"/>
    <col min="2063" max="2063" width="18.6640625" customWidth="1"/>
    <col min="2064" max="2064" width="14.5546875" customWidth="1"/>
    <col min="2065" max="2068" width="14.5546875" bestFit="1" customWidth="1"/>
    <col min="2069" max="2069" width="14.5546875" customWidth="1"/>
    <col min="2070" max="2070" width="7.109375" customWidth="1"/>
    <col min="2071" max="2071" width="14.5546875" customWidth="1"/>
    <col min="2308" max="2310" width="0" hidden="1" customWidth="1"/>
    <col min="2312" max="2313" width="14.5546875" bestFit="1" customWidth="1"/>
    <col min="2314" max="2314" width="15.109375" bestFit="1" customWidth="1"/>
    <col min="2315" max="2315" width="15.109375" customWidth="1"/>
    <col min="2316" max="2316" width="13" customWidth="1"/>
    <col min="2317" max="2317" width="14.5546875" customWidth="1"/>
    <col min="2318" max="2318" width="13" customWidth="1"/>
    <col min="2319" max="2319" width="18.6640625" customWidth="1"/>
    <col min="2320" max="2320" width="14.5546875" customWidth="1"/>
    <col min="2321" max="2324" width="14.5546875" bestFit="1" customWidth="1"/>
    <col min="2325" max="2325" width="14.5546875" customWidth="1"/>
    <col min="2326" max="2326" width="7.109375" customWidth="1"/>
    <col min="2327" max="2327" width="14.5546875" customWidth="1"/>
    <col min="2564" max="2566" width="0" hidden="1" customWidth="1"/>
    <col min="2568" max="2569" width="14.5546875" bestFit="1" customWidth="1"/>
    <col min="2570" max="2570" width="15.109375" bestFit="1" customWidth="1"/>
    <col min="2571" max="2571" width="15.109375" customWidth="1"/>
    <col min="2572" max="2572" width="13" customWidth="1"/>
    <col min="2573" max="2573" width="14.5546875" customWidth="1"/>
    <col min="2574" max="2574" width="13" customWidth="1"/>
    <col min="2575" max="2575" width="18.6640625" customWidth="1"/>
    <col min="2576" max="2576" width="14.5546875" customWidth="1"/>
    <col min="2577" max="2580" width="14.5546875" bestFit="1" customWidth="1"/>
    <col min="2581" max="2581" width="14.5546875" customWidth="1"/>
    <col min="2582" max="2582" width="7.109375" customWidth="1"/>
    <col min="2583" max="2583" width="14.5546875" customWidth="1"/>
    <col min="2820" max="2822" width="0" hidden="1" customWidth="1"/>
    <col min="2824" max="2825" width="14.5546875" bestFit="1" customWidth="1"/>
    <col min="2826" max="2826" width="15.109375" bestFit="1" customWidth="1"/>
    <col min="2827" max="2827" width="15.109375" customWidth="1"/>
    <col min="2828" max="2828" width="13" customWidth="1"/>
    <col min="2829" max="2829" width="14.5546875" customWidth="1"/>
    <col min="2830" max="2830" width="13" customWidth="1"/>
    <col min="2831" max="2831" width="18.6640625" customWidth="1"/>
    <col min="2832" max="2832" width="14.5546875" customWidth="1"/>
    <col min="2833" max="2836" width="14.5546875" bestFit="1" customWidth="1"/>
    <col min="2837" max="2837" width="14.5546875" customWidth="1"/>
    <col min="2838" max="2838" width="7.109375" customWidth="1"/>
    <col min="2839" max="2839" width="14.5546875" customWidth="1"/>
    <col min="3076" max="3078" width="0" hidden="1" customWidth="1"/>
    <col min="3080" max="3081" width="14.5546875" bestFit="1" customWidth="1"/>
    <col min="3082" max="3082" width="15.109375" bestFit="1" customWidth="1"/>
    <col min="3083" max="3083" width="15.109375" customWidth="1"/>
    <col min="3084" max="3084" width="13" customWidth="1"/>
    <col min="3085" max="3085" width="14.5546875" customWidth="1"/>
    <col min="3086" max="3086" width="13" customWidth="1"/>
    <col min="3087" max="3087" width="18.6640625" customWidth="1"/>
    <col min="3088" max="3088" width="14.5546875" customWidth="1"/>
    <col min="3089" max="3092" width="14.5546875" bestFit="1" customWidth="1"/>
    <col min="3093" max="3093" width="14.5546875" customWidth="1"/>
    <col min="3094" max="3094" width="7.109375" customWidth="1"/>
    <col min="3095" max="3095" width="14.5546875" customWidth="1"/>
    <col min="3332" max="3334" width="0" hidden="1" customWidth="1"/>
    <col min="3336" max="3337" width="14.5546875" bestFit="1" customWidth="1"/>
    <col min="3338" max="3338" width="15.109375" bestFit="1" customWidth="1"/>
    <col min="3339" max="3339" width="15.109375" customWidth="1"/>
    <col min="3340" max="3340" width="13" customWidth="1"/>
    <col min="3341" max="3341" width="14.5546875" customWidth="1"/>
    <col min="3342" max="3342" width="13" customWidth="1"/>
    <col min="3343" max="3343" width="18.6640625" customWidth="1"/>
    <col min="3344" max="3344" width="14.5546875" customWidth="1"/>
    <col min="3345" max="3348" width="14.5546875" bestFit="1" customWidth="1"/>
    <col min="3349" max="3349" width="14.5546875" customWidth="1"/>
    <col min="3350" max="3350" width="7.109375" customWidth="1"/>
    <col min="3351" max="3351" width="14.5546875" customWidth="1"/>
    <col min="3588" max="3590" width="0" hidden="1" customWidth="1"/>
    <col min="3592" max="3593" width="14.5546875" bestFit="1" customWidth="1"/>
    <col min="3594" max="3594" width="15.109375" bestFit="1" customWidth="1"/>
    <col min="3595" max="3595" width="15.109375" customWidth="1"/>
    <col min="3596" max="3596" width="13" customWidth="1"/>
    <col min="3597" max="3597" width="14.5546875" customWidth="1"/>
    <col min="3598" max="3598" width="13" customWidth="1"/>
    <col min="3599" max="3599" width="18.6640625" customWidth="1"/>
    <col min="3600" max="3600" width="14.5546875" customWidth="1"/>
    <col min="3601" max="3604" width="14.5546875" bestFit="1" customWidth="1"/>
    <col min="3605" max="3605" width="14.5546875" customWidth="1"/>
    <col min="3606" max="3606" width="7.109375" customWidth="1"/>
    <col min="3607" max="3607" width="14.5546875" customWidth="1"/>
    <col min="3844" max="3846" width="0" hidden="1" customWidth="1"/>
    <col min="3848" max="3849" width="14.5546875" bestFit="1" customWidth="1"/>
    <col min="3850" max="3850" width="15.109375" bestFit="1" customWidth="1"/>
    <col min="3851" max="3851" width="15.109375" customWidth="1"/>
    <col min="3852" max="3852" width="13" customWidth="1"/>
    <col min="3853" max="3853" width="14.5546875" customWidth="1"/>
    <col min="3854" max="3854" width="13" customWidth="1"/>
    <col min="3855" max="3855" width="18.6640625" customWidth="1"/>
    <col min="3856" max="3856" width="14.5546875" customWidth="1"/>
    <col min="3857" max="3860" width="14.5546875" bestFit="1" customWidth="1"/>
    <col min="3861" max="3861" width="14.5546875" customWidth="1"/>
    <col min="3862" max="3862" width="7.109375" customWidth="1"/>
    <col min="3863" max="3863" width="14.5546875" customWidth="1"/>
    <col min="4100" max="4102" width="0" hidden="1" customWidth="1"/>
    <col min="4104" max="4105" width="14.5546875" bestFit="1" customWidth="1"/>
    <col min="4106" max="4106" width="15.109375" bestFit="1" customWidth="1"/>
    <col min="4107" max="4107" width="15.109375" customWidth="1"/>
    <col min="4108" max="4108" width="13" customWidth="1"/>
    <col min="4109" max="4109" width="14.5546875" customWidth="1"/>
    <col min="4110" max="4110" width="13" customWidth="1"/>
    <col min="4111" max="4111" width="18.6640625" customWidth="1"/>
    <col min="4112" max="4112" width="14.5546875" customWidth="1"/>
    <col min="4113" max="4116" width="14.5546875" bestFit="1" customWidth="1"/>
    <col min="4117" max="4117" width="14.5546875" customWidth="1"/>
    <col min="4118" max="4118" width="7.109375" customWidth="1"/>
    <col min="4119" max="4119" width="14.5546875" customWidth="1"/>
    <col min="4356" max="4358" width="0" hidden="1" customWidth="1"/>
    <col min="4360" max="4361" width="14.5546875" bestFit="1" customWidth="1"/>
    <col min="4362" max="4362" width="15.109375" bestFit="1" customWidth="1"/>
    <col min="4363" max="4363" width="15.109375" customWidth="1"/>
    <col min="4364" max="4364" width="13" customWidth="1"/>
    <col min="4365" max="4365" width="14.5546875" customWidth="1"/>
    <col min="4366" max="4366" width="13" customWidth="1"/>
    <col min="4367" max="4367" width="18.6640625" customWidth="1"/>
    <col min="4368" max="4368" width="14.5546875" customWidth="1"/>
    <col min="4369" max="4372" width="14.5546875" bestFit="1" customWidth="1"/>
    <col min="4373" max="4373" width="14.5546875" customWidth="1"/>
    <col min="4374" max="4374" width="7.109375" customWidth="1"/>
    <col min="4375" max="4375" width="14.5546875" customWidth="1"/>
    <col min="4612" max="4614" width="0" hidden="1" customWidth="1"/>
    <col min="4616" max="4617" width="14.5546875" bestFit="1" customWidth="1"/>
    <col min="4618" max="4618" width="15.109375" bestFit="1" customWidth="1"/>
    <col min="4619" max="4619" width="15.109375" customWidth="1"/>
    <col min="4620" max="4620" width="13" customWidth="1"/>
    <col min="4621" max="4621" width="14.5546875" customWidth="1"/>
    <col min="4622" max="4622" width="13" customWidth="1"/>
    <col min="4623" max="4623" width="18.6640625" customWidth="1"/>
    <col min="4624" max="4624" width="14.5546875" customWidth="1"/>
    <col min="4625" max="4628" width="14.5546875" bestFit="1" customWidth="1"/>
    <col min="4629" max="4629" width="14.5546875" customWidth="1"/>
    <col min="4630" max="4630" width="7.109375" customWidth="1"/>
    <col min="4631" max="4631" width="14.5546875" customWidth="1"/>
    <col min="4868" max="4870" width="0" hidden="1" customWidth="1"/>
    <col min="4872" max="4873" width="14.5546875" bestFit="1" customWidth="1"/>
    <col min="4874" max="4874" width="15.109375" bestFit="1" customWidth="1"/>
    <col min="4875" max="4875" width="15.109375" customWidth="1"/>
    <col min="4876" max="4876" width="13" customWidth="1"/>
    <col min="4877" max="4877" width="14.5546875" customWidth="1"/>
    <col min="4878" max="4878" width="13" customWidth="1"/>
    <col min="4879" max="4879" width="18.6640625" customWidth="1"/>
    <col min="4880" max="4880" width="14.5546875" customWidth="1"/>
    <col min="4881" max="4884" width="14.5546875" bestFit="1" customWidth="1"/>
    <col min="4885" max="4885" width="14.5546875" customWidth="1"/>
    <col min="4886" max="4886" width="7.109375" customWidth="1"/>
    <col min="4887" max="4887" width="14.5546875" customWidth="1"/>
    <col min="5124" max="5126" width="0" hidden="1" customWidth="1"/>
    <col min="5128" max="5129" width="14.5546875" bestFit="1" customWidth="1"/>
    <col min="5130" max="5130" width="15.109375" bestFit="1" customWidth="1"/>
    <col min="5131" max="5131" width="15.109375" customWidth="1"/>
    <col min="5132" max="5132" width="13" customWidth="1"/>
    <col min="5133" max="5133" width="14.5546875" customWidth="1"/>
    <col min="5134" max="5134" width="13" customWidth="1"/>
    <col min="5135" max="5135" width="18.6640625" customWidth="1"/>
    <col min="5136" max="5136" width="14.5546875" customWidth="1"/>
    <col min="5137" max="5140" width="14.5546875" bestFit="1" customWidth="1"/>
    <col min="5141" max="5141" width="14.5546875" customWidth="1"/>
    <col min="5142" max="5142" width="7.109375" customWidth="1"/>
    <col min="5143" max="5143" width="14.5546875" customWidth="1"/>
    <col min="5380" max="5382" width="0" hidden="1" customWidth="1"/>
    <col min="5384" max="5385" width="14.5546875" bestFit="1" customWidth="1"/>
    <col min="5386" max="5386" width="15.109375" bestFit="1" customWidth="1"/>
    <col min="5387" max="5387" width="15.109375" customWidth="1"/>
    <col min="5388" max="5388" width="13" customWidth="1"/>
    <col min="5389" max="5389" width="14.5546875" customWidth="1"/>
    <col min="5390" max="5390" width="13" customWidth="1"/>
    <col min="5391" max="5391" width="18.6640625" customWidth="1"/>
    <col min="5392" max="5392" width="14.5546875" customWidth="1"/>
    <col min="5393" max="5396" width="14.5546875" bestFit="1" customWidth="1"/>
    <col min="5397" max="5397" width="14.5546875" customWidth="1"/>
    <col min="5398" max="5398" width="7.109375" customWidth="1"/>
    <col min="5399" max="5399" width="14.5546875" customWidth="1"/>
    <col min="5636" max="5638" width="0" hidden="1" customWidth="1"/>
    <col min="5640" max="5641" width="14.5546875" bestFit="1" customWidth="1"/>
    <col min="5642" max="5642" width="15.109375" bestFit="1" customWidth="1"/>
    <col min="5643" max="5643" width="15.109375" customWidth="1"/>
    <col min="5644" max="5644" width="13" customWidth="1"/>
    <col min="5645" max="5645" width="14.5546875" customWidth="1"/>
    <col min="5646" max="5646" width="13" customWidth="1"/>
    <col min="5647" max="5647" width="18.6640625" customWidth="1"/>
    <col min="5648" max="5648" width="14.5546875" customWidth="1"/>
    <col min="5649" max="5652" width="14.5546875" bestFit="1" customWidth="1"/>
    <col min="5653" max="5653" width="14.5546875" customWidth="1"/>
    <col min="5654" max="5654" width="7.109375" customWidth="1"/>
    <col min="5655" max="5655" width="14.5546875" customWidth="1"/>
    <col min="5892" max="5894" width="0" hidden="1" customWidth="1"/>
    <col min="5896" max="5897" width="14.5546875" bestFit="1" customWidth="1"/>
    <col min="5898" max="5898" width="15.109375" bestFit="1" customWidth="1"/>
    <col min="5899" max="5899" width="15.109375" customWidth="1"/>
    <col min="5900" max="5900" width="13" customWidth="1"/>
    <col min="5901" max="5901" width="14.5546875" customWidth="1"/>
    <col min="5902" max="5902" width="13" customWidth="1"/>
    <col min="5903" max="5903" width="18.6640625" customWidth="1"/>
    <col min="5904" max="5904" width="14.5546875" customWidth="1"/>
    <col min="5905" max="5908" width="14.5546875" bestFit="1" customWidth="1"/>
    <col min="5909" max="5909" width="14.5546875" customWidth="1"/>
    <col min="5910" max="5910" width="7.109375" customWidth="1"/>
    <col min="5911" max="5911" width="14.5546875" customWidth="1"/>
    <col min="6148" max="6150" width="0" hidden="1" customWidth="1"/>
    <col min="6152" max="6153" width="14.5546875" bestFit="1" customWidth="1"/>
    <col min="6154" max="6154" width="15.109375" bestFit="1" customWidth="1"/>
    <col min="6155" max="6155" width="15.109375" customWidth="1"/>
    <col min="6156" max="6156" width="13" customWidth="1"/>
    <col min="6157" max="6157" width="14.5546875" customWidth="1"/>
    <col min="6158" max="6158" width="13" customWidth="1"/>
    <col min="6159" max="6159" width="18.6640625" customWidth="1"/>
    <col min="6160" max="6160" width="14.5546875" customWidth="1"/>
    <col min="6161" max="6164" width="14.5546875" bestFit="1" customWidth="1"/>
    <col min="6165" max="6165" width="14.5546875" customWidth="1"/>
    <col min="6166" max="6166" width="7.109375" customWidth="1"/>
    <col min="6167" max="6167" width="14.5546875" customWidth="1"/>
    <col min="6404" max="6406" width="0" hidden="1" customWidth="1"/>
    <col min="6408" max="6409" width="14.5546875" bestFit="1" customWidth="1"/>
    <col min="6410" max="6410" width="15.109375" bestFit="1" customWidth="1"/>
    <col min="6411" max="6411" width="15.109375" customWidth="1"/>
    <col min="6412" max="6412" width="13" customWidth="1"/>
    <col min="6413" max="6413" width="14.5546875" customWidth="1"/>
    <col min="6414" max="6414" width="13" customWidth="1"/>
    <col min="6415" max="6415" width="18.6640625" customWidth="1"/>
    <col min="6416" max="6416" width="14.5546875" customWidth="1"/>
    <col min="6417" max="6420" width="14.5546875" bestFit="1" customWidth="1"/>
    <col min="6421" max="6421" width="14.5546875" customWidth="1"/>
    <col min="6422" max="6422" width="7.109375" customWidth="1"/>
    <col min="6423" max="6423" width="14.5546875" customWidth="1"/>
    <col min="6660" max="6662" width="0" hidden="1" customWidth="1"/>
    <col min="6664" max="6665" width="14.5546875" bestFit="1" customWidth="1"/>
    <col min="6666" max="6666" width="15.109375" bestFit="1" customWidth="1"/>
    <col min="6667" max="6667" width="15.109375" customWidth="1"/>
    <col min="6668" max="6668" width="13" customWidth="1"/>
    <col min="6669" max="6669" width="14.5546875" customWidth="1"/>
    <col min="6670" max="6670" width="13" customWidth="1"/>
    <col min="6671" max="6671" width="18.6640625" customWidth="1"/>
    <col min="6672" max="6672" width="14.5546875" customWidth="1"/>
    <col min="6673" max="6676" width="14.5546875" bestFit="1" customWidth="1"/>
    <col min="6677" max="6677" width="14.5546875" customWidth="1"/>
    <col min="6678" max="6678" width="7.109375" customWidth="1"/>
    <col min="6679" max="6679" width="14.5546875" customWidth="1"/>
    <col min="6916" max="6918" width="0" hidden="1" customWidth="1"/>
    <col min="6920" max="6921" width="14.5546875" bestFit="1" customWidth="1"/>
    <col min="6922" max="6922" width="15.109375" bestFit="1" customWidth="1"/>
    <col min="6923" max="6923" width="15.109375" customWidth="1"/>
    <col min="6924" max="6924" width="13" customWidth="1"/>
    <col min="6925" max="6925" width="14.5546875" customWidth="1"/>
    <col min="6926" max="6926" width="13" customWidth="1"/>
    <col min="6927" max="6927" width="18.6640625" customWidth="1"/>
    <col min="6928" max="6928" width="14.5546875" customWidth="1"/>
    <col min="6929" max="6932" width="14.5546875" bestFit="1" customWidth="1"/>
    <col min="6933" max="6933" width="14.5546875" customWidth="1"/>
    <col min="6934" max="6934" width="7.109375" customWidth="1"/>
    <col min="6935" max="6935" width="14.5546875" customWidth="1"/>
    <col min="7172" max="7174" width="0" hidden="1" customWidth="1"/>
    <col min="7176" max="7177" width="14.5546875" bestFit="1" customWidth="1"/>
    <col min="7178" max="7178" width="15.109375" bestFit="1" customWidth="1"/>
    <col min="7179" max="7179" width="15.109375" customWidth="1"/>
    <col min="7180" max="7180" width="13" customWidth="1"/>
    <col min="7181" max="7181" width="14.5546875" customWidth="1"/>
    <col min="7182" max="7182" width="13" customWidth="1"/>
    <col min="7183" max="7183" width="18.6640625" customWidth="1"/>
    <col min="7184" max="7184" width="14.5546875" customWidth="1"/>
    <col min="7185" max="7188" width="14.5546875" bestFit="1" customWidth="1"/>
    <col min="7189" max="7189" width="14.5546875" customWidth="1"/>
    <col min="7190" max="7190" width="7.109375" customWidth="1"/>
    <col min="7191" max="7191" width="14.5546875" customWidth="1"/>
    <col min="7428" max="7430" width="0" hidden="1" customWidth="1"/>
    <col min="7432" max="7433" width="14.5546875" bestFit="1" customWidth="1"/>
    <col min="7434" max="7434" width="15.109375" bestFit="1" customWidth="1"/>
    <col min="7435" max="7435" width="15.109375" customWidth="1"/>
    <col min="7436" max="7436" width="13" customWidth="1"/>
    <col min="7437" max="7437" width="14.5546875" customWidth="1"/>
    <col min="7438" max="7438" width="13" customWidth="1"/>
    <col min="7439" max="7439" width="18.6640625" customWidth="1"/>
    <col min="7440" max="7440" width="14.5546875" customWidth="1"/>
    <col min="7441" max="7444" width="14.5546875" bestFit="1" customWidth="1"/>
    <col min="7445" max="7445" width="14.5546875" customWidth="1"/>
    <col min="7446" max="7446" width="7.109375" customWidth="1"/>
    <col min="7447" max="7447" width="14.5546875" customWidth="1"/>
    <col min="7684" max="7686" width="0" hidden="1" customWidth="1"/>
    <col min="7688" max="7689" width="14.5546875" bestFit="1" customWidth="1"/>
    <col min="7690" max="7690" width="15.109375" bestFit="1" customWidth="1"/>
    <col min="7691" max="7691" width="15.109375" customWidth="1"/>
    <col min="7692" max="7692" width="13" customWidth="1"/>
    <col min="7693" max="7693" width="14.5546875" customWidth="1"/>
    <col min="7694" max="7694" width="13" customWidth="1"/>
    <col min="7695" max="7695" width="18.6640625" customWidth="1"/>
    <col min="7696" max="7696" width="14.5546875" customWidth="1"/>
    <col min="7697" max="7700" width="14.5546875" bestFit="1" customWidth="1"/>
    <col min="7701" max="7701" width="14.5546875" customWidth="1"/>
    <col min="7702" max="7702" width="7.109375" customWidth="1"/>
    <col min="7703" max="7703" width="14.5546875" customWidth="1"/>
    <col min="7940" max="7942" width="0" hidden="1" customWidth="1"/>
    <col min="7944" max="7945" width="14.5546875" bestFit="1" customWidth="1"/>
    <col min="7946" max="7946" width="15.109375" bestFit="1" customWidth="1"/>
    <col min="7947" max="7947" width="15.109375" customWidth="1"/>
    <col min="7948" max="7948" width="13" customWidth="1"/>
    <col min="7949" max="7949" width="14.5546875" customWidth="1"/>
    <col min="7950" max="7950" width="13" customWidth="1"/>
    <col min="7951" max="7951" width="18.6640625" customWidth="1"/>
    <col min="7952" max="7952" width="14.5546875" customWidth="1"/>
    <col min="7953" max="7956" width="14.5546875" bestFit="1" customWidth="1"/>
    <col min="7957" max="7957" width="14.5546875" customWidth="1"/>
    <col min="7958" max="7958" width="7.109375" customWidth="1"/>
    <col min="7959" max="7959" width="14.5546875" customWidth="1"/>
    <col min="8196" max="8198" width="0" hidden="1" customWidth="1"/>
    <col min="8200" max="8201" width="14.5546875" bestFit="1" customWidth="1"/>
    <col min="8202" max="8202" width="15.109375" bestFit="1" customWidth="1"/>
    <col min="8203" max="8203" width="15.109375" customWidth="1"/>
    <col min="8204" max="8204" width="13" customWidth="1"/>
    <col min="8205" max="8205" width="14.5546875" customWidth="1"/>
    <col min="8206" max="8206" width="13" customWidth="1"/>
    <col min="8207" max="8207" width="18.6640625" customWidth="1"/>
    <col min="8208" max="8208" width="14.5546875" customWidth="1"/>
    <col min="8209" max="8212" width="14.5546875" bestFit="1" customWidth="1"/>
    <col min="8213" max="8213" width="14.5546875" customWidth="1"/>
    <col min="8214" max="8214" width="7.109375" customWidth="1"/>
    <col min="8215" max="8215" width="14.5546875" customWidth="1"/>
    <col min="8452" max="8454" width="0" hidden="1" customWidth="1"/>
    <col min="8456" max="8457" width="14.5546875" bestFit="1" customWidth="1"/>
    <col min="8458" max="8458" width="15.109375" bestFit="1" customWidth="1"/>
    <col min="8459" max="8459" width="15.109375" customWidth="1"/>
    <col min="8460" max="8460" width="13" customWidth="1"/>
    <col min="8461" max="8461" width="14.5546875" customWidth="1"/>
    <col min="8462" max="8462" width="13" customWidth="1"/>
    <col min="8463" max="8463" width="18.6640625" customWidth="1"/>
    <col min="8464" max="8464" width="14.5546875" customWidth="1"/>
    <col min="8465" max="8468" width="14.5546875" bestFit="1" customWidth="1"/>
    <col min="8469" max="8469" width="14.5546875" customWidth="1"/>
    <col min="8470" max="8470" width="7.109375" customWidth="1"/>
    <col min="8471" max="8471" width="14.5546875" customWidth="1"/>
    <col min="8708" max="8710" width="0" hidden="1" customWidth="1"/>
    <col min="8712" max="8713" width="14.5546875" bestFit="1" customWidth="1"/>
    <col min="8714" max="8714" width="15.109375" bestFit="1" customWidth="1"/>
    <col min="8715" max="8715" width="15.109375" customWidth="1"/>
    <col min="8716" max="8716" width="13" customWidth="1"/>
    <col min="8717" max="8717" width="14.5546875" customWidth="1"/>
    <col min="8718" max="8718" width="13" customWidth="1"/>
    <col min="8719" max="8719" width="18.6640625" customWidth="1"/>
    <col min="8720" max="8720" width="14.5546875" customWidth="1"/>
    <col min="8721" max="8724" width="14.5546875" bestFit="1" customWidth="1"/>
    <col min="8725" max="8725" width="14.5546875" customWidth="1"/>
    <col min="8726" max="8726" width="7.109375" customWidth="1"/>
    <col min="8727" max="8727" width="14.5546875" customWidth="1"/>
    <col min="8964" max="8966" width="0" hidden="1" customWidth="1"/>
    <col min="8968" max="8969" width="14.5546875" bestFit="1" customWidth="1"/>
    <col min="8970" max="8970" width="15.109375" bestFit="1" customWidth="1"/>
    <col min="8971" max="8971" width="15.109375" customWidth="1"/>
    <col min="8972" max="8972" width="13" customWidth="1"/>
    <col min="8973" max="8973" width="14.5546875" customWidth="1"/>
    <col min="8974" max="8974" width="13" customWidth="1"/>
    <col min="8975" max="8975" width="18.6640625" customWidth="1"/>
    <col min="8976" max="8976" width="14.5546875" customWidth="1"/>
    <col min="8977" max="8980" width="14.5546875" bestFit="1" customWidth="1"/>
    <col min="8981" max="8981" width="14.5546875" customWidth="1"/>
    <col min="8982" max="8982" width="7.109375" customWidth="1"/>
    <col min="8983" max="8983" width="14.5546875" customWidth="1"/>
    <col min="9220" max="9222" width="0" hidden="1" customWidth="1"/>
    <col min="9224" max="9225" width="14.5546875" bestFit="1" customWidth="1"/>
    <col min="9226" max="9226" width="15.109375" bestFit="1" customWidth="1"/>
    <col min="9227" max="9227" width="15.109375" customWidth="1"/>
    <col min="9228" max="9228" width="13" customWidth="1"/>
    <col min="9229" max="9229" width="14.5546875" customWidth="1"/>
    <col min="9230" max="9230" width="13" customWidth="1"/>
    <col min="9231" max="9231" width="18.6640625" customWidth="1"/>
    <col min="9232" max="9232" width="14.5546875" customWidth="1"/>
    <col min="9233" max="9236" width="14.5546875" bestFit="1" customWidth="1"/>
    <col min="9237" max="9237" width="14.5546875" customWidth="1"/>
    <col min="9238" max="9238" width="7.109375" customWidth="1"/>
    <col min="9239" max="9239" width="14.5546875" customWidth="1"/>
    <col min="9476" max="9478" width="0" hidden="1" customWidth="1"/>
    <col min="9480" max="9481" width="14.5546875" bestFit="1" customWidth="1"/>
    <col min="9482" max="9482" width="15.109375" bestFit="1" customWidth="1"/>
    <col min="9483" max="9483" width="15.109375" customWidth="1"/>
    <col min="9484" max="9484" width="13" customWidth="1"/>
    <col min="9485" max="9485" width="14.5546875" customWidth="1"/>
    <col min="9486" max="9486" width="13" customWidth="1"/>
    <col min="9487" max="9487" width="18.6640625" customWidth="1"/>
    <col min="9488" max="9488" width="14.5546875" customWidth="1"/>
    <col min="9489" max="9492" width="14.5546875" bestFit="1" customWidth="1"/>
    <col min="9493" max="9493" width="14.5546875" customWidth="1"/>
    <col min="9494" max="9494" width="7.109375" customWidth="1"/>
    <col min="9495" max="9495" width="14.5546875" customWidth="1"/>
    <col min="9732" max="9734" width="0" hidden="1" customWidth="1"/>
    <col min="9736" max="9737" width="14.5546875" bestFit="1" customWidth="1"/>
    <col min="9738" max="9738" width="15.109375" bestFit="1" customWidth="1"/>
    <col min="9739" max="9739" width="15.109375" customWidth="1"/>
    <col min="9740" max="9740" width="13" customWidth="1"/>
    <col min="9741" max="9741" width="14.5546875" customWidth="1"/>
    <col min="9742" max="9742" width="13" customWidth="1"/>
    <col min="9743" max="9743" width="18.6640625" customWidth="1"/>
    <col min="9744" max="9744" width="14.5546875" customWidth="1"/>
    <col min="9745" max="9748" width="14.5546875" bestFit="1" customWidth="1"/>
    <col min="9749" max="9749" width="14.5546875" customWidth="1"/>
    <col min="9750" max="9750" width="7.109375" customWidth="1"/>
    <col min="9751" max="9751" width="14.5546875" customWidth="1"/>
    <col min="9988" max="9990" width="0" hidden="1" customWidth="1"/>
    <col min="9992" max="9993" width="14.5546875" bestFit="1" customWidth="1"/>
    <col min="9994" max="9994" width="15.109375" bestFit="1" customWidth="1"/>
    <col min="9995" max="9995" width="15.109375" customWidth="1"/>
    <col min="9996" max="9996" width="13" customWidth="1"/>
    <col min="9997" max="9997" width="14.5546875" customWidth="1"/>
    <col min="9998" max="9998" width="13" customWidth="1"/>
    <col min="9999" max="9999" width="18.6640625" customWidth="1"/>
    <col min="10000" max="10000" width="14.5546875" customWidth="1"/>
    <col min="10001" max="10004" width="14.5546875" bestFit="1" customWidth="1"/>
    <col min="10005" max="10005" width="14.5546875" customWidth="1"/>
    <col min="10006" max="10006" width="7.109375" customWidth="1"/>
    <col min="10007" max="10007" width="14.5546875" customWidth="1"/>
    <col min="10244" max="10246" width="0" hidden="1" customWidth="1"/>
    <col min="10248" max="10249" width="14.5546875" bestFit="1" customWidth="1"/>
    <col min="10250" max="10250" width="15.109375" bestFit="1" customWidth="1"/>
    <col min="10251" max="10251" width="15.109375" customWidth="1"/>
    <col min="10252" max="10252" width="13" customWidth="1"/>
    <col min="10253" max="10253" width="14.5546875" customWidth="1"/>
    <col min="10254" max="10254" width="13" customWidth="1"/>
    <col min="10255" max="10255" width="18.6640625" customWidth="1"/>
    <col min="10256" max="10256" width="14.5546875" customWidth="1"/>
    <col min="10257" max="10260" width="14.5546875" bestFit="1" customWidth="1"/>
    <col min="10261" max="10261" width="14.5546875" customWidth="1"/>
    <col min="10262" max="10262" width="7.109375" customWidth="1"/>
    <col min="10263" max="10263" width="14.5546875" customWidth="1"/>
    <col min="10500" max="10502" width="0" hidden="1" customWidth="1"/>
    <col min="10504" max="10505" width="14.5546875" bestFit="1" customWidth="1"/>
    <col min="10506" max="10506" width="15.109375" bestFit="1" customWidth="1"/>
    <col min="10507" max="10507" width="15.109375" customWidth="1"/>
    <col min="10508" max="10508" width="13" customWidth="1"/>
    <col min="10509" max="10509" width="14.5546875" customWidth="1"/>
    <col min="10510" max="10510" width="13" customWidth="1"/>
    <col min="10511" max="10511" width="18.6640625" customWidth="1"/>
    <col min="10512" max="10512" width="14.5546875" customWidth="1"/>
    <col min="10513" max="10516" width="14.5546875" bestFit="1" customWidth="1"/>
    <col min="10517" max="10517" width="14.5546875" customWidth="1"/>
    <col min="10518" max="10518" width="7.109375" customWidth="1"/>
    <col min="10519" max="10519" width="14.5546875" customWidth="1"/>
    <col min="10756" max="10758" width="0" hidden="1" customWidth="1"/>
    <col min="10760" max="10761" width="14.5546875" bestFit="1" customWidth="1"/>
    <col min="10762" max="10762" width="15.109375" bestFit="1" customWidth="1"/>
    <col min="10763" max="10763" width="15.109375" customWidth="1"/>
    <col min="10764" max="10764" width="13" customWidth="1"/>
    <col min="10765" max="10765" width="14.5546875" customWidth="1"/>
    <col min="10766" max="10766" width="13" customWidth="1"/>
    <col min="10767" max="10767" width="18.6640625" customWidth="1"/>
    <col min="10768" max="10768" width="14.5546875" customWidth="1"/>
    <col min="10769" max="10772" width="14.5546875" bestFit="1" customWidth="1"/>
    <col min="10773" max="10773" width="14.5546875" customWidth="1"/>
    <col min="10774" max="10774" width="7.109375" customWidth="1"/>
    <col min="10775" max="10775" width="14.5546875" customWidth="1"/>
    <col min="11012" max="11014" width="0" hidden="1" customWidth="1"/>
    <col min="11016" max="11017" width="14.5546875" bestFit="1" customWidth="1"/>
    <col min="11018" max="11018" width="15.109375" bestFit="1" customWidth="1"/>
    <col min="11019" max="11019" width="15.109375" customWidth="1"/>
    <col min="11020" max="11020" width="13" customWidth="1"/>
    <col min="11021" max="11021" width="14.5546875" customWidth="1"/>
    <col min="11022" max="11022" width="13" customWidth="1"/>
    <col min="11023" max="11023" width="18.6640625" customWidth="1"/>
    <col min="11024" max="11024" width="14.5546875" customWidth="1"/>
    <col min="11025" max="11028" width="14.5546875" bestFit="1" customWidth="1"/>
    <col min="11029" max="11029" width="14.5546875" customWidth="1"/>
    <col min="11030" max="11030" width="7.109375" customWidth="1"/>
    <col min="11031" max="11031" width="14.5546875" customWidth="1"/>
    <col min="11268" max="11270" width="0" hidden="1" customWidth="1"/>
    <col min="11272" max="11273" width="14.5546875" bestFit="1" customWidth="1"/>
    <col min="11274" max="11274" width="15.109375" bestFit="1" customWidth="1"/>
    <col min="11275" max="11275" width="15.109375" customWidth="1"/>
    <col min="11276" max="11276" width="13" customWidth="1"/>
    <col min="11277" max="11277" width="14.5546875" customWidth="1"/>
    <col min="11278" max="11278" width="13" customWidth="1"/>
    <col min="11279" max="11279" width="18.6640625" customWidth="1"/>
    <col min="11280" max="11280" width="14.5546875" customWidth="1"/>
    <col min="11281" max="11284" width="14.5546875" bestFit="1" customWidth="1"/>
    <col min="11285" max="11285" width="14.5546875" customWidth="1"/>
    <col min="11286" max="11286" width="7.109375" customWidth="1"/>
    <col min="11287" max="11287" width="14.5546875" customWidth="1"/>
    <col min="11524" max="11526" width="0" hidden="1" customWidth="1"/>
    <col min="11528" max="11529" width="14.5546875" bestFit="1" customWidth="1"/>
    <col min="11530" max="11530" width="15.109375" bestFit="1" customWidth="1"/>
    <col min="11531" max="11531" width="15.109375" customWidth="1"/>
    <col min="11532" max="11532" width="13" customWidth="1"/>
    <col min="11533" max="11533" width="14.5546875" customWidth="1"/>
    <col min="11534" max="11534" width="13" customWidth="1"/>
    <col min="11535" max="11535" width="18.6640625" customWidth="1"/>
    <col min="11536" max="11536" width="14.5546875" customWidth="1"/>
    <col min="11537" max="11540" width="14.5546875" bestFit="1" customWidth="1"/>
    <col min="11541" max="11541" width="14.5546875" customWidth="1"/>
    <col min="11542" max="11542" width="7.109375" customWidth="1"/>
    <col min="11543" max="11543" width="14.5546875" customWidth="1"/>
    <col min="11780" max="11782" width="0" hidden="1" customWidth="1"/>
    <col min="11784" max="11785" width="14.5546875" bestFit="1" customWidth="1"/>
    <col min="11786" max="11786" width="15.109375" bestFit="1" customWidth="1"/>
    <col min="11787" max="11787" width="15.109375" customWidth="1"/>
    <col min="11788" max="11788" width="13" customWidth="1"/>
    <col min="11789" max="11789" width="14.5546875" customWidth="1"/>
    <col min="11790" max="11790" width="13" customWidth="1"/>
    <col min="11791" max="11791" width="18.6640625" customWidth="1"/>
    <col min="11792" max="11792" width="14.5546875" customWidth="1"/>
    <col min="11793" max="11796" width="14.5546875" bestFit="1" customWidth="1"/>
    <col min="11797" max="11797" width="14.5546875" customWidth="1"/>
    <col min="11798" max="11798" width="7.109375" customWidth="1"/>
    <col min="11799" max="11799" width="14.5546875" customWidth="1"/>
    <col min="12036" max="12038" width="0" hidden="1" customWidth="1"/>
    <col min="12040" max="12041" width="14.5546875" bestFit="1" customWidth="1"/>
    <col min="12042" max="12042" width="15.109375" bestFit="1" customWidth="1"/>
    <col min="12043" max="12043" width="15.109375" customWidth="1"/>
    <col min="12044" max="12044" width="13" customWidth="1"/>
    <col min="12045" max="12045" width="14.5546875" customWidth="1"/>
    <col min="12046" max="12046" width="13" customWidth="1"/>
    <col min="12047" max="12047" width="18.6640625" customWidth="1"/>
    <col min="12048" max="12048" width="14.5546875" customWidth="1"/>
    <col min="12049" max="12052" width="14.5546875" bestFit="1" customWidth="1"/>
    <col min="12053" max="12053" width="14.5546875" customWidth="1"/>
    <col min="12054" max="12054" width="7.109375" customWidth="1"/>
    <col min="12055" max="12055" width="14.5546875" customWidth="1"/>
    <col min="12292" max="12294" width="0" hidden="1" customWidth="1"/>
    <col min="12296" max="12297" width="14.5546875" bestFit="1" customWidth="1"/>
    <col min="12298" max="12298" width="15.109375" bestFit="1" customWidth="1"/>
    <col min="12299" max="12299" width="15.109375" customWidth="1"/>
    <col min="12300" max="12300" width="13" customWidth="1"/>
    <col min="12301" max="12301" width="14.5546875" customWidth="1"/>
    <col min="12302" max="12302" width="13" customWidth="1"/>
    <col min="12303" max="12303" width="18.6640625" customWidth="1"/>
    <col min="12304" max="12304" width="14.5546875" customWidth="1"/>
    <col min="12305" max="12308" width="14.5546875" bestFit="1" customWidth="1"/>
    <col min="12309" max="12309" width="14.5546875" customWidth="1"/>
    <col min="12310" max="12310" width="7.109375" customWidth="1"/>
    <col min="12311" max="12311" width="14.5546875" customWidth="1"/>
    <col min="12548" max="12550" width="0" hidden="1" customWidth="1"/>
    <col min="12552" max="12553" width="14.5546875" bestFit="1" customWidth="1"/>
    <col min="12554" max="12554" width="15.109375" bestFit="1" customWidth="1"/>
    <col min="12555" max="12555" width="15.109375" customWidth="1"/>
    <col min="12556" max="12556" width="13" customWidth="1"/>
    <col min="12557" max="12557" width="14.5546875" customWidth="1"/>
    <col min="12558" max="12558" width="13" customWidth="1"/>
    <col min="12559" max="12559" width="18.6640625" customWidth="1"/>
    <col min="12560" max="12560" width="14.5546875" customWidth="1"/>
    <col min="12561" max="12564" width="14.5546875" bestFit="1" customWidth="1"/>
    <col min="12565" max="12565" width="14.5546875" customWidth="1"/>
    <col min="12566" max="12566" width="7.109375" customWidth="1"/>
    <col min="12567" max="12567" width="14.5546875" customWidth="1"/>
    <col min="12804" max="12806" width="0" hidden="1" customWidth="1"/>
    <col min="12808" max="12809" width="14.5546875" bestFit="1" customWidth="1"/>
    <col min="12810" max="12810" width="15.109375" bestFit="1" customWidth="1"/>
    <col min="12811" max="12811" width="15.109375" customWidth="1"/>
    <col min="12812" max="12812" width="13" customWidth="1"/>
    <col min="12813" max="12813" width="14.5546875" customWidth="1"/>
    <col min="12814" max="12814" width="13" customWidth="1"/>
    <col min="12815" max="12815" width="18.6640625" customWidth="1"/>
    <col min="12816" max="12816" width="14.5546875" customWidth="1"/>
    <col min="12817" max="12820" width="14.5546875" bestFit="1" customWidth="1"/>
    <col min="12821" max="12821" width="14.5546875" customWidth="1"/>
    <col min="12822" max="12822" width="7.109375" customWidth="1"/>
    <col min="12823" max="12823" width="14.5546875" customWidth="1"/>
    <col min="13060" max="13062" width="0" hidden="1" customWidth="1"/>
    <col min="13064" max="13065" width="14.5546875" bestFit="1" customWidth="1"/>
    <col min="13066" max="13066" width="15.109375" bestFit="1" customWidth="1"/>
    <col min="13067" max="13067" width="15.109375" customWidth="1"/>
    <col min="13068" max="13068" width="13" customWidth="1"/>
    <col min="13069" max="13069" width="14.5546875" customWidth="1"/>
    <col min="13070" max="13070" width="13" customWidth="1"/>
    <col min="13071" max="13071" width="18.6640625" customWidth="1"/>
    <col min="13072" max="13072" width="14.5546875" customWidth="1"/>
    <col min="13073" max="13076" width="14.5546875" bestFit="1" customWidth="1"/>
    <col min="13077" max="13077" width="14.5546875" customWidth="1"/>
    <col min="13078" max="13078" width="7.109375" customWidth="1"/>
    <col min="13079" max="13079" width="14.5546875" customWidth="1"/>
    <col min="13316" max="13318" width="0" hidden="1" customWidth="1"/>
    <col min="13320" max="13321" width="14.5546875" bestFit="1" customWidth="1"/>
    <col min="13322" max="13322" width="15.109375" bestFit="1" customWidth="1"/>
    <col min="13323" max="13323" width="15.109375" customWidth="1"/>
    <col min="13324" max="13324" width="13" customWidth="1"/>
    <col min="13325" max="13325" width="14.5546875" customWidth="1"/>
    <col min="13326" max="13326" width="13" customWidth="1"/>
    <col min="13327" max="13327" width="18.6640625" customWidth="1"/>
    <col min="13328" max="13328" width="14.5546875" customWidth="1"/>
    <col min="13329" max="13332" width="14.5546875" bestFit="1" customWidth="1"/>
    <col min="13333" max="13333" width="14.5546875" customWidth="1"/>
    <col min="13334" max="13334" width="7.109375" customWidth="1"/>
    <col min="13335" max="13335" width="14.5546875" customWidth="1"/>
    <col min="13572" max="13574" width="0" hidden="1" customWidth="1"/>
    <col min="13576" max="13577" width="14.5546875" bestFit="1" customWidth="1"/>
    <col min="13578" max="13578" width="15.109375" bestFit="1" customWidth="1"/>
    <col min="13579" max="13579" width="15.109375" customWidth="1"/>
    <col min="13580" max="13580" width="13" customWidth="1"/>
    <col min="13581" max="13581" width="14.5546875" customWidth="1"/>
    <col min="13582" max="13582" width="13" customWidth="1"/>
    <col min="13583" max="13583" width="18.6640625" customWidth="1"/>
    <col min="13584" max="13584" width="14.5546875" customWidth="1"/>
    <col min="13585" max="13588" width="14.5546875" bestFit="1" customWidth="1"/>
    <col min="13589" max="13589" width="14.5546875" customWidth="1"/>
    <col min="13590" max="13590" width="7.109375" customWidth="1"/>
    <col min="13591" max="13591" width="14.5546875" customWidth="1"/>
    <col min="13828" max="13830" width="0" hidden="1" customWidth="1"/>
    <col min="13832" max="13833" width="14.5546875" bestFit="1" customWidth="1"/>
    <col min="13834" max="13834" width="15.109375" bestFit="1" customWidth="1"/>
    <col min="13835" max="13835" width="15.109375" customWidth="1"/>
    <col min="13836" max="13836" width="13" customWidth="1"/>
    <col min="13837" max="13837" width="14.5546875" customWidth="1"/>
    <col min="13838" max="13838" width="13" customWidth="1"/>
    <col min="13839" max="13839" width="18.6640625" customWidth="1"/>
    <col min="13840" max="13840" width="14.5546875" customWidth="1"/>
    <col min="13841" max="13844" width="14.5546875" bestFit="1" customWidth="1"/>
    <col min="13845" max="13845" width="14.5546875" customWidth="1"/>
    <col min="13846" max="13846" width="7.109375" customWidth="1"/>
    <col min="13847" max="13847" width="14.5546875" customWidth="1"/>
    <col min="14084" max="14086" width="0" hidden="1" customWidth="1"/>
    <col min="14088" max="14089" width="14.5546875" bestFit="1" customWidth="1"/>
    <col min="14090" max="14090" width="15.109375" bestFit="1" customWidth="1"/>
    <col min="14091" max="14091" width="15.109375" customWidth="1"/>
    <col min="14092" max="14092" width="13" customWidth="1"/>
    <col min="14093" max="14093" width="14.5546875" customWidth="1"/>
    <col min="14094" max="14094" width="13" customWidth="1"/>
    <col min="14095" max="14095" width="18.6640625" customWidth="1"/>
    <col min="14096" max="14096" width="14.5546875" customWidth="1"/>
    <col min="14097" max="14100" width="14.5546875" bestFit="1" customWidth="1"/>
    <col min="14101" max="14101" width="14.5546875" customWidth="1"/>
    <col min="14102" max="14102" width="7.109375" customWidth="1"/>
    <col min="14103" max="14103" width="14.5546875" customWidth="1"/>
    <col min="14340" max="14342" width="0" hidden="1" customWidth="1"/>
    <col min="14344" max="14345" width="14.5546875" bestFit="1" customWidth="1"/>
    <col min="14346" max="14346" width="15.109375" bestFit="1" customWidth="1"/>
    <col min="14347" max="14347" width="15.109375" customWidth="1"/>
    <col min="14348" max="14348" width="13" customWidth="1"/>
    <col min="14349" max="14349" width="14.5546875" customWidth="1"/>
    <col min="14350" max="14350" width="13" customWidth="1"/>
    <col min="14351" max="14351" width="18.6640625" customWidth="1"/>
    <col min="14352" max="14352" width="14.5546875" customWidth="1"/>
    <col min="14353" max="14356" width="14.5546875" bestFit="1" customWidth="1"/>
    <col min="14357" max="14357" width="14.5546875" customWidth="1"/>
    <col min="14358" max="14358" width="7.109375" customWidth="1"/>
    <col min="14359" max="14359" width="14.5546875" customWidth="1"/>
    <col min="14596" max="14598" width="0" hidden="1" customWidth="1"/>
    <col min="14600" max="14601" width="14.5546875" bestFit="1" customWidth="1"/>
    <col min="14602" max="14602" width="15.109375" bestFit="1" customWidth="1"/>
    <col min="14603" max="14603" width="15.109375" customWidth="1"/>
    <col min="14604" max="14604" width="13" customWidth="1"/>
    <col min="14605" max="14605" width="14.5546875" customWidth="1"/>
    <col min="14606" max="14606" width="13" customWidth="1"/>
    <col min="14607" max="14607" width="18.6640625" customWidth="1"/>
    <col min="14608" max="14608" width="14.5546875" customWidth="1"/>
    <col min="14609" max="14612" width="14.5546875" bestFit="1" customWidth="1"/>
    <col min="14613" max="14613" width="14.5546875" customWidth="1"/>
    <col min="14614" max="14614" width="7.109375" customWidth="1"/>
    <col min="14615" max="14615" width="14.5546875" customWidth="1"/>
    <col min="14852" max="14854" width="0" hidden="1" customWidth="1"/>
    <col min="14856" max="14857" width="14.5546875" bestFit="1" customWidth="1"/>
    <col min="14858" max="14858" width="15.109375" bestFit="1" customWidth="1"/>
    <col min="14859" max="14859" width="15.109375" customWidth="1"/>
    <col min="14860" max="14860" width="13" customWidth="1"/>
    <col min="14861" max="14861" width="14.5546875" customWidth="1"/>
    <col min="14862" max="14862" width="13" customWidth="1"/>
    <col min="14863" max="14863" width="18.6640625" customWidth="1"/>
    <col min="14864" max="14864" width="14.5546875" customWidth="1"/>
    <col min="14865" max="14868" width="14.5546875" bestFit="1" customWidth="1"/>
    <col min="14869" max="14869" width="14.5546875" customWidth="1"/>
    <col min="14870" max="14870" width="7.109375" customWidth="1"/>
    <col min="14871" max="14871" width="14.5546875" customWidth="1"/>
    <col min="15108" max="15110" width="0" hidden="1" customWidth="1"/>
    <col min="15112" max="15113" width="14.5546875" bestFit="1" customWidth="1"/>
    <col min="15114" max="15114" width="15.109375" bestFit="1" customWidth="1"/>
    <col min="15115" max="15115" width="15.109375" customWidth="1"/>
    <col min="15116" max="15116" width="13" customWidth="1"/>
    <col min="15117" max="15117" width="14.5546875" customWidth="1"/>
    <col min="15118" max="15118" width="13" customWidth="1"/>
    <col min="15119" max="15119" width="18.6640625" customWidth="1"/>
    <col min="15120" max="15120" width="14.5546875" customWidth="1"/>
    <col min="15121" max="15124" width="14.5546875" bestFit="1" customWidth="1"/>
    <col min="15125" max="15125" width="14.5546875" customWidth="1"/>
    <col min="15126" max="15126" width="7.109375" customWidth="1"/>
    <col min="15127" max="15127" width="14.5546875" customWidth="1"/>
    <col min="15364" max="15366" width="0" hidden="1" customWidth="1"/>
    <col min="15368" max="15369" width="14.5546875" bestFit="1" customWidth="1"/>
    <col min="15370" max="15370" width="15.109375" bestFit="1" customWidth="1"/>
    <col min="15371" max="15371" width="15.109375" customWidth="1"/>
    <col min="15372" max="15372" width="13" customWidth="1"/>
    <col min="15373" max="15373" width="14.5546875" customWidth="1"/>
    <col min="15374" max="15374" width="13" customWidth="1"/>
    <col min="15375" max="15375" width="18.6640625" customWidth="1"/>
    <col min="15376" max="15376" width="14.5546875" customWidth="1"/>
    <col min="15377" max="15380" width="14.5546875" bestFit="1" customWidth="1"/>
    <col min="15381" max="15381" width="14.5546875" customWidth="1"/>
    <col min="15382" max="15382" width="7.109375" customWidth="1"/>
    <col min="15383" max="15383" width="14.5546875" customWidth="1"/>
    <col min="15620" max="15622" width="0" hidden="1" customWidth="1"/>
    <col min="15624" max="15625" width="14.5546875" bestFit="1" customWidth="1"/>
    <col min="15626" max="15626" width="15.109375" bestFit="1" customWidth="1"/>
    <col min="15627" max="15627" width="15.109375" customWidth="1"/>
    <col min="15628" max="15628" width="13" customWidth="1"/>
    <col min="15629" max="15629" width="14.5546875" customWidth="1"/>
    <col min="15630" max="15630" width="13" customWidth="1"/>
    <col min="15631" max="15631" width="18.6640625" customWidth="1"/>
    <col min="15632" max="15632" width="14.5546875" customWidth="1"/>
    <col min="15633" max="15636" width="14.5546875" bestFit="1" customWidth="1"/>
    <col min="15637" max="15637" width="14.5546875" customWidth="1"/>
    <col min="15638" max="15638" width="7.109375" customWidth="1"/>
    <col min="15639" max="15639" width="14.5546875" customWidth="1"/>
    <col min="15876" max="15878" width="0" hidden="1" customWidth="1"/>
    <col min="15880" max="15881" width="14.5546875" bestFit="1" customWidth="1"/>
    <col min="15882" max="15882" width="15.109375" bestFit="1" customWidth="1"/>
    <col min="15883" max="15883" width="15.109375" customWidth="1"/>
    <col min="15884" max="15884" width="13" customWidth="1"/>
    <col min="15885" max="15885" width="14.5546875" customWidth="1"/>
    <col min="15886" max="15886" width="13" customWidth="1"/>
    <col min="15887" max="15887" width="18.6640625" customWidth="1"/>
    <col min="15888" max="15888" width="14.5546875" customWidth="1"/>
    <col min="15889" max="15892" width="14.5546875" bestFit="1" customWidth="1"/>
    <col min="15893" max="15893" width="14.5546875" customWidth="1"/>
    <col min="15894" max="15894" width="7.109375" customWidth="1"/>
    <col min="15895" max="15895" width="14.5546875" customWidth="1"/>
    <col min="16132" max="16134" width="0" hidden="1" customWidth="1"/>
    <col min="16136" max="16137" width="14.5546875" bestFit="1" customWidth="1"/>
    <col min="16138" max="16138" width="15.109375" bestFit="1" customWidth="1"/>
    <col min="16139" max="16139" width="15.109375" customWidth="1"/>
    <col min="16140" max="16140" width="13" customWidth="1"/>
    <col min="16141" max="16141" width="14.5546875" customWidth="1"/>
    <col min="16142" max="16142" width="13" customWidth="1"/>
    <col min="16143" max="16143" width="18.6640625" customWidth="1"/>
    <col min="16144" max="16144" width="14.5546875" customWidth="1"/>
    <col min="16145" max="16148" width="14.5546875" bestFit="1" customWidth="1"/>
    <col min="16149" max="16149" width="14.5546875" customWidth="1"/>
    <col min="16150" max="16150" width="7.109375" customWidth="1"/>
    <col min="16151" max="16151" width="14.5546875" customWidth="1"/>
  </cols>
  <sheetData>
    <row r="1" spans="1:22" hidden="1"/>
    <row r="2" spans="1:22" hidden="1"/>
    <row r="3" spans="1:22" hidden="1"/>
    <row r="4" spans="1:22" hidden="1"/>
    <row r="5" spans="1:22" hidden="1"/>
    <row r="6" spans="1:22" hidden="1"/>
    <row r="7" spans="1:22" hidden="1"/>
    <row r="8" spans="1:22" hidden="1"/>
    <row r="9" spans="1:22" hidden="1">
      <c r="B9" t="s">
        <v>295</v>
      </c>
      <c r="C9" t="s">
        <v>296</v>
      </c>
    </row>
    <row r="10" spans="1:22" hidden="1">
      <c r="A10" t="s">
        <v>297</v>
      </c>
      <c r="B10">
        <v>0</v>
      </c>
      <c r="C10">
        <v>1</v>
      </c>
    </row>
    <row r="11" spans="1:22" hidden="1">
      <c r="A11" t="s">
        <v>298</v>
      </c>
      <c r="B11">
        <v>0</v>
      </c>
      <c r="C11">
        <v>1</v>
      </c>
    </row>
    <row r="12" spans="1:22" hidden="1">
      <c r="A12" t="s">
        <v>299</v>
      </c>
      <c r="B12">
        <v>1</v>
      </c>
      <c r="C12">
        <v>0</v>
      </c>
    </row>
    <row r="13" spans="1:22" hidden="1">
      <c r="A13" t="s">
        <v>300</v>
      </c>
      <c r="B13">
        <v>1</v>
      </c>
      <c r="C13">
        <v>0</v>
      </c>
      <c r="V13">
        <f>3200/(V23+1)</f>
        <v>2150.9809369314466</v>
      </c>
    </row>
    <row r="14" spans="1:22" s="132" customFormat="1" ht="28.8">
      <c r="A14" s="132" t="s">
        <v>301</v>
      </c>
      <c r="B14" s="132">
        <v>0</v>
      </c>
      <c r="C14" s="132">
        <v>1</v>
      </c>
      <c r="E14" s="182"/>
      <c r="F14" s="183" t="s">
        <v>302</v>
      </c>
      <c r="G14" s="244" t="s">
        <v>303</v>
      </c>
      <c r="H14" s="245"/>
      <c r="I14" s="245"/>
      <c r="J14" s="246"/>
      <c r="K14" s="247" t="s">
        <v>304</v>
      </c>
      <c r="L14" s="247"/>
      <c r="M14" s="247"/>
      <c r="N14" s="247"/>
      <c r="O14" s="247"/>
      <c r="P14" s="244" t="s">
        <v>305</v>
      </c>
      <c r="Q14" s="245"/>
      <c r="R14" s="245"/>
      <c r="S14" s="246"/>
    </row>
    <row r="15" spans="1:22">
      <c r="A15" t="s">
        <v>306</v>
      </c>
      <c r="B15">
        <v>0</v>
      </c>
      <c r="C15">
        <v>1</v>
      </c>
      <c r="D15" s="172" t="s">
        <v>307</v>
      </c>
      <c r="F15" s="172"/>
      <c r="G15" s="173">
        <v>0.04</v>
      </c>
      <c r="H15" s="173">
        <v>0.04</v>
      </c>
      <c r="I15" s="174">
        <v>0</v>
      </c>
      <c r="J15" s="174"/>
      <c r="K15" s="131">
        <v>0</v>
      </c>
      <c r="L15" s="131">
        <v>0</v>
      </c>
      <c r="M15" s="131">
        <v>0</v>
      </c>
      <c r="N15" s="131">
        <v>0</v>
      </c>
      <c r="O15" s="173"/>
      <c r="P15" s="174">
        <v>0</v>
      </c>
      <c r="Q15" s="174">
        <v>0</v>
      </c>
      <c r="R15" s="174">
        <v>0</v>
      </c>
    </row>
    <row r="16" spans="1:22" s="131" customFormat="1">
      <c r="D16" s="172" t="s">
        <v>308</v>
      </c>
      <c r="F16" s="172"/>
      <c r="G16" s="173">
        <v>0.12</v>
      </c>
      <c r="H16" s="173">
        <v>8.5000000000000006E-2</v>
      </c>
      <c r="I16" s="178">
        <v>5.2199999999999998E-3</v>
      </c>
      <c r="J16" s="178"/>
      <c r="K16" s="177">
        <f>K23/$E$23</f>
        <v>8.3333333333333329E-2</v>
      </c>
      <c r="L16" s="177">
        <f>L23/$E$23</f>
        <v>4.1666666666666664E-2</v>
      </c>
      <c r="M16" s="177">
        <f>M23/$E$23</f>
        <v>8.3333333333333329E-2</v>
      </c>
      <c r="N16" s="177">
        <v>0.12</v>
      </c>
      <c r="O16" s="173"/>
      <c r="P16" s="173">
        <v>0.02</v>
      </c>
      <c r="Q16" s="173">
        <v>0.03</v>
      </c>
      <c r="R16" s="173">
        <v>0.04</v>
      </c>
    </row>
    <row r="17" spans="1:24" s="131" customFormat="1">
      <c r="E17" s="172"/>
      <c r="F17" s="172"/>
      <c r="G17" s="173"/>
      <c r="H17" s="173"/>
      <c r="I17" s="178">
        <v>1.044E-2</v>
      </c>
      <c r="J17" s="178"/>
      <c r="K17" s="177"/>
      <c r="L17" s="177"/>
      <c r="M17" s="177"/>
      <c r="N17" s="177"/>
      <c r="O17" s="173"/>
      <c r="P17" s="173"/>
      <c r="Q17" s="173"/>
      <c r="R17" s="173"/>
    </row>
    <row r="18" spans="1:24" s="131" customFormat="1">
      <c r="D18" s="131" t="s">
        <v>309</v>
      </c>
      <c r="E18" s="172"/>
      <c r="F18" s="172"/>
      <c r="G18" s="173"/>
      <c r="H18" s="173"/>
      <c r="I18" s="178">
        <v>2.436E-2</v>
      </c>
      <c r="J18" s="178"/>
      <c r="K18" s="177"/>
      <c r="L18" s="177"/>
      <c r="M18" s="177"/>
      <c r="N18" s="177"/>
      <c r="O18" s="173"/>
      <c r="P18" s="173"/>
      <c r="Q18" s="173"/>
      <c r="R18" s="173"/>
    </row>
    <row r="19" spans="1:24" s="131" customFormat="1">
      <c r="D19" s="131" t="s">
        <v>310</v>
      </c>
      <c r="E19" s="172"/>
      <c r="F19" s="172"/>
      <c r="G19" s="173"/>
      <c r="H19" s="173"/>
      <c r="I19" s="178">
        <v>4.3499999999999997E-2</v>
      </c>
      <c r="J19" s="178"/>
      <c r="K19" s="177"/>
      <c r="L19" s="177"/>
      <c r="M19" s="177"/>
      <c r="N19" s="177"/>
      <c r="O19" s="173"/>
      <c r="P19" s="173"/>
      <c r="Q19" s="173"/>
      <c r="R19" s="173"/>
    </row>
    <row r="20" spans="1:24" s="131" customFormat="1">
      <c r="D20" s="131">
        <v>2024</v>
      </c>
      <c r="E20" s="186">
        <v>1300000</v>
      </c>
      <c r="F20" s="172"/>
      <c r="G20" s="173"/>
      <c r="H20" s="173"/>
      <c r="I20" s="173">
        <v>6.9599999999999995E-2</v>
      </c>
      <c r="J20" s="173"/>
      <c r="K20" s="177"/>
      <c r="L20" s="177"/>
      <c r="M20" s="177"/>
      <c r="N20" s="177"/>
      <c r="O20" s="173"/>
      <c r="P20" s="173"/>
      <c r="Q20" s="173"/>
      <c r="R20" s="173"/>
    </row>
    <row r="21" spans="1:24" s="132" customFormat="1" ht="28.8">
      <c r="A21" s="132" t="s">
        <v>311</v>
      </c>
      <c r="B21" s="132">
        <v>1</v>
      </c>
      <c r="C21" s="132">
        <v>0</v>
      </c>
      <c r="E21" s="132" t="s">
        <v>297</v>
      </c>
      <c r="F21" s="132" t="s">
        <v>247</v>
      </c>
      <c r="G21" s="132" t="s">
        <v>303</v>
      </c>
      <c r="H21" s="132" t="s">
        <v>312</v>
      </c>
      <c r="I21" s="132" t="s">
        <v>313</v>
      </c>
      <c r="J21" s="132" t="s">
        <v>314</v>
      </c>
      <c r="K21" s="132" t="s">
        <v>315</v>
      </c>
      <c r="L21" s="132" t="s">
        <v>316</v>
      </c>
      <c r="M21" s="132" t="s">
        <v>317</v>
      </c>
      <c r="N21" s="132" t="s">
        <v>318</v>
      </c>
      <c r="O21" s="132" t="s">
        <v>319</v>
      </c>
      <c r="P21" s="132" t="s">
        <v>320</v>
      </c>
      <c r="Q21" s="132" t="s">
        <v>321</v>
      </c>
      <c r="R21" s="132" t="s">
        <v>322</v>
      </c>
      <c r="S21" s="132" t="s">
        <v>323</v>
      </c>
      <c r="T21" s="132" t="s">
        <v>324</v>
      </c>
      <c r="U21" s="132" t="s">
        <v>325</v>
      </c>
      <c r="V21" s="132" t="s">
        <v>326</v>
      </c>
      <c r="W21" s="132" t="s">
        <v>23</v>
      </c>
    </row>
    <row r="22" spans="1:24">
      <c r="A22" t="s">
        <v>327</v>
      </c>
      <c r="B22">
        <v>1</v>
      </c>
      <c r="C22">
        <v>0</v>
      </c>
      <c r="D22" t="s">
        <v>307</v>
      </c>
      <c r="F22" s="175"/>
      <c r="G22" s="171">
        <f>$E23*$G$15</f>
        <v>120000</v>
      </c>
      <c r="H22" s="171">
        <f>$E23*$H$15</f>
        <v>120000</v>
      </c>
      <c r="I22" s="171">
        <v>0</v>
      </c>
      <c r="J22" s="184">
        <f>G22+H22+I22</f>
        <v>240000</v>
      </c>
      <c r="K22">
        <v>0</v>
      </c>
      <c r="L22">
        <v>0</v>
      </c>
      <c r="M22">
        <v>0</v>
      </c>
      <c r="N22">
        <v>0</v>
      </c>
      <c r="O22" s="180">
        <f t="shared" ref="O22:O39" si="0">SUM(K22:N22)</f>
        <v>0</v>
      </c>
      <c r="P22" s="171">
        <v>0</v>
      </c>
      <c r="Q22" s="171">
        <v>0</v>
      </c>
      <c r="R22" s="171">
        <v>0</v>
      </c>
      <c r="S22" s="176">
        <v>0</v>
      </c>
    </row>
    <row r="23" spans="1:24">
      <c r="A23" t="s">
        <v>328</v>
      </c>
      <c r="B23">
        <v>1</v>
      </c>
      <c r="C23">
        <v>0</v>
      </c>
      <c r="D23" t="s">
        <v>308</v>
      </c>
      <c r="E23" s="187">
        <v>3000000</v>
      </c>
      <c r="F23" s="171">
        <f>IF($E23&gt;$E$20*2,0,162000)</f>
        <v>0</v>
      </c>
      <c r="G23" s="171">
        <f>$E23*$G$16</f>
        <v>360000</v>
      </c>
      <c r="H23" s="171">
        <f>$E23*$H$16</f>
        <v>255000.00000000003</v>
      </c>
      <c r="I23" s="176">
        <f>$I$18*$E23</f>
        <v>73080</v>
      </c>
      <c r="J23" s="185">
        <f>SUM(G23:I23)</f>
        <v>688080</v>
      </c>
      <c r="K23" s="171">
        <f>($E23+$F23)/12</f>
        <v>250000</v>
      </c>
      <c r="L23" s="171">
        <f>$E23/2/12</f>
        <v>125000</v>
      </c>
      <c r="M23" s="171">
        <f>($E23+$F23)/12</f>
        <v>250000</v>
      </c>
      <c r="N23" s="179">
        <f>$N$16*($E23+$F23)/12</f>
        <v>30000</v>
      </c>
      <c r="O23" s="180">
        <f t="shared" si="0"/>
        <v>655000</v>
      </c>
      <c r="P23" s="171">
        <f>IF($E23&gt;10*$E$20,$P$16*$E23,$E23*$P$15)</f>
        <v>0</v>
      </c>
      <c r="Q23" s="171">
        <f>IF($E$23&gt;10*$E$20,$Q$16*$E$23,$E$23*$Q$15)</f>
        <v>0</v>
      </c>
      <c r="R23" s="171">
        <f>$E23*$R$16</f>
        <v>120000</v>
      </c>
      <c r="S23" s="181">
        <f>SUM(P23:R23)</f>
        <v>120000</v>
      </c>
      <c r="T23" s="171">
        <f>O23+S23+J23+F23</f>
        <v>1463080</v>
      </c>
      <c r="U23" s="171">
        <f>(28500+46000+52000+23000+20000+14000)*3/12</f>
        <v>45875</v>
      </c>
      <c r="V23" s="177">
        <f>T23/$E23</f>
        <v>0.48769333333333331</v>
      </c>
      <c r="W23" s="188">
        <f>E23+T23</f>
        <v>4463080</v>
      </c>
      <c r="X23" s="189">
        <f>(T23+U23)/$E$23</f>
        <v>0.50298500000000002</v>
      </c>
    </row>
    <row r="24" spans="1:24">
      <c r="A24" t="s">
        <v>329</v>
      </c>
      <c r="B24">
        <v>0</v>
      </c>
      <c r="C24">
        <v>1</v>
      </c>
      <c r="D24" t="s">
        <v>307</v>
      </c>
      <c r="F24" s="175"/>
      <c r="G24" s="171">
        <f>$E25*$G$15</f>
        <v>100000</v>
      </c>
      <c r="H24" s="171">
        <f>$E25*$H$15</f>
        <v>100000</v>
      </c>
      <c r="I24" s="171">
        <v>0</v>
      </c>
      <c r="J24" s="184">
        <f>G24+H24+I24</f>
        <v>200000</v>
      </c>
      <c r="K24">
        <v>0</v>
      </c>
      <c r="L24">
        <v>0</v>
      </c>
      <c r="M24">
        <v>0</v>
      </c>
      <c r="N24">
        <v>0</v>
      </c>
      <c r="O24" s="180">
        <f t="shared" si="0"/>
        <v>0</v>
      </c>
      <c r="P24" s="171">
        <v>0</v>
      </c>
      <c r="Q24" s="171">
        <v>0</v>
      </c>
      <c r="R24" s="171">
        <v>0</v>
      </c>
      <c r="S24" s="176">
        <v>0</v>
      </c>
    </row>
    <row r="25" spans="1:24">
      <c r="B25">
        <f>SUM(B10:B24)</f>
        <v>5</v>
      </c>
      <c r="C25">
        <f>SUM(C10:C24)</f>
        <v>5</v>
      </c>
      <c r="D25" t="s">
        <v>308</v>
      </c>
      <c r="E25" s="187">
        <v>2500000</v>
      </c>
      <c r="F25" s="171">
        <f>IF($E25&gt;$E$20*2,0,162000)</f>
        <v>162000</v>
      </c>
      <c r="G25" s="171">
        <f>$E25*$G$16</f>
        <v>300000</v>
      </c>
      <c r="H25" s="171">
        <f>$E25*$H$16</f>
        <v>212500.00000000003</v>
      </c>
      <c r="I25" s="176">
        <f>$I$18*$E25</f>
        <v>60900</v>
      </c>
      <c r="J25" s="185">
        <f>SUM(G25:I25)</f>
        <v>573400</v>
      </c>
      <c r="K25" s="171">
        <f>($E25+$F25)/12</f>
        <v>221833.33333333334</v>
      </c>
      <c r="L25" s="171">
        <f>$E25/2/12</f>
        <v>104166.66666666667</v>
      </c>
      <c r="M25" s="171">
        <f>($E25+$F25)/12</f>
        <v>221833.33333333334</v>
      </c>
      <c r="N25" s="179">
        <f>$N$16*($E25+$F25)/12</f>
        <v>26620</v>
      </c>
      <c r="O25" s="180">
        <f t="shared" si="0"/>
        <v>574453.33333333337</v>
      </c>
      <c r="P25" s="171">
        <f>IF($E25&gt;10*$E$20,$P$16*$E25,$E25*$P$15)</f>
        <v>0</v>
      </c>
      <c r="Q25" s="171">
        <f>IF($E$23&gt;10*$E$20,$Q$16*$E$23,$E$23*$Q$15)</f>
        <v>0</v>
      </c>
      <c r="R25" s="171">
        <f>$E25*$R$16</f>
        <v>100000</v>
      </c>
      <c r="S25" s="181">
        <f>SUM(P25:R25)</f>
        <v>100000</v>
      </c>
      <c r="T25" s="171">
        <f>O25+S25+J25+F25</f>
        <v>1409853.3333333335</v>
      </c>
      <c r="U25" s="171">
        <f>(28500+46000+52000+23000+20000+14000)*3/12</f>
        <v>45875</v>
      </c>
      <c r="V25" s="177">
        <f>T25/$E25</f>
        <v>0.56394133333333341</v>
      </c>
      <c r="W25" s="188">
        <f>E25+T25</f>
        <v>3909853.3333333335</v>
      </c>
      <c r="X25" s="189">
        <f>(T25+U25)/$E$23</f>
        <v>0.48524277777777786</v>
      </c>
    </row>
    <row r="26" spans="1:24">
      <c r="D26" t="s">
        <v>307</v>
      </c>
      <c r="F26" s="175"/>
      <c r="G26" s="171">
        <f>$E27*$G$15</f>
        <v>52000</v>
      </c>
      <c r="H26" s="171">
        <f>$E27*$H$15</f>
        <v>52000</v>
      </c>
      <c r="I26" s="171">
        <v>0</v>
      </c>
      <c r="J26" s="184">
        <f>G26+H26+I26</f>
        <v>104000</v>
      </c>
      <c r="K26">
        <v>0</v>
      </c>
      <c r="L26">
        <v>0</v>
      </c>
      <c r="M26">
        <v>0</v>
      </c>
      <c r="N26">
        <v>0</v>
      </c>
      <c r="O26" s="180">
        <f t="shared" si="0"/>
        <v>0</v>
      </c>
      <c r="P26" s="171">
        <v>0</v>
      </c>
      <c r="Q26" s="171">
        <v>0</v>
      </c>
      <c r="R26" s="171">
        <v>0</v>
      </c>
      <c r="S26" s="176">
        <v>0</v>
      </c>
    </row>
    <row r="27" spans="1:24">
      <c r="D27" t="s">
        <v>308</v>
      </c>
      <c r="E27" s="187">
        <v>1300000</v>
      </c>
      <c r="F27" s="171">
        <f>IF($E27&gt;$E$20*2,0,162000)</f>
        <v>162000</v>
      </c>
      <c r="G27" s="171">
        <f>$E27*$G$16</f>
        <v>156000</v>
      </c>
      <c r="H27" s="171">
        <f>$E27*$H$16</f>
        <v>110500.00000000001</v>
      </c>
      <c r="I27" s="176">
        <f>$I$18*$E27</f>
        <v>31668</v>
      </c>
      <c r="J27" s="185">
        <f>SUM(G27:I27)</f>
        <v>298168</v>
      </c>
      <c r="K27" s="171">
        <f>($E27+$F27)/12</f>
        <v>121833.33333333333</v>
      </c>
      <c r="L27" s="171">
        <f>$E27/2/12</f>
        <v>54166.666666666664</v>
      </c>
      <c r="M27" s="171">
        <f>($E27+$F27)/12</f>
        <v>121833.33333333333</v>
      </c>
      <c r="N27" s="179">
        <f>$N$16*($E27+$F27)/12</f>
        <v>14620</v>
      </c>
      <c r="O27" s="180">
        <f t="shared" si="0"/>
        <v>312453.33333333331</v>
      </c>
      <c r="P27" s="171">
        <f>IF($E27&gt;10*$E$20,$P$16*$E27,$E27*$P$15)</f>
        <v>0</v>
      </c>
      <c r="Q27" s="171">
        <f>IF($E$23&gt;10*$E$20,$Q$16*$E$23,$E$23*$Q$15)</f>
        <v>0</v>
      </c>
      <c r="R27" s="171">
        <f>$E27*$R$16</f>
        <v>52000</v>
      </c>
      <c r="S27" s="181">
        <f>SUM(P27:R27)</f>
        <v>52000</v>
      </c>
      <c r="T27" s="171">
        <f>O27+S27+J27+F27</f>
        <v>824621.33333333326</v>
      </c>
      <c r="U27" s="171">
        <f>(28500+46000+52000+23000+20000+14000)*3/12</f>
        <v>45875</v>
      </c>
      <c r="V27" s="177">
        <f>T27/$E27</f>
        <v>0.63432410256410254</v>
      </c>
      <c r="W27" s="188">
        <f>E27+T27</f>
        <v>2124621.333333333</v>
      </c>
      <c r="X27" s="189">
        <f>(T27+U27)/$E$23</f>
        <v>0.29016544444444442</v>
      </c>
    </row>
    <row r="28" spans="1:24">
      <c r="D28" t="s">
        <v>307</v>
      </c>
      <c r="F28" s="175"/>
      <c r="G28" s="171">
        <f>$E29*$G$15</f>
        <v>52000</v>
      </c>
      <c r="H28" s="171">
        <f>$E29*$H$15</f>
        <v>52000</v>
      </c>
      <c r="I28" s="171">
        <v>0</v>
      </c>
      <c r="J28" s="184">
        <f>G28+H28+I28</f>
        <v>104000</v>
      </c>
      <c r="K28">
        <v>0</v>
      </c>
      <c r="L28">
        <v>0</v>
      </c>
      <c r="M28">
        <v>0</v>
      </c>
      <c r="N28">
        <v>0</v>
      </c>
      <c r="O28" s="180">
        <f t="shared" si="0"/>
        <v>0</v>
      </c>
      <c r="P28" s="171">
        <v>0</v>
      </c>
      <c r="Q28" s="171">
        <v>0</v>
      </c>
      <c r="R28" s="171">
        <v>0</v>
      </c>
      <c r="S28" s="176">
        <v>0</v>
      </c>
    </row>
    <row r="29" spans="1:24">
      <c r="D29" t="s">
        <v>308</v>
      </c>
      <c r="E29" s="187">
        <v>1300000</v>
      </c>
      <c r="F29" s="171">
        <f>IF($E29&gt;$E$20*2,0,162000)</f>
        <v>162000</v>
      </c>
      <c r="G29" s="171">
        <f>$E29*$G$16</f>
        <v>156000</v>
      </c>
      <c r="H29" s="171">
        <f>$E29*$H$16</f>
        <v>110500.00000000001</v>
      </c>
      <c r="I29" s="176">
        <f>$I$18*$E29</f>
        <v>31668</v>
      </c>
      <c r="J29" s="185">
        <f>SUM(G29:I29)</f>
        <v>298168</v>
      </c>
      <c r="K29" s="171">
        <f>($E29+$F29)/12</f>
        <v>121833.33333333333</v>
      </c>
      <c r="L29" s="171">
        <f>$E29/2/12</f>
        <v>54166.666666666664</v>
      </c>
      <c r="M29" s="171">
        <f>($E29+$F29)/12</f>
        <v>121833.33333333333</v>
      </c>
      <c r="N29" s="179">
        <f>$N$16*($E29+$F29)/12</f>
        <v>14620</v>
      </c>
      <c r="O29" s="180">
        <f t="shared" si="0"/>
        <v>312453.33333333331</v>
      </c>
      <c r="P29" s="171">
        <f>IF($E29&gt;10*$E$20,$P$16*$E29,$E29*$P$15)</f>
        <v>0</v>
      </c>
      <c r="Q29" s="171">
        <f>IF($E$23&gt;10*$E$20,$Q$16*$E$23,$E$23*$Q$15)</f>
        <v>0</v>
      </c>
      <c r="R29" s="171">
        <f>$E29*$R$16</f>
        <v>52000</v>
      </c>
      <c r="S29" s="181">
        <f>SUM(P29:R29)</f>
        <v>52000</v>
      </c>
      <c r="T29" s="171">
        <f>O29+S29+J29+F29</f>
        <v>824621.33333333326</v>
      </c>
      <c r="U29" s="171">
        <f>(28500+46000+52000+23000+20000+14000)*3/12</f>
        <v>45875</v>
      </c>
      <c r="V29" s="177">
        <f>T29/$E29</f>
        <v>0.63432410256410254</v>
      </c>
      <c r="W29" s="188">
        <f>E29+T29</f>
        <v>2124621.333333333</v>
      </c>
      <c r="X29" s="189">
        <f>(T29+U29)/$E$23</f>
        <v>0.29016544444444442</v>
      </c>
    </row>
    <row r="30" spans="1:24">
      <c r="D30" t="s">
        <v>307</v>
      </c>
      <c r="F30" s="175"/>
      <c r="G30" s="171">
        <f>$E31*$G$15</f>
        <v>100000</v>
      </c>
      <c r="H30" s="171">
        <f>$E31*$H$15</f>
        <v>100000</v>
      </c>
      <c r="I30" s="171">
        <v>0</v>
      </c>
      <c r="J30" s="184">
        <f>G30+H30+I30</f>
        <v>200000</v>
      </c>
      <c r="K30">
        <v>0</v>
      </c>
      <c r="L30">
        <v>0</v>
      </c>
      <c r="M30">
        <v>0</v>
      </c>
      <c r="N30">
        <v>0</v>
      </c>
      <c r="O30" s="180">
        <f t="shared" si="0"/>
        <v>0</v>
      </c>
      <c r="P30" s="171">
        <v>0</v>
      </c>
      <c r="Q30" s="171">
        <v>0</v>
      </c>
      <c r="R30" s="171">
        <v>0</v>
      </c>
      <c r="S30" s="176">
        <v>0</v>
      </c>
    </row>
    <row r="31" spans="1:24">
      <c r="D31" t="s">
        <v>308</v>
      </c>
      <c r="E31" s="187">
        <v>2500000</v>
      </c>
      <c r="F31" s="171">
        <f>IF($E31&gt;$E$20*2,0,162000)</f>
        <v>162000</v>
      </c>
      <c r="G31" s="171">
        <f>$E31*$G$16</f>
        <v>300000</v>
      </c>
      <c r="H31" s="171">
        <f>$E31*$H$16</f>
        <v>212500.00000000003</v>
      </c>
      <c r="I31" s="176">
        <f>$I$18*$E31</f>
        <v>60900</v>
      </c>
      <c r="J31" s="185">
        <f>SUM(G31:I31)</f>
        <v>573400</v>
      </c>
      <c r="K31" s="171">
        <f>($E31+$F31)/12</f>
        <v>221833.33333333334</v>
      </c>
      <c r="L31" s="171">
        <f>$E31/2/12</f>
        <v>104166.66666666667</v>
      </c>
      <c r="M31" s="171">
        <f>($E31+$F31)/12</f>
        <v>221833.33333333334</v>
      </c>
      <c r="N31" s="179">
        <f>$N$16*($E31+$F31)/12</f>
        <v>26620</v>
      </c>
      <c r="O31" s="180">
        <f t="shared" si="0"/>
        <v>574453.33333333337</v>
      </c>
      <c r="P31" s="171">
        <f>IF($E31&gt;10*$E$20,$P$16*$E31,$E31*$P$15)</f>
        <v>0</v>
      </c>
      <c r="Q31" s="171">
        <f>IF($E$23&gt;10*$E$20,$Q$16*$E$23,$E$23*$Q$15)</f>
        <v>0</v>
      </c>
      <c r="R31" s="171">
        <f>$E31*$R$16</f>
        <v>100000</v>
      </c>
      <c r="S31" s="181">
        <f>SUM(P31:R31)</f>
        <v>100000</v>
      </c>
      <c r="T31" s="171">
        <f>O31+S31+J31+F31</f>
        <v>1409853.3333333335</v>
      </c>
      <c r="U31" s="171">
        <f>(28500+46000+52000+23000+20000+14000)*3/12</f>
        <v>45875</v>
      </c>
      <c r="V31" s="177">
        <f>T31/$E31</f>
        <v>0.56394133333333341</v>
      </c>
      <c r="W31" s="188">
        <f>E31+T31</f>
        <v>3909853.3333333335</v>
      </c>
      <c r="X31" s="189">
        <f>(T31+U31)/$E$23</f>
        <v>0.48524277777777786</v>
      </c>
    </row>
    <row r="32" spans="1:24">
      <c r="D32" t="s">
        <v>307</v>
      </c>
      <c r="F32" s="175"/>
      <c r="G32" s="171">
        <f>$E33*$G$15</f>
        <v>52000</v>
      </c>
      <c r="H32" s="171">
        <f>$E33*$H$15</f>
        <v>52000</v>
      </c>
      <c r="I32" s="171">
        <v>0</v>
      </c>
      <c r="J32" s="184">
        <f>G32+H32+I32</f>
        <v>104000</v>
      </c>
      <c r="K32">
        <v>0</v>
      </c>
      <c r="L32">
        <v>0</v>
      </c>
      <c r="M32">
        <v>0</v>
      </c>
      <c r="N32">
        <v>0</v>
      </c>
      <c r="O32" s="180">
        <f t="shared" si="0"/>
        <v>0</v>
      </c>
      <c r="P32" s="171">
        <v>0</v>
      </c>
      <c r="Q32" s="171">
        <v>0</v>
      </c>
      <c r="R32" s="171">
        <v>0</v>
      </c>
      <c r="S32" s="176">
        <v>0</v>
      </c>
    </row>
    <row r="33" spans="4:24">
      <c r="D33" t="s">
        <v>308</v>
      </c>
      <c r="E33" s="187">
        <v>1300000</v>
      </c>
      <c r="F33" s="171">
        <f>IF($E33&gt;$E$20*2,0,162000)</f>
        <v>162000</v>
      </c>
      <c r="G33" s="171">
        <f>$E33*$G$16</f>
        <v>156000</v>
      </c>
      <c r="H33" s="171">
        <f>$E33*$H$16</f>
        <v>110500.00000000001</v>
      </c>
      <c r="I33" s="176">
        <f>$I$18*$E33</f>
        <v>31668</v>
      </c>
      <c r="J33" s="185">
        <f>SUM(G33:I33)</f>
        <v>298168</v>
      </c>
      <c r="K33" s="171">
        <f>($E33+$F33)/12</f>
        <v>121833.33333333333</v>
      </c>
      <c r="L33" s="171">
        <f>$E33/2/12</f>
        <v>54166.666666666664</v>
      </c>
      <c r="M33" s="171">
        <f>($E33+$F33)/12</f>
        <v>121833.33333333333</v>
      </c>
      <c r="N33" s="179">
        <f>$N$16*($E33+$F33)/12</f>
        <v>14620</v>
      </c>
      <c r="O33" s="180">
        <f t="shared" si="0"/>
        <v>312453.33333333331</v>
      </c>
      <c r="P33" s="171">
        <f>IF($E33&gt;10*$E$20,$P$16*$E33,$E33*$P$15)</f>
        <v>0</v>
      </c>
      <c r="Q33" s="171">
        <f>IF($E$23&gt;10*$E$20,$Q$16*$E$23,$E$23*$Q$15)</f>
        <v>0</v>
      </c>
      <c r="R33" s="171">
        <f>$E33*$R$16</f>
        <v>52000</v>
      </c>
      <c r="S33" s="181">
        <f>SUM(P33:R33)</f>
        <v>52000</v>
      </c>
      <c r="T33" s="171">
        <f>O33+S33+J33+F33</f>
        <v>824621.33333333326</v>
      </c>
      <c r="U33" s="171">
        <f>(28500+46000+52000+23000+20000+14000)*3/12</f>
        <v>45875</v>
      </c>
      <c r="V33" s="177">
        <f>T33/$E33</f>
        <v>0.63432410256410254</v>
      </c>
      <c r="W33" s="188">
        <f>E33+T33+U33</f>
        <v>2170496.333333333</v>
      </c>
      <c r="X33" s="189">
        <f>(T33+U33)/$E$23</f>
        <v>0.29016544444444442</v>
      </c>
    </row>
    <row r="34" spans="4:24">
      <c r="D34" t="s">
        <v>307</v>
      </c>
      <c r="F34" s="175"/>
      <c r="G34" s="171">
        <f>$E35*$G$15</f>
        <v>52000</v>
      </c>
      <c r="H34" s="171">
        <f>$E35*$H$15</f>
        <v>52000</v>
      </c>
      <c r="I34" s="171">
        <v>0</v>
      </c>
      <c r="J34" s="184">
        <f>G34+H34+I34</f>
        <v>104000</v>
      </c>
      <c r="K34">
        <v>0</v>
      </c>
      <c r="L34">
        <v>0</v>
      </c>
      <c r="M34">
        <v>0</v>
      </c>
      <c r="N34">
        <v>0</v>
      </c>
      <c r="O34" s="180">
        <f t="shared" si="0"/>
        <v>0</v>
      </c>
      <c r="P34" s="171">
        <v>0</v>
      </c>
      <c r="Q34" s="171">
        <v>0</v>
      </c>
      <c r="R34" s="171">
        <v>0</v>
      </c>
      <c r="S34" s="176">
        <v>0</v>
      </c>
    </row>
    <row r="35" spans="4:24">
      <c r="D35" t="s">
        <v>308</v>
      </c>
      <c r="E35" s="187">
        <v>1300000</v>
      </c>
      <c r="F35" s="171">
        <f>IF($E35&gt;$E$20*2,0,162000)</f>
        <v>162000</v>
      </c>
      <c r="G35" s="171">
        <f>$E35*$G$16</f>
        <v>156000</v>
      </c>
      <c r="H35" s="171">
        <f>$E35*$H$16</f>
        <v>110500.00000000001</v>
      </c>
      <c r="I35" s="176">
        <f>$I$18*$E35</f>
        <v>31668</v>
      </c>
      <c r="J35" s="185">
        <f>SUM(G35:I35)</f>
        <v>298168</v>
      </c>
      <c r="K35" s="171">
        <f>($E35+$F35)/12</f>
        <v>121833.33333333333</v>
      </c>
      <c r="L35" s="171">
        <f>$E35/2/12</f>
        <v>54166.666666666664</v>
      </c>
      <c r="M35" s="171">
        <f>($E35+$F35)/12</f>
        <v>121833.33333333333</v>
      </c>
      <c r="N35" s="179">
        <f>$N$16*($E35+$F35)/12</f>
        <v>14620</v>
      </c>
      <c r="O35" s="180">
        <f t="shared" si="0"/>
        <v>312453.33333333331</v>
      </c>
      <c r="P35" s="171">
        <f>IF($E35&gt;10*$E$20,$P$16*$E35,$E35*$P$15)</f>
        <v>0</v>
      </c>
      <c r="Q35" s="171">
        <f>IF($E$23&gt;10*$E$20,$Q$16*$E$23,$E$23*$Q$15)</f>
        <v>0</v>
      </c>
      <c r="R35" s="171">
        <f>$E35*$R$16</f>
        <v>52000</v>
      </c>
      <c r="S35" s="181">
        <f>SUM(P35:R35)</f>
        <v>52000</v>
      </c>
      <c r="T35" s="171">
        <f>O35+S35+J35+F35</f>
        <v>824621.33333333326</v>
      </c>
      <c r="U35" s="171">
        <f>(28500+46000+52000+23000+20000+14000)*3/12</f>
        <v>45875</v>
      </c>
      <c r="V35" s="177">
        <f>T35/$E35</f>
        <v>0.63432410256410254</v>
      </c>
      <c r="W35" s="188">
        <f>E35+T35</f>
        <v>2124621.333333333</v>
      </c>
      <c r="X35" s="189">
        <f>(T35+U35)/$E$23</f>
        <v>0.29016544444444442</v>
      </c>
    </row>
    <row r="36" spans="4:24">
      <c r="D36" t="s">
        <v>307</v>
      </c>
      <c r="F36" s="175"/>
      <c r="G36" s="171">
        <f>$E37*$G$15</f>
        <v>100000</v>
      </c>
      <c r="H36" s="171">
        <f>$E37*$H$15</f>
        <v>100000</v>
      </c>
      <c r="I36" s="171">
        <v>0</v>
      </c>
      <c r="J36" s="184">
        <f>G36+H36+I36</f>
        <v>200000</v>
      </c>
      <c r="K36">
        <v>0</v>
      </c>
      <c r="L36">
        <v>0</v>
      </c>
      <c r="M36">
        <v>0</v>
      </c>
      <c r="N36">
        <v>0</v>
      </c>
      <c r="O36" s="180">
        <f t="shared" si="0"/>
        <v>0</v>
      </c>
      <c r="P36" s="171">
        <v>0</v>
      </c>
      <c r="Q36" s="171">
        <v>0</v>
      </c>
      <c r="R36" s="171">
        <v>0</v>
      </c>
      <c r="S36" s="176">
        <v>0</v>
      </c>
    </row>
    <row r="37" spans="4:24">
      <c r="D37" t="s">
        <v>308</v>
      </c>
      <c r="E37" s="187">
        <v>2500000</v>
      </c>
      <c r="F37" s="171">
        <f>IF($E37&gt;$E$20*2,0,162000)</f>
        <v>162000</v>
      </c>
      <c r="G37" s="171">
        <f>$E37*$G$16</f>
        <v>300000</v>
      </c>
      <c r="H37" s="171">
        <f>$E37*$H$16</f>
        <v>212500.00000000003</v>
      </c>
      <c r="I37" s="176">
        <f>$I$18*$E37</f>
        <v>60900</v>
      </c>
      <c r="J37" s="185">
        <f>SUM(G37:I37)</f>
        <v>573400</v>
      </c>
      <c r="K37" s="171">
        <f>($E37+$F37)/12</f>
        <v>221833.33333333334</v>
      </c>
      <c r="L37" s="171">
        <f>$E37/2/12</f>
        <v>104166.66666666667</v>
      </c>
      <c r="M37" s="171">
        <f>($E37+$F37)/12</f>
        <v>221833.33333333334</v>
      </c>
      <c r="N37" s="179">
        <f>$N$16*($E37+$F37)/12</f>
        <v>26620</v>
      </c>
      <c r="O37" s="180">
        <f t="shared" si="0"/>
        <v>574453.33333333337</v>
      </c>
      <c r="P37" s="171">
        <f>IF($E37&gt;10*$E$20,$P$16*$E37,$E37*$P$15)</f>
        <v>0</v>
      </c>
      <c r="Q37" s="171">
        <f>IF($E$23&gt;10*$E$20,$Q$16*$E$23,$E$23*$Q$15)</f>
        <v>0</v>
      </c>
      <c r="R37" s="171">
        <f>$E37*$R$16</f>
        <v>100000</v>
      </c>
      <c r="S37" s="181">
        <f>SUM(P37:R37)</f>
        <v>100000</v>
      </c>
      <c r="T37" s="171">
        <f>O37+S37+J37+F37</f>
        <v>1409853.3333333335</v>
      </c>
      <c r="U37" s="171">
        <f>(28500+46000+52000+23000+20000+14000)*3/12</f>
        <v>45875</v>
      </c>
      <c r="V37" s="177">
        <f>T37/$E37</f>
        <v>0.56394133333333341</v>
      </c>
      <c r="W37" s="188">
        <f>E37+T37</f>
        <v>3909853.3333333335</v>
      </c>
      <c r="X37" s="189">
        <f>(T37+U37)/$E$23</f>
        <v>0.48524277777777786</v>
      </c>
    </row>
    <row r="38" spans="4:24">
      <c r="D38" t="s">
        <v>307</v>
      </c>
      <c r="F38" s="175"/>
      <c r="G38" s="171">
        <f>$E39*$G$15</f>
        <v>52000</v>
      </c>
      <c r="H38" s="171">
        <f>$E39*$H$15</f>
        <v>52000</v>
      </c>
      <c r="I38" s="171">
        <v>0</v>
      </c>
      <c r="J38" s="184">
        <f>G38+H38+I38</f>
        <v>104000</v>
      </c>
      <c r="K38">
        <v>0</v>
      </c>
      <c r="L38">
        <v>0</v>
      </c>
      <c r="M38">
        <v>0</v>
      </c>
      <c r="N38">
        <v>0</v>
      </c>
      <c r="O38" s="180">
        <f t="shared" si="0"/>
        <v>0</v>
      </c>
      <c r="P38" s="171">
        <v>0</v>
      </c>
      <c r="Q38" s="171">
        <v>0</v>
      </c>
      <c r="R38" s="171">
        <v>0</v>
      </c>
      <c r="S38" s="176">
        <v>0</v>
      </c>
    </row>
    <row r="39" spans="4:24">
      <c r="D39" t="s">
        <v>308</v>
      </c>
      <c r="E39" s="187">
        <v>1300000</v>
      </c>
      <c r="F39" s="171">
        <f>IF($E39&gt;$E$20*2,0,162000)</f>
        <v>162000</v>
      </c>
      <c r="G39" s="171">
        <f>$E39*$G$16</f>
        <v>156000</v>
      </c>
      <c r="H39" s="171">
        <f>$E39*$H$16</f>
        <v>110500.00000000001</v>
      </c>
      <c r="I39" s="176">
        <f>$I$18*$E39</f>
        <v>31668</v>
      </c>
      <c r="J39" s="185">
        <f>SUM(G39:I39)</f>
        <v>298168</v>
      </c>
      <c r="K39" s="171">
        <f>($E39+$F39)/12</f>
        <v>121833.33333333333</v>
      </c>
      <c r="L39" s="171">
        <f>$E39/2/12</f>
        <v>54166.666666666664</v>
      </c>
      <c r="M39" s="171">
        <f>($E39+$F39)/12</f>
        <v>121833.33333333333</v>
      </c>
      <c r="N39" s="179">
        <f>$N$16*($E39+$F39)/12</f>
        <v>14620</v>
      </c>
      <c r="O39" s="180">
        <f t="shared" si="0"/>
        <v>312453.33333333331</v>
      </c>
      <c r="P39" s="171">
        <f>IF($E39&gt;10*$E$20,$P$16*$E39,$E39*$P$15)</f>
        <v>0</v>
      </c>
      <c r="Q39" s="171">
        <f>IF($E$23&gt;10*$E$20,$Q$16*$E$23,$E$23*$Q$15)</f>
        <v>0</v>
      </c>
      <c r="R39" s="171">
        <f>$E39*$R$16</f>
        <v>52000</v>
      </c>
      <c r="S39" s="181">
        <f>SUM(P39:R39)</f>
        <v>52000</v>
      </c>
      <c r="T39" s="171">
        <f>O39+S39+J39+F39</f>
        <v>824621.33333333326</v>
      </c>
      <c r="U39" s="171">
        <f>(28500+46000+52000+23000+20000+14000)*3/12</f>
        <v>45875</v>
      </c>
      <c r="V39" s="177">
        <f>T39/$E39</f>
        <v>0.63432410256410254</v>
      </c>
      <c r="W39" s="188">
        <f>E39+T39</f>
        <v>2124621.333333333</v>
      </c>
      <c r="X39" s="189">
        <f>(T39+U39)/$E$23</f>
        <v>0.29016544444444442</v>
      </c>
    </row>
  </sheetData>
  <mergeCells count="3">
    <mergeCell ref="P14:S14"/>
    <mergeCell ref="K14:O14"/>
    <mergeCell ref="G14:J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topLeftCell="B1" zoomScale="70" zoomScaleNormal="70" workbookViewId="0">
      <selection activeCell="Y3" sqref="Y3:AC5"/>
    </sheetView>
  </sheetViews>
  <sheetFormatPr baseColWidth="10" defaultColWidth="11.44140625" defaultRowHeight="14.4"/>
  <cols>
    <col min="1" max="1" width="22.5546875" style="8" customWidth="1"/>
    <col min="2" max="2" width="44.88671875" style="8" bestFit="1" customWidth="1"/>
    <col min="3" max="3" width="28.5546875" style="8" bestFit="1" customWidth="1"/>
    <col min="4" max="4" width="31" style="8" bestFit="1" customWidth="1"/>
    <col min="5" max="6" width="28.5546875"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6" width="11.44140625" style="8" bestFit="1" customWidth="1"/>
    <col min="27" max="27" width="9.44140625" style="8" bestFit="1" customWidth="1"/>
    <col min="28" max="28" width="11.44140625" style="8" bestFit="1" customWidth="1"/>
    <col min="29" max="29" width="9.44140625" style="8" bestFit="1" customWidth="1"/>
    <col min="30" max="16384" width="11.44140625" style="8"/>
  </cols>
  <sheetData>
    <row r="1" spans="1:29" ht="30.75" customHeight="1">
      <c r="A1" s="214" t="s">
        <v>1</v>
      </c>
      <c r="B1" s="214"/>
      <c r="C1" s="214"/>
      <c r="D1" s="214"/>
      <c r="E1" s="214"/>
      <c r="G1" s="215" t="s">
        <v>2</v>
      </c>
      <c r="H1" s="215"/>
      <c r="I1" s="215"/>
      <c r="J1" s="215"/>
      <c r="P1" s="8" t="s">
        <v>3</v>
      </c>
      <c r="Y1" s="15" t="s">
        <v>4</v>
      </c>
      <c r="Z1" s="50">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3.4" thickBot="1">
      <c r="A3" s="21">
        <v>1</v>
      </c>
      <c r="B3" s="13" t="s">
        <v>18</v>
      </c>
      <c r="C3" s="56">
        <v>1</v>
      </c>
      <c r="D3" s="141">
        <f>'Mix R&amp;S'!$P$16</f>
        <v>4796208000</v>
      </c>
      <c r="E3" s="22">
        <f>C3*D3</f>
        <v>4796208000</v>
      </c>
      <c r="F3" s="23">
        <f>IF($E$13=0,0,E3/$E$13)</f>
        <v>1</v>
      </c>
      <c r="G3" s="110">
        <v>0.35</v>
      </c>
      <c r="H3" s="110">
        <v>0.45</v>
      </c>
      <c r="I3" s="110">
        <v>0.5</v>
      </c>
      <c r="J3" s="110">
        <v>0.55000000000000004</v>
      </c>
      <c r="K3" s="24"/>
      <c r="L3" s="8">
        <f t="shared" ref="L3:L12" si="1">C3*(1+G3)</f>
        <v>1.35</v>
      </c>
      <c r="M3" s="8">
        <f>L3*(1+H3)</f>
        <v>1.9575</v>
      </c>
      <c r="N3" s="8">
        <f t="shared" ref="N3:O3" si="2">M3*(1+I3)</f>
        <v>2.9362500000000002</v>
      </c>
      <c r="O3" s="8">
        <f t="shared" si="2"/>
        <v>4.5511875000000002</v>
      </c>
      <c r="P3" s="25">
        <f>D3*(1+'1'!$Z$4)</f>
        <v>5007241152</v>
      </c>
      <c r="Q3" s="25">
        <f>P3*(1+'1'!$AA$4)</f>
        <v>5207530798.0799999</v>
      </c>
      <c r="R3" s="25">
        <f>Q3*(1+'1'!$AB$4)</f>
        <v>5400209437.6089592</v>
      </c>
      <c r="S3" s="25">
        <f>R3*(1+'1'!$AC$4)</f>
        <v>5594616977.3628817</v>
      </c>
      <c r="T3" s="26">
        <f>L3*P3</f>
        <v>6759775555.2000008</v>
      </c>
      <c r="U3" s="26">
        <f>M3*Q3</f>
        <v>10193741537.2416</v>
      </c>
      <c r="V3" s="26">
        <f>N3*R3</f>
        <v>15856364961.179308</v>
      </c>
      <c r="W3" s="26">
        <f>O3*S3</f>
        <v>25462150854.661732</v>
      </c>
      <c r="X3" s="26"/>
      <c r="Y3" s="27" t="s">
        <v>19</v>
      </c>
      <c r="Z3" s="28">
        <f>G2</f>
        <v>2026</v>
      </c>
      <c r="AA3" s="28">
        <f>Z3+1</f>
        <v>2027</v>
      </c>
      <c r="AB3" s="28">
        <f t="shared" ref="AB3:AC3" si="3">AA3+1</f>
        <v>2028</v>
      </c>
      <c r="AC3" s="29">
        <f t="shared" si="3"/>
        <v>2029</v>
      </c>
    </row>
    <row r="4" spans="1:29" ht="22.8">
      <c r="A4" s="21">
        <f>A3+1</f>
        <v>2</v>
      </c>
      <c r="B4" s="13"/>
      <c r="C4" s="56">
        <v>0</v>
      </c>
      <c r="D4" s="14">
        <v>0</v>
      </c>
      <c r="E4" s="22">
        <f t="shared" ref="E4:E12" si="4">C4*D4</f>
        <v>0</v>
      </c>
      <c r="F4" s="23">
        <f t="shared" ref="F4:F12" si="5">IF($E$13=0,0,E4/$E$13)</f>
        <v>0</v>
      </c>
      <c r="G4" s="110">
        <v>0</v>
      </c>
      <c r="H4" s="110">
        <v>0</v>
      </c>
      <c r="I4" s="110">
        <v>0</v>
      </c>
      <c r="J4" s="110">
        <v>0</v>
      </c>
      <c r="K4" s="24"/>
      <c r="L4" s="8">
        <f t="shared" si="1"/>
        <v>0</v>
      </c>
      <c r="M4" s="8">
        <f t="shared" ref="M4:M12" si="6">L4*(1+H4)</f>
        <v>0</v>
      </c>
      <c r="N4" s="8">
        <f t="shared" ref="N4:N12" si="7">M4*(1+I4)</f>
        <v>0</v>
      </c>
      <c r="O4" s="8">
        <f t="shared" ref="O4:O12" si="8">N4*(1+J4)</f>
        <v>0</v>
      </c>
      <c r="P4" s="25">
        <f>D4*(1+'1'!$Z$4)</f>
        <v>0</v>
      </c>
      <c r="Q4" s="25">
        <f>P4*(1+'1'!$AA$4)</f>
        <v>0</v>
      </c>
      <c r="R4" s="25">
        <f>Q4*(1+'1'!$AB$4)</f>
        <v>0</v>
      </c>
      <c r="S4" s="25">
        <f>R4*(1+'1'!$AC$4)</f>
        <v>0</v>
      </c>
      <c r="T4" s="26">
        <f t="shared" ref="T4:T12" si="9">L4*P4</f>
        <v>0</v>
      </c>
      <c r="U4" s="26">
        <f t="shared" ref="U4:U12" si="10">M4*Q4</f>
        <v>0</v>
      </c>
      <c r="V4" s="26">
        <f t="shared" ref="V4:V12" si="11">N4*R4</f>
        <v>0</v>
      </c>
      <c r="W4" s="26">
        <f t="shared" ref="W4:W12" si="12">O4*S4</f>
        <v>0</v>
      </c>
      <c r="X4" s="26"/>
      <c r="Y4" s="111" t="s">
        <v>20</v>
      </c>
      <c r="Z4" s="51">
        <v>4.3999999999999997E-2</v>
      </c>
      <c r="AA4" s="51">
        <v>0.04</v>
      </c>
      <c r="AB4" s="51">
        <v>3.6999999999999998E-2</v>
      </c>
      <c r="AC4" s="52">
        <v>3.5999999999999997E-2</v>
      </c>
    </row>
    <row r="5" spans="1:29" ht="23.4" thickBot="1">
      <c r="A5" s="21">
        <f t="shared" ref="A5:A12" si="13">A4+1</f>
        <v>3</v>
      </c>
      <c r="B5" s="13"/>
      <c r="C5" s="56">
        <v>0</v>
      </c>
      <c r="D5" s="14">
        <v>0</v>
      </c>
      <c r="E5" s="22">
        <f t="shared" si="4"/>
        <v>0</v>
      </c>
      <c r="F5" s="23">
        <f t="shared" si="5"/>
        <v>0</v>
      </c>
      <c r="G5" s="49">
        <v>0.1</v>
      </c>
      <c r="H5" s="49">
        <v>0.1</v>
      </c>
      <c r="I5" s="49">
        <v>0.1</v>
      </c>
      <c r="J5" s="49">
        <v>0.1</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2" t="s">
        <v>21</v>
      </c>
      <c r="Z5" s="53">
        <v>0.05</v>
      </c>
      <c r="AA5" s="53">
        <v>4.4999999999999998E-2</v>
      </c>
      <c r="AB5" s="53">
        <v>4.2500000000000003E-2</v>
      </c>
      <c r="AC5" s="54">
        <v>4.2000000000000003E-2</v>
      </c>
    </row>
    <row r="6" spans="1:29" ht="15" thickBot="1">
      <c r="A6" s="21">
        <f t="shared" si="13"/>
        <v>4</v>
      </c>
      <c r="B6" s="13"/>
      <c r="C6" s="56">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3.4" thickBot="1">
      <c r="A7" s="21">
        <f t="shared" si="13"/>
        <v>5</v>
      </c>
      <c r="B7" s="13"/>
      <c r="C7" s="56">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22</v>
      </c>
      <c r="Z7" s="31"/>
      <c r="AA7" s="31"/>
      <c r="AB7" s="55">
        <v>0.34</v>
      </c>
      <c r="AC7" s="32"/>
    </row>
    <row r="8" spans="1:29">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23</v>
      </c>
      <c r="E13" s="33">
        <f>SUM(E3:E12)</f>
        <v>4796208000</v>
      </c>
      <c r="F13" s="34">
        <f>SUM(F3:F12)</f>
        <v>1</v>
      </c>
      <c r="T13" s="35">
        <f>SUM(T3:T12)</f>
        <v>6759775555.2000008</v>
      </c>
      <c r="U13" s="35">
        <f>SUM(U3:U12)</f>
        <v>10193741537.2416</v>
      </c>
      <c r="V13" s="35">
        <f>SUM(V3:V12)</f>
        <v>15856364961.179308</v>
      </c>
      <c r="W13" s="35">
        <f>SUM(W3:W12)</f>
        <v>25462150854.661732</v>
      </c>
      <c r="X13" s="26"/>
    </row>
    <row r="15" spans="1:29" ht="23.25" customHeight="1">
      <c r="A15" s="214" t="s">
        <v>24</v>
      </c>
      <c r="B15" s="214"/>
      <c r="C15" s="214"/>
      <c r="D15" s="214"/>
      <c r="E15" s="214"/>
      <c r="G15" s="36"/>
    </row>
    <row r="16" spans="1:29" ht="25.5" customHeight="1">
      <c r="B16" s="17" t="s">
        <v>25</v>
      </c>
      <c r="C16" s="37" t="s">
        <v>6</v>
      </c>
      <c r="D16" s="108" t="s">
        <v>26</v>
      </c>
      <c r="E16" s="18" t="s">
        <v>27</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LINEA REMOLQUES Y SEMIRREMOLQUES</v>
      </c>
      <c r="C17" s="39">
        <f>C3</f>
        <v>1</v>
      </c>
      <c r="D17" s="141">
        <f>'Mix R&amp;S'!$R$16</f>
        <v>3741042240</v>
      </c>
      <c r="E17" s="22">
        <f>C17*D17</f>
        <v>3741042240</v>
      </c>
      <c r="F17" s="23">
        <f>IF($E$27=0,0,E17/$E$27)</f>
        <v>1</v>
      </c>
      <c r="L17" s="8">
        <f t="shared" ref="L17:L26" si="15">C17*(1+G3)</f>
        <v>1.35</v>
      </c>
      <c r="M17" s="8">
        <f>L17*(1+H3)</f>
        <v>1.9575</v>
      </c>
      <c r="N17" s="8">
        <f t="shared" ref="N17:O17" si="16">M17*(1+I3)</f>
        <v>2.9362500000000002</v>
      </c>
      <c r="O17" s="8">
        <f t="shared" si="16"/>
        <v>4.5511875000000002</v>
      </c>
      <c r="P17" s="40">
        <f>D17*(1+'1'!$Z$5)</f>
        <v>3928094352</v>
      </c>
      <c r="Q17" s="25">
        <f>P17*(1+'1'!$AA$5)</f>
        <v>4104858597.8399997</v>
      </c>
      <c r="R17" s="25">
        <f>Q17*(1+'1'!$AB$5)</f>
        <v>4279315088.2481995</v>
      </c>
      <c r="S17" s="25">
        <f>R17*(1+'1'!$AC$5)</f>
        <v>4459046321.9546242</v>
      </c>
      <c r="T17" s="40">
        <f t="shared" ref="T17:U19" si="17">L17*P17</f>
        <v>5302927375.2000008</v>
      </c>
      <c r="U17" s="26">
        <f t="shared" si="17"/>
        <v>8035260705.2717991</v>
      </c>
      <c r="V17" s="26">
        <f t="shared" ref="V17:W17" si="18">N17*R17</f>
        <v>12565138927.868776</v>
      </c>
      <c r="W17" s="26">
        <f t="shared" si="18"/>
        <v>20293955882.400864</v>
      </c>
      <c r="X17" s="26"/>
    </row>
    <row r="18" spans="1:24">
      <c r="A18" s="21">
        <f t="shared" ref="A18:B25" si="19">A4</f>
        <v>2</v>
      </c>
      <c r="B18" s="41">
        <f t="shared" si="19"/>
        <v>0</v>
      </c>
      <c r="C18" s="39">
        <f t="shared" ref="C18:C26" si="20">C4</f>
        <v>0</v>
      </c>
      <c r="D18" s="141">
        <v>0</v>
      </c>
      <c r="E18" s="22">
        <f t="shared" ref="E18:E26" si="21">C18*D18</f>
        <v>0</v>
      </c>
      <c r="F18" s="23">
        <f t="shared" ref="F18:F26" si="22">IF($E$27=0,0,E18/$E$27)</f>
        <v>0</v>
      </c>
      <c r="L18" s="8">
        <f t="shared" si="15"/>
        <v>0</v>
      </c>
      <c r="M18" s="8">
        <f t="shared" ref="M18:M26" si="23">L18*(1+H4)</f>
        <v>0</v>
      </c>
      <c r="N18" s="8">
        <f t="shared" ref="N18:N26" si="24">M18*(1+I4)</f>
        <v>0</v>
      </c>
      <c r="O18" s="8">
        <f t="shared" ref="O18:O26" si="25">N18*(1+J4)</f>
        <v>0</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c r="A19" s="21">
        <f t="shared" si="19"/>
        <v>3</v>
      </c>
      <c r="B19" s="41">
        <f t="shared" si="19"/>
        <v>0</v>
      </c>
      <c r="C19" s="39">
        <f t="shared" si="20"/>
        <v>0</v>
      </c>
      <c r="D19" s="141">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c r="A20" s="21">
        <f t="shared" si="19"/>
        <v>4</v>
      </c>
      <c r="B20" s="41">
        <f t="shared" si="19"/>
        <v>0</v>
      </c>
      <c r="C20" s="39">
        <f t="shared" si="20"/>
        <v>0</v>
      </c>
      <c r="D20" s="141">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1">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1">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1">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1">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1">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1">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3741042240</v>
      </c>
      <c r="F27" s="34">
        <f>SUM(F17:F26)</f>
        <v>1</v>
      </c>
      <c r="T27" s="35">
        <f>SUM(T17:T26)</f>
        <v>5302927375.2000008</v>
      </c>
      <c r="U27" s="35">
        <f>SUM(U17:U26)</f>
        <v>8035260705.2717991</v>
      </c>
      <c r="V27" s="35">
        <f t="shared" ref="V27:W27" si="31">SUM(V17:V26)</f>
        <v>12565138927.868776</v>
      </c>
      <c r="W27" s="35">
        <f t="shared" si="31"/>
        <v>20293955882.400864</v>
      </c>
      <c r="X27" s="26"/>
    </row>
    <row r="30" spans="1:24">
      <c r="A30" s="213" t="s">
        <v>28</v>
      </c>
      <c r="B30" s="213"/>
      <c r="C30" s="213"/>
      <c r="D30" s="213"/>
      <c r="E30" s="213"/>
      <c r="F30" s="213"/>
    </row>
    <row r="31" spans="1:24" ht="24.6">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29</v>
      </c>
      <c r="B32" s="46">
        <f>'1'!E13</f>
        <v>4796208000</v>
      </c>
      <c r="C32" s="47">
        <f>'1'!T13</f>
        <v>6759775555.2000008</v>
      </c>
      <c r="D32" s="47">
        <f>'1'!U13</f>
        <v>10193741537.2416</v>
      </c>
      <c r="E32" s="47">
        <f>'1'!V13</f>
        <v>15856364961.179308</v>
      </c>
      <c r="F32" s="47">
        <f>'1'!W13</f>
        <v>25462150854.661732</v>
      </c>
    </row>
    <row r="33" spans="1:6">
      <c r="A33" s="45" t="s">
        <v>30</v>
      </c>
      <c r="B33" s="46">
        <f>'1'!E27</f>
        <v>3741042240</v>
      </c>
      <c r="C33" s="46">
        <f>'1'!T27</f>
        <v>5302927375.2000008</v>
      </c>
      <c r="D33" s="46">
        <f>'1'!U27</f>
        <v>8035260705.2717991</v>
      </c>
      <c r="E33" s="46">
        <f>'1'!V27</f>
        <v>12565138927.868776</v>
      </c>
      <c r="F33" s="46">
        <f>'1'!W27</f>
        <v>20293955882.400864</v>
      </c>
    </row>
    <row r="34" spans="1:6" ht="21.6" thickBot="1">
      <c r="A34" s="48" t="s">
        <v>31</v>
      </c>
      <c r="B34" s="170">
        <f>B32-B33</f>
        <v>1055165760</v>
      </c>
      <c r="C34" s="170">
        <f t="shared" ref="C34:D34" si="32">C32-C33</f>
        <v>1456848180</v>
      </c>
      <c r="D34" s="170">
        <f t="shared" si="32"/>
        <v>2158480831.9698009</v>
      </c>
      <c r="E34" s="170">
        <f t="shared" ref="E34" si="33">E32-E33</f>
        <v>3291226033.3105316</v>
      </c>
      <c r="F34" s="170">
        <f t="shared" ref="F34" si="34">F32-F33</f>
        <v>5168194972.2608681</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6"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workbookViewId="0">
      <selection activeCell="F26" sqref="F26"/>
    </sheetView>
  </sheetViews>
  <sheetFormatPr baseColWidth="10" defaultColWidth="11.44140625" defaultRowHeight="14.4"/>
  <cols>
    <col min="1" max="1" width="5.44140625" style="8" customWidth="1"/>
    <col min="2" max="2" width="37" style="8" bestFit="1" customWidth="1"/>
    <col min="3" max="3" width="20.33203125" style="8" customWidth="1"/>
    <col min="4" max="4" width="11.44140625" style="8"/>
    <col min="5" max="5" width="23.33203125" style="8" customWidth="1"/>
    <col min="6" max="6" width="18.5546875" style="8" bestFit="1" customWidth="1"/>
    <col min="7" max="7" width="15.5546875" style="8" bestFit="1" customWidth="1"/>
    <col min="8" max="16384" width="11.44140625" style="8"/>
  </cols>
  <sheetData>
    <row r="1" spans="2:8">
      <c r="B1" s="216" t="s">
        <v>32</v>
      </c>
      <c r="C1" s="216"/>
      <c r="D1" s="216"/>
      <c r="E1" s="216"/>
      <c r="F1" s="216"/>
      <c r="G1" s="216"/>
      <c r="H1" s="216"/>
    </row>
    <row r="2" spans="2:8" ht="3.75" customHeight="1">
      <c r="B2" s="216"/>
      <c r="C2" s="216"/>
      <c r="D2" s="216"/>
      <c r="E2" s="216"/>
      <c r="F2" s="216"/>
      <c r="G2" s="216"/>
      <c r="H2" s="216"/>
    </row>
    <row r="3" spans="2:8">
      <c r="C3" s="21" t="s">
        <v>33</v>
      </c>
      <c r="F3" s="73" t="s">
        <v>34</v>
      </c>
      <c r="G3" s="73"/>
    </row>
    <row r="4" spans="2:8">
      <c r="B4" s="48" t="s">
        <v>35</v>
      </c>
      <c r="C4" s="141">
        <v>0</v>
      </c>
      <c r="F4" s="73"/>
      <c r="G4" s="73"/>
    </row>
    <row r="5" spans="2:8">
      <c r="B5" s="48" t="s">
        <v>36</v>
      </c>
      <c r="C5" s="141">
        <f>'Gastos e Inversión'!H48+'Gastos e Inversión'!H49+'Gastos e Inversión'!H50</f>
        <v>90180672.268907562</v>
      </c>
      <c r="F5" s="73">
        <v>10</v>
      </c>
      <c r="G5" s="74">
        <f t="shared" ref="G5:G11" si="0">C5/F5</f>
        <v>9018067.2268907558</v>
      </c>
    </row>
    <row r="6" spans="2:8">
      <c r="B6" s="48" t="s">
        <v>37</v>
      </c>
      <c r="C6" s="141">
        <f>'Gastos e Inversión'!H47</f>
        <v>7600000</v>
      </c>
      <c r="F6" s="73">
        <v>5</v>
      </c>
      <c r="G6" s="74">
        <f t="shared" si="0"/>
        <v>1520000</v>
      </c>
    </row>
    <row r="7" spans="2:8">
      <c r="B7" s="48" t="s">
        <v>38</v>
      </c>
      <c r="C7" s="141">
        <f>'Gastos e Inversión'!H43+'Gastos e Inversión'!H44+'Gastos e Inversión'!H45+'Gastos e Inversión'!H46+'Gastos e Inversión'!H51</f>
        <v>11090281.512605043</v>
      </c>
      <c r="F7" s="73">
        <v>5</v>
      </c>
      <c r="G7" s="74">
        <f t="shared" si="0"/>
        <v>2218056.3025210085</v>
      </c>
    </row>
    <row r="8" spans="2:8">
      <c r="B8" s="48" t="s">
        <v>39</v>
      </c>
      <c r="C8" s="141">
        <v>0</v>
      </c>
      <c r="F8" s="73">
        <v>5</v>
      </c>
      <c r="G8" s="74">
        <f t="shared" si="0"/>
        <v>0</v>
      </c>
    </row>
    <row r="9" spans="2:8">
      <c r="B9" s="48" t="s">
        <v>40</v>
      </c>
      <c r="C9" s="141">
        <v>0</v>
      </c>
      <c r="F9" s="73">
        <v>5</v>
      </c>
      <c r="G9" s="74">
        <f t="shared" si="0"/>
        <v>0</v>
      </c>
    </row>
    <row r="10" spans="2:8">
      <c r="B10" s="48" t="s">
        <v>41</v>
      </c>
      <c r="C10" s="141">
        <f>'Gastos e Inversión'!H63</f>
        <v>42212512.815126054</v>
      </c>
      <c r="F10" s="73">
        <v>5</v>
      </c>
      <c r="G10" s="74">
        <f t="shared" si="0"/>
        <v>8442502.5630252101</v>
      </c>
    </row>
    <row r="11" spans="2:8">
      <c r="B11" s="48" t="s">
        <v>42</v>
      </c>
      <c r="C11" s="141">
        <f>'Gastos e Inversión'!J76</f>
        <v>1443000</v>
      </c>
      <c r="F11" s="73">
        <v>5</v>
      </c>
      <c r="G11" s="74">
        <f t="shared" si="0"/>
        <v>288600</v>
      </c>
    </row>
    <row r="12" spans="2:8" ht="16.2" thickBot="1">
      <c r="B12" s="75" t="s">
        <v>43</v>
      </c>
      <c r="C12" s="160">
        <f>SUM(C4:C11)</f>
        <v>152526466.59663865</v>
      </c>
      <c r="F12" s="73"/>
      <c r="G12" s="74">
        <f>SUM(G5:G11)</f>
        <v>21487226.092436977</v>
      </c>
    </row>
    <row r="13" spans="2:8">
      <c r="B13" s="217" t="s">
        <v>44</v>
      </c>
      <c r="C13" s="218"/>
      <c r="D13" s="218"/>
      <c r="E13" s="218"/>
      <c r="F13" s="218"/>
      <c r="G13" s="218"/>
      <c r="H13" s="219"/>
    </row>
    <row r="14" spans="2:8" ht="15" thickBot="1">
      <c r="B14" s="220"/>
      <c r="C14" s="221"/>
      <c r="D14" s="221"/>
      <c r="E14" s="221"/>
      <c r="F14" s="221"/>
      <c r="G14" s="221"/>
      <c r="H14" s="222"/>
    </row>
    <row r="15" spans="2:8">
      <c r="B15" s="77"/>
      <c r="C15" s="77"/>
      <c r="D15" s="77"/>
      <c r="E15" s="77"/>
      <c r="F15" s="77"/>
      <c r="G15" s="77"/>
      <c r="H15" s="77"/>
    </row>
    <row r="16" spans="2:8">
      <c r="B16" s="75" t="s">
        <v>45</v>
      </c>
      <c r="E16" s="75" t="s">
        <v>46</v>
      </c>
      <c r="F16" s="38"/>
    </row>
    <row r="17" spans="2:6">
      <c r="C17" s="75" t="s">
        <v>47</v>
      </c>
      <c r="F17" s="75" t="str">
        <f>C17</f>
        <v>VALOR AÑO 1</v>
      </c>
    </row>
    <row r="18" spans="2:6">
      <c r="B18" s="78" t="s">
        <v>48</v>
      </c>
      <c r="C18" s="141">
        <f>'Gastos e Inversión'!K14+'Gastos e Inversión'!K6+'Gastos e Inversión'!I20+'Gastos e Inversión'!I21+'Gastos e Inversión'!I24</f>
        <v>187052416</v>
      </c>
      <c r="E18" s="79" t="s">
        <v>49</v>
      </c>
      <c r="F18" s="14">
        <f>'Gastos e Inversión'!K30</f>
        <v>252000000</v>
      </c>
    </row>
    <row r="19" spans="2:6">
      <c r="C19" s="80"/>
      <c r="E19" s="79" t="s">
        <v>50</v>
      </c>
      <c r="F19" s="14">
        <f>'Gastos e Inversión'!K32+'Gastos e Inversión'!K33</f>
        <v>7200000</v>
      </c>
    </row>
    <row r="20" spans="2:6">
      <c r="B20" s="78" t="s">
        <v>51</v>
      </c>
      <c r="C20" s="141">
        <f>'Gastos e Inversión'!K7+'Gastos e Inversión'!K8+'Gastos e Inversión'!I22+'Gastos e Inversión'!I23</f>
        <v>120413696</v>
      </c>
      <c r="E20" s="79" t="s">
        <v>52</v>
      </c>
      <c r="F20" s="14">
        <f>'Gastos e Inversión'!K34</f>
        <v>2280000</v>
      </c>
    </row>
    <row r="21" spans="2:6">
      <c r="C21" s="80"/>
      <c r="E21" s="79" t="s">
        <v>53</v>
      </c>
      <c r="F21" s="14">
        <f>'Gastos e Inversión'!K31</f>
        <v>2160000</v>
      </c>
    </row>
    <row r="22" spans="2:6">
      <c r="B22" s="78" t="s">
        <v>54</v>
      </c>
      <c r="C22" s="141">
        <f>'Gastos e Inversión'!K11+'Gastos e Inversión'!K10</f>
        <v>72964196</v>
      </c>
      <c r="E22" s="79" t="s">
        <v>55</v>
      </c>
      <c r="F22" s="14">
        <f>'Gastos e Inversión'!K37</f>
        <v>6000000</v>
      </c>
    </row>
    <row r="23" spans="2:6" ht="24.6">
      <c r="B23" s="8" t="s">
        <v>56</v>
      </c>
      <c r="C23" s="160">
        <f>C18+C20+C22</f>
        <v>380430308</v>
      </c>
      <c r="E23" s="79" t="s">
        <v>57</v>
      </c>
      <c r="F23" s="14">
        <v>0</v>
      </c>
    </row>
    <row r="24" spans="2:6">
      <c r="E24" s="79" t="s">
        <v>58</v>
      </c>
      <c r="F24" s="14">
        <v>0</v>
      </c>
    </row>
    <row r="25" spans="2:6" ht="24.6">
      <c r="B25" s="79" t="s">
        <v>59</v>
      </c>
      <c r="C25" s="141">
        <f>'Gastos e Inversión'!L35</f>
        <v>14400000</v>
      </c>
      <c r="E25" s="98" t="s">
        <v>60</v>
      </c>
      <c r="F25" s="14">
        <v>0</v>
      </c>
    </row>
    <row r="26" spans="2:6">
      <c r="E26" s="98" t="s">
        <v>61</v>
      </c>
      <c r="F26" s="14">
        <v>0</v>
      </c>
    </row>
    <row r="27" spans="2:6">
      <c r="B27" s="96" t="s">
        <v>62</v>
      </c>
      <c r="C27" s="96"/>
      <c r="E27" s="98" t="s">
        <v>63</v>
      </c>
      <c r="F27" s="14">
        <f>'Gastos e Inversión'!K36</f>
        <v>8640000</v>
      </c>
    </row>
    <row r="28" spans="2:6">
      <c r="B28" s="109">
        <f>'1'!G2</f>
        <v>2026</v>
      </c>
      <c r="C28" s="141">
        <f>$C$25*(1+'1'!Z5)</f>
        <v>15120000</v>
      </c>
      <c r="E28" s="98"/>
      <c r="F28" s="14">
        <v>0</v>
      </c>
    </row>
    <row r="29" spans="2:6">
      <c r="B29" s="109">
        <f>'1'!H2</f>
        <v>2027</v>
      </c>
      <c r="C29" s="141">
        <f>$C$25*(1+'1'!AA5)</f>
        <v>15047999.999999998</v>
      </c>
      <c r="E29" s="98"/>
      <c r="F29" s="14">
        <v>0</v>
      </c>
    </row>
    <row r="30" spans="2:6">
      <c r="B30" s="109">
        <f>'1'!I2</f>
        <v>2028</v>
      </c>
      <c r="C30" s="141">
        <f>$C$25*(1+'1'!AB5)</f>
        <v>15012000</v>
      </c>
      <c r="E30" s="98"/>
      <c r="F30" s="14">
        <v>0</v>
      </c>
    </row>
    <row r="31" spans="2:6" ht="15.6">
      <c r="B31" s="109">
        <f>'1'!J2</f>
        <v>2029</v>
      </c>
      <c r="C31" s="141">
        <f>$C$25*(1+'1'!AC5)</f>
        <v>15004800</v>
      </c>
      <c r="E31" s="79" t="s">
        <v>64</v>
      </c>
      <c r="F31" s="76">
        <f>SUM(F18:F30)</f>
        <v>278280000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L16"/>
  <sheetViews>
    <sheetView workbookViewId="0">
      <selection activeCell="B7" sqref="B7:D16"/>
    </sheetView>
  </sheetViews>
  <sheetFormatPr baseColWidth="10" defaultColWidth="11.44140625" defaultRowHeight="14.4"/>
  <cols>
    <col min="1" max="1" width="11.44140625" style="8"/>
    <col min="2" max="2" width="39" style="8" bestFit="1" customWidth="1"/>
    <col min="3" max="3" width="18.5546875" style="8" bestFit="1" customWidth="1"/>
    <col min="4" max="4" width="20.33203125" style="8" bestFit="1" customWidth="1"/>
    <col min="5" max="5" width="6.5546875" style="8" bestFit="1" customWidth="1"/>
    <col min="6" max="6" width="18.5546875" style="8" bestFit="1" customWidth="1"/>
    <col min="7" max="8" width="16.88671875" style="8" bestFit="1" customWidth="1"/>
    <col min="9" max="9" width="17" style="8" bestFit="1" customWidth="1"/>
    <col min="10" max="10" width="18.5546875" style="8" bestFit="1" customWidth="1"/>
    <col min="11" max="16384" width="11.44140625" style="8"/>
  </cols>
  <sheetData>
    <row r="2" spans="2:12" ht="29.25" customHeight="1">
      <c r="B2" s="214" t="s">
        <v>65</v>
      </c>
      <c r="C2" s="214"/>
      <c r="D2" s="214"/>
      <c r="E2" s="214"/>
      <c r="F2" s="214"/>
      <c r="G2" s="214"/>
      <c r="H2" s="214"/>
      <c r="I2" s="214"/>
      <c r="J2" s="214"/>
    </row>
    <row r="3" spans="2:12">
      <c r="F3" s="223" t="s">
        <v>66</v>
      </c>
      <c r="G3" s="223"/>
    </row>
    <row r="4" spans="2:12" ht="15.6">
      <c r="B4" s="16" t="s">
        <v>43</v>
      </c>
      <c r="C4" s="76">
        <f>'2'!C12</f>
        <v>152526466.59663865</v>
      </c>
      <c r="F4" s="224">
        <v>0.2331</v>
      </c>
      <c r="G4" s="224"/>
      <c r="I4" s="8" t="s">
        <v>67</v>
      </c>
      <c r="J4" s="124">
        <v>5</v>
      </c>
      <c r="L4" s="73">
        <v>1</v>
      </c>
    </row>
    <row r="5" spans="2:12">
      <c r="L5" s="73">
        <v>2</v>
      </c>
    </row>
    <row r="6" spans="2:12" ht="15" thickBot="1">
      <c r="B6" s="16" t="s">
        <v>68</v>
      </c>
      <c r="F6" s="213" t="s">
        <v>69</v>
      </c>
      <c r="G6" s="213"/>
      <c r="H6" s="213"/>
      <c r="I6" s="213"/>
      <c r="J6" s="213"/>
      <c r="L6" s="73">
        <v>3</v>
      </c>
    </row>
    <row r="7" spans="2:12">
      <c r="C7" s="81" t="s">
        <v>70</v>
      </c>
      <c r="D7" s="81" t="s">
        <v>71</v>
      </c>
      <c r="E7" s="113"/>
      <c r="F7" s="114" t="s">
        <v>72</v>
      </c>
      <c r="G7" s="114" t="s">
        <v>73</v>
      </c>
      <c r="H7" s="114" t="s">
        <v>74</v>
      </c>
      <c r="I7" s="114" t="s">
        <v>75</v>
      </c>
      <c r="J7" s="115" t="s">
        <v>76</v>
      </c>
      <c r="L7" s="73">
        <v>4</v>
      </c>
    </row>
    <row r="8" spans="2:12">
      <c r="B8" s="48" t="s">
        <v>77</v>
      </c>
      <c r="C8" s="57">
        <v>5</v>
      </c>
      <c r="D8" s="24">
        <f>('1'!B33/12)*C8</f>
        <v>1558767600</v>
      </c>
      <c r="E8" s="116" t="s">
        <v>78</v>
      </c>
      <c r="F8" s="117"/>
      <c r="G8" s="117"/>
      <c r="H8" s="117"/>
      <c r="I8" s="117"/>
      <c r="J8" s="118">
        <f>D16</f>
        <v>1491756694.9299719</v>
      </c>
      <c r="L8" s="73">
        <v>5</v>
      </c>
    </row>
    <row r="9" spans="2:12">
      <c r="B9" s="48" t="s">
        <v>79</v>
      </c>
      <c r="C9" s="57">
        <v>5</v>
      </c>
      <c r="D9" s="24">
        <f>('2'!C23/12)*C9</f>
        <v>158512628.33333334</v>
      </c>
      <c r="E9" s="116">
        <f>'1'!B31</f>
        <v>2025</v>
      </c>
      <c r="F9" s="120">
        <f t="shared" ref="F9:F13" si="0">IF(J8&gt;0,J8,0)</f>
        <v>1491756694.9299719</v>
      </c>
      <c r="G9" s="120">
        <f>F9*$F$4</f>
        <v>347728485.58817649</v>
      </c>
      <c r="H9" s="120">
        <f>IF(J8&lt;1,0,(I9-G9))</f>
        <v>187863614.44640583</v>
      </c>
      <c r="I9" s="120">
        <f>PMT(F4,J4,J8)*-1</f>
        <v>535592100.03458232</v>
      </c>
      <c r="J9" s="121">
        <f>F9-H9</f>
        <v>1303893080.483566</v>
      </c>
    </row>
    <row r="10" spans="2:12">
      <c r="B10" s="48" t="s">
        <v>80</v>
      </c>
      <c r="C10" s="57">
        <v>5</v>
      </c>
      <c r="D10" s="24">
        <f>('2'!C25/12)*C10</f>
        <v>6000000</v>
      </c>
      <c r="E10" s="116">
        <f>'1'!C31</f>
        <v>2026</v>
      </c>
      <c r="F10" s="120">
        <f t="shared" si="0"/>
        <v>1303893080.483566</v>
      </c>
      <c r="G10" s="120">
        <f t="shared" ref="G10:G13" si="1">F10*$F$4</f>
        <v>303937477.06071925</v>
      </c>
      <c r="H10" s="120">
        <f t="shared" ref="H10:H13" si="2">IF(J9&lt;1,0,(I10-G10))</f>
        <v>231654622.97386307</v>
      </c>
      <c r="I10" s="120">
        <f>IF(J9&lt;1,0,(I9*(1+$K$7)))</f>
        <v>535592100.03458232</v>
      </c>
      <c r="J10" s="121">
        <f t="shared" ref="J10:J13" si="3">F10-H10</f>
        <v>1072238457.5097029</v>
      </c>
    </row>
    <row r="11" spans="2:12">
      <c r="B11" s="48" t="s">
        <v>81</v>
      </c>
      <c r="C11" s="57">
        <v>5</v>
      </c>
      <c r="D11" s="24">
        <f>('2'!F31/12)*C11</f>
        <v>115950000</v>
      </c>
      <c r="E11" s="116">
        <f>'1'!D31</f>
        <v>2027</v>
      </c>
      <c r="F11" s="120">
        <f t="shared" si="0"/>
        <v>1072238457.5097029</v>
      </c>
      <c r="G11" s="120">
        <f t="shared" si="1"/>
        <v>249938784.44551176</v>
      </c>
      <c r="H11" s="120">
        <f t="shared" si="2"/>
        <v>285653315.58907056</v>
      </c>
      <c r="I11" s="120">
        <f t="shared" ref="I11:I13" si="4">IF(J10&lt;1,0,(I10*(1+$K$7)))</f>
        <v>535592100.03458232</v>
      </c>
      <c r="J11" s="121">
        <f t="shared" si="3"/>
        <v>786585141.92063236</v>
      </c>
    </row>
    <row r="12" spans="2:12" ht="15.6">
      <c r="B12" s="82" t="s">
        <v>23</v>
      </c>
      <c r="C12" s="60"/>
      <c r="D12" s="165">
        <f>SUM(D8:D11)</f>
        <v>1839230228.3333333</v>
      </c>
      <c r="E12" s="116">
        <f>'1'!E31</f>
        <v>2028</v>
      </c>
      <c r="F12" s="120">
        <f t="shared" si="0"/>
        <v>786585141.92063236</v>
      </c>
      <c r="G12" s="120">
        <f t="shared" si="1"/>
        <v>183352996.5816994</v>
      </c>
      <c r="H12" s="120">
        <f t="shared" si="2"/>
        <v>352239103.45288289</v>
      </c>
      <c r="I12" s="120">
        <f t="shared" si="4"/>
        <v>535592100.03458232</v>
      </c>
      <c r="J12" s="121">
        <f t="shared" si="3"/>
        <v>434346038.46774948</v>
      </c>
    </row>
    <row r="13" spans="2:12" ht="15" thickBot="1">
      <c r="E13" s="119">
        <f>'1'!F31</f>
        <v>2029</v>
      </c>
      <c r="F13" s="122">
        <f t="shared" si="0"/>
        <v>434346038.46774948</v>
      </c>
      <c r="G13" s="122">
        <f t="shared" si="1"/>
        <v>101246061.56683241</v>
      </c>
      <c r="H13" s="122">
        <f t="shared" si="2"/>
        <v>434346038.46774989</v>
      </c>
      <c r="I13" s="122">
        <f t="shared" si="4"/>
        <v>535592100.03458232</v>
      </c>
      <c r="J13" s="123">
        <f t="shared" si="3"/>
        <v>0</v>
      </c>
    </row>
    <row r="14" spans="2:12" ht="15.6">
      <c r="B14" s="48" t="s">
        <v>82</v>
      </c>
      <c r="D14" s="160">
        <f>C4+D12</f>
        <v>1991756694.9299719</v>
      </c>
    </row>
    <row r="15" spans="2:12">
      <c r="B15" s="48" t="s">
        <v>83</v>
      </c>
      <c r="D15" s="166">
        <v>500000000</v>
      </c>
    </row>
    <row r="16" spans="2:12" ht="15.6">
      <c r="B16" s="48" t="s">
        <v>84</v>
      </c>
      <c r="D16" s="167">
        <f>D14-D15</f>
        <v>1491756694.9299719</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disablePrompts="1" count="1">
    <dataValidation type="list" allowBlank="1" showInputMessage="1" showErrorMessage="1" sqref="L4 J4">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election activeCell="F9" sqref="F9"/>
    </sheetView>
  </sheetViews>
  <sheetFormatPr baseColWidth="10" defaultRowHeight="14.4"/>
  <cols>
    <col min="1" max="1" width="30.88671875" bestFit="1" customWidth="1"/>
    <col min="2" max="2" width="18.33203125" bestFit="1" customWidth="1"/>
  </cols>
  <sheetData>
    <row r="1" spans="1:2">
      <c r="A1" s="131" t="s">
        <v>77</v>
      </c>
      <c r="B1" s="131" t="s">
        <v>71</v>
      </c>
    </row>
    <row r="2" spans="1:2">
      <c r="A2" s="139" t="s">
        <v>77</v>
      </c>
      <c r="B2" s="135">
        <v>1558767600</v>
      </c>
    </row>
    <row r="3" spans="1:2">
      <c r="A3" s="139" t="s">
        <v>79</v>
      </c>
      <c r="B3" s="135">
        <v>158512628.33333334</v>
      </c>
    </row>
    <row r="4" spans="1:2">
      <c r="A4" s="139" t="s">
        <v>80</v>
      </c>
      <c r="B4" s="135">
        <v>6000000</v>
      </c>
    </row>
    <row r="5" spans="1:2">
      <c r="A5" s="139" t="s">
        <v>81</v>
      </c>
      <c r="B5" s="135">
        <v>115950000</v>
      </c>
    </row>
    <row r="6" spans="1:2">
      <c r="A6" s="210" t="s">
        <v>23</v>
      </c>
      <c r="B6" s="211">
        <v>1839230228.3333333</v>
      </c>
    </row>
    <row r="7" spans="1:2">
      <c r="B7" s="156"/>
    </row>
    <row r="8" spans="1:2">
      <c r="A8" t="s">
        <v>82</v>
      </c>
      <c r="B8" s="156">
        <v>1991756694.9299719</v>
      </c>
    </row>
    <row r="9" spans="1:2">
      <c r="A9" t="s">
        <v>83</v>
      </c>
      <c r="B9" s="156">
        <v>500000000</v>
      </c>
    </row>
    <row r="10" spans="1:2">
      <c r="A10" t="s">
        <v>84</v>
      </c>
      <c r="B10" s="156">
        <v>1491756694.9299719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workbookViewId="0">
      <selection activeCell="F23" sqref="F23"/>
    </sheetView>
  </sheetViews>
  <sheetFormatPr baseColWidth="10" defaultColWidth="11.44140625" defaultRowHeight="14.4"/>
  <cols>
    <col min="1" max="1" width="22.109375" style="8" customWidth="1"/>
    <col min="2" max="2" width="18.6640625" style="8" customWidth="1"/>
    <col min="3" max="3" width="18.109375" style="8" bestFit="1" customWidth="1"/>
    <col min="4" max="4" width="18.109375" style="8" customWidth="1"/>
    <col min="5" max="7" width="18.109375" style="8" bestFit="1" customWidth="1"/>
    <col min="8" max="16384" width="11.44140625" style="8"/>
  </cols>
  <sheetData>
    <row r="1" spans="1:7" ht="34.5" customHeight="1">
      <c r="A1" s="225" t="s">
        <v>85</v>
      </c>
      <c r="B1" s="225"/>
      <c r="C1" s="225"/>
      <c r="D1" s="225"/>
      <c r="E1" s="225"/>
      <c r="F1" s="225"/>
      <c r="G1" s="225"/>
    </row>
    <row r="2" spans="1:7" ht="22.8">
      <c r="A2" s="226" t="s">
        <v>86</v>
      </c>
      <c r="B2" s="226"/>
      <c r="C2" s="226"/>
      <c r="D2" s="226"/>
      <c r="E2" s="226"/>
      <c r="F2" s="226"/>
      <c r="G2" s="226"/>
    </row>
    <row r="3" spans="1:7" ht="8.25" customHeight="1">
      <c r="A3" s="58"/>
      <c r="B3" s="58"/>
      <c r="C3" s="58"/>
      <c r="D3" s="58"/>
      <c r="E3" s="58"/>
      <c r="F3" s="58"/>
      <c r="G3" s="58"/>
    </row>
    <row r="4" spans="1:7" ht="15.6">
      <c r="A4" s="227" t="s">
        <v>87</v>
      </c>
      <c r="B4" s="227"/>
      <c r="C4" s="227"/>
      <c r="D4" s="227"/>
      <c r="E4" s="227"/>
      <c r="F4" s="227"/>
      <c r="G4" s="227"/>
    </row>
    <row r="5" spans="1:7" ht="22.8">
      <c r="C5" s="62">
        <f>'1'!B31</f>
        <v>2025</v>
      </c>
      <c r="D5" s="62">
        <f>'1'!C31</f>
        <v>2026</v>
      </c>
      <c r="E5" s="62">
        <f>'1'!D31</f>
        <v>2027</v>
      </c>
      <c r="F5" s="62">
        <f>'1'!E31</f>
        <v>2028</v>
      </c>
      <c r="G5" s="62">
        <f>'1'!F31</f>
        <v>2029</v>
      </c>
    </row>
    <row r="6" spans="1:7">
      <c r="B6" s="8" t="s">
        <v>88</v>
      </c>
      <c r="C6" s="24">
        <f>'1'!B32</f>
        <v>4796208000</v>
      </c>
      <c r="D6" s="24">
        <f>'1'!C32</f>
        <v>6759775555.2000008</v>
      </c>
      <c r="E6" s="24">
        <f>'1'!D32</f>
        <v>10193741537.2416</v>
      </c>
      <c r="F6" s="24">
        <f>'1'!E32</f>
        <v>15856364961.179308</v>
      </c>
      <c r="G6" s="24">
        <f>'1'!F32</f>
        <v>25462150854.661732</v>
      </c>
    </row>
    <row r="7" spans="1:7">
      <c r="B7" s="8" t="s">
        <v>89</v>
      </c>
      <c r="C7" s="63">
        <f>'1'!B33</f>
        <v>3741042240</v>
      </c>
      <c r="D7" s="63">
        <f>'1'!C33</f>
        <v>5302927375.2000008</v>
      </c>
      <c r="E7" s="63">
        <f>'1'!D33</f>
        <v>8035260705.2717991</v>
      </c>
      <c r="F7" s="63">
        <f>'1'!E33</f>
        <v>12565138927.868776</v>
      </c>
      <c r="G7" s="63">
        <f>'1'!F33</f>
        <v>20293955882.400864</v>
      </c>
    </row>
    <row r="8" spans="1:7" ht="15" thickBot="1">
      <c r="B8" s="64" t="s">
        <v>90</v>
      </c>
      <c r="C8" s="65">
        <f>C6-C7</f>
        <v>1055165760</v>
      </c>
      <c r="D8" s="65">
        <f t="shared" ref="D8:G8" si="0">D6-D7</f>
        <v>1456848180</v>
      </c>
      <c r="E8" s="65">
        <f t="shared" si="0"/>
        <v>2158480831.9698009</v>
      </c>
      <c r="F8" s="65">
        <f t="shared" si="0"/>
        <v>3291226033.3105316</v>
      </c>
      <c r="G8" s="65">
        <f t="shared" si="0"/>
        <v>5168194972.2608681</v>
      </c>
    </row>
    <row r="9" spans="1:7" ht="15" thickTop="1">
      <c r="B9" s="8" t="s">
        <v>91</v>
      </c>
      <c r="C9" s="63">
        <f>'2'!C23</f>
        <v>380430308</v>
      </c>
      <c r="D9" s="63">
        <f>C9*(1+'1'!Z4)</f>
        <v>397169241.55199999</v>
      </c>
      <c r="E9" s="63">
        <f>D9*(1+'1'!AA4)</f>
        <v>413056011.21407998</v>
      </c>
      <c r="F9" s="63">
        <f>E9*(1+'1'!AB4)</f>
        <v>428339083.6290009</v>
      </c>
      <c r="G9" s="63">
        <f>F9*(1+'1'!AC4)</f>
        <v>443759290.63964492</v>
      </c>
    </row>
    <row r="10" spans="1:7">
      <c r="B10" s="8" t="s">
        <v>92</v>
      </c>
      <c r="C10" s="63">
        <f>'2'!F31</f>
        <v>278280000</v>
      </c>
      <c r="D10" s="63">
        <f>C10*(1+'1'!Z4)</f>
        <v>290524320</v>
      </c>
      <c r="E10" s="63">
        <f>D10*(1+'1'!AA4)</f>
        <v>302145292.80000001</v>
      </c>
      <c r="F10" s="63">
        <f>E10*(1+'1'!AB4)</f>
        <v>313324668.6336</v>
      </c>
      <c r="G10" s="63">
        <f>F10*(1+'1'!AC4)</f>
        <v>324604356.7044096</v>
      </c>
    </row>
    <row r="11" spans="1:7">
      <c r="B11" s="8" t="s">
        <v>93</v>
      </c>
      <c r="C11" s="63">
        <f>'2'!C25</f>
        <v>14400000</v>
      </c>
      <c r="D11" s="63">
        <f>'2'!C28</f>
        <v>15120000</v>
      </c>
      <c r="E11" s="63">
        <f>'2'!C29</f>
        <v>15047999.999999998</v>
      </c>
      <c r="F11" s="63">
        <f>'2'!C30</f>
        <v>15012000</v>
      </c>
      <c r="G11" s="63">
        <f>'2'!C31</f>
        <v>15004800</v>
      </c>
    </row>
    <row r="12" spans="1:7">
      <c r="B12" s="8" t="s">
        <v>94</v>
      </c>
      <c r="C12" s="63">
        <f>'2'!G12</f>
        <v>21487226.092436977</v>
      </c>
      <c r="D12" s="63">
        <f>C12</f>
        <v>21487226.092436977</v>
      </c>
      <c r="E12" s="63">
        <f t="shared" ref="E12:G12" si="1">D12</f>
        <v>21487226.092436977</v>
      </c>
      <c r="F12" s="63">
        <f t="shared" si="1"/>
        <v>21487226.092436977</v>
      </c>
      <c r="G12" s="63">
        <f t="shared" si="1"/>
        <v>21487226.092436977</v>
      </c>
    </row>
    <row r="13" spans="1:7" ht="15" thickBot="1">
      <c r="B13" s="64" t="s">
        <v>95</v>
      </c>
      <c r="C13" s="66">
        <f>C8-C9-C10-C11-C12</f>
        <v>360568225.90756303</v>
      </c>
      <c r="D13" s="66">
        <f t="shared" ref="D13:G13" si="2">D8-D9-D10-D11-D12</f>
        <v>732547392.35556293</v>
      </c>
      <c r="E13" s="66">
        <f t="shared" si="2"/>
        <v>1406744301.8632841</v>
      </c>
      <c r="F13" s="66">
        <f t="shared" si="2"/>
        <v>2513063054.9554939</v>
      </c>
      <c r="G13" s="66">
        <f t="shared" si="2"/>
        <v>4363339298.8243771</v>
      </c>
    </row>
    <row r="14" spans="1:7" ht="15" thickTop="1">
      <c r="B14" s="8" t="s">
        <v>96</v>
      </c>
      <c r="C14" s="63">
        <f>'3'!G9</f>
        <v>347728485.58817649</v>
      </c>
      <c r="D14" s="63">
        <f>'3'!G10</f>
        <v>303937477.06071925</v>
      </c>
      <c r="E14" s="63">
        <f>'3'!G11</f>
        <v>249938784.44551176</v>
      </c>
      <c r="F14" s="63">
        <f>'3'!G12</f>
        <v>183352996.5816994</v>
      </c>
      <c r="G14" s="63">
        <f>'3'!G13</f>
        <v>101246061.56683241</v>
      </c>
    </row>
    <row r="15" spans="1:7" ht="15" thickBot="1">
      <c r="B15" s="64" t="s">
        <v>97</v>
      </c>
      <c r="C15" s="66">
        <f>C13-C14</f>
        <v>12839740.319386542</v>
      </c>
      <c r="D15" s="66">
        <f t="shared" ref="D15:G15" si="3">D13-D14</f>
        <v>428609915.29484367</v>
      </c>
      <c r="E15" s="66">
        <f t="shared" si="3"/>
        <v>1156805517.4177723</v>
      </c>
      <c r="F15" s="66">
        <f t="shared" si="3"/>
        <v>2329710058.3737946</v>
      </c>
      <c r="G15" s="66">
        <f t="shared" si="3"/>
        <v>4262093237.2575445</v>
      </c>
    </row>
    <row r="16" spans="1:7" ht="15" thickTop="1">
      <c r="B16" s="8" t="s">
        <v>98</v>
      </c>
      <c r="C16" s="67">
        <f>IF(C15*'1'!$AB$7&lt;0,0,C15*'1'!$AB$7)</f>
        <v>4365511.7085914249</v>
      </c>
      <c r="D16" s="67">
        <f>IF(D15*'1'!$AB$7&lt;0,0,D15*'1'!$AB$7)</f>
        <v>145727371.20024687</v>
      </c>
      <c r="E16" s="67">
        <f>IF(E15*'1'!$AB$7&lt;0,0,E15*'1'!$AB$7)</f>
        <v>393313875.92204261</v>
      </c>
      <c r="F16" s="67">
        <f>IF(F15*'1'!$AB$7&lt;0,0,F15*'1'!$AB$7)</f>
        <v>792101419.84709024</v>
      </c>
      <c r="G16" s="67">
        <f>IF(G15*'1'!$AB$7&lt;0,0,G15*'1'!$AB$7)</f>
        <v>1449111700.6675653</v>
      </c>
    </row>
    <row r="17" spans="1:8" ht="15" thickBot="1">
      <c r="B17" s="68" t="s">
        <v>99</v>
      </c>
      <c r="C17" s="69">
        <f>C15-C16</f>
        <v>8474228.6107951179</v>
      </c>
      <c r="D17" s="69">
        <f t="shared" ref="D17:G17" si="4">D15-D16</f>
        <v>282882544.0945968</v>
      </c>
      <c r="E17" s="69">
        <f t="shared" si="4"/>
        <v>763491641.49572968</v>
      </c>
      <c r="F17" s="69">
        <f t="shared" si="4"/>
        <v>1537608638.5267043</v>
      </c>
      <c r="G17" s="69">
        <f t="shared" si="4"/>
        <v>2812981536.5899792</v>
      </c>
    </row>
    <row r="19" spans="1:8" ht="15.6">
      <c r="A19" s="227" t="s">
        <v>100</v>
      </c>
      <c r="B19" s="227"/>
      <c r="C19" s="227"/>
      <c r="D19" s="227"/>
      <c r="E19" s="227"/>
      <c r="F19" s="227"/>
      <c r="G19" s="227"/>
    </row>
    <row r="20" spans="1:8" ht="22.8">
      <c r="B20" s="70" t="s">
        <v>78</v>
      </c>
      <c r="C20" s="62">
        <f>C5</f>
        <v>2025</v>
      </c>
      <c r="D20" s="62">
        <f>D5</f>
        <v>2026</v>
      </c>
      <c r="E20" s="62">
        <f>E5</f>
        <v>2027</v>
      </c>
      <c r="F20" s="62">
        <f>F5</f>
        <v>2028</v>
      </c>
      <c r="G20" s="62">
        <f>G5</f>
        <v>2029</v>
      </c>
    </row>
    <row r="21" spans="1:8">
      <c r="A21" s="228" t="s">
        <v>101</v>
      </c>
      <c r="B21" s="228"/>
      <c r="C21" s="228"/>
      <c r="D21" s="228"/>
      <c r="E21" s="228"/>
      <c r="F21" s="228"/>
      <c r="G21" s="228"/>
    </row>
    <row r="22" spans="1:8">
      <c r="A22" s="8" t="s">
        <v>102</v>
      </c>
      <c r="B22" s="26">
        <f>B38-B26</f>
        <v>1839230228.3333333</v>
      </c>
      <c r="C22" s="26">
        <f t="shared" ref="C22:G22" si="5">C38-C26</f>
        <v>1685693580.2987511</v>
      </c>
      <c r="D22" s="26">
        <f t="shared" si="5"/>
        <v>1891296358.392782</v>
      </c>
      <c r="E22" s="26">
        <f t="shared" si="5"/>
        <v>2355325871.0190768</v>
      </c>
      <c r="F22" s="26">
        <f t="shared" si="5"/>
        <v>3197478534.6146536</v>
      </c>
      <c r="G22" s="26">
        <f t="shared" si="5"/>
        <v>4717002901.1230907</v>
      </c>
    </row>
    <row r="23" spans="1:8">
      <c r="A23" s="8" t="s">
        <v>103</v>
      </c>
      <c r="B23" s="26">
        <f>'2'!C4</f>
        <v>0</v>
      </c>
      <c r="C23" s="26">
        <f>B23</f>
        <v>0</v>
      </c>
      <c r="D23" s="26">
        <f t="shared" ref="D23:G23" si="6">C23</f>
        <v>0</v>
      </c>
      <c r="E23" s="26">
        <f t="shared" si="6"/>
        <v>0</v>
      </c>
      <c r="F23" s="26">
        <f t="shared" si="6"/>
        <v>0</v>
      </c>
      <c r="G23" s="26">
        <f t="shared" si="6"/>
        <v>0</v>
      </c>
      <c r="H23" s="26"/>
    </row>
    <row r="24" spans="1:8">
      <c r="A24" s="8" t="s">
        <v>104</v>
      </c>
      <c r="B24" s="26">
        <f>'2'!C12-'2'!C4</f>
        <v>152526466.59663865</v>
      </c>
      <c r="C24" s="26">
        <f>B24</f>
        <v>152526466.59663865</v>
      </c>
      <c r="D24" s="26">
        <f t="shared" ref="D24:G24" si="7">C24</f>
        <v>152526466.59663865</v>
      </c>
      <c r="E24" s="26">
        <f t="shared" si="7"/>
        <v>152526466.59663865</v>
      </c>
      <c r="F24" s="26">
        <f t="shared" si="7"/>
        <v>152526466.59663865</v>
      </c>
      <c r="G24" s="26">
        <f t="shared" si="7"/>
        <v>152526466.59663865</v>
      </c>
      <c r="H24" s="26"/>
    </row>
    <row r="25" spans="1:8">
      <c r="A25" s="8" t="s">
        <v>105</v>
      </c>
      <c r="B25" s="26">
        <v>0</v>
      </c>
      <c r="C25" s="26">
        <f>C12</f>
        <v>21487226.092436977</v>
      </c>
      <c r="D25" s="26">
        <f>D12+C12</f>
        <v>42974452.184873953</v>
      </c>
      <c r="E25" s="26">
        <f>E12+D12+C12</f>
        <v>64461678.27731093</v>
      </c>
      <c r="F25" s="26">
        <f>F12+E12+D12+C12</f>
        <v>85948904.369747907</v>
      </c>
      <c r="G25" s="26">
        <f>F25+G12</f>
        <v>107436130.46218488</v>
      </c>
      <c r="H25" s="26"/>
    </row>
    <row r="26" spans="1:8">
      <c r="A26" s="8" t="s">
        <v>106</v>
      </c>
      <c r="B26" s="26">
        <f>B23+(B24-B25)</f>
        <v>152526466.59663865</v>
      </c>
      <c r="C26" s="26">
        <f>C23+(C24-C25)</f>
        <v>131039240.50420168</v>
      </c>
      <c r="D26" s="26">
        <f t="shared" ref="D26:G26" si="8">D23+(D24-D25)</f>
        <v>109552014.4117647</v>
      </c>
      <c r="E26" s="26">
        <f t="shared" si="8"/>
        <v>88064788.319327712</v>
      </c>
      <c r="F26" s="26">
        <f t="shared" si="8"/>
        <v>66577562.226890743</v>
      </c>
      <c r="G26" s="26">
        <f t="shared" si="8"/>
        <v>45090336.134453773</v>
      </c>
      <c r="H26" s="26"/>
    </row>
    <row r="27" spans="1:8" ht="15" thickBot="1">
      <c r="A27" s="64" t="s">
        <v>107</v>
      </c>
      <c r="B27" s="71">
        <f>B22+B26</f>
        <v>1991756694.9299719</v>
      </c>
      <c r="C27" s="71">
        <f t="shared" ref="C27:G27" si="9">C22+C26</f>
        <v>1816732820.8029528</v>
      </c>
      <c r="D27" s="71">
        <f t="shared" si="9"/>
        <v>2000848372.8045466</v>
      </c>
      <c r="E27" s="71">
        <f t="shared" si="9"/>
        <v>2443390659.3384047</v>
      </c>
      <c r="F27" s="71">
        <f t="shared" si="9"/>
        <v>3264056096.8415442</v>
      </c>
      <c r="G27" s="71">
        <f t="shared" si="9"/>
        <v>4762093237.2575445</v>
      </c>
      <c r="H27" s="26"/>
    </row>
    <row r="28" spans="1:8" ht="15" thickTop="1">
      <c r="A28" s="228" t="s">
        <v>108</v>
      </c>
      <c r="B28" s="228"/>
      <c r="C28" s="228"/>
      <c r="D28" s="228"/>
      <c r="E28" s="228"/>
      <c r="F28" s="228"/>
      <c r="G28" s="228"/>
    </row>
    <row r="29" spans="1:8">
      <c r="A29" s="8" t="s">
        <v>109</v>
      </c>
      <c r="B29" s="8">
        <v>0</v>
      </c>
      <c r="C29" s="67">
        <f>C16</f>
        <v>4365511.7085914249</v>
      </c>
      <c r="D29" s="67">
        <f>D16</f>
        <v>145727371.20024687</v>
      </c>
      <c r="E29" s="67">
        <f>E16</f>
        <v>393313875.92204261</v>
      </c>
      <c r="F29" s="67">
        <f>F16</f>
        <v>792101419.84709024</v>
      </c>
      <c r="G29" s="67">
        <f>G16</f>
        <v>1449111700.6675653</v>
      </c>
    </row>
    <row r="30" spans="1:8">
      <c r="A30" s="8" t="s">
        <v>110</v>
      </c>
      <c r="B30" s="67">
        <f>B29</f>
        <v>0</v>
      </c>
      <c r="C30" s="67">
        <f t="shared" ref="C30:G30" si="10">C29</f>
        <v>4365511.7085914249</v>
      </c>
      <c r="D30" s="67">
        <f t="shared" si="10"/>
        <v>145727371.20024687</v>
      </c>
      <c r="E30" s="67">
        <f t="shared" si="10"/>
        <v>393313875.92204261</v>
      </c>
      <c r="F30" s="67">
        <f t="shared" si="10"/>
        <v>792101419.84709024</v>
      </c>
      <c r="G30" s="67">
        <f t="shared" si="10"/>
        <v>1449111700.6675653</v>
      </c>
    </row>
    <row r="31" spans="1:8">
      <c r="A31" s="8" t="s">
        <v>111</v>
      </c>
      <c r="B31" s="25">
        <f>'3'!J8</f>
        <v>1491756694.9299719</v>
      </c>
      <c r="C31" s="25">
        <f>'3'!J9</f>
        <v>1303893080.483566</v>
      </c>
      <c r="D31" s="25">
        <f>'3'!J10</f>
        <v>1072238457.5097029</v>
      </c>
      <c r="E31" s="25">
        <f>'3'!J11</f>
        <v>786585141.92063236</v>
      </c>
      <c r="F31" s="25">
        <f>'3'!J12</f>
        <v>434346038.46774948</v>
      </c>
      <c r="G31" s="25">
        <f>'3'!J13</f>
        <v>0</v>
      </c>
    </row>
    <row r="32" spans="1:8" ht="15" thickBot="1">
      <c r="A32" s="64" t="s">
        <v>108</v>
      </c>
      <c r="B32" s="71">
        <f>B30+B31</f>
        <v>1491756694.9299719</v>
      </c>
      <c r="C32" s="71">
        <f t="shared" ref="C32:G32" si="11">C30+C31</f>
        <v>1308258592.1921575</v>
      </c>
      <c r="D32" s="71">
        <f t="shared" si="11"/>
        <v>1217965828.7099497</v>
      </c>
      <c r="E32" s="71">
        <f t="shared" si="11"/>
        <v>1179899017.842675</v>
      </c>
      <c r="F32" s="71">
        <f t="shared" si="11"/>
        <v>1226447458.3148398</v>
      </c>
      <c r="G32" s="71">
        <f t="shared" si="11"/>
        <v>1449111700.6675653</v>
      </c>
    </row>
    <row r="33" spans="1:7" ht="15" thickTop="1">
      <c r="A33" s="228" t="s">
        <v>112</v>
      </c>
      <c r="B33" s="228"/>
      <c r="C33" s="228"/>
      <c r="D33" s="228"/>
      <c r="E33" s="228"/>
      <c r="F33" s="228"/>
      <c r="G33" s="228"/>
    </row>
    <row r="34" spans="1:7">
      <c r="A34" s="8" t="s">
        <v>113</v>
      </c>
      <c r="B34" s="26">
        <f>'3'!D15</f>
        <v>500000000</v>
      </c>
      <c r="C34" s="26">
        <f>B34</f>
        <v>500000000</v>
      </c>
      <c r="D34" s="26">
        <f t="shared" ref="D34:G34" si="12">C34</f>
        <v>500000000</v>
      </c>
      <c r="E34" s="26">
        <f t="shared" si="12"/>
        <v>500000000</v>
      </c>
      <c r="F34" s="26">
        <f t="shared" si="12"/>
        <v>500000000</v>
      </c>
      <c r="G34" s="26">
        <f t="shared" si="12"/>
        <v>500000000</v>
      </c>
    </row>
    <row r="35" spans="1:7">
      <c r="A35" s="8" t="s">
        <v>114</v>
      </c>
      <c r="B35" s="8">
        <v>0</v>
      </c>
      <c r="C35" s="67">
        <f>C17</f>
        <v>8474228.6107951179</v>
      </c>
      <c r="D35" s="67">
        <f>D17</f>
        <v>282882544.0945968</v>
      </c>
      <c r="E35" s="67">
        <f>E17</f>
        <v>763491641.49572968</v>
      </c>
      <c r="F35" s="67">
        <f>F17</f>
        <v>1537608638.5267043</v>
      </c>
      <c r="G35" s="67">
        <f>G17</f>
        <v>2812981536.5899792</v>
      </c>
    </row>
    <row r="36" spans="1:7" ht="15" thickBot="1">
      <c r="A36" s="64" t="s">
        <v>115</v>
      </c>
      <c r="B36" s="71">
        <f>B34+B35</f>
        <v>500000000</v>
      </c>
      <c r="C36" s="71">
        <f t="shared" ref="C36:G36" si="13">C34+C35</f>
        <v>508474228.61079514</v>
      </c>
      <c r="D36" s="71">
        <f t="shared" si="13"/>
        <v>782882544.09459686</v>
      </c>
      <c r="E36" s="71">
        <f t="shared" si="13"/>
        <v>1263491641.4957297</v>
      </c>
      <c r="F36" s="71">
        <f t="shared" si="13"/>
        <v>2037608638.5267043</v>
      </c>
      <c r="G36" s="71">
        <f t="shared" si="13"/>
        <v>3312981536.5899792</v>
      </c>
    </row>
    <row r="37" spans="1:7" ht="15" thickTop="1"/>
    <row r="38" spans="1:7" ht="15" thickBot="1">
      <c r="A38" s="64" t="s">
        <v>116</v>
      </c>
      <c r="B38" s="71">
        <f>B32+B36</f>
        <v>1991756694.9299719</v>
      </c>
      <c r="C38" s="71">
        <f t="shared" ref="C38:G38" si="14">C32+C36</f>
        <v>1816732820.8029528</v>
      </c>
      <c r="D38" s="71">
        <f t="shared" si="14"/>
        <v>2000848372.8045466</v>
      </c>
      <c r="E38" s="71">
        <f t="shared" si="14"/>
        <v>2443390659.3384047</v>
      </c>
      <c r="F38" s="71">
        <f t="shared" si="14"/>
        <v>3264056096.8415442</v>
      </c>
      <c r="G38" s="71">
        <f t="shared" si="14"/>
        <v>4762093237.2575445</v>
      </c>
    </row>
    <row r="39" spans="1:7" ht="15" thickTop="1">
      <c r="A39" s="60" t="s">
        <v>117</v>
      </c>
      <c r="B39" s="72">
        <f>B27-B38</f>
        <v>0</v>
      </c>
      <c r="C39" s="72">
        <f t="shared" ref="C39:G39" si="15">C27-C38</f>
        <v>0</v>
      </c>
      <c r="D39" s="72">
        <f t="shared" si="15"/>
        <v>0</v>
      </c>
      <c r="E39" s="72">
        <f t="shared" si="15"/>
        <v>0</v>
      </c>
      <c r="F39" s="72">
        <f t="shared" si="15"/>
        <v>0</v>
      </c>
      <c r="G39" s="72">
        <f t="shared" si="15"/>
        <v>0</v>
      </c>
    </row>
    <row r="41" spans="1:7" ht="15.6">
      <c r="A41" s="227" t="s">
        <v>118</v>
      </c>
      <c r="B41" s="227"/>
      <c r="C41" s="227"/>
      <c r="D41" s="227"/>
      <c r="E41" s="227"/>
      <c r="F41" s="227"/>
      <c r="G41" s="227"/>
    </row>
    <row r="42" spans="1:7">
      <c r="A42" s="228" t="s">
        <v>119</v>
      </c>
      <c r="B42" s="228"/>
      <c r="C42" s="228"/>
      <c r="D42" s="228"/>
      <c r="E42" s="228"/>
      <c r="F42" s="228"/>
      <c r="G42" s="228"/>
    </row>
    <row r="43" spans="1:7" ht="22.8">
      <c r="A43" s="11"/>
      <c r="B43" s="70" t="s">
        <v>78</v>
      </c>
      <c r="C43" s="62">
        <f>C20</f>
        <v>2025</v>
      </c>
      <c r="D43" s="62">
        <f t="shared" ref="D43:G43" si="16">D20</f>
        <v>2026</v>
      </c>
      <c r="E43" s="62">
        <f t="shared" si="16"/>
        <v>2027</v>
      </c>
      <c r="F43" s="62">
        <f t="shared" si="16"/>
        <v>2028</v>
      </c>
      <c r="G43" s="62">
        <f t="shared" si="16"/>
        <v>2029</v>
      </c>
    </row>
    <row r="44" spans="1:7">
      <c r="A44" s="1" t="s">
        <v>120</v>
      </c>
      <c r="B44" s="2">
        <f>B22</f>
        <v>1839230228.3333333</v>
      </c>
      <c r="C44" s="2">
        <f t="shared" ref="C44:G44" si="17">C22</f>
        <v>1685693580.2987511</v>
      </c>
      <c r="D44" s="2">
        <f t="shared" si="17"/>
        <v>1891296358.392782</v>
      </c>
      <c r="E44" s="2">
        <f t="shared" si="17"/>
        <v>2355325871.0190768</v>
      </c>
      <c r="F44" s="2">
        <f t="shared" si="17"/>
        <v>3197478534.6146536</v>
      </c>
      <c r="G44" s="2">
        <f t="shared" si="17"/>
        <v>4717002901.1230907</v>
      </c>
    </row>
    <row r="45" spans="1:7" ht="15" thickBot="1">
      <c r="A45" s="1" t="s">
        <v>121</v>
      </c>
      <c r="B45" s="3">
        <f>B29</f>
        <v>0</v>
      </c>
      <c r="C45" s="3">
        <f t="shared" ref="C45:G45" si="18">C29</f>
        <v>4365511.7085914249</v>
      </c>
      <c r="D45" s="3">
        <f t="shared" si="18"/>
        <v>145727371.20024687</v>
      </c>
      <c r="E45" s="3">
        <f t="shared" si="18"/>
        <v>393313875.92204261</v>
      </c>
      <c r="F45" s="3">
        <f t="shared" si="18"/>
        <v>792101419.84709024</v>
      </c>
      <c r="G45" s="3">
        <f t="shared" si="18"/>
        <v>1449111700.6675653</v>
      </c>
    </row>
    <row r="46" spans="1:7" ht="15" thickTop="1">
      <c r="A46" s="4" t="s">
        <v>122</v>
      </c>
      <c r="B46" s="5">
        <f t="shared" ref="B46:G46" si="19">B44-B45</f>
        <v>1839230228.3333333</v>
      </c>
      <c r="C46" s="5">
        <f t="shared" si="19"/>
        <v>1681328068.5901597</v>
      </c>
      <c r="D46" s="5">
        <f t="shared" si="19"/>
        <v>1745568987.1925352</v>
      </c>
      <c r="E46" s="5">
        <f t="shared" si="19"/>
        <v>1962011995.0970342</v>
      </c>
      <c r="F46" s="5">
        <f t="shared" si="19"/>
        <v>2405377114.7675633</v>
      </c>
      <c r="G46" s="5">
        <f t="shared" si="19"/>
        <v>3267891200.4555254</v>
      </c>
    </row>
    <row r="47" spans="1:7">
      <c r="A47" s="1"/>
      <c r="B47" s="2"/>
      <c r="C47" s="2"/>
      <c r="D47" s="2"/>
      <c r="E47" s="2"/>
      <c r="F47" s="2"/>
      <c r="G47" s="2"/>
    </row>
    <row r="48" spans="1:7">
      <c r="A48" s="4" t="s">
        <v>123</v>
      </c>
      <c r="B48" s="2">
        <f>B26</f>
        <v>152526466.59663865</v>
      </c>
      <c r="C48" s="2">
        <f t="shared" ref="C48:G48" si="20">C26</f>
        <v>131039240.50420168</v>
      </c>
      <c r="D48" s="2">
        <f t="shared" si="20"/>
        <v>109552014.4117647</v>
      </c>
      <c r="E48" s="2">
        <f t="shared" si="20"/>
        <v>88064788.319327712</v>
      </c>
      <c r="F48" s="2">
        <f t="shared" si="20"/>
        <v>66577562.226890743</v>
      </c>
      <c r="G48" s="2">
        <f t="shared" si="20"/>
        <v>45090336.134453773</v>
      </c>
    </row>
    <row r="49" spans="1:7" ht="15" thickBot="1">
      <c r="A49" s="1" t="s">
        <v>124</v>
      </c>
      <c r="B49" s="3">
        <f>B25</f>
        <v>0</v>
      </c>
      <c r="C49" s="3">
        <f t="shared" ref="C49:G49" si="21">C25</f>
        <v>21487226.092436977</v>
      </c>
      <c r="D49" s="3">
        <f t="shared" si="21"/>
        <v>42974452.184873953</v>
      </c>
      <c r="E49" s="3">
        <f t="shared" si="21"/>
        <v>64461678.27731093</v>
      </c>
      <c r="F49" s="3">
        <f t="shared" si="21"/>
        <v>85948904.369747907</v>
      </c>
      <c r="G49" s="3">
        <f t="shared" si="21"/>
        <v>107436130.46218488</v>
      </c>
    </row>
    <row r="50" spans="1:7" ht="15" thickTop="1">
      <c r="A50" s="4" t="s">
        <v>125</v>
      </c>
      <c r="B50" s="5">
        <f t="shared" ref="B50:G50" si="22">B48+B49</f>
        <v>152526466.59663865</v>
      </c>
      <c r="C50" s="5">
        <f t="shared" si="22"/>
        <v>152526466.59663865</v>
      </c>
      <c r="D50" s="5">
        <f t="shared" si="22"/>
        <v>152526466.59663865</v>
      </c>
      <c r="E50" s="5">
        <f t="shared" si="22"/>
        <v>152526466.59663865</v>
      </c>
      <c r="F50" s="5">
        <f t="shared" si="22"/>
        <v>152526466.59663865</v>
      </c>
      <c r="G50" s="5">
        <f t="shared" si="22"/>
        <v>152526466.59663865</v>
      </c>
    </row>
    <row r="51" spans="1:7">
      <c r="A51" s="1"/>
      <c r="B51" s="2"/>
      <c r="C51" s="2"/>
      <c r="D51" s="2"/>
      <c r="E51" s="2"/>
      <c r="F51" s="2"/>
      <c r="G51" s="2"/>
    </row>
    <row r="52" spans="1:7" ht="15" thickBot="1">
      <c r="A52" s="12" t="s">
        <v>126</v>
      </c>
      <c r="B52" s="6">
        <f t="shared" ref="B52:G52" si="23">B46+B48</f>
        <v>1991756694.9299719</v>
      </c>
      <c r="C52" s="6">
        <f t="shared" si="23"/>
        <v>1812367309.0943613</v>
      </c>
      <c r="D52" s="6">
        <f t="shared" si="23"/>
        <v>1855121001.6042998</v>
      </c>
      <c r="E52" s="6">
        <f t="shared" si="23"/>
        <v>2050076783.4163618</v>
      </c>
      <c r="F52" s="6">
        <f t="shared" si="23"/>
        <v>2471954676.9944539</v>
      </c>
      <c r="G52" s="6">
        <f t="shared" si="23"/>
        <v>3312981536.5899792</v>
      </c>
    </row>
    <row r="53" spans="1:7" ht="15" thickTop="1">
      <c r="A53" s="7"/>
      <c r="B53" s="2"/>
      <c r="C53" s="2"/>
      <c r="D53" s="2"/>
      <c r="E53" s="2"/>
      <c r="F53" s="2"/>
      <c r="G53" s="2"/>
    </row>
    <row r="54" spans="1:7">
      <c r="A54" s="229" t="s">
        <v>127</v>
      </c>
      <c r="B54" s="229"/>
      <c r="C54" s="229"/>
      <c r="D54" s="229"/>
      <c r="E54" s="229"/>
      <c r="F54" s="229"/>
      <c r="G54" s="229"/>
    </row>
    <row r="55" spans="1:7">
      <c r="A55" s="1" t="s">
        <v>128</v>
      </c>
      <c r="C55" s="9">
        <f>C13</f>
        <v>360568225.90756303</v>
      </c>
      <c r="D55" s="9">
        <f t="shared" ref="D55:G55" si="24">D13</f>
        <v>732547392.35556293</v>
      </c>
      <c r="E55" s="9">
        <f t="shared" si="24"/>
        <v>1406744301.8632841</v>
      </c>
      <c r="F55" s="9">
        <f t="shared" si="24"/>
        <v>2513063054.9554939</v>
      </c>
      <c r="G55" s="9">
        <f t="shared" si="24"/>
        <v>4363339298.8243771</v>
      </c>
    </row>
    <row r="56" spans="1:7" ht="15" thickBot="1">
      <c r="A56" s="1" t="s">
        <v>129</v>
      </c>
      <c r="C56" s="10">
        <f>C55*'1'!$AB$7</f>
        <v>122593196.80857144</v>
      </c>
      <c r="D56" s="10">
        <f>D55*'1'!$AB$7</f>
        <v>249066113.40089142</v>
      </c>
      <c r="E56" s="10">
        <f>E55*'1'!$AB$7</f>
        <v>478293062.63351661</v>
      </c>
      <c r="F56" s="10">
        <f>F55*'1'!$AB$7</f>
        <v>854441438.68486798</v>
      </c>
      <c r="G56" s="10">
        <f>G55*'1'!$AB$7</f>
        <v>1483535361.6002884</v>
      </c>
    </row>
    <row r="57" spans="1:7" ht="15" thickTop="1">
      <c r="A57" s="4" t="s">
        <v>130</v>
      </c>
      <c r="C57" s="9">
        <f>C55-C56</f>
        <v>237975029.09899157</v>
      </c>
      <c r="D57" s="9">
        <f>D55-D56</f>
        <v>483481278.9546715</v>
      </c>
      <c r="E57" s="9">
        <f>E55-E56</f>
        <v>928451239.22976756</v>
      </c>
      <c r="F57" s="9">
        <f>F55-F56</f>
        <v>1658621616.2706261</v>
      </c>
      <c r="G57" s="9">
        <f>G55-G56</f>
        <v>2879803937.2240887</v>
      </c>
    </row>
    <row r="58" spans="1:7" ht="15" thickBot="1">
      <c r="A58" s="1" t="s">
        <v>131</v>
      </c>
      <c r="C58" s="10">
        <f>-(C52-B52)</f>
        <v>179389385.83561063</v>
      </c>
      <c r="D58" s="10">
        <f t="shared" ref="D58:G58" si="25">-(D52-C52)</f>
        <v>-42753692.509938478</v>
      </c>
      <c r="E58" s="10">
        <f t="shared" si="25"/>
        <v>-194955781.81206203</v>
      </c>
      <c r="F58" s="10">
        <f t="shared" si="25"/>
        <v>-421877893.5780921</v>
      </c>
      <c r="G58" s="10">
        <f t="shared" si="25"/>
        <v>-841026859.59552526</v>
      </c>
    </row>
    <row r="59" spans="1:7" ht="15.6" thickTop="1" thickBot="1">
      <c r="A59" s="59" t="s">
        <v>132</v>
      </c>
      <c r="B59" s="60"/>
      <c r="C59" s="61">
        <f>SUM(C57:C58)</f>
        <v>417364414.9346022</v>
      </c>
      <c r="D59" s="61">
        <f t="shared" ref="D59:G59" si="26">SUM(D57:D58)</f>
        <v>440727586.44473302</v>
      </c>
      <c r="E59" s="61">
        <f t="shared" si="26"/>
        <v>733495457.41770554</v>
      </c>
      <c r="F59" s="61">
        <f t="shared" si="26"/>
        <v>1236743722.692534</v>
      </c>
      <c r="G59" s="61">
        <f t="shared" si="26"/>
        <v>2038777077.6285634</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1" priority="3" operator="lessThan">
      <formula>0</formula>
    </cfRule>
  </conditionalFormatting>
  <conditionalFormatting sqref="B22:G22">
    <cfRule type="cellIs" dxfId="10" priority="2" operator="lessThan">
      <formula>0</formula>
    </cfRule>
  </conditionalFormatting>
  <conditionalFormatting sqref="C59:G59">
    <cfRule type="cellIs" dxfId="9" priority="1" operator="less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66"/>
  <sheetViews>
    <sheetView showGridLines="0" zoomScale="80" zoomScaleNormal="80" workbookViewId="0">
      <selection activeCell="E29" sqref="E29"/>
    </sheetView>
  </sheetViews>
  <sheetFormatPr baseColWidth="10" defaultColWidth="11.44140625" defaultRowHeight="14.4"/>
  <cols>
    <col min="1" max="1" width="11.44140625" style="8"/>
    <col min="2" max="2" width="32.5546875" style="8" customWidth="1"/>
    <col min="3" max="3" width="25.5546875" style="8" bestFit="1" customWidth="1"/>
    <col min="4" max="4" width="36.33203125" style="8" bestFit="1" customWidth="1"/>
    <col min="5" max="5" width="38.4414062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c r="B2" s="214" t="s">
        <v>133</v>
      </c>
      <c r="C2" s="214"/>
      <c r="D2" s="214"/>
      <c r="E2" s="214"/>
      <c r="F2" s="214"/>
      <c r="G2" s="214"/>
      <c r="H2" s="214"/>
    </row>
    <row r="3" spans="2:16" ht="15.75" customHeight="1">
      <c r="B3" s="230" t="s">
        <v>134</v>
      </c>
      <c r="C3" s="230"/>
      <c r="D3" s="230"/>
      <c r="E3" s="231">
        <v>0.17</v>
      </c>
      <c r="F3" s="231"/>
    </row>
    <row r="4" spans="2:16" ht="16.5" customHeight="1">
      <c r="B4" s="230"/>
      <c r="C4" s="230"/>
      <c r="D4" s="230"/>
      <c r="E4" s="231"/>
      <c r="F4" s="231"/>
      <c r="O4" s="100"/>
    </row>
    <row r="5" spans="2:16" ht="16.5" customHeight="1">
      <c r="B5" s="234"/>
      <c r="C5" s="234"/>
      <c r="D5" s="234"/>
      <c r="E5" s="130"/>
      <c r="F5" s="130"/>
      <c r="O5" s="100"/>
    </row>
    <row r="6" spans="2:16" ht="15" thickBot="1">
      <c r="O6" s="100"/>
      <c r="P6" s="103"/>
    </row>
    <row r="7" spans="2:16" ht="22.8">
      <c r="B7" s="99" t="s">
        <v>135</v>
      </c>
      <c r="C7" s="83" t="s">
        <v>136</v>
      </c>
      <c r="D7" s="84">
        <f>'4'!C20</f>
        <v>2025</v>
      </c>
      <c r="E7" s="84">
        <f>'4'!D20</f>
        <v>2026</v>
      </c>
      <c r="F7" s="84">
        <f>'4'!E20</f>
        <v>2027</v>
      </c>
      <c r="G7" s="84">
        <f>'4'!F20</f>
        <v>2028</v>
      </c>
      <c r="H7" s="85">
        <f>'4'!G20</f>
        <v>2029</v>
      </c>
      <c r="O7" s="100"/>
      <c r="P7" s="102"/>
    </row>
    <row r="8" spans="2:16" ht="18.600000000000001" thickBot="1">
      <c r="B8" s="86"/>
      <c r="C8" s="162">
        <f>-'3'!D14</f>
        <v>-1991756694.9299719</v>
      </c>
      <c r="D8" s="162">
        <f>'4'!C59</f>
        <v>417364414.9346022</v>
      </c>
      <c r="E8" s="162">
        <f>'4'!D59</f>
        <v>440727586.44473302</v>
      </c>
      <c r="F8" s="162">
        <f>'4'!E59</f>
        <v>733495457.41770554</v>
      </c>
      <c r="G8" s="162">
        <f>'4'!F59</f>
        <v>1236743722.692534</v>
      </c>
      <c r="H8" s="163">
        <f>'4'!G59</f>
        <v>2038777077.6285634</v>
      </c>
      <c r="O8" s="100"/>
      <c r="P8" s="102"/>
    </row>
    <row r="9" spans="2:16" ht="15" thickBot="1">
      <c r="C9" s="73">
        <f>C8/(1+$E$3)^0</f>
        <v>-1991756694.9299719</v>
      </c>
      <c r="D9" s="73">
        <f>D8/(1+$E$3)^1</f>
        <v>356721722.1663267</v>
      </c>
      <c r="E9" s="73">
        <f>E8/(1+$E$3)^2</f>
        <v>321957474.20902413</v>
      </c>
      <c r="F9" s="73">
        <f>F8/(1+$E$3)^3</f>
        <v>457972966.88882124</v>
      </c>
      <c r="G9" s="73">
        <f>G8/(1+$E$3)^4</f>
        <v>659988347.26692772</v>
      </c>
      <c r="H9" s="73">
        <f>H8/(1+$E$3)^5</f>
        <v>929908962.23345518</v>
      </c>
      <c r="O9" s="100"/>
      <c r="P9" s="102"/>
    </row>
    <row r="10" spans="2:16" ht="24" thickBot="1">
      <c r="B10" s="30" t="s">
        <v>137</v>
      </c>
      <c r="C10" s="31"/>
      <c r="D10" s="161">
        <f>NPV(E3,D8:H8)+$C$8</f>
        <v>734792777.83458257</v>
      </c>
      <c r="O10" s="100"/>
      <c r="P10" s="102"/>
    </row>
    <row r="11" spans="2:16" ht="28.2" thickBot="1">
      <c r="B11" s="169" t="s">
        <v>138</v>
      </c>
      <c r="C11" s="31"/>
      <c r="D11" s="107">
        <f>IF(ISERROR(IRR(C8:H8)),"NO_APLICA",(IRR(C8:H8)))</f>
        <v>0.28136511103643813</v>
      </c>
      <c r="F11" s="104" t="s">
        <v>139</v>
      </c>
      <c r="G11" s="31"/>
      <c r="H11" s="105">
        <f>IF(ISERROR(-C9/AVERAGE(D9:H9)),"NO_APLICA",(-C9/AVERAGE(D9:H9)))</f>
        <v>3.652522565289182</v>
      </c>
      <c r="I11" s="106" t="s">
        <v>140</v>
      </c>
      <c r="P11" s="101"/>
    </row>
    <row r="13" spans="2:16" ht="17.399999999999999">
      <c r="B13" s="232" t="s">
        <v>141</v>
      </c>
      <c r="C13" s="232"/>
      <c r="D13" s="232"/>
      <c r="E13" s="232"/>
      <c r="F13" s="232"/>
      <c r="G13" s="232"/>
      <c r="H13" s="232"/>
    </row>
    <row r="14" spans="2:16" ht="35.4">
      <c r="B14" s="87" t="str">
        <f>'1'!B2</f>
        <v>NOMBRE DEL PRODUCTO O SERVICIO</v>
      </c>
      <c r="C14" s="87" t="s">
        <v>142</v>
      </c>
      <c r="D14" s="87" t="s">
        <v>143</v>
      </c>
      <c r="E14" s="87" t="s">
        <v>144</v>
      </c>
      <c r="F14" s="87" t="s">
        <v>145</v>
      </c>
      <c r="H14" s="73"/>
      <c r="I14" s="73"/>
      <c r="J14" s="73" t="s">
        <v>146</v>
      </c>
    </row>
    <row r="15" spans="2:16">
      <c r="B15" s="38" t="str">
        <f>'1'!B3</f>
        <v>LINEA REMOLQUES Y SEMIRREMOLQUES</v>
      </c>
      <c r="C15" s="164">
        <f>'1'!D3-'1'!D17</f>
        <v>1055165760</v>
      </c>
      <c r="D15" s="89">
        <f>'1'!F3</f>
        <v>1</v>
      </c>
      <c r="E15" s="164">
        <f>C15*D15</f>
        <v>1055165760</v>
      </c>
      <c r="F15" s="90">
        <f t="shared" ref="F15:F24" si="0">$E$28*D15</f>
        <v>0.6379190204200712</v>
      </c>
      <c r="G15" s="38" t="s">
        <v>147</v>
      </c>
      <c r="H15" s="74">
        <f>'1'!D3</f>
        <v>4796208000</v>
      </c>
      <c r="I15" s="91">
        <f t="shared" ref="I15:I24" si="1">$B$35*D15</f>
        <v>1.2758380408401424</v>
      </c>
      <c r="J15" s="74">
        <f>'1'!D17</f>
        <v>3741042240</v>
      </c>
    </row>
    <row r="16" spans="2:16">
      <c r="B16" s="92">
        <f>'1'!B4</f>
        <v>0</v>
      </c>
      <c r="C16" s="164">
        <f>'1'!D4-'1'!D18</f>
        <v>0</v>
      </c>
      <c r="D16" s="89">
        <f>'1'!F4</f>
        <v>0</v>
      </c>
      <c r="E16" s="164">
        <f t="shared" ref="E16:E24" si="2">C16*D16</f>
        <v>0</v>
      </c>
      <c r="F16" s="90">
        <f t="shared" si="0"/>
        <v>0</v>
      </c>
      <c r="G16" s="38" t="str">
        <f>G15</f>
        <v>UNIDADES</v>
      </c>
      <c r="H16" s="74">
        <f>'1'!D4</f>
        <v>0</v>
      </c>
      <c r="I16" s="91">
        <f t="shared" si="1"/>
        <v>0</v>
      </c>
      <c r="J16" s="74">
        <f>'1'!D18</f>
        <v>0</v>
      </c>
    </row>
    <row r="17" spans="2:10">
      <c r="B17" s="92">
        <f>'1'!B5</f>
        <v>0</v>
      </c>
      <c r="C17" s="164">
        <f>'1'!D5-'1'!D19</f>
        <v>0</v>
      </c>
      <c r="D17" s="89">
        <f>'1'!F5</f>
        <v>0</v>
      </c>
      <c r="E17" s="164">
        <f t="shared" si="2"/>
        <v>0</v>
      </c>
      <c r="F17" s="90">
        <f t="shared" si="0"/>
        <v>0</v>
      </c>
      <c r="G17" s="38" t="str">
        <f t="shared" ref="G17:G24" si="3">G16</f>
        <v>UNIDADES</v>
      </c>
      <c r="H17" s="74">
        <f>'1'!D5</f>
        <v>0</v>
      </c>
      <c r="I17" s="91">
        <f t="shared" si="1"/>
        <v>0</v>
      </c>
      <c r="J17" s="74">
        <f>'1'!D19</f>
        <v>0</v>
      </c>
    </row>
    <row r="18" spans="2:10">
      <c r="B18" s="92">
        <f>'1'!B6</f>
        <v>0</v>
      </c>
      <c r="C18" s="88">
        <f>'1'!D6-'1'!D20</f>
        <v>0</v>
      </c>
      <c r="D18" s="89">
        <f>'1'!F6</f>
        <v>0</v>
      </c>
      <c r="E18" s="88">
        <f t="shared" si="2"/>
        <v>0</v>
      </c>
      <c r="F18" s="90">
        <f t="shared" si="0"/>
        <v>0</v>
      </c>
      <c r="G18" s="38" t="str">
        <f t="shared" si="3"/>
        <v>UNIDADES</v>
      </c>
      <c r="H18" s="74">
        <f>'1'!D6</f>
        <v>0</v>
      </c>
      <c r="I18" s="91">
        <f t="shared" si="1"/>
        <v>0</v>
      </c>
      <c r="J18" s="74">
        <f>'1'!D20</f>
        <v>0</v>
      </c>
    </row>
    <row r="19" spans="2:10">
      <c r="B19" s="92">
        <f>'1'!B7</f>
        <v>0</v>
      </c>
      <c r="C19" s="88">
        <f>'1'!D7-'1'!D21</f>
        <v>0</v>
      </c>
      <c r="D19" s="89">
        <f>'1'!F7</f>
        <v>0</v>
      </c>
      <c r="E19" s="88">
        <f t="shared" si="2"/>
        <v>0</v>
      </c>
      <c r="F19" s="90">
        <f t="shared" si="0"/>
        <v>0</v>
      </c>
      <c r="G19" s="38" t="str">
        <f t="shared" si="3"/>
        <v>UNIDADES</v>
      </c>
      <c r="H19" s="74">
        <f>'1'!D7</f>
        <v>0</v>
      </c>
      <c r="I19" s="91">
        <f t="shared" si="1"/>
        <v>0</v>
      </c>
      <c r="J19" s="74">
        <f>'1'!D21</f>
        <v>0</v>
      </c>
    </row>
    <row r="20" spans="2:10">
      <c r="B20" s="92">
        <f>'1'!B8</f>
        <v>0</v>
      </c>
      <c r="C20" s="88">
        <f>'1'!D8-'1'!D22</f>
        <v>0</v>
      </c>
      <c r="D20" s="89">
        <f>'1'!F8</f>
        <v>0</v>
      </c>
      <c r="E20" s="88">
        <f t="shared" si="2"/>
        <v>0</v>
      </c>
      <c r="F20" s="90">
        <f t="shared" si="0"/>
        <v>0</v>
      </c>
      <c r="G20" s="38" t="str">
        <f t="shared" si="3"/>
        <v>UNIDADES</v>
      </c>
      <c r="H20" s="74">
        <f>'1'!D8</f>
        <v>0</v>
      </c>
      <c r="I20" s="91">
        <f t="shared" si="1"/>
        <v>0</v>
      </c>
      <c r="J20" s="74">
        <f>'1'!D22</f>
        <v>0</v>
      </c>
    </row>
    <row r="21" spans="2:10">
      <c r="B21" s="92">
        <f>'1'!B9</f>
        <v>0</v>
      </c>
      <c r="C21" s="88">
        <f>'1'!D9-'1'!D23</f>
        <v>0</v>
      </c>
      <c r="D21" s="89">
        <f>'1'!F9</f>
        <v>0</v>
      </c>
      <c r="E21" s="88">
        <f t="shared" si="2"/>
        <v>0</v>
      </c>
      <c r="F21" s="90">
        <f t="shared" si="0"/>
        <v>0</v>
      </c>
      <c r="G21" s="38" t="str">
        <f t="shared" si="3"/>
        <v>UNIDADES</v>
      </c>
      <c r="H21" s="74">
        <f>'1'!D9</f>
        <v>0</v>
      </c>
      <c r="I21" s="91">
        <f t="shared" si="1"/>
        <v>0</v>
      </c>
      <c r="J21" s="74">
        <f>'1'!D23</f>
        <v>0</v>
      </c>
    </row>
    <row r="22" spans="2:10">
      <c r="B22" s="92">
        <f>'1'!B10</f>
        <v>0</v>
      </c>
      <c r="C22" s="88">
        <f>'1'!D10-'1'!D24</f>
        <v>0</v>
      </c>
      <c r="D22" s="89">
        <f>'1'!F10</f>
        <v>0</v>
      </c>
      <c r="E22" s="88">
        <f t="shared" si="2"/>
        <v>0</v>
      </c>
      <c r="F22" s="90">
        <f t="shared" si="0"/>
        <v>0</v>
      </c>
      <c r="G22" s="38" t="str">
        <f t="shared" si="3"/>
        <v>UNIDADES</v>
      </c>
      <c r="H22" s="74">
        <f>'1'!D10</f>
        <v>0</v>
      </c>
      <c r="I22" s="91">
        <f t="shared" si="1"/>
        <v>0</v>
      </c>
      <c r="J22" s="74">
        <f>'1'!D24</f>
        <v>0</v>
      </c>
    </row>
    <row r="23" spans="2:10">
      <c r="B23" s="92">
        <f>'1'!B11</f>
        <v>0</v>
      </c>
      <c r="C23" s="88">
        <f>'1'!D11-'1'!D25</f>
        <v>0</v>
      </c>
      <c r="D23" s="89">
        <f>'1'!F11</f>
        <v>0</v>
      </c>
      <c r="E23" s="88">
        <f t="shared" si="2"/>
        <v>0</v>
      </c>
      <c r="F23" s="90">
        <f t="shared" si="0"/>
        <v>0</v>
      </c>
      <c r="G23" s="38" t="str">
        <f t="shared" si="3"/>
        <v>UNIDADES</v>
      </c>
      <c r="H23" s="74">
        <f>'1'!D11</f>
        <v>0</v>
      </c>
      <c r="I23" s="91">
        <f t="shared" si="1"/>
        <v>0</v>
      </c>
      <c r="J23" s="74">
        <f>'1'!D25</f>
        <v>0</v>
      </c>
    </row>
    <row r="24" spans="2:10">
      <c r="B24" s="38">
        <f>'1'!B12</f>
        <v>0</v>
      </c>
      <c r="C24" s="88">
        <f>'1'!D12-'1'!D26</f>
        <v>0</v>
      </c>
      <c r="D24" s="89">
        <f>'1'!F12</f>
        <v>0</v>
      </c>
      <c r="E24" s="88">
        <f t="shared" si="2"/>
        <v>0</v>
      </c>
      <c r="F24" s="90">
        <f t="shared" si="0"/>
        <v>0</v>
      </c>
      <c r="G24" s="38" t="str">
        <f t="shared" si="3"/>
        <v>UNIDADES</v>
      </c>
      <c r="H24" s="74">
        <f>'1'!D12</f>
        <v>0</v>
      </c>
      <c r="I24" s="91">
        <f t="shared" si="1"/>
        <v>0</v>
      </c>
      <c r="J24" s="74">
        <f>'1'!D26</f>
        <v>0</v>
      </c>
    </row>
    <row r="25" spans="2:10" ht="24.6">
      <c r="C25" s="26"/>
      <c r="D25" s="93"/>
      <c r="E25" s="26"/>
      <c r="F25" s="94">
        <f>SUM(F15:F24)</f>
        <v>0.6379190204200712</v>
      </c>
      <c r="G25" s="8" t="str">
        <f>G24</f>
        <v>UNIDADES</v>
      </c>
      <c r="H25" s="74"/>
      <c r="I25" s="91"/>
      <c r="J25" s="74"/>
    </row>
    <row r="26" spans="2:10" ht="12.75" customHeight="1">
      <c r="C26" s="26"/>
      <c r="D26" s="93"/>
      <c r="E26" s="26"/>
      <c r="F26" s="94"/>
      <c r="H26" s="74"/>
      <c r="I26" s="91"/>
      <c r="J26" s="74"/>
    </row>
    <row r="27" spans="2:10" ht="21" customHeight="1">
      <c r="B27" s="235" t="s">
        <v>148</v>
      </c>
      <c r="C27" s="235"/>
      <c r="D27" s="235"/>
      <c r="E27" s="95">
        <f>SUM(E15:E24)</f>
        <v>1055165760</v>
      </c>
      <c r="H27" s="73"/>
      <c r="I27" s="73"/>
      <c r="J27" s="73"/>
    </row>
    <row r="28" spans="2:10" ht="19.5" customHeight="1">
      <c r="B28" s="235" t="s">
        <v>149</v>
      </c>
      <c r="C28" s="235"/>
      <c r="D28" s="235"/>
      <c r="E28" s="94">
        <f>IF(E27=0,0,('2'!C23+'2'!F31+'2'!C25)/'5'!E27)</f>
        <v>0.6379190204200712</v>
      </c>
      <c r="F28" s="96" t="s">
        <v>147</v>
      </c>
      <c r="H28" s="97"/>
    </row>
    <row r="29" spans="2:10" ht="24.6">
      <c r="B29" s="235" t="s">
        <v>150</v>
      </c>
      <c r="C29" s="235"/>
      <c r="D29" s="235"/>
      <c r="E29" s="168">
        <f>E49</f>
        <v>3059592309.090909</v>
      </c>
    </row>
    <row r="30" spans="2:10">
      <c r="B30" s="125"/>
      <c r="C30" s="125"/>
      <c r="D30" s="125"/>
      <c r="E30" s="125"/>
      <c r="F30" s="125"/>
      <c r="G30" s="125"/>
    </row>
    <row r="31" spans="2:10" s="73" customFormat="1"/>
    <row r="32" spans="2:10" s="73" customFormat="1">
      <c r="C32" s="73" t="s">
        <v>151</v>
      </c>
      <c r="D32" s="73" t="s">
        <v>152</v>
      </c>
      <c r="E32" s="73" t="s">
        <v>153</v>
      </c>
      <c r="F32" s="73" t="s">
        <v>154</v>
      </c>
    </row>
    <row r="33" spans="2:6" s="73" customFormat="1">
      <c r="B33" s="73">
        <v>0</v>
      </c>
      <c r="C33" s="74">
        <f>'2'!C25+'2'!F31+'2'!C23</f>
        <v>673110308</v>
      </c>
      <c r="D33" s="73">
        <f>0</f>
        <v>0</v>
      </c>
      <c r="E33" s="73">
        <v>0</v>
      </c>
      <c r="F33" s="74">
        <f>C33+E33</f>
        <v>673110308</v>
      </c>
    </row>
    <row r="34" spans="2:6" s="73" customFormat="1">
      <c r="B34" s="91">
        <f>F25</f>
        <v>0.6379190204200712</v>
      </c>
      <c r="C34" s="74">
        <f>C33</f>
        <v>673110308</v>
      </c>
      <c r="D34" s="126">
        <f>SUMPRODUCT(F15:F24,H15:H24)</f>
        <v>3059592309.090909</v>
      </c>
      <c r="E34" s="126">
        <f>SUMPRODUCT(F15:F24,J15:J24)</f>
        <v>2386482001.090909</v>
      </c>
      <c r="F34" s="74">
        <f t="shared" ref="F34:F35" si="4">C34+E34</f>
        <v>3059592309.090909</v>
      </c>
    </row>
    <row r="35" spans="2:6" s="73" customFormat="1">
      <c r="B35" s="91">
        <f>B34*2</f>
        <v>1.2758380408401424</v>
      </c>
      <c r="C35" s="74">
        <f>C34</f>
        <v>673110308</v>
      </c>
      <c r="D35" s="126">
        <f>SUMPRODUCT(H15:H24,I15:I24)</f>
        <v>6119184618.181818</v>
      </c>
      <c r="E35" s="126">
        <f>SUMPRODUCT(I15:I24,J15:J24)</f>
        <v>4772964002.181818</v>
      </c>
      <c r="F35" s="74">
        <f t="shared" si="4"/>
        <v>5446074310.181818</v>
      </c>
    </row>
    <row r="36" spans="2:6" s="73" customFormat="1">
      <c r="C36" s="74"/>
    </row>
    <row r="37" spans="2:6" s="73" customFormat="1">
      <c r="C37" s="74"/>
    </row>
    <row r="38" spans="2:6" s="73" customFormat="1">
      <c r="C38" s="127" t="s">
        <v>155</v>
      </c>
      <c r="D38" s="73" t="s">
        <v>147</v>
      </c>
      <c r="E38" s="73" t="s">
        <v>156</v>
      </c>
    </row>
    <row r="39" spans="2:6" s="73" customFormat="1">
      <c r="B39" s="73">
        <v>1</v>
      </c>
      <c r="C39" s="74">
        <f>'1'!D3</f>
        <v>4796208000</v>
      </c>
      <c r="D39" s="91">
        <f>F15</f>
        <v>0.6379190204200712</v>
      </c>
      <c r="E39" s="73">
        <f>C39*D39</f>
        <v>3059592309.090909</v>
      </c>
    </row>
    <row r="40" spans="2:6" s="73" customFormat="1">
      <c r="B40" s="73">
        <f>B39+1</f>
        <v>2</v>
      </c>
      <c r="C40" s="74">
        <f>'1'!D4</f>
        <v>0</v>
      </c>
      <c r="D40" s="91">
        <f t="shared" ref="D40:D48" si="5">F16</f>
        <v>0</v>
      </c>
      <c r="E40" s="73">
        <f t="shared" ref="E40:E48" si="6">C40*D40</f>
        <v>0</v>
      </c>
    </row>
    <row r="41" spans="2:6" s="73" customFormat="1">
      <c r="B41" s="73">
        <f t="shared" ref="B41:B48" si="7">B40+1</f>
        <v>3</v>
      </c>
      <c r="C41" s="74">
        <f>'1'!D5</f>
        <v>0</v>
      </c>
      <c r="D41" s="91">
        <f t="shared" si="5"/>
        <v>0</v>
      </c>
      <c r="E41" s="73">
        <f t="shared" si="6"/>
        <v>0</v>
      </c>
    </row>
    <row r="42" spans="2:6" s="73" customFormat="1">
      <c r="B42" s="73">
        <f t="shared" si="7"/>
        <v>4</v>
      </c>
      <c r="C42" s="74">
        <f>'1'!D6</f>
        <v>0</v>
      </c>
      <c r="D42" s="91">
        <f t="shared" si="5"/>
        <v>0</v>
      </c>
      <c r="E42" s="73">
        <f t="shared" si="6"/>
        <v>0</v>
      </c>
    </row>
    <row r="43" spans="2:6" s="73" customFormat="1">
      <c r="B43" s="73">
        <f t="shared" si="7"/>
        <v>5</v>
      </c>
      <c r="C43" s="74">
        <f>'1'!D7</f>
        <v>0</v>
      </c>
      <c r="D43" s="91">
        <f t="shared" si="5"/>
        <v>0</v>
      </c>
      <c r="E43" s="73">
        <f t="shared" si="6"/>
        <v>0</v>
      </c>
    </row>
    <row r="44" spans="2:6" s="73" customFormat="1">
      <c r="B44" s="73">
        <f t="shared" si="7"/>
        <v>6</v>
      </c>
      <c r="C44" s="74">
        <f>'1'!D8</f>
        <v>0</v>
      </c>
      <c r="D44" s="91">
        <f t="shared" si="5"/>
        <v>0</v>
      </c>
      <c r="E44" s="73">
        <f t="shared" si="6"/>
        <v>0</v>
      </c>
    </row>
    <row r="45" spans="2:6" s="73" customFormat="1">
      <c r="B45" s="73">
        <f t="shared" si="7"/>
        <v>7</v>
      </c>
      <c r="C45" s="74">
        <f>'1'!D9</f>
        <v>0</v>
      </c>
      <c r="D45" s="91">
        <f t="shared" si="5"/>
        <v>0</v>
      </c>
      <c r="E45" s="73">
        <f t="shared" si="6"/>
        <v>0</v>
      </c>
    </row>
    <row r="46" spans="2:6" s="73" customFormat="1">
      <c r="B46" s="73">
        <f t="shared" si="7"/>
        <v>8</v>
      </c>
      <c r="C46" s="74">
        <f>'1'!D10</f>
        <v>0</v>
      </c>
      <c r="D46" s="91">
        <f t="shared" si="5"/>
        <v>0</v>
      </c>
      <c r="E46" s="73">
        <f t="shared" si="6"/>
        <v>0</v>
      </c>
    </row>
    <row r="47" spans="2:6" s="73" customFormat="1">
      <c r="B47" s="73">
        <f t="shared" si="7"/>
        <v>9</v>
      </c>
      <c r="C47" s="74">
        <f>'1'!D11</f>
        <v>0</v>
      </c>
      <c r="D47" s="91">
        <f t="shared" si="5"/>
        <v>0</v>
      </c>
      <c r="E47" s="73">
        <f t="shared" si="6"/>
        <v>0</v>
      </c>
    </row>
    <row r="48" spans="2:6" s="73" customFormat="1">
      <c r="B48" s="73">
        <f t="shared" si="7"/>
        <v>10</v>
      </c>
      <c r="C48" s="74">
        <f>'1'!D12</f>
        <v>0</v>
      </c>
      <c r="D48" s="91">
        <f t="shared" si="5"/>
        <v>0</v>
      </c>
      <c r="E48" s="73">
        <f t="shared" si="6"/>
        <v>0</v>
      </c>
    </row>
    <row r="49" spans="2:8" s="73" customFormat="1">
      <c r="C49" s="74"/>
      <c r="E49" s="128">
        <f>SUM(E39:E48)</f>
        <v>3059592309.090909</v>
      </c>
    </row>
    <row r="50" spans="2:8" s="73" customFormat="1"/>
    <row r="51" spans="2:8" s="73" customFormat="1">
      <c r="C51" s="74"/>
    </row>
    <row r="52" spans="2:8" s="73" customFormat="1">
      <c r="B52" s="233"/>
      <c r="C52" s="233"/>
      <c r="D52" s="233"/>
      <c r="G52" s="73" t="s">
        <v>157</v>
      </c>
      <c r="H52" s="129">
        <f>'4'!B32/'4'!B27</f>
        <v>0.74896532228421631</v>
      </c>
    </row>
    <row r="53" spans="2:8" s="73" customFormat="1">
      <c r="C53" s="74"/>
      <c r="G53" s="73" t="s">
        <v>158</v>
      </c>
      <c r="H53" s="129">
        <f>'4'!B36/'4'!B27</f>
        <v>0.25103467771578369</v>
      </c>
    </row>
    <row r="54" spans="2:8" s="73" customFormat="1">
      <c r="G54" s="73" t="s">
        <v>159</v>
      </c>
      <c r="H54" s="73">
        <f>'1'!AB7</f>
        <v>0.34</v>
      </c>
    </row>
    <row r="55" spans="2:8" s="73" customFormat="1">
      <c r="G55" s="73" t="s">
        <v>160</v>
      </c>
      <c r="H55" s="129">
        <f>'3'!F4</f>
        <v>0.2331</v>
      </c>
    </row>
    <row r="56" spans="2:8" s="73" customFormat="1">
      <c r="G56" s="73" t="s">
        <v>161</v>
      </c>
    </row>
    <row r="57" spans="2:8" s="73" customFormat="1"/>
    <row r="58" spans="2:8" s="73" customFormat="1"/>
    <row r="59" spans="2:8" s="73" customFormat="1"/>
    <row r="60" spans="2:8" s="73" customFormat="1"/>
    <row r="61" spans="2:8" s="73" customFormat="1"/>
    <row r="62" spans="2:8">
      <c r="B62" s="125"/>
      <c r="C62" s="125"/>
      <c r="D62" s="125"/>
      <c r="E62" s="125"/>
      <c r="F62" s="125"/>
      <c r="G62" s="125"/>
    </row>
    <row r="63" spans="2:8">
      <c r="B63" s="125"/>
      <c r="C63" s="125"/>
      <c r="D63" s="125"/>
      <c r="E63" s="125"/>
      <c r="F63" s="125"/>
      <c r="G63" s="125"/>
    </row>
    <row r="64" spans="2:8">
      <c r="B64" s="125"/>
      <c r="C64" s="125"/>
      <c r="D64" s="125"/>
      <c r="E64" s="125"/>
      <c r="F64" s="125"/>
      <c r="G64" s="125"/>
    </row>
    <row r="65" spans="2:7">
      <c r="B65" s="125"/>
      <c r="C65" s="125"/>
      <c r="D65" s="125"/>
      <c r="E65" s="125"/>
      <c r="F65" s="125"/>
      <c r="G65" s="125"/>
    </row>
    <row r="66" spans="2:7">
      <c r="B66" s="125"/>
      <c r="C66" s="125"/>
      <c r="D66" s="125"/>
      <c r="E66" s="125"/>
      <c r="F66" s="125"/>
      <c r="G66" s="125"/>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8" priority="2" operator="containsText" text="NO_APLICA">
      <formula>NOT(ISERROR(SEARCH("NO_APLICA",D11)))</formula>
    </cfRule>
    <cfRule type="cellIs" dxfId="7" priority="5" operator="lessThan">
      <formula>0</formula>
    </cfRule>
    <cfRule type="cellIs" dxfId="6" priority="6" operator="equal">
      <formula>$E$3</formula>
    </cfRule>
    <cfRule type="cellIs" dxfId="5" priority="7" operator="greaterThan">
      <formula>$E$3</formula>
    </cfRule>
    <cfRule type="cellIs" dxfId="4" priority="8" operator="lessThan">
      <formula>$E$3</formula>
    </cfRule>
  </conditionalFormatting>
  <conditionalFormatting sqref="D10">
    <cfRule type="cellIs" dxfId="3" priority="4" operator="lessThan">
      <formula>0</formula>
    </cfRule>
  </conditionalFormatting>
  <conditionalFormatting sqref="H11">
    <cfRule type="containsText" dxfId="2" priority="1" operator="containsText" text="NO_APLICA">
      <formula>NOT(ISERROR(SEARCH("NO_APLICA",H11)))</formula>
    </cfRule>
    <cfRule type="cellIs" dxfId="1" priority="3" operator="lessThan">
      <formula>0</formula>
    </cfRule>
  </conditionalFormatting>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2" workbookViewId="0">
      <selection activeCell="B31" sqref="B31"/>
    </sheetView>
  </sheetViews>
  <sheetFormatPr baseColWidth="10" defaultColWidth="11.44140625" defaultRowHeight="14.4"/>
  <sheetData>
    <row r="1" spans="1:2">
      <c r="A1" t="s">
        <v>162</v>
      </c>
    </row>
    <row r="3" spans="1:2">
      <c r="B3" s="197"/>
    </row>
    <row r="4" spans="1:2">
      <c r="B4" s="197"/>
    </row>
    <row r="5" spans="1:2">
      <c r="B5" s="197"/>
    </row>
    <row r="8" spans="1:2">
      <c r="A8" t="s">
        <v>163</v>
      </c>
      <c r="B8" t="s">
        <v>88</v>
      </c>
    </row>
    <row r="9" spans="1:2">
      <c r="A9" t="s">
        <v>164</v>
      </c>
      <c r="B9">
        <v>323</v>
      </c>
    </row>
    <row r="10" spans="1:2">
      <c r="A10" t="s">
        <v>165</v>
      </c>
      <c r="B10">
        <v>309</v>
      </c>
    </row>
    <row r="11" spans="1:2">
      <c r="A11" t="s">
        <v>166</v>
      </c>
      <c r="B11">
        <v>348</v>
      </c>
    </row>
    <row r="12" spans="1:2">
      <c r="A12" t="s">
        <v>167</v>
      </c>
      <c r="B12">
        <v>288</v>
      </c>
    </row>
    <row r="13" spans="1:2">
      <c r="A13" t="s">
        <v>168</v>
      </c>
      <c r="B13">
        <v>367</v>
      </c>
    </row>
    <row r="14" spans="1:2">
      <c r="A14" t="s">
        <v>169</v>
      </c>
      <c r="B14">
        <v>365</v>
      </c>
    </row>
    <row r="15" spans="1:2">
      <c r="A15" t="s">
        <v>170</v>
      </c>
      <c r="B15">
        <v>273</v>
      </c>
    </row>
    <row r="16" spans="1:2">
      <c r="A16" t="s">
        <v>171</v>
      </c>
      <c r="B16">
        <v>208</v>
      </c>
    </row>
    <row r="18" spans="1:2">
      <c r="A18" t="s">
        <v>172</v>
      </c>
      <c r="B18">
        <f>ROUNDDOWN(AVERAGE(B9:B16),0)</f>
        <v>310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workbookViewId="0">
      <selection activeCell="K26" sqref="K26"/>
    </sheetView>
  </sheetViews>
  <sheetFormatPr baseColWidth="10" defaultColWidth="11.44140625" defaultRowHeight="14.4"/>
  <cols>
    <col min="1" max="1" width="20" customWidth="1"/>
    <col min="2" max="2" width="4.5546875" style="131" bestFit="1" customWidth="1"/>
    <col min="3" max="3" width="5" style="131" bestFit="1" customWidth="1"/>
    <col min="4" max="5" width="4.5546875" style="131" bestFit="1" customWidth="1"/>
    <col min="6" max="6" width="4.88671875" style="131" bestFit="1" customWidth="1"/>
    <col min="7" max="9" width="4.5546875" style="131" bestFit="1" customWidth="1"/>
    <col min="10" max="10" width="5" style="131" customWidth="1"/>
    <col min="11" max="11" width="4.5546875" style="131" customWidth="1"/>
    <col min="12" max="12" width="5.109375" style="131" customWidth="1"/>
    <col min="13" max="13" width="4.5546875" style="131" customWidth="1"/>
    <col min="14" max="14" width="9.109375" bestFit="1" customWidth="1"/>
    <col min="15" max="15" width="14.33203125" customWidth="1"/>
    <col min="16" max="16" width="15.5546875" bestFit="1" customWidth="1"/>
    <col min="17" max="17" width="15.109375" customWidth="1"/>
    <col min="18" max="18" width="16.44140625" customWidth="1"/>
    <col min="19" max="19" width="15.6640625" customWidth="1"/>
    <col min="20" max="20" width="4.5546875" customWidth="1"/>
  </cols>
  <sheetData>
    <row r="1" spans="1:20">
      <c r="A1" s="236" t="s">
        <v>18</v>
      </c>
      <c r="B1" s="237"/>
      <c r="C1" s="237"/>
      <c r="D1" s="237"/>
      <c r="E1" s="237"/>
      <c r="F1" s="237"/>
      <c r="G1" s="237"/>
      <c r="H1" s="237"/>
      <c r="I1" s="237"/>
      <c r="J1" s="237"/>
      <c r="K1" s="237"/>
      <c r="L1" s="237"/>
      <c r="M1" s="237"/>
      <c r="N1" s="237"/>
      <c r="O1" s="237"/>
      <c r="P1" s="237"/>
      <c r="Q1" s="201"/>
      <c r="R1" s="201"/>
      <c r="S1" s="139" t="s">
        <v>173</v>
      </c>
      <c r="T1" s="140">
        <v>0.22</v>
      </c>
    </row>
    <row r="2" spans="1:20" s="132" customFormat="1" ht="28.8">
      <c r="A2" s="136" t="s">
        <v>174</v>
      </c>
      <c r="B2" s="136" t="s">
        <v>175</v>
      </c>
      <c r="C2" s="136" t="s">
        <v>176</v>
      </c>
      <c r="D2" s="136" t="s">
        <v>177</v>
      </c>
      <c r="E2" s="136" t="s">
        <v>178</v>
      </c>
      <c r="F2" s="136" t="s">
        <v>179</v>
      </c>
      <c r="G2" s="136" t="s">
        <v>180</v>
      </c>
      <c r="H2" s="136" t="s">
        <v>181</v>
      </c>
      <c r="I2" s="136" t="s">
        <v>182</v>
      </c>
      <c r="J2" s="136" t="s">
        <v>183</v>
      </c>
      <c r="K2" s="136" t="s">
        <v>184</v>
      </c>
      <c r="L2" s="136" t="s">
        <v>185</v>
      </c>
      <c r="M2" s="136" t="s">
        <v>186</v>
      </c>
      <c r="N2" s="136" t="s">
        <v>187</v>
      </c>
      <c r="O2" s="136" t="s">
        <v>188</v>
      </c>
      <c r="P2" s="136" t="s">
        <v>189</v>
      </c>
      <c r="Q2" s="136" t="s">
        <v>190</v>
      </c>
      <c r="R2" s="136" t="s">
        <v>191</v>
      </c>
    </row>
    <row r="3" spans="1:20">
      <c r="A3" s="133" t="s">
        <v>192</v>
      </c>
      <c r="B3" s="134">
        <f>ROUNDDOWN(B24*B27+B25*B26,0)</f>
        <v>48</v>
      </c>
      <c r="C3" s="134">
        <f t="shared" ref="C3:M3" si="0">ROUNDDOWN(C24*C27+C25*C26,0)</f>
        <v>48</v>
      </c>
      <c r="D3" s="134">
        <f t="shared" si="0"/>
        <v>48</v>
      </c>
      <c r="E3" s="134">
        <f t="shared" si="0"/>
        <v>48</v>
      </c>
      <c r="F3" s="134">
        <f t="shared" si="0"/>
        <v>48</v>
      </c>
      <c r="G3" s="134">
        <f t="shared" si="0"/>
        <v>48</v>
      </c>
      <c r="H3" s="134">
        <f t="shared" si="0"/>
        <v>48</v>
      </c>
      <c r="I3" s="134">
        <f t="shared" si="0"/>
        <v>48</v>
      </c>
      <c r="J3" s="134">
        <f t="shared" si="0"/>
        <v>48</v>
      </c>
      <c r="K3" s="134">
        <f t="shared" si="0"/>
        <v>48</v>
      </c>
      <c r="L3" s="134">
        <f t="shared" si="0"/>
        <v>48</v>
      </c>
      <c r="M3" s="134">
        <f t="shared" si="0"/>
        <v>48</v>
      </c>
      <c r="N3" s="134">
        <f>SUM(B3:M3)</f>
        <v>576</v>
      </c>
      <c r="O3" s="135">
        <v>3600000</v>
      </c>
      <c r="P3" s="135">
        <f t="shared" ref="P3:P13" si="1">O3*N3</f>
        <v>2073600000</v>
      </c>
      <c r="Q3" s="135">
        <f t="shared" ref="Q3:Q14" si="2">O3*(1-$T$1)</f>
        <v>2808000</v>
      </c>
      <c r="R3" s="135">
        <f>Q3*N3</f>
        <v>1617408000</v>
      </c>
    </row>
    <row r="4" spans="1:20">
      <c r="A4" s="133" t="s">
        <v>193</v>
      </c>
      <c r="B4" s="134">
        <f>ROUNDDOWN(B3*2,0)</f>
        <v>96</v>
      </c>
      <c r="C4" s="134">
        <f t="shared" ref="C4:M4" si="3">ROUNDDOWN(C3*2,0)</f>
        <v>96</v>
      </c>
      <c r="D4" s="134">
        <f t="shared" si="3"/>
        <v>96</v>
      </c>
      <c r="E4" s="134">
        <f t="shared" si="3"/>
        <v>96</v>
      </c>
      <c r="F4" s="134">
        <f t="shared" si="3"/>
        <v>96</v>
      </c>
      <c r="G4" s="134">
        <f t="shared" si="3"/>
        <v>96</v>
      </c>
      <c r="H4" s="134">
        <f t="shared" si="3"/>
        <v>96</v>
      </c>
      <c r="I4" s="134">
        <f t="shared" si="3"/>
        <v>96</v>
      </c>
      <c r="J4" s="134">
        <f t="shared" si="3"/>
        <v>96</v>
      </c>
      <c r="K4" s="134">
        <f t="shared" si="3"/>
        <v>96</v>
      </c>
      <c r="L4" s="134">
        <f t="shared" si="3"/>
        <v>96</v>
      </c>
      <c r="M4" s="134">
        <f t="shared" si="3"/>
        <v>96</v>
      </c>
      <c r="N4" s="134">
        <f t="shared" ref="N4:N14" si="4">SUM(B4:M4)</f>
        <v>1152</v>
      </c>
      <c r="O4" s="135">
        <v>320000</v>
      </c>
      <c r="P4" s="135">
        <f t="shared" si="1"/>
        <v>368640000</v>
      </c>
      <c r="Q4" s="135">
        <f t="shared" si="2"/>
        <v>249600</v>
      </c>
      <c r="R4" s="135">
        <f t="shared" ref="R4:R13" si="5">Q4*N4</f>
        <v>287539200</v>
      </c>
    </row>
    <row r="5" spans="1:20">
      <c r="A5" s="133" t="s">
        <v>194</v>
      </c>
      <c r="B5" s="134">
        <f>ROUNDDOWN(B24+B25,0)</f>
        <v>17</v>
      </c>
      <c r="C5" s="134">
        <f t="shared" ref="C5:M5" si="6">ROUNDDOWN(C24+C25,0)</f>
        <v>17</v>
      </c>
      <c r="D5" s="134">
        <f t="shared" si="6"/>
        <v>17</v>
      </c>
      <c r="E5" s="134">
        <f t="shared" si="6"/>
        <v>17</v>
      </c>
      <c r="F5" s="134">
        <f t="shared" si="6"/>
        <v>17</v>
      </c>
      <c r="G5" s="134">
        <f t="shared" si="6"/>
        <v>17</v>
      </c>
      <c r="H5" s="134">
        <f t="shared" si="6"/>
        <v>17</v>
      </c>
      <c r="I5" s="134">
        <f t="shared" si="6"/>
        <v>17</v>
      </c>
      <c r="J5" s="134">
        <f t="shared" si="6"/>
        <v>17</v>
      </c>
      <c r="K5" s="134">
        <f t="shared" si="6"/>
        <v>17</v>
      </c>
      <c r="L5" s="134">
        <f t="shared" si="6"/>
        <v>17</v>
      </c>
      <c r="M5" s="134">
        <f t="shared" si="6"/>
        <v>17</v>
      </c>
      <c r="N5" s="134">
        <f t="shared" si="4"/>
        <v>204</v>
      </c>
      <c r="O5" s="135">
        <v>1250000</v>
      </c>
      <c r="P5" s="135">
        <f t="shared" si="1"/>
        <v>255000000</v>
      </c>
      <c r="Q5" s="135">
        <f t="shared" si="2"/>
        <v>975000</v>
      </c>
      <c r="R5" s="135">
        <f t="shared" si="5"/>
        <v>198900000</v>
      </c>
    </row>
    <row r="6" spans="1:20">
      <c r="A6" s="133" t="s">
        <v>195</v>
      </c>
      <c r="B6" s="134">
        <f>ROUNDDOWN(B25+B24,0)</f>
        <v>17</v>
      </c>
      <c r="C6" s="134">
        <f t="shared" ref="C6:M6" si="7">ROUNDDOWN(C25+C24,0)</f>
        <v>17</v>
      </c>
      <c r="D6" s="134">
        <f t="shared" si="7"/>
        <v>17</v>
      </c>
      <c r="E6" s="134">
        <f t="shared" si="7"/>
        <v>17</v>
      </c>
      <c r="F6" s="134">
        <f t="shared" si="7"/>
        <v>17</v>
      </c>
      <c r="G6" s="134">
        <f t="shared" si="7"/>
        <v>17</v>
      </c>
      <c r="H6" s="134">
        <f t="shared" si="7"/>
        <v>17</v>
      </c>
      <c r="I6" s="134">
        <f t="shared" si="7"/>
        <v>17</v>
      </c>
      <c r="J6" s="134">
        <f t="shared" si="7"/>
        <v>17</v>
      </c>
      <c r="K6" s="134">
        <f t="shared" si="7"/>
        <v>17</v>
      </c>
      <c r="L6" s="134">
        <f t="shared" si="7"/>
        <v>17</v>
      </c>
      <c r="M6" s="134">
        <f t="shared" si="7"/>
        <v>17</v>
      </c>
      <c r="N6" s="134">
        <f t="shared" si="4"/>
        <v>204</v>
      </c>
      <c r="O6" s="135">
        <f>(4300000+6500000)/2</f>
        <v>5400000</v>
      </c>
      <c r="P6" s="135">
        <f t="shared" si="1"/>
        <v>1101600000</v>
      </c>
      <c r="Q6" s="135">
        <f t="shared" si="2"/>
        <v>4212000</v>
      </c>
      <c r="R6" s="135">
        <f t="shared" si="5"/>
        <v>859248000</v>
      </c>
    </row>
    <row r="7" spans="1:20">
      <c r="A7" s="133" t="s">
        <v>196</v>
      </c>
      <c r="B7" s="134">
        <f>ROUNDDOWN(B25,0)</f>
        <v>14</v>
      </c>
      <c r="C7" s="134">
        <f t="shared" ref="C7:M7" si="8">ROUNDDOWN(C25,0)</f>
        <v>14</v>
      </c>
      <c r="D7" s="134">
        <f t="shared" si="8"/>
        <v>14</v>
      </c>
      <c r="E7" s="134">
        <f t="shared" si="8"/>
        <v>14</v>
      </c>
      <c r="F7" s="134">
        <f t="shared" si="8"/>
        <v>14</v>
      </c>
      <c r="G7" s="134">
        <f t="shared" si="8"/>
        <v>14</v>
      </c>
      <c r="H7" s="134">
        <f t="shared" si="8"/>
        <v>14</v>
      </c>
      <c r="I7" s="134">
        <f t="shared" si="8"/>
        <v>14</v>
      </c>
      <c r="J7" s="134">
        <f t="shared" si="8"/>
        <v>14</v>
      </c>
      <c r="K7" s="134">
        <f t="shared" si="8"/>
        <v>14</v>
      </c>
      <c r="L7" s="134">
        <f t="shared" si="8"/>
        <v>14</v>
      </c>
      <c r="M7" s="134">
        <f t="shared" si="8"/>
        <v>14</v>
      </c>
      <c r="N7" s="134">
        <f t="shared" si="4"/>
        <v>168</v>
      </c>
      <c r="O7" s="135">
        <v>350000</v>
      </c>
      <c r="P7" s="135">
        <f t="shared" si="1"/>
        <v>58800000</v>
      </c>
      <c r="Q7" s="135">
        <f t="shared" si="2"/>
        <v>273000</v>
      </c>
      <c r="R7" s="135">
        <f t="shared" si="5"/>
        <v>45864000</v>
      </c>
    </row>
    <row r="8" spans="1:20">
      <c r="A8" s="133" t="s">
        <v>197</v>
      </c>
      <c r="B8" s="134">
        <v>1</v>
      </c>
      <c r="C8" s="134">
        <v>1</v>
      </c>
      <c r="D8" s="134">
        <v>1</v>
      </c>
      <c r="E8" s="134">
        <v>1</v>
      </c>
      <c r="F8" s="134">
        <v>1</v>
      </c>
      <c r="G8" s="134">
        <v>1</v>
      </c>
      <c r="H8" s="134">
        <v>1</v>
      </c>
      <c r="I8" s="134">
        <v>1</v>
      </c>
      <c r="J8" s="134">
        <v>1</v>
      </c>
      <c r="K8" s="134">
        <v>1</v>
      </c>
      <c r="L8" s="134">
        <v>1</v>
      </c>
      <c r="M8" s="134">
        <v>1</v>
      </c>
      <c r="N8" s="134">
        <f t="shared" si="4"/>
        <v>12</v>
      </c>
      <c r="O8" s="135">
        <v>1348000</v>
      </c>
      <c r="P8" s="135">
        <f t="shared" si="1"/>
        <v>16176000</v>
      </c>
      <c r="Q8" s="135">
        <f t="shared" si="2"/>
        <v>1051440</v>
      </c>
      <c r="R8" s="135">
        <f t="shared" si="5"/>
        <v>12617280</v>
      </c>
    </row>
    <row r="9" spans="1:20">
      <c r="A9" s="133" t="s">
        <v>198</v>
      </c>
      <c r="B9" s="134">
        <v>1</v>
      </c>
      <c r="C9" s="134">
        <v>1</v>
      </c>
      <c r="D9" s="134">
        <v>1</v>
      </c>
      <c r="E9" s="134">
        <v>1</v>
      </c>
      <c r="F9" s="134">
        <v>1</v>
      </c>
      <c r="G9" s="134">
        <v>1</v>
      </c>
      <c r="H9" s="134">
        <v>1</v>
      </c>
      <c r="I9" s="134">
        <v>1</v>
      </c>
      <c r="J9" s="134">
        <v>1</v>
      </c>
      <c r="K9" s="134">
        <v>1</v>
      </c>
      <c r="L9" s="134">
        <v>1</v>
      </c>
      <c r="M9" s="134">
        <v>1</v>
      </c>
      <c r="N9" s="134">
        <f t="shared" si="4"/>
        <v>12</v>
      </c>
      <c r="O9" s="135">
        <v>1520000</v>
      </c>
      <c r="P9" s="135">
        <f t="shared" si="1"/>
        <v>18240000</v>
      </c>
      <c r="Q9" s="135">
        <f t="shared" si="2"/>
        <v>1185600</v>
      </c>
      <c r="R9" s="135">
        <f t="shared" si="5"/>
        <v>14227200</v>
      </c>
    </row>
    <row r="10" spans="1:20">
      <c r="A10" s="133" t="s">
        <v>199</v>
      </c>
      <c r="B10" s="134">
        <f>B9</f>
        <v>1</v>
      </c>
      <c r="C10" s="134">
        <f t="shared" ref="C10:M12" si="9">C9</f>
        <v>1</v>
      </c>
      <c r="D10" s="134">
        <f t="shared" si="9"/>
        <v>1</v>
      </c>
      <c r="E10" s="134">
        <f t="shared" si="9"/>
        <v>1</v>
      </c>
      <c r="F10" s="134">
        <f t="shared" si="9"/>
        <v>1</v>
      </c>
      <c r="G10" s="134">
        <f t="shared" si="9"/>
        <v>1</v>
      </c>
      <c r="H10" s="134">
        <f t="shared" si="9"/>
        <v>1</v>
      </c>
      <c r="I10" s="134">
        <f t="shared" si="9"/>
        <v>1</v>
      </c>
      <c r="J10" s="134">
        <f t="shared" si="9"/>
        <v>1</v>
      </c>
      <c r="K10" s="134">
        <f t="shared" si="9"/>
        <v>1</v>
      </c>
      <c r="L10" s="134">
        <f t="shared" si="9"/>
        <v>1</v>
      </c>
      <c r="M10" s="134">
        <f t="shared" si="9"/>
        <v>1</v>
      </c>
      <c r="N10" s="134">
        <f t="shared" si="4"/>
        <v>12</v>
      </c>
      <c r="O10" s="135">
        <v>520000</v>
      </c>
      <c r="P10" s="135">
        <f t="shared" si="1"/>
        <v>6240000</v>
      </c>
      <c r="Q10" s="135">
        <f t="shared" si="2"/>
        <v>405600</v>
      </c>
      <c r="R10" s="135">
        <f t="shared" si="5"/>
        <v>4867200</v>
      </c>
    </row>
    <row r="11" spans="1:20">
      <c r="A11" s="133" t="s">
        <v>200</v>
      </c>
      <c r="B11" s="134">
        <f>B10</f>
        <v>1</v>
      </c>
      <c r="C11" s="134">
        <f t="shared" si="9"/>
        <v>1</v>
      </c>
      <c r="D11" s="134">
        <f t="shared" si="9"/>
        <v>1</v>
      </c>
      <c r="E11" s="134">
        <f t="shared" si="9"/>
        <v>1</v>
      </c>
      <c r="F11" s="134">
        <f t="shared" si="9"/>
        <v>1</v>
      </c>
      <c r="G11" s="134">
        <f t="shared" si="9"/>
        <v>1</v>
      </c>
      <c r="H11" s="134">
        <f t="shared" si="9"/>
        <v>1</v>
      </c>
      <c r="I11" s="134">
        <f t="shared" si="9"/>
        <v>1</v>
      </c>
      <c r="J11" s="134">
        <f t="shared" si="9"/>
        <v>1</v>
      </c>
      <c r="K11" s="134">
        <f t="shared" si="9"/>
        <v>1</v>
      </c>
      <c r="L11" s="134">
        <f t="shared" si="9"/>
        <v>1</v>
      </c>
      <c r="M11" s="134">
        <f t="shared" si="9"/>
        <v>1</v>
      </c>
      <c r="N11" s="134">
        <f t="shared" si="4"/>
        <v>12</v>
      </c>
      <c r="O11" s="135">
        <v>3300000</v>
      </c>
      <c r="P11" s="135">
        <f t="shared" si="1"/>
        <v>39600000</v>
      </c>
      <c r="Q11" s="135">
        <f t="shared" si="2"/>
        <v>2574000</v>
      </c>
      <c r="R11" s="135">
        <f t="shared" si="5"/>
        <v>30888000</v>
      </c>
    </row>
    <row r="12" spans="1:20">
      <c r="A12" s="133" t="s">
        <v>201</v>
      </c>
      <c r="B12" s="134">
        <f>B11</f>
        <v>1</v>
      </c>
      <c r="C12" s="134">
        <f t="shared" si="9"/>
        <v>1</v>
      </c>
      <c r="D12" s="134">
        <f t="shared" si="9"/>
        <v>1</v>
      </c>
      <c r="E12" s="134">
        <f t="shared" si="9"/>
        <v>1</v>
      </c>
      <c r="F12" s="134">
        <f t="shared" si="9"/>
        <v>1</v>
      </c>
      <c r="G12" s="134">
        <f t="shared" si="9"/>
        <v>1</v>
      </c>
      <c r="H12" s="134">
        <f t="shared" si="9"/>
        <v>1</v>
      </c>
      <c r="I12" s="134">
        <f t="shared" si="9"/>
        <v>1</v>
      </c>
      <c r="J12" s="134">
        <f t="shared" si="9"/>
        <v>1</v>
      </c>
      <c r="K12" s="134">
        <f t="shared" si="9"/>
        <v>1</v>
      </c>
      <c r="L12" s="134">
        <f t="shared" si="9"/>
        <v>1</v>
      </c>
      <c r="M12" s="134">
        <f t="shared" si="9"/>
        <v>1</v>
      </c>
      <c r="N12" s="134">
        <f t="shared" si="4"/>
        <v>12</v>
      </c>
      <c r="O12" s="135">
        <v>850000</v>
      </c>
      <c r="P12" s="135">
        <f t="shared" si="1"/>
        <v>10200000</v>
      </c>
      <c r="Q12" s="135">
        <f t="shared" si="2"/>
        <v>663000</v>
      </c>
      <c r="R12" s="135">
        <f t="shared" si="5"/>
        <v>7956000</v>
      </c>
    </row>
    <row r="13" spans="1:20">
      <c r="A13" s="133" t="s">
        <v>202</v>
      </c>
      <c r="B13" s="134">
        <f>ROUNDDOWN(B25*8,0)</f>
        <v>112</v>
      </c>
      <c r="C13" s="134">
        <f t="shared" ref="C13:M13" si="10">ROUNDDOWN(C25*8,0)</f>
        <v>112</v>
      </c>
      <c r="D13" s="134">
        <f t="shared" si="10"/>
        <v>112</v>
      </c>
      <c r="E13" s="134">
        <f t="shared" si="10"/>
        <v>112</v>
      </c>
      <c r="F13" s="134">
        <f t="shared" si="10"/>
        <v>112</v>
      </c>
      <c r="G13" s="134">
        <f t="shared" si="10"/>
        <v>112</v>
      </c>
      <c r="H13" s="134">
        <f t="shared" si="10"/>
        <v>112</v>
      </c>
      <c r="I13" s="134">
        <f t="shared" si="10"/>
        <v>112</v>
      </c>
      <c r="J13" s="134">
        <f t="shared" si="10"/>
        <v>112</v>
      </c>
      <c r="K13" s="134">
        <f t="shared" si="10"/>
        <v>112</v>
      </c>
      <c r="L13" s="134">
        <f t="shared" si="10"/>
        <v>112</v>
      </c>
      <c r="M13" s="134">
        <f t="shared" si="10"/>
        <v>112</v>
      </c>
      <c r="N13" s="134">
        <f t="shared" si="4"/>
        <v>1344</v>
      </c>
      <c r="O13" s="135">
        <v>135000</v>
      </c>
      <c r="P13" s="135">
        <f t="shared" si="1"/>
        <v>181440000</v>
      </c>
      <c r="Q13" s="135">
        <f t="shared" si="2"/>
        <v>105300</v>
      </c>
      <c r="R13" s="135">
        <f t="shared" si="5"/>
        <v>141523200</v>
      </c>
    </row>
    <row r="14" spans="1:20">
      <c r="A14" s="133" t="s">
        <v>203</v>
      </c>
      <c r="B14" s="134">
        <f>ROUNDDOWN(B5,0)</f>
        <v>17</v>
      </c>
      <c r="C14" s="134">
        <f t="shared" ref="C14:M14" si="11">ROUNDDOWN(C5,0)</f>
        <v>17</v>
      </c>
      <c r="D14" s="134">
        <f t="shared" si="11"/>
        <v>17</v>
      </c>
      <c r="E14" s="134">
        <f t="shared" si="11"/>
        <v>17</v>
      </c>
      <c r="F14" s="134">
        <f t="shared" si="11"/>
        <v>17</v>
      </c>
      <c r="G14" s="134">
        <f t="shared" si="11"/>
        <v>17</v>
      </c>
      <c r="H14" s="134">
        <f t="shared" si="11"/>
        <v>17</v>
      </c>
      <c r="I14" s="134">
        <f t="shared" si="11"/>
        <v>17</v>
      </c>
      <c r="J14" s="134">
        <f t="shared" si="11"/>
        <v>17</v>
      </c>
      <c r="K14" s="134">
        <f t="shared" si="11"/>
        <v>17</v>
      </c>
      <c r="L14" s="134">
        <f t="shared" si="11"/>
        <v>17</v>
      </c>
      <c r="M14" s="134">
        <f t="shared" si="11"/>
        <v>17</v>
      </c>
      <c r="N14" s="134">
        <f t="shared" si="4"/>
        <v>204</v>
      </c>
      <c r="O14" s="135">
        <v>3268000</v>
      </c>
      <c r="P14" s="135">
        <f t="shared" ref="P14" si="12">O14*N14</f>
        <v>666672000</v>
      </c>
      <c r="Q14" s="135">
        <f t="shared" si="2"/>
        <v>2549040</v>
      </c>
      <c r="R14" s="135">
        <f t="shared" ref="R14" si="13">Q14*N14</f>
        <v>520004160</v>
      </c>
    </row>
    <row r="15" spans="1:20">
      <c r="N15" s="131"/>
      <c r="O15" s="193"/>
      <c r="P15" s="193"/>
      <c r="Q15" s="193"/>
      <c r="R15" s="193"/>
    </row>
    <row r="16" spans="1:20" ht="14.25" customHeight="1">
      <c r="O16" s="142" t="s">
        <v>204</v>
      </c>
      <c r="P16" s="138">
        <f>SUM(P3:P14)</f>
        <v>4796208000</v>
      </c>
      <c r="Q16" s="137" t="s">
        <v>205</v>
      </c>
      <c r="R16" s="138">
        <f>SUM(R3:R14)</f>
        <v>3741042240</v>
      </c>
    </row>
    <row r="17" spans="1:19">
      <c r="P17" s="196"/>
    </row>
    <row r="18" spans="1:19">
      <c r="A18" s="195" t="s">
        <v>206</v>
      </c>
      <c r="O18" s="198" t="s">
        <v>207</v>
      </c>
      <c r="P18" s="199">
        <f>7361.55*1000000</f>
        <v>7361550000</v>
      </c>
    </row>
    <row r="19" spans="1:19">
      <c r="B19" s="194" t="s">
        <v>175</v>
      </c>
      <c r="C19" s="194" t="s">
        <v>176</v>
      </c>
      <c r="D19" s="194" t="s">
        <v>177</v>
      </c>
      <c r="E19" s="194" t="s">
        <v>178</v>
      </c>
      <c r="F19" s="194" t="s">
        <v>179</v>
      </c>
      <c r="G19" s="194" t="s">
        <v>180</v>
      </c>
      <c r="H19" s="194" t="s">
        <v>181</v>
      </c>
      <c r="I19" s="194" t="s">
        <v>182</v>
      </c>
      <c r="J19" s="194" t="s">
        <v>183</v>
      </c>
      <c r="K19" s="194" t="s">
        <v>184</v>
      </c>
      <c r="L19" s="194" t="s">
        <v>208</v>
      </c>
      <c r="M19" s="194" t="s">
        <v>186</v>
      </c>
      <c r="N19" s="194" t="s">
        <v>330</v>
      </c>
    </row>
    <row r="20" spans="1:19">
      <c r="A20" t="s">
        <v>209</v>
      </c>
      <c r="B20" s="131">
        <v>310</v>
      </c>
      <c r="C20" s="131">
        <f>PROMEDIO!$B$18</f>
        <v>310</v>
      </c>
      <c r="D20" s="131">
        <f>PROMEDIO!$B$18</f>
        <v>310</v>
      </c>
      <c r="E20" s="131">
        <f>PROMEDIO!$B$18</f>
        <v>310</v>
      </c>
      <c r="F20" s="131">
        <f>PROMEDIO!$B$18</f>
        <v>310</v>
      </c>
      <c r="G20" s="131">
        <f>PROMEDIO!$B$18</f>
        <v>310</v>
      </c>
      <c r="H20" s="131">
        <f>PROMEDIO!$B$18</f>
        <v>310</v>
      </c>
      <c r="I20" s="131">
        <f>PROMEDIO!$B$18</f>
        <v>310</v>
      </c>
      <c r="J20" s="131">
        <f>PROMEDIO!$B$18</f>
        <v>310</v>
      </c>
      <c r="K20" s="131">
        <f>PROMEDIO!$B$18</f>
        <v>310</v>
      </c>
      <c r="L20" s="131">
        <f>PROMEDIO!$B$18</f>
        <v>310</v>
      </c>
      <c r="M20" s="131">
        <f>PROMEDIO!$B$18</f>
        <v>310</v>
      </c>
      <c r="N20">
        <f>SUM(B20:M20)</f>
        <v>3720</v>
      </c>
      <c r="O20" t="s">
        <v>210</v>
      </c>
      <c r="P20" s="200">
        <f>P16/P18</f>
        <v>0.6515214866434379</v>
      </c>
    </row>
    <row r="21" spans="1:19">
      <c r="A21" t="s">
        <v>211</v>
      </c>
      <c r="B21" s="174">
        <v>5.5E-2</v>
      </c>
      <c r="C21" s="174">
        <f>B21</f>
        <v>5.5E-2</v>
      </c>
      <c r="D21" s="174">
        <f t="shared" ref="D21:M21" si="14">C21</f>
        <v>5.5E-2</v>
      </c>
      <c r="E21" s="174">
        <f t="shared" si="14"/>
        <v>5.5E-2</v>
      </c>
      <c r="F21" s="174">
        <f t="shared" si="14"/>
        <v>5.5E-2</v>
      </c>
      <c r="G21" s="174">
        <f t="shared" si="14"/>
        <v>5.5E-2</v>
      </c>
      <c r="H21" s="174">
        <f t="shared" si="14"/>
        <v>5.5E-2</v>
      </c>
      <c r="I21" s="174">
        <f t="shared" si="14"/>
        <v>5.5E-2</v>
      </c>
      <c r="J21" s="174">
        <f t="shared" si="14"/>
        <v>5.5E-2</v>
      </c>
      <c r="K21" s="174">
        <f t="shared" si="14"/>
        <v>5.5E-2</v>
      </c>
      <c r="L21" s="174">
        <f t="shared" si="14"/>
        <v>5.5E-2</v>
      </c>
      <c r="M21" s="174">
        <f t="shared" si="14"/>
        <v>5.5E-2</v>
      </c>
    </row>
    <row r="22" spans="1:19">
      <c r="A22" t="s">
        <v>212</v>
      </c>
      <c r="B22" s="131">
        <f t="shared" ref="B22:M22" si="15">ROUNDDOWN(B20*B21,0)</f>
        <v>17</v>
      </c>
      <c r="C22" s="131">
        <f t="shared" si="15"/>
        <v>17</v>
      </c>
      <c r="D22" s="131">
        <f t="shared" si="15"/>
        <v>17</v>
      </c>
      <c r="E22" s="131">
        <f t="shared" si="15"/>
        <v>17</v>
      </c>
      <c r="F22" s="131">
        <f t="shared" si="15"/>
        <v>17</v>
      </c>
      <c r="G22" s="131">
        <f t="shared" si="15"/>
        <v>17</v>
      </c>
      <c r="H22" s="131">
        <f t="shared" si="15"/>
        <v>17</v>
      </c>
      <c r="I22" s="131">
        <f t="shared" si="15"/>
        <v>17</v>
      </c>
      <c r="J22" s="131">
        <f t="shared" si="15"/>
        <v>17</v>
      </c>
      <c r="K22" s="131">
        <f t="shared" si="15"/>
        <v>17</v>
      </c>
      <c r="L22" s="131">
        <f t="shared" si="15"/>
        <v>17</v>
      </c>
      <c r="M22" s="131">
        <f t="shared" si="15"/>
        <v>17</v>
      </c>
      <c r="N22">
        <f>SUM(B22:M22)</f>
        <v>204</v>
      </c>
    </row>
    <row r="23" spans="1:19">
      <c r="A23" t="s">
        <v>213</v>
      </c>
      <c r="B23" s="174">
        <v>0.2</v>
      </c>
      <c r="C23" s="174">
        <v>0.2</v>
      </c>
      <c r="D23" s="174">
        <v>0.2</v>
      </c>
      <c r="E23" s="174">
        <v>0.2</v>
      </c>
      <c r="F23" s="174">
        <v>0.2</v>
      </c>
      <c r="G23" s="174">
        <v>0.2</v>
      </c>
      <c r="H23" s="174">
        <v>0.2</v>
      </c>
      <c r="I23" s="174">
        <v>0.2</v>
      </c>
      <c r="J23" s="174">
        <v>0.2</v>
      </c>
      <c r="K23" s="174">
        <v>0.2</v>
      </c>
      <c r="L23" s="174">
        <v>0.2</v>
      </c>
      <c r="M23" s="174">
        <v>0.2</v>
      </c>
      <c r="P23" s="174">
        <v>20.2</v>
      </c>
    </row>
    <row r="24" spans="1:19">
      <c r="A24" t="s">
        <v>214</v>
      </c>
      <c r="B24" s="131">
        <f>ROUNDDOWN(B23*B22,0)</f>
        <v>3</v>
      </c>
      <c r="C24" s="131">
        <f t="shared" ref="C24:M24" si="16">ROUNDDOWN(C23*C22,0)</f>
        <v>3</v>
      </c>
      <c r="D24" s="131">
        <f t="shared" si="16"/>
        <v>3</v>
      </c>
      <c r="E24" s="131">
        <f t="shared" si="16"/>
        <v>3</v>
      </c>
      <c r="F24" s="131">
        <f t="shared" si="16"/>
        <v>3</v>
      </c>
      <c r="G24" s="131">
        <f t="shared" si="16"/>
        <v>3</v>
      </c>
      <c r="H24" s="131">
        <f t="shared" si="16"/>
        <v>3</v>
      </c>
      <c r="I24" s="131">
        <f t="shared" si="16"/>
        <v>3</v>
      </c>
      <c r="J24" s="131">
        <f t="shared" si="16"/>
        <v>3</v>
      </c>
      <c r="K24" s="131">
        <f t="shared" si="16"/>
        <v>3</v>
      </c>
      <c r="L24" s="131">
        <f t="shared" si="16"/>
        <v>3</v>
      </c>
      <c r="M24" s="131">
        <f t="shared" si="16"/>
        <v>3</v>
      </c>
      <c r="N24">
        <f>SUM(B24:M24)</f>
        <v>36</v>
      </c>
      <c r="P24">
        <v>100</v>
      </c>
      <c r="Q24">
        <f>P24*1.0562</f>
        <v>105.62</v>
      </c>
      <c r="R24">
        <f>Q24*1.1312</f>
        <v>119.477344</v>
      </c>
      <c r="S24">
        <f>R24*1.0928</f>
        <v>130.56484152319999</v>
      </c>
    </row>
    <row r="25" spans="1:19">
      <c r="A25" t="s">
        <v>215</v>
      </c>
      <c r="B25" s="131">
        <f>B22-B24</f>
        <v>14</v>
      </c>
      <c r="C25" s="131">
        <f t="shared" ref="C25:M25" si="17">C22-C24</f>
        <v>14</v>
      </c>
      <c r="D25" s="131">
        <f t="shared" si="17"/>
        <v>14</v>
      </c>
      <c r="E25" s="131">
        <f t="shared" si="17"/>
        <v>14</v>
      </c>
      <c r="F25" s="131">
        <f t="shared" si="17"/>
        <v>14</v>
      </c>
      <c r="G25" s="131">
        <f t="shared" si="17"/>
        <v>14</v>
      </c>
      <c r="H25" s="131">
        <f t="shared" si="17"/>
        <v>14</v>
      </c>
      <c r="I25" s="131">
        <f t="shared" si="17"/>
        <v>14</v>
      </c>
      <c r="J25" s="131">
        <f t="shared" si="17"/>
        <v>14</v>
      </c>
      <c r="K25" s="131">
        <f t="shared" si="17"/>
        <v>14</v>
      </c>
      <c r="L25" s="131">
        <f t="shared" si="17"/>
        <v>14</v>
      </c>
      <c r="M25" s="131">
        <f t="shared" si="17"/>
        <v>14</v>
      </c>
      <c r="N25">
        <f>SUM(B25:M25)</f>
        <v>168</v>
      </c>
    </row>
    <row r="26" spans="1:19">
      <c r="A26" t="s">
        <v>216</v>
      </c>
      <c r="B26" s="131">
        <v>3</v>
      </c>
      <c r="C26" s="131">
        <v>3</v>
      </c>
      <c r="D26" s="131">
        <v>3</v>
      </c>
      <c r="E26" s="131">
        <v>3</v>
      </c>
      <c r="F26" s="131">
        <v>3</v>
      </c>
      <c r="G26" s="131">
        <v>3</v>
      </c>
      <c r="H26" s="131">
        <v>3</v>
      </c>
      <c r="I26" s="131">
        <v>3</v>
      </c>
      <c r="J26" s="131">
        <v>3</v>
      </c>
      <c r="K26" s="131">
        <v>3</v>
      </c>
      <c r="L26" s="131">
        <v>3</v>
      </c>
      <c r="M26" s="131">
        <v>3</v>
      </c>
      <c r="N26">
        <f>SUM(B26:M26)</f>
        <v>36</v>
      </c>
    </row>
    <row r="27" spans="1:19">
      <c r="A27" t="s">
        <v>217</v>
      </c>
      <c r="B27" s="131">
        <v>2</v>
      </c>
      <c r="C27" s="131">
        <v>2</v>
      </c>
      <c r="D27" s="131">
        <v>2</v>
      </c>
      <c r="E27" s="131">
        <v>2</v>
      </c>
      <c r="F27" s="131">
        <v>2</v>
      </c>
      <c r="G27" s="131">
        <v>2</v>
      </c>
      <c r="H27" s="131">
        <v>2</v>
      </c>
      <c r="I27" s="131">
        <v>2</v>
      </c>
      <c r="J27" s="131">
        <v>2</v>
      </c>
      <c r="K27" s="131">
        <v>2</v>
      </c>
      <c r="L27" s="131">
        <v>2</v>
      </c>
      <c r="M27" s="131">
        <v>2</v>
      </c>
      <c r="N27">
        <f>SUM(B27:M27)</f>
        <v>24</v>
      </c>
    </row>
  </sheetData>
  <mergeCells count="1">
    <mergeCell ref="A1:P1"/>
  </mergeCells>
  <hyperlinks>
    <hyperlink ref="O18" r:id="rId1" tooltip="Go to company profile"/>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8" ma:contentTypeDescription="Crear nuevo documento." ma:contentTypeScope="" ma:versionID="15040c341147c7f495f5bf602e1974a8">
  <xsd:schema xmlns:xsd="http://www.w3.org/2001/XMLSchema" xmlns:xs="http://www.w3.org/2001/XMLSchema" xmlns:p="http://schemas.microsoft.com/office/2006/metadata/properties" xmlns:ns2="d155f8b3-d006-41ed-9d54-33591b1cf041" targetNamespace="http://schemas.microsoft.com/office/2006/metadata/properties" ma:root="true" ma:fieldsID="bea1b36ae6b38492754132a51c6ab155" ns2:_="">
    <xsd:import namespace="d155f8b3-d006-41ed-9d54-33591b1cf0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379CF-32C3-428C-80A6-8C3F96A96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5f8b3-d006-41ed-9d54-33591b1cf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Menú</vt:lpstr>
      <vt:lpstr>1</vt:lpstr>
      <vt:lpstr>2</vt:lpstr>
      <vt:lpstr>3</vt:lpstr>
      <vt:lpstr>Hoja2</vt:lpstr>
      <vt:lpstr>4</vt:lpstr>
      <vt:lpstr>5</vt:lpstr>
      <vt:lpstr>PROMEDIO</vt:lpstr>
      <vt:lpstr>Mix R&amp;S</vt:lpstr>
      <vt:lpstr>Hoja1</vt:lpstr>
      <vt:lpstr>Gastos e Inversión</vt:lpstr>
      <vt:lpstr>sueldo</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CARROCERIAS IMPERIAL</cp:lastModifiedBy>
  <cp:revision/>
  <dcterms:created xsi:type="dcterms:W3CDTF">2013-07-30T17:19:59Z</dcterms:created>
  <dcterms:modified xsi:type="dcterms:W3CDTF">2024-07-14T01:03:42Z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ies>
</file>